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ll/Desktop/"/>
    </mc:Choice>
  </mc:AlternateContent>
  <xr:revisionPtr revIDLastSave="0" documentId="13_ncr:1_{D7A8354D-D11C-F54F-8FAC-75F315C4BD07}" xr6:coauthVersionLast="45" xr6:coauthVersionMax="45" xr10:uidLastSave="{00000000-0000-0000-0000-000000000000}"/>
  <bookViews>
    <workbookView xWindow="40" yWindow="460" windowWidth="25440" windowHeight="15260" xr2:uid="{00000000-000D-0000-FFFF-FFFF00000000}"/>
  </bookViews>
  <sheets>
    <sheet name="Kickstarter_Challenge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Descriptive Statistics" sheetId="10" r:id="rId7"/>
    <sheet name="Edinburgh Research" sheetId="6" r:id="rId8"/>
  </sheets>
  <definedNames>
    <definedName name="_xlnm._FilterDatabase" localSheetId="0" hidden="1">Kickstarter_Challenge!$A$1:$T$4115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13" l="1"/>
  <c r="H3" i="13"/>
  <c r="H4" i="13"/>
  <c r="H5" i="13"/>
  <c r="H7" i="13"/>
  <c r="H8" i="13"/>
  <c r="H9" i="13"/>
  <c r="H10" i="13"/>
  <c r="H11" i="13"/>
  <c r="H12" i="13"/>
  <c r="H13" i="13"/>
  <c r="H2" i="13"/>
  <c r="G3" i="13"/>
  <c r="G4" i="13"/>
  <c r="G5" i="13"/>
  <c r="G7" i="13"/>
  <c r="G8" i="13"/>
  <c r="G9" i="13"/>
  <c r="G10" i="13"/>
  <c r="G11" i="13"/>
  <c r="G12" i="13"/>
  <c r="G13" i="13"/>
  <c r="G2" i="13"/>
  <c r="F3" i="13"/>
  <c r="F4" i="13"/>
  <c r="F5" i="13"/>
  <c r="F7" i="13"/>
  <c r="F8" i="13"/>
  <c r="F9" i="13"/>
  <c r="F10" i="13"/>
  <c r="F11" i="13"/>
  <c r="F12" i="13"/>
  <c r="F13" i="13"/>
  <c r="F2" i="13"/>
  <c r="E3" i="13"/>
  <c r="E4" i="13"/>
  <c r="E5" i="13"/>
  <c r="E7" i="13"/>
  <c r="E8" i="13"/>
  <c r="E9" i="13"/>
  <c r="E10" i="13"/>
  <c r="E11" i="13"/>
  <c r="E12" i="13"/>
  <c r="E13" i="13"/>
  <c r="E2" i="13"/>
  <c r="D11" i="13"/>
  <c r="D10" i="13"/>
  <c r="D9" i="13"/>
  <c r="D2" i="13"/>
  <c r="C2" i="13"/>
  <c r="D12" i="13"/>
  <c r="D13" i="13"/>
  <c r="D8" i="13"/>
  <c r="D7" i="13"/>
  <c r="D6" i="13"/>
  <c r="D5" i="13"/>
  <c r="D4" i="13"/>
  <c r="D3" i="13"/>
  <c r="C13" i="13"/>
  <c r="C12" i="13"/>
  <c r="C11" i="13"/>
  <c r="C10" i="13"/>
  <c r="C9" i="13"/>
  <c r="C8" i="13"/>
  <c r="B13" i="13"/>
  <c r="B12" i="13"/>
  <c r="B11" i="13"/>
  <c r="B10" i="13"/>
  <c r="B9" i="13"/>
  <c r="B8" i="13"/>
  <c r="C7" i="13"/>
  <c r="B7" i="13"/>
  <c r="C6" i="13"/>
  <c r="C5" i="13"/>
  <c r="B5" i="13"/>
  <c r="C4" i="13"/>
  <c r="B4" i="13"/>
  <c r="C3" i="13"/>
  <c r="B3" i="13"/>
  <c r="B2" i="13"/>
  <c r="C14" i="10"/>
  <c r="B14" i="10"/>
  <c r="C13" i="10"/>
  <c r="C15" i="10" s="1"/>
  <c r="B13" i="10"/>
  <c r="C7" i="10"/>
  <c r="C6" i="10"/>
  <c r="C8" i="10" s="1"/>
  <c r="B7" i="10"/>
  <c r="B6" i="10"/>
  <c r="B8" i="10" s="1"/>
  <c r="C12" i="10"/>
  <c r="B12" i="10"/>
  <c r="C5" i="10"/>
  <c r="B5" i="10"/>
  <c r="C10" i="10"/>
  <c r="C11" i="10"/>
  <c r="B11" i="10"/>
  <c r="B10" i="10"/>
  <c r="C4" i="10"/>
  <c r="B4" i="10"/>
  <c r="C3" i="10"/>
  <c r="B3" i="10"/>
  <c r="B15" i="10" l="1"/>
  <c r="E6" i="13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6" i="13" l="1"/>
  <c r="G6" i="13"/>
  <c r="F6" i="13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<sst xmlns="http://schemas.openxmlformats.org/spreadsheetml/2006/main" count="33051" uniqueCount="8420">
  <si>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</si>
  <si>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</si>
  <si>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</si>
  <si>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</si>
  <si>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</si>
  <si>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</si>
  <si>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</si>
  <si>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</si>
  <si>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</si>
  <si>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</si>
  <si>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</si>
  <si>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</si>
  <si>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</si>
  <si>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</si>
  <si>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</si>
  <si>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</si>
  <si>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</si>
  <si>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</si>
  <si>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</si>
  <si>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</si>
  <si>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</si>
  <si>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</si>
  <si>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</si>
  <si>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</si>
  <si>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</si>
  <si>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</si>
  <si>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</si>
  <si>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</si>
  <si>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</si>
  <si>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</si>
  <si>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</si>
  <si>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</si>
  <si>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</si>
  <si>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</si>
  <si>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</si>
  <si>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</si>
  <si>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</si>
  <si>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</si>
  <si>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</si>
  <si>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</si>
  <si>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</si>
  <si>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</si>
  <si>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</si>
  <si>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</si>
  <si>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</si>
  <si>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</si>
  <si>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</si>
  <si>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</si>
  <si>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</si>
  <si>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</si>
  <si>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</si>
  <si>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</si>
  <si>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</si>
  <si>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</si>
  <si>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</si>
  <si>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</si>
  <si>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</si>
  <si>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</si>
  <si>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</si>
  <si>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</si>
  <si>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</si>
  <si>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</si>
  <si>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</si>
  <si>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</si>
  <si>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</si>
  <si>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</si>
  <si>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</si>
  <si>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</si>
  <si>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</si>
  <si>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</si>
  <si>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</si>
  <si>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</si>
  <si>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</si>
  <si>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</si>
  <si>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</si>
  <si>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</si>
  <si>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</si>
  <si>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</si>
  <si>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</si>
  <si>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</si>
  <si>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</si>
  <si>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</si>
  <si>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</si>
  <si>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</si>
  <si>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</si>
  <si>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</si>
  <si>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</si>
  <si>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</si>
  <si>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</si>
  <si>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</si>
  <si>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</si>
  <si>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</si>
  <si>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</si>
  <si>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</si>
  <si>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</si>
  <si>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</si>
  <si>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</si>
  <si>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</si>
  <si>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</si>
  <si>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</si>
  <si>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</si>
  <si>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</si>
  <si>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</si>
  <si>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</si>
  <si>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</si>
  <si>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</si>
  <si>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</si>
  <si>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</si>
  <si>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</si>
  <si>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</si>
  <si>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</si>
  <si>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</si>
  <si>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</si>
  <si>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</si>
  <si>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</si>
  <si>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</si>
  <si>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</si>
  <si>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</si>
  <si>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</si>
  <si>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</si>
  <si>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</si>
  <si>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</si>
  <si>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</si>
  <si>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</si>
  <si>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</si>
  <si>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</si>
  <si>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</si>
  <si>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</si>
  <si>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</si>
  <si>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</si>
  <si>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</si>
  <si>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</si>
  <si>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</si>
  <si>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</si>
  <si>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</si>
  <si>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</si>
  <si>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</si>
  <si>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</si>
  <si>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</si>
  <si>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</si>
  <si>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</si>
  <si>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</si>
  <si>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</si>
  <si>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</si>
  <si>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</si>
  <si>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</si>
  <si>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</si>
  <si>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</si>
  <si>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</si>
  <si>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</si>
  <si>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</si>
  <si>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</si>
  <si>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</si>
  <si>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</si>
  <si>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</si>
  <si>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</si>
  <si>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</si>
  <si>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</si>
  <si>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</si>
  <si>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</si>
  <si>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</si>
  <si>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</si>
  <si>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</si>
  <si>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</si>
  <si>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</si>
  <si>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</si>
  <si>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</si>
  <si>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</si>
  <si>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</si>
  <si>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</si>
  <si>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</si>
  <si>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</si>
  <si>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</si>
  <si>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</si>
  <si>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</si>
  <si>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</si>
  <si>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</si>
  <si>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</si>
  <si>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</si>
  <si>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</si>
  <si>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</si>
  <si>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</si>
  <si>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</si>
  <si>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</si>
  <si>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</si>
  <si>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</si>
  <si>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</si>
  <si>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</si>
  <si>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</si>
  <si>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</si>
  <si>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</si>
  <si>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</si>
  <si>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</si>
  <si>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</si>
  <si>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</si>
  <si>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</si>
  <si>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</si>
  <si>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</si>
  <si>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</si>
  <si>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</si>
  <si>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</si>
  <si>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</si>
  <si>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</si>
  <si>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</si>
  <si>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</si>
  <si>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</si>
  <si>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</si>
  <si>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</si>
  <si>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</si>
  <si>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</si>
  <si>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</si>
  <si>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</si>
  <si>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</si>
  <si>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</si>
  <si>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</si>
  <si>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</si>
  <si>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</si>
  <si>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</si>
  <si>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</si>
  <si>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</si>
  <si>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</si>
  <si>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</si>
  <si>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</si>
  <si>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</si>
  <si>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</si>
  <si>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</si>
  <si>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</si>
  <si>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</si>
  <si>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</si>
  <si>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</si>
  <si>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</si>
  <si>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</si>
  <si>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</si>
  <si>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</si>
  <si>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</si>
  <si>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</si>
  <si>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</si>
  <si>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</si>
  <si>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</si>
  <si>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</si>
  <si>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</si>
  <si>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</si>
  <si>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</si>
  <si>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</si>
  <si>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</si>
  <si>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</si>
  <si>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</si>
  <si>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</si>
  <si>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</si>
  <si>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</si>
  <si>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</si>
  <si>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</si>
  <si>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</si>
  <si>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</si>
  <si>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</si>
  <si>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</si>
  <si>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</si>
  <si>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</si>
  <si>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</si>
  <si>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</si>
  <si>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</si>
  <si>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</si>
  <si>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</si>
  <si>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</si>
  <si>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</si>
  <si>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</si>
  <si>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</si>
  <si>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</si>
  <si>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</si>
  <si>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</si>
  <si>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</si>
  <si>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</si>
  <si>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</si>
  <si>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</si>
  <si>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</si>
  <si>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</si>
  <si>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</si>
  <si>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</si>
  <si>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</si>
  <si>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</si>
  <si>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</si>
  <si>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</si>
  <si>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</si>
  <si>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</si>
  <si>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</si>
  <si>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</si>
  <si>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</si>
  <si>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</si>
  <si>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</si>
  <si>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</si>
  <si>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</si>
  <si>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</si>
  <si>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</si>
  <si>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</si>
  <si>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</si>
  <si>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</si>
  <si>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</si>
  <si>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</si>
  <si>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</si>
  <si>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</si>
  <si>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</si>
  <si>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</si>
  <si>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</si>
  <si>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</si>
  <si>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</si>
  <si>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</si>
  <si>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</si>
  <si>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</si>
  <si>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</si>
  <si>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</si>
  <si>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</si>
  <si>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</si>
  <si>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</si>
  <si>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</si>
  <si>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</si>
  <si>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</si>
  <si>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</si>
  <si>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</si>
  <si>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</si>
  <si>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</si>
  <si>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</si>
  <si>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</si>
  <si>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</si>
  <si>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</si>
  <si>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</si>
  <si>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</si>
  <si>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</si>
  <si>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</si>
  <si>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</si>
  <si>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</si>
  <si>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</si>
  <si>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</si>
  <si>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</si>
  <si>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</si>
  <si>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</si>
  <si>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</si>
  <si>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</si>
  <si>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</si>
  <si>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</si>
  <si>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</si>
  <si>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</si>
  <si>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</si>
  <si>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</si>
  <si>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</si>
  <si>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</si>
  <si>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</si>
  <si>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</si>
  <si>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</si>
  <si>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</si>
  <si>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</si>
  <si>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</si>
  <si>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</si>
  <si>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</si>
  <si>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</si>
  <si>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</si>
  <si>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</si>
  <si>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</si>
  <si>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</si>
  <si>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</si>
  <si>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</si>
  <si>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</si>
  <si>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</si>
  <si>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</si>
  <si>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</si>
  <si>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</si>
  <si>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</si>
  <si>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</si>
  <si>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</si>
  <si>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</si>
  <si>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</si>
  <si>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</si>
  <si>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</si>
  <si>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</si>
  <si>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</si>
  <si>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</si>
  <si>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</si>
  <si>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</si>
  <si>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</si>
  <si>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</si>
  <si>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</si>
  <si>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</si>
  <si>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</si>
  <si>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</si>
  <si>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</si>
  <si>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</si>
  <si>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</si>
  <si>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</si>
  <si>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</si>
  <si>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</si>
  <si>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</si>
  <si>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</si>
  <si>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</si>
  <si>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</si>
  <si>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</si>
  <si>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</si>
  <si>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</si>
  <si>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</si>
  <si>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</si>
  <si>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</si>
  <si>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</si>
  <si>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</si>
  <si>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</si>
  <si>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</si>
  <si>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</si>
  <si>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</si>
  <si>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</si>
  <si>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</si>
  <si>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</si>
  <si>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</si>
  <si>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</si>
  <si>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</si>
  <si>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</si>
  <si>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</si>
  <si>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</si>
  <si>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</si>
  <si>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</si>
  <si>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</si>
  <si>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</si>
  <si>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</si>
  <si>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</si>
  <si>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</si>
  <si>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</si>
  <si>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</si>
  <si>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</si>
  <si>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</si>
  <si>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</si>
  <si>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</si>
  <si>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</si>
  <si>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</si>
  <si>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</si>
  <si>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</si>
  <si>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</si>
  <si>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</si>
  <si>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</si>
  <si>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</si>
  <si>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</si>
  <si>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</si>
  <si>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</si>
  <si>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</si>
  <si>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</si>
  <si>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</si>
  <si>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</si>
  <si>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</si>
  <si>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</si>
  <si>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</si>
  <si>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</si>
  <si>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</si>
  <si>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</si>
  <si>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</si>
  <si>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</si>
  <si>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</si>
  <si>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</si>
  <si>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</si>
  <si>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</si>
  <si>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</si>
  <si>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</si>
  <si>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</si>
  <si>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</si>
  <si>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</si>
  <si>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</si>
  <si>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</si>
  <si>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</si>
  <si>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</si>
  <si>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</si>
  <si>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</si>
  <si>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</si>
  <si>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</si>
  <si>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</si>
  <si>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</si>
  <si>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</si>
  <si>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</si>
  <si>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</si>
  <si>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</si>
  <si>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</si>
  <si>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</si>
  <si>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</si>
  <si>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</si>
  <si>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</si>
  <si>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</si>
  <si>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</si>
  <si>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</si>
  <si>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</si>
  <si>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</si>
  <si>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</si>
  <si>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</si>
  <si>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</si>
  <si>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</si>
  <si>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</si>
  <si>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</si>
  <si>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</si>
  <si>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</si>
  <si>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</si>
  <si>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</si>
  <si>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</si>
  <si>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</si>
  <si>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</si>
  <si>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</si>
  <si>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</si>
  <si>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</si>
  <si>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</si>
  <si>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</si>
  <si>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</si>
  <si>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</si>
  <si>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</si>
  <si>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</si>
  <si>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</si>
  <si>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</si>
  <si>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</si>
  <si>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</si>
  <si>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</si>
  <si>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</si>
  <si>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</si>
  <si>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</si>
  <si>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</si>
  <si>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</si>
  <si>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</si>
  <si>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</si>
  <si>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</si>
  <si>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</si>
  <si>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</si>
  <si>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</si>
  <si>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</si>
  <si>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</si>
  <si>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</si>
  <si>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</si>
  <si>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</si>
  <si>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</si>
  <si>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</si>
  <si>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</si>
  <si>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</si>
  <si>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</si>
  <si>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</si>
  <si>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</si>
  <si>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</si>
  <si>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</si>
  <si>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</si>
  <si>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</si>
  <si>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</si>
  <si>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</si>
  <si>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</si>
  <si>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</si>
  <si>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</si>
  <si>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</si>
  <si>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</si>
  <si>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</si>
  <si>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</si>
  <si>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</si>
  <si>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</si>
  <si>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</si>
  <si>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</si>
  <si>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</si>
  <si>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</si>
  <si>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</si>
  <si>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</si>
  <si>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</si>
  <si>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</si>
  <si>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</si>
  <si>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</si>
  <si>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</si>
  <si>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</si>
  <si>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</si>
  <si>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</si>
  <si>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</si>
  <si>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</si>
  <si>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</si>
  <si>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</si>
  <si>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</si>
  <si>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</si>
  <si>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</si>
  <si>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</si>
  <si>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</si>
  <si>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</si>
  <si>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</si>
  <si>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</si>
  <si>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</si>
  <si>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</si>
  <si>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</si>
  <si>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</si>
  <si>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</si>
  <si>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</si>
  <si>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</si>
  <si>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</si>
  <si>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</si>
  <si>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</si>
  <si>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</si>
  <si>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</si>
  <si>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</si>
  <si>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</si>
  <si>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</si>
  <si>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</si>
  <si>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</si>
  <si>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</si>
  <si>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</si>
  <si>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</si>
  <si>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</si>
  <si>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</si>
  <si>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</si>
  <si>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</si>
  <si>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</si>
  <si>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</si>
  <si>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</si>
  <si>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</si>
  <si>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</si>
  <si>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</si>
  <si>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</si>
  <si>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</si>
  <si>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</si>
  <si>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</si>
  <si>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</si>
  <si>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</si>
  <si>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</si>
  <si>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</si>
  <si>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</si>
  <si>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</si>
  <si>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</si>
  <si>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</si>
  <si>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</si>
  <si>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</si>
  <si>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</si>
  <si>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</si>
  <si>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</si>
  <si>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</si>
  <si>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</si>
  <si>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</si>
  <si>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</si>
  <si>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</si>
  <si>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</si>
  <si>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</si>
  <si>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</si>
  <si>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</si>
  <si>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</si>
  <si>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</si>
  <si>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</si>
  <si>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</si>
  <si>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</si>
  <si>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</si>
  <si>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</si>
  <si>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</si>
  <si>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</si>
  <si>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</si>
  <si>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</si>
  <si>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</si>
  <si>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</si>
  <si>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</si>
  <si>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</si>
  <si>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</si>
  <si>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</si>
  <si>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</si>
  <si>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</si>
  <si>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</si>
  <si>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</si>
  <si>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</si>
  <si>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</si>
  <si>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</si>
  <si>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</si>
  <si>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</si>
  <si>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</si>
  <si>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</si>
  <si>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</si>
  <si>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</si>
  <si>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</si>
  <si>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</si>
  <si>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</si>
  <si>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</si>
  <si>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</si>
  <si>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</si>
  <si>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</si>
  <si>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</si>
  <si>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</si>
  <si>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</si>
  <si>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</si>
  <si>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</si>
  <si>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</si>
  <si>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</si>
  <si>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</si>
  <si>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</si>
  <si>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</si>
  <si>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</si>
  <si>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</si>
  <si>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</si>
  <si>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</si>
  <si>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</si>
  <si>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</si>
  <si>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</si>
  <si>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</si>
  <si>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</si>
  <si>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</si>
  <si>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</si>
  <si>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</si>
  <si>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</si>
  <si>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</si>
  <si>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</si>
  <si>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</si>
  <si>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</si>
  <si>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</si>
  <si>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</si>
  <si>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</si>
  <si>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</si>
  <si>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</si>
  <si>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</si>
  <si>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</si>
  <si>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</si>
  <si>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</si>
  <si>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</si>
  <si>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</si>
  <si>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</si>
  <si>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</si>
  <si>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</si>
  <si>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</si>
  <si>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</si>
  <si>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</si>
  <si>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</si>
  <si>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</si>
  <si>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</si>
  <si>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</si>
  <si>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</si>
  <si>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</si>
  <si>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</si>
  <si>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</si>
  <si>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</si>
  <si>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</si>
  <si>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</si>
  <si>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</si>
  <si>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</si>
  <si>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</si>
  <si>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</si>
  <si>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</si>
  <si>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</si>
  <si>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</si>
  <si>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</si>
  <si>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</si>
  <si>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</si>
  <si>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</si>
  <si>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</si>
  <si>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</si>
  <si>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</si>
  <si>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</si>
  <si>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</si>
  <si>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</si>
  <si>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</si>
  <si>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</si>
  <si>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</si>
  <si>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</si>
  <si>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</si>
  <si>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</si>
  <si>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</si>
  <si>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</si>
  <si>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</si>
  <si>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</si>
  <si>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</si>
  <si>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</si>
  <si>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</si>
  <si>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</si>
  <si>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</si>
  <si>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</si>
  <si>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</si>
  <si>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</si>
  <si>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</si>
  <si>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</si>
  <si>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</si>
  <si>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</si>
  <si>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</si>
  <si>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</si>
  <si>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</si>
  <si>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</si>
  <si>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</si>
  <si>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</si>
  <si>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</si>
  <si>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</si>
  <si>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</si>
  <si>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</si>
  <si>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</si>
  <si>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</si>
  <si>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</si>
  <si>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</si>
  <si>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</si>
  <si>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</si>
  <si>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</si>
  <si>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</si>
  <si>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</si>
  <si>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</si>
  <si>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</si>
  <si>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</si>
  <si>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</si>
  <si>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</si>
  <si>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</si>
  <si>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</si>
  <si>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</si>
  <si>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</si>
  <si>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</si>
  <si>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</si>
  <si>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</si>
  <si>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</si>
  <si>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</si>
  <si>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</si>
  <si>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</si>
  <si>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</si>
  <si>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</si>
  <si>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</si>
  <si>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</si>
  <si>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</si>
  <si>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</si>
  <si>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</si>
  <si>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</si>
  <si>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</si>
  <si>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</si>
  <si>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</si>
  <si>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</si>
  <si>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</si>
  <si>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</si>
  <si>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</si>
  <si>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</si>
  <si>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</si>
  <si>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</si>
  <si>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</si>
  <si>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</si>
  <si>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</si>
  <si>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</si>
  <si>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</si>
  <si>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</si>
  <si>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</si>
  <si>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</si>
  <si>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</si>
  <si>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</si>
  <si>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</si>
  <si>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</si>
  <si>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</si>
  <si>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</si>
  <si>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</si>
  <si>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</si>
  <si>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</si>
  <si>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</si>
  <si>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</si>
  <si>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</si>
  <si>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</si>
  <si>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</si>
  <si>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</si>
  <si>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</si>
  <si>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</si>
  <si>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</si>
  <si>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</si>
  <si>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</si>
  <si>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</si>
  <si>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</si>
  <si>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</si>
  <si>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</si>
  <si>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</si>
  <si>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</si>
  <si>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</si>
  <si>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</si>
  <si>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</si>
  <si>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</si>
  <si>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</si>
  <si>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</si>
  <si>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</si>
  <si>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</si>
  <si>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</si>
  <si>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</si>
  <si>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</si>
  <si>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</si>
  <si>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</si>
  <si>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</si>
  <si>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</si>
  <si>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</si>
  <si>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</si>
  <si>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</si>
  <si>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</si>
  <si>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</si>
  <si>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</si>
  <si>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</si>
  <si>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</si>
  <si>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</si>
  <si>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</si>
  <si>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</si>
  <si>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</si>
  <si>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</si>
  <si>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</si>
  <si>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</si>
  <si>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</si>
  <si>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</si>
  <si>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</si>
  <si>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</si>
  <si>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</si>
  <si>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</si>
  <si>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</si>
  <si>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</si>
  <si>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</si>
  <si>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</si>
  <si>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</si>
  <si>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</si>
  <si>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</si>
  <si>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</si>
  <si>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</si>
  <si>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</si>
  <si>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</si>
  <si>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</si>
  <si>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</si>
  <si>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</si>
  <si>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</si>
  <si>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</si>
  <si>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</si>
  <si>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</si>
  <si>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</si>
  <si>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</si>
  <si>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</si>
  <si>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</si>
  <si>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</si>
  <si>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</si>
  <si>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</si>
  <si>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</si>
  <si>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</si>
  <si>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</si>
  <si>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</si>
  <si>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</si>
  <si>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</si>
  <si>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</si>
  <si>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</si>
  <si>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</si>
  <si>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</si>
  <si>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</si>
  <si>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</si>
  <si>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</si>
  <si>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</si>
  <si>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</si>
  <si>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</si>
  <si>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</si>
  <si>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</si>
  <si>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</si>
  <si>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</si>
  <si>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</si>
  <si>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</si>
  <si>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</si>
  <si>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</si>
  <si>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</si>
  <si>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</si>
  <si>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</si>
  <si>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</si>
  <si>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</si>
  <si>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</si>
  <si>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</si>
  <si>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</si>
  <si>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</si>
  <si>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</si>
  <si>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</si>
  <si>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</si>
  <si>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</si>
  <si>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</si>
  <si>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</si>
  <si>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</si>
  <si>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</si>
  <si>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</si>
  <si>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</si>
  <si>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</si>
  <si>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</si>
  <si>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</si>
  <si>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</si>
  <si>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</si>
  <si>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</si>
  <si>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</si>
  <si>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</si>
  <si>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</si>
  <si>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</si>
  <si>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</si>
  <si>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</si>
  <si>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</si>
  <si>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</si>
  <si>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</si>
  <si>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</si>
  <si>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</si>
  <si>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</si>
  <si>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</si>
  <si>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</si>
  <si>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</si>
  <si>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</si>
  <si>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</si>
  <si>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</si>
  <si>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</si>
  <si>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</si>
  <si>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</si>
  <si>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</si>
  <si>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</si>
  <si>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</si>
  <si>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</si>
  <si>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</si>
  <si>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</si>
  <si>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</si>
  <si>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</si>
  <si>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</si>
  <si>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</si>
  <si>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</si>
  <si>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</si>
  <si>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</si>
  <si>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</si>
  <si>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</si>
  <si>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</si>
  <si>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</si>
  <si>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</si>
  <si>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</si>
  <si>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</si>
  <si>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</si>
  <si>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</si>
  <si>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</si>
  <si>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</si>
  <si>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</si>
  <si>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</si>
  <si>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</si>
  <si>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</si>
  <si>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</si>
  <si>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</si>
  <si>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</si>
  <si>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</si>
  <si>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</si>
  <si>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</si>
  <si>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</si>
  <si>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</si>
  <si>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</si>
  <si>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</si>
  <si>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</si>
  <si>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</si>
  <si>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</si>
  <si>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</si>
  <si>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</si>
  <si>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</si>
  <si>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</si>
  <si>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</si>
  <si>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</si>
  <si>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</si>
  <si>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</si>
  <si>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</si>
  <si>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</si>
  <si>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</si>
  <si>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</si>
  <si>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</si>
  <si>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</si>
  <si>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</si>
  <si>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</si>
  <si>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</si>
  <si>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</si>
  <si>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</si>
  <si>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</si>
  <si>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</si>
  <si>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</si>
  <si>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</si>
  <si>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</si>
  <si>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</si>
  <si>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</si>
  <si>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</si>
  <si>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</si>
  <si>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</si>
  <si>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</si>
  <si>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</si>
  <si>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</si>
  <si>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</si>
  <si>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</si>
  <si>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</si>
  <si>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</si>
  <si>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</si>
  <si>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</si>
  <si>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</si>
  <si>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</si>
  <si>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</si>
  <si>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</si>
  <si>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</si>
  <si>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</si>
  <si>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</si>
  <si>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</si>
  <si>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</si>
  <si>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</si>
  <si>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</si>
  <si>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</si>
  <si>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</si>
  <si>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</si>
  <si>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</si>
  <si>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</si>
  <si>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</si>
  <si>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</si>
  <si>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</si>
  <si>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</si>
  <si>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</si>
  <si>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</si>
  <si>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</si>
  <si>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</si>
  <si>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</si>
  <si>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</si>
  <si>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</si>
  <si>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</si>
  <si>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</si>
  <si>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</si>
  <si>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</si>
  <si>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</si>
  <si>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</si>
  <si>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</si>
  <si>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</si>
  <si>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</si>
  <si>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</si>
  <si>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</si>
  <si>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</si>
  <si>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</si>
  <si>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</si>
  <si>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</si>
  <si>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</si>
  <si>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</si>
  <si>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</si>
  <si>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</si>
  <si>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</si>
  <si>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</si>
  <si>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</si>
  <si>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</si>
  <si>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</si>
  <si>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</si>
  <si>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</si>
  <si>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</si>
  <si>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</si>
  <si>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</si>
  <si>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</si>
  <si>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</si>
  <si>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</si>
  <si>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</si>
  <si>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</si>
  <si>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</si>
  <si>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</si>
  <si>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</si>
  <si>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</si>
  <si>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</si>
  <si>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</si>
  <si>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</si>
  <si>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</si>
  <si>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</si>
  <si>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</si>
  <si>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</si>
  <si>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</si>
  <si>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</si>
  <si>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</si>
  <si>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</si>
  <si>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</si>
  <si>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</si>
  <si>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</si>
  <si>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</si>
  <si>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</si>
  <si>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</si>
  <si>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</si>
  <si>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</si>
  <si>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</si>
  <si>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</si>
  <si>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</si>
  <si>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</si>
  <si>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</si>
  <si>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</si>
  <si>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</si>
  <si>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</si>
  <si>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</si>
  <si>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</si>
  <si>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</si>
  <si>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</si>
  <si>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</si>
  <si>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</si>
  <si>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</si>
  <si>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</si>
  <si>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</si>
  <si>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</si>
  <si>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</si>
  <si>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</si>
  <si>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</si>
  <si>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</si>
  <si>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</si>
  <si>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</si>
  <si>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</si>
  <si>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</si>
  <si>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</si>
  <si>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</si>
  <si>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</si>
  <si>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</si>
  <si>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</si>
  <si>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</si>
  <si>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</si>
  <si>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</si>
  <si>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</si>
  <si>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</si>
  <si>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</si>
  <si>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</si>
  <si>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</si>
  <si>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</si>
  <si>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</si>
  <si>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</si>
  <si>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</si>
  <si>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</si>
  <si>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</si>
  <si>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</si>
  <si>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</si>
  <si>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</si>
  <si>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</si>
  <si>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</si>
  <si>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</si>
  <si>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</si>
  <si>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</si>
  <si>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</si>
  <si>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</si>
  <si>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</si>
  <si>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</si>
  <si>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</si>
  <si>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</si>
  <si>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</si>
  <si>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</si>
  <si>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</si>
  <si>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</si>
  <si>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</si>
  <si>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</si>
  <si>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</si>
  <si>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</si>
  <si>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</si>
  <si>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</si>
  <si>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</si>
  <si>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</si>
  <si>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</si>
  <si>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</si>
  <si>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</si>
  <si>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</si>
  <si>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</si>
  <si>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</si>
  <si>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</si>
  <si>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</si>
  <si>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</si>
  <si>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</si>
  <si>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</si>
  <si>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</si>
  <si>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</si>
  <si>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</si>
  <si>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</si>
  <si>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</si>
  <si>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</si>
  <si>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</si>
  <si>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</si>
  <si>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</si>
  <si>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</si>
  <si>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</si>
  <si>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</si>
  <si>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</si>
  <si>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</si>
  <si>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</si>
  <si>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</si>
  <si>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</si>
  <si>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</si>
  <si>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</si>
  <si>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</si>
  <si>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</si>
  <si>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</si>
  <si>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</si>
  <si>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</si>
  <si>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</si>
  <si>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</si>
  <si>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</si>
  <si>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</si>
  <si>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</si>
  <si>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</si>
  <si>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</si>
  <si>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</si>
  <si>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</si>
  <si>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</si>
  <si>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</si>
  <si>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</si>
  <si>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</si>
  <si>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</si>
  <si>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</si>
  <si>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</si>
  <si>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</si>
  <si>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</si>
  <si>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</si>
  <si>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</si>
  <si>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</si>
  <si>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</si>
  <si>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</si>
  <si>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</si>
  <si>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</si>
  <si>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</si>
  <si>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</si>
  <si>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</si>
  <si>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</si>
  <si>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</si>
  <si>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</si>
  <si>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</si>
  <si>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</si>
  <si>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</si>
  <si>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</si>
  <si>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</si>
  <si>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</si>
  <si>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</si>
  <si>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</si>
  <si>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</si>
  <si>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</si>
  <si>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</si>
  <si>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</si>
  <si>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</si>
  <si>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</si>
  <si>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</si>
  <si>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</si>
  <si>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</si>
  <si>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</si>
  <si>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</si>
  <si>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</si>
  <si>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</si>
  <si>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</si>
  <si>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</si>
  <si>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</si>
  <si>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</si>
  <si>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</si>
  <si>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</si>
  <si>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</si>
  <si>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</si>
  <si>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</si>
  <si>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</si>
  <si>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</si>
  <si>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</si>
  <si>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</si>
  <si>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</si>
  <si>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</si>
  <si>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</si>
  <si>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</si>
  <si>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</si>
  <si>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</si>
  <si>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</si>
  <si>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</si>
  <si>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</si>
  <si>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</si>
  <si>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</si>
  <si>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</si>
  <si>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</si>
  <si>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</si>
  <si>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</si>
  <si>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</si>
  <si>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</si>
  <si>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</si>
  <si>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</si>
  <si>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</si>
  <si>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</si>
  <si>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</si>
  <si>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</si>
  <si>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</si>
  <si>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</si>
  <si>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</si>
  <si>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</si>
  <si>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</si>
  <si>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</si>
  <si>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</si>
  <si>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</si>
  <si>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</si>
  <si>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</si>
  <si>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</si>
  <si>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</si>
  <si>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</si>
  <si>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</si>
  <si>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</si>
  <si>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</si>
  <si>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</si>
  <si>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</si>
  <si>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</si>
  <si>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</si>
  <si>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</si>
  <si>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</si>
  <si>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</si>
  <si>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</si>
  <si>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</si>
  <si>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</si>
  <si>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</si>
  <si>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</si>
  <si>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</si>
  <si>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</si>
  <si>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</si>
  <si>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</si>
  <si>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</si>
  <si>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</si>
  <si>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</si>
  <si>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</si>
  <si>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</si>
  <si>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</si>
  <si>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</si>
  <si>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</si>
  <si>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</si>
  <si>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</si>
  <si>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</si>
  <si>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</si>
  <si>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</si>
  <si>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</si>
  <si>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</si>
  <si>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</si>
  <si>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</si>
  <si>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</si>
  <si>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</si>
  <si>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</si>
  <si>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</si>
  <si>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</si>
  <si>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</si>
  <si>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</si>
  <si>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</si>
  <si>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</si>
  <si>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</si>
  <si>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</si>
  <si>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</si>
  <si>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</si>
  <si>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</si>
  <si>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</si>
  <si>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</si>
  <si>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</si>
  <si>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</si>
  <si>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</si>
  <si>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</si>
  <si>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</si>
  <si>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</si>
  <si>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</si>
  <si>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</si>
  <si>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</si>
  <si>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</si>
  <si>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</si>
  <si>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</si>
  <si>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</si>
  <si>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</si>
  <si>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</si>
  <si>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</si>
  <si>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</si>
  <si>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</si>
  <si>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</si>
  <si>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</si>
  <si>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</si>
  <si>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</si>
  <si>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</si>
  <si>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</si>
  <si>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</si>
  <si>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</si>
  <si>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</si>
  <si>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</si>
  <si>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</si>
  <si>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</si>
  <si>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</si>
  <si>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</si>
  <si>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</si>
  <si>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</si>
  <si>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</si>
  <si>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</si>
  <si>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</si>
  <si>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</si>
  <si>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</si>
  <si>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</si>
  <si>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</si>
  <si>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</si>
  <si>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</si>
  <si>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</si>
  <si>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</si>
  <si>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</si>
  <si>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</si>
  <si>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</si>
  <si>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</si>
  <si>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</si>
  <si>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</si>
  <si>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</si>
  <si>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</si>
  <si>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</si>
  <si>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</si>
  <si>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</si>
  <si>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</si>
  <si>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</si>
  <si>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</si>
  <si>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</si>
  <si>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</si>
  <si>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</si>
  <si>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</si>
  <si>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</si>
  <si>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</si>
  <si>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</si>
  <si>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</si>
  <si>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</si>
  <si>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</si>
  <si>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</si>
  <si>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</si>
  <si>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</si>
  <si>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</si>
  <si>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</si>
  <si>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</si>
  <si>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</si>
  <si>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</si>
  <si>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</si>
  <si>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</si>
  <si>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</si>
  <si>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</si>
  <si>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</si>
  <si>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</si>
  <si>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</si>
  <si>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</si>
  <si>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</si>
  <si>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</si>
  <si>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</si>
  <si>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</si>
  <si>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</si>
  <si>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</si>
  <si>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</si>
  <si>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</si>
  <si>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</si>
  <si>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</si>
  <si>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</si>
  <si>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</si>
  <si>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</si>
  <si>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</si>
  <si>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</si>
  <si>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</si>
  <si>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</si>
  <si>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</si>
  <si>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</si>
  <si>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</si>
  <si>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</si>
  <si>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</si>
  <si>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</si>
  <si>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</si>
  <si>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</si>
  <si>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</si>
  <si>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</si>
  <si>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</si>
  <si>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</si>
  <si>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</si>
  <si>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</si>
  <si>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</si>
  <si>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</si>
  <si>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</si>
  <si>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</si>
  <si>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</si>
  <si>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</si>
  <si>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</si>
  <si>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</si>
  <si>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</si>
  <si>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</si>
  <si>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</si>
  <si>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</si>
  <si>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</si>
  <si>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</si>
  <si>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</si>
  <si>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</si>
  <si>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</si>
  <si>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</si>
  <si>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</si>
  <si>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</si>
  <si>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</si>
  <si>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</si>
  <si>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</si>
  <si>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</si>
  <si>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</si>
  <si>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</si>
  <si>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</si>
  <si>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</si>
  <si>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</si>
  <si>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</si>
  <si>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</si>
  <si>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</si>
  <si>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</si>
  <si>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</si>
  <si>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</si>
  <si>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</si>
  <si>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</si>
  <si>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</si>
  <si>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</si>
  <si>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</si>
  <si>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</si>
  <si>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</si>
  <si>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</si>
  <si>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</si>
  <si>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</si>
  <si>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</si>
  <si>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</si>
  <si>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</si>
  <si>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</si>
  <si>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</si>
  <si>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</si>
  <si>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</si>
  <si>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</si>
  <si>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</si>
  <si>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</si>
  <si>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</si>
  <si>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</si>
  <si>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</si>
  <si>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</si>
  <si>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</si>
  <si>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</si>
  <si>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</si>
  <si>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</si>
  <si>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</si>
  <si>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</si>
  <si>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</si>
  <si>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</si>
  <si>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</si>
  <si>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</si>
  <si>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</si>
  <si>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</si>
  <si>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</si>
  <si>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</si>
  <si>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</si>
  <si>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</si>
  <si>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</si>
  <si>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</si>
  <si>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</si>
  <si>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</si>
  <si>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</si>
  <si>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</si>
  <si>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</si>
  <si>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</si>
  <si>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</si>
  <si>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</si>
  <si>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</si>
  <si>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</si>
  <si>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</si>
  <si>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</si>
  <si>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</si>
  <si>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</si>
  <si>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</si>
  <si>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</si>
  <si>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</si>
  <si>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</si>
  <si>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</si>
  <si>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</si>
  <si>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</si>
  <si>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</si>
  <si>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</si>
  <si>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</si>
  <si>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</si>
  <si>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</si>
  <si>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</si>
  <si>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</si>
  <si>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</si>
  <si>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</si>
  <si>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</si>
  <si>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</si>
  <si>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</si>
  <si>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</si>
  <si>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</si>
  <si>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</si>
  <si>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</si>
  <si>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</si>
  <si>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</si>
  <si>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</si>
  <si>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</si>
  <si>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</si>
  <si>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</si>
  <si>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</si>
  <si>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</si>
  <si>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</si>
  <si>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</si>
  <si>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</si>
  <si>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</si>
  <si>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</si>
  <si>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</si>
  <si>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</si>
  <si>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</si>
  <si>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</si>
  <si>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</si>
  <si>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</si>
  <si>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</si>
  <si>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</si>
  <si>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</si>
  <si>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</si>
  <si>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</si>
  <si>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</si>
  <si>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</si>
  <si>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</si>
  <si>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</si>
  <si>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</si>
  <si>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</si>
  <si>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</si>
  <si>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</si>
  <si>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</si>
  <si>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</si>
  <si>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</si>
  <si>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</si>
  <si>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</si>
  <si>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</si>
  <si>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</si>
  <si>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</si>
  <si>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</si>
  <si>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</si>
  <si>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</si>
  <si>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</si>
  <si>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</si>
  <si>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</si>
  <si>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</si>
  <si>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</si>
  <si>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</si>
  <si>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</si>
  <si>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</si>
  <si>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</si>
  <si>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</si>
  <si>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</si>
  <si>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</si>
  <si>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</si>
  <si>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</si>
  <si>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</si>
  <si>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</si>
  <si>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</si>
  <si>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</si>
  <si>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</si>
  <si>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</si>
  <si>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</si>
  <si>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</si>
  <si>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</si>
  <si>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</si>
  <si>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</si>
  <si>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</si>
  <si>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</si>
  <si>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</si>
  <si>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</si>
  <si>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</si>
  <si>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</si>
  <si>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</si>
  <si>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</si>
  <si>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</si>
  <si>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</si>
  <si>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</si>
  <si>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</si>
  <si>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</si>
  <si>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</si>
  <si>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</si>
  <si>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</si>
  <si>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</si>
  <si>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</si>
  <si>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</si>
  <si>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</si>
  <si>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</si>
  <si>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</si>
  <si>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</si>
  <si>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</si>
  <si>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</si>
  <si>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</si>
  <si>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</si>
  <si>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</si>
  <si>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</si>
  <si>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</si>
  <si>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</si>
  <si>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</si>
  <si>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</si>
  <si>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</si>
  <si>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</si>
  <si>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</si>
  <si>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</si>
  <si>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</si>
  <si>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</si>
  <si>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</si>
  <si>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</si>
  <si>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</si>
  <si>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</si>
  <si>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</si>
  <si>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</si>
  <si>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</si>
  <si>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</si>
  <si>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</si>
  <si>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</si>
  <si>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</si>
  <si>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</si>
  <si>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</si>
  <si>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</si>
  <si>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</si>
  <si>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</si>
  <si>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</si>
  <si>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</si>
  <si>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</si>
  <si>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</si>
  <si>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</si>
  <si>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</si>
  <si>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</si>
  <si>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</si>
  <si>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</si>
  <si>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</si>
  <si>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</si>
  <si>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</si>
  <si>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</si>
  <si>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</si>
  <si>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</si>
  <si>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</si>
  <si>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</si>
  <si>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</si>
  <si>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</si>
  <si>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</si>
  <si>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</si>
  <si>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</si>
  <si>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</si>
  <si>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</si>
  <si>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</si>
  <si>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</si>
  <si>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</si>
  <si>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</si>
  <si>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</si>
  <si>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</si>
  <si>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</si>
  <si>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</si>
  <si>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</si>
  <si>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</si>
  <si>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</si>
  <si>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</si>
  <si>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</si>
  <si>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</si>
  <si>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</si>
  <si>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</si>
  <si>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</si>
  <si>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</si>
  <si>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</si>
  <si>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</si>
  <si>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</si>
  <si>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</si>
  <si>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</si>
  <si>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</si>
  <si>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</si>
  <si>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</si>
  <si>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</si>
  <si>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</si>
  <si>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</si>
  <si>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</si>
  <si>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</si>
  <si>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</si>
  <si>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</si>
  <si>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</si>
  <si>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</si>
  <si>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</si>
  <si>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</si>
  <si>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</si>
  <si>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</si>
  <si>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</si>
  <si>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</si>
  <si>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</si>
  <si>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</si>
  <si>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</si>
  <si>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</si>
  <si>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</si>
  <si>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</si>
  <si>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</si>
  <si>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</si>
  <si>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</si>
  <si>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</si>
  <si>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</si>
  <si>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</si>
  <si>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</si>
  <si>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</si>
  <si>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</si>
  <si>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</si>
  <si>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</si>
  <si>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</si>
  <si>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</si>
  <si>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</si>
  <si>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</si>
  <si>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</si>
  <si>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</si>
  <si>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</si>
  <si>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</si>
  <si>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</si>
  <si>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</si>
  <si>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</si>
  <si>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</si>
  <si>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</si>
  <si>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</si>
  <si>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</si>
  <si>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</si>
  <si>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</si>
  <si>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</si>
  <si>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</si>
  <si>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</si>
  <si>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</si>
  <si>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</si>
  <si>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</si>
  <si>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</si>
  <si>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</si>
  <si>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</si>
  <si>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</si>
  <si>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</si>
  <si>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</si>
  <si>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</si>
  <si>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</si>
  <si>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</si>
  <si>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</si>
  <si>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</si>
  <si>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</si>
  <si>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</si>
  <si>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</si>
  <si>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</si>
  <si>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</si>
  <si>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</si>
  <si>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</si>
  <si>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</si>
  <si>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</si>
  <si>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</si>
  <si>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</si>
  <si>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</si>
  <si>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</si>
  <si>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</si>
  <si>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</si>
  <si>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</si>
  <si>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</si>
  <si>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</si>
  <si>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</si>
  <si>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</si>
  <si>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</si>
  <si>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</si>
  <si>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</si>
  <si>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</si>
  <si>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</si>
  <si>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</si>
  <si>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</si>
  <si>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</si>
  <si>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</si>
  <si>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</si>
  <si>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</si>
  <si>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</si>
  <si>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</si>
  <si>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</si>
  <si>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</si>
  <si>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</si>
  <si>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</si>
  <si>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</si>
  <si>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</si>
  <si>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</si>
  <si>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</si>
  <si>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</si>
  <si>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</si>
  <si>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</si>
  <si>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</si>
  <si>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</si>
  <si>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</si>
  <si>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</si>
  <si>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</si>
  <si>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</si>
  <si>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</si>
  <si>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</si>
  <si>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</si>
  <si>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</si>
  <si>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</si>
  <si>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</si>
  <si>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</si>
  <si>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</si>
  <si>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</si>
  <si>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</si>
  <si>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</si>
  <si>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</si>
  <si>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</si>
  <si>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</si>
  <si>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</si>
  <si>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</si>
  <si>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</si>
  <si>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</si>
  <si>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</si>
  <si>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</si>
  <si>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</si>
  <si>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</si>
  <si>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</si>
  <si>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</si>
  <si>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</si>
  <si>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</si>
  <si>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</si>
  <si>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</si>
  <si>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</si>
  <si>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</si>
  <si>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</si>
  <si>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</si>
  <si>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</si>
  <si>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</si>
  <si>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</si>
  <si>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</si>
  <si>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</si>
  <si>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</si>
  <si>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</si>
  <si>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</si>
  <si>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</si>
  <si>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</si>
  <si>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</si>
  <si>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</si>
  <si>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</si>
  <si>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</si>
  <si>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</si>
  <si>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</si>
  <si>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</si>
  <si>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</si>
  <si>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</si>
  <si>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</si>
  <si>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</si>
  <si>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</si>
  <si>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</si>
  <si>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</si>
  <si>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</si>
  <si>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</si>
  <si>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</si>
  <si>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</si>
  <si>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</si>
  <si>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</si>
  <si>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</si>
  <si>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</si>
  <si>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</si>
  <si>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</si>
  <si>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</si>
  <si>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</si>
  <si>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</si>
  <si>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</si>
  <si>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</si>
  <si>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</si>
  <si>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</si>
  <si>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</si>
  <si>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</si>
  <si>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</si>
  <si>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</si>
  <si>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</si>
  <si>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</si>
  <si>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</si>
  <si>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</si>
  <si>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</si>
  <si>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</si>
  <si>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</si>
  <si>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</si>
  <si>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</si>
  <si>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</si>
  <si>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</si>
  <si>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</si>
  <si>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</si>
  <si>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</si>
  <si>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</si>
  <si>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</si>
  <si>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</si>
  <si>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</si>
  <si>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</si>
  <si>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</si>
  <si>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</si>
  <si>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</si>
  <si>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</si>
  <si>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</si>
  <si>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</si>
  <si>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</si>
  <si>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</si>
  <si>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</si>
  <si>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</si>
  <si>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</si>
  <si>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</si>
  <si>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</si>
  <si>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</si>
  <si>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</si>
  <si>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</si>
  <si>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</si>
  <si>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</si>
  <si>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</si>
  <si>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</si>
  <si>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</si>
  <si>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</si>
  <si>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</si>
  <si>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</si>
  <si>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</si>
  <si>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</si>
  <si>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</si>
  <si>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</si>
  <si>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</si>
  <si>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</si>
  <si>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</si>
  <si>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</si>
  <si>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</si>
  <si>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</si>
  <si>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</si>
  <si>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</si>
  <si>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</si>
  <si>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</si>
  <si>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</si>
  <si>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</si>
  <si>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</si>
  <si>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</si>
  <si>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</si>
  <si>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</si>
  <si>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</si>
  <si>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</si>
  <si>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</si>
  <si>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</si>
  <si>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</si>
  <si>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</si>
  <si>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</si>
  <si>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</si>
  <si>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</si>
  <si>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</si>
  <si>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</si>
  <si>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</si>
  <si>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</si>
  <si>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</si>
  <si>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</si>
  <si>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</si>
  <si>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</si>
  <si>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</si>
  <si>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</si>
  <si>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</si>
  <si>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</si>
  <si>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</si>
  <si>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</si>
  <si>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</si>
  <si>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</si>
  <si>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</si>
  <si>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</si>
  <si>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</si>
  <si>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</si>
  <si>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</si>
  <si>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</si>
  <si>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</si>
  <si>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</si>
  <si>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</si>
  <si>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</si>
  <si>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</si>
  <si>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</si>
  <si>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</si>
  <si>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</si>
  <si>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</si>
  <si>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</si>
  <si>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</si>
  <si>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</si>
  <si>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</si>
  <si>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</si>
  <si>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</si>
  <si>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</si>
  <si>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</si>
  <si>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</si>
  <si>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</si>
  <si>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</si>
  <si>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</si>
  <si>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</si>
  <si>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</si>
  <si>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</si>
  <si>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</si>
  <si>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</si>
  <si>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</si>
  <si>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</si>
  <si>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</si>
  <si>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</si>
  <si>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</si>
  <si>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</si>
  <si>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</si>
  <si>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</si>
  <si>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</si>
  <si>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</si>
  <si>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</si>
  <si>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</si>
  <si>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</si>
  <si>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</si>
  <si>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</si>
  <si>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</si>
  <si>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</si>
  <si>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</si>
  <si>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</si>
  <si>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</si>
  <si>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</si>
  <si>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</si>
  <si>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</si>
  <si>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</si>
  <si>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</si>
  <si>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</si>
  <si>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</si>
  <si>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</si>
  <si>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</si>
  <si>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</si>
  <si>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</si>
  <si>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</si>
  <si>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</si>
  <si>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</si>
  <si>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</si>
  <si>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</si>
  <si>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</si>
  <si>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</si>
  <si>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</si>
  <si>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</si>
  <si>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</si>
  <si>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</si>
  <si>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</si>
  <si>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</si>
  <si>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</si>
  <si>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</si>
  <si>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</si>
  <si>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</si>
  <si>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</si>
  <si>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</si>
  <si>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</si>
  <si>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</si>
  <si>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</si>
  <si>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</si>
  <si>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</si>
  <si>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</si>
  <si>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</si>
  <si>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</si>
  <si>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</si>
  <si>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</si>
  <si>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</si>
  <si>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</si>
  <si>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</si>
  <si>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</si>
  <si>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</si>
  <si>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</si>
  <si>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</si>
  <si>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</si>
  <si>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</si>
  <si>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</si>
  <si>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</si>
  <si>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</si>
  <si>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</si>
  <si>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</si>
  <si>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</si>
  <si>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</si>
  <si>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</si>
  <si>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</si>
  <si>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</si>
  <si>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</si>
  <si>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</si>
  <si>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</si>
  <si>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</si>
  <si>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</si>
  <si>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</si>
  <si>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</si>
  <si>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</si>
  <si>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</si>
  <si>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</si>
  <si>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</si>
  <si>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</si>
  <si>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</si>
  <si>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</si>
  <si>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</si>
  <si>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</si>
  <si>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</si>
  <si>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</si>
  <si>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</si>
  <si>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</si>
  <si>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</si>
  <si>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</si>
  <si>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</si>
  <si>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</si>
  <si>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</si>
  <si>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</si>
  <si>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</si>
  <si>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</si>
  <si>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</si>
  <si>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</si>
  <si>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</si>
  <si>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</si>
  <si>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</si>
  <si>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</si>
  <si>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</si>
  <si>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</si>
  <si>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</si>
  <si>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</si>
  <si>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</si>
  <si>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</si>
  <si>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</si>
  <si>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</si>
  <si>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</si>
  <si>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</si>
  <si>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</si>
  <si>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</si>
  <si>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</si>
  <si>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</si>
  <si>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</si>
  <si>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</si>
  <si>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</si>
  <si>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</si>
  <si>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</si>
  <si>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</si>
  <si>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</si>
  <si>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</si>
  <si>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</si>
  <si>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</si>
  <si>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</si>
  <si>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</si>
  <si>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</si>
  <si>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</si>
  <si>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</si>
  <si>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</si>
  <si>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</si>
  <si>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</si>
  <si>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</si>
  <si>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</si>
  <si>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</si>
  <si>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</si>
  <si>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</si>
  <si>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</si>
  <si>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</si>
  <si>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</si>
  <si>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</si>
  <si>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</si>
  <si>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</si>
  <si>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</si>
  <si>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</si>
  <si>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</si>
  <si>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</si>
  <si>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</si>
  <si>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</si>
  <si>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</si>
  <si>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</si>
  <si>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</si>
  <si>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</si>
  <si>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</si>
  <si>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</si>
  <si>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</si>
  <si>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</si>
  <si>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</si>
  <si>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</si>
  <si>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</si>
  <si>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</si>
  <si>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</si>
  <si>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</si>
  <si>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</si>
  <si>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</si>
  <si>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</si>
  <si>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</si>
  <si>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</si>
  <si>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</si>
  <si>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</si>
  <si>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</si>
  <si>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</si>
  <si>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</si>
  <si>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</si>
  <si>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</si>
  <si>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</si>
  <si>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</si>
  <si>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</si>
  <si>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</si>
  <si>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</si>
  <si>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</si>
  <si>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</si>
  <si>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</si>
  <si>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</si>
  <si>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</si>
  <si>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</si>
  <si>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</si>
  <si>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</si>
  <si>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</si>
  <si>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</si>
  <si>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</si>
  <si>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</si>
  <si>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</si>
  <si>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</si>
  <si>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</si>
  <si>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</si>
  <si>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</si>
  <si>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</si>
  <si>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</si>
  <si>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</si>
  <si>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</si>
  <si>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</si>
  <si>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</si>
  <si>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</si>
  <si>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</si>
  <si>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</si>
  <si>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</si>
  <si>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</si>
  <si>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</si>
  <si>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</si>
  <si>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</si>
  <si>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</si>
  <si>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</si>
  <si>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</si>
  <si>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</si>
  <si>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</si>
  <si>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</si>
  <si>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</si>
  <si>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</si>
  <si>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</si>
  <si>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</si>
  <si>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</si>
  <si>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</si>
  <si>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</si>
  <si>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</si>
  <si>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</si>
  <si>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</si>
  <si>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</si>
  <si>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</si>
  <si>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</si>
  <si>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</si>
  <si>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</si>
  <si>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</si>
  <si>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</si>
  <si>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</si>
  <si>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</si>
  <si>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</si>
  <si>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</si>
  <si>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</si>
  <si>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</si>
  <si>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</si>
  <si>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</si>
  <si>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</si>
  <si>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</si>
  <si>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</si>
  <si>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</si>
  <si>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</si>
  <si>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</si>
  <si>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</si>
  <si>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</si>
  <si>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</si>
  <si>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</si>
  <si>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</si>
  <si>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</si>
  <si>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</si>
  <si>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</si>
  <si>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</si>
  <si>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</si>
  <si>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</si>
  <si>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</si>
  <si>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</si>
  <si>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</si>
  <si>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</si>
  <si>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</si>
  <si>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</si>
  <si>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</si>
  <si>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</si>
  <si>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</si>
  <si>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</si>
  <si>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</si>
  <si>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</si>
  <si>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</si>
  <si>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</si>
  <si>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</si>
  <si>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</si>
  <si>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</si>
  <si>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</si>
  <si>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</si>
  <si>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</si>
  <si>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</si>
  <si>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</si>
  <si>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</si>
  <si>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</si>
  <si>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</si>
  <si>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</si>
  <si>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</si>
  <si>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</si>
  <si>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</si>
  <si>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</si>
  <si>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</si>
  <si>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</si>
  <si>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</si>
  <si>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</si>
  <si>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</si>
  <si>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</si>
  <si>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</si>
  <si>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</si>
  <si>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</si>
  <si>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</si>
  <si>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</si>
  <si>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</si>
  <si>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</si>
  <si>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</si>
  <si>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</si>
  <si>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</si>
  <si>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</si>
  <si>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</si>
  <si>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</si>
  <si>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</si>
  <si>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</si>
  <si>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</si>
  <si>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</si>
  <si>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</si>
  <si>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</si>
  <si>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</si>
  <si>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</si>
  <si>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</si>
  <si>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</si>
  <si>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</si>
  <si>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</si>
  <si>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</si>
  <si>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</si>
  <si>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</si>
  <si>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</si>
  <si>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</si>
  <si>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</si>
  <si>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</si>
  <si>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</si>
  <si>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</si>
  <si>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</si>
  <si>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</si>
  <si>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</si>
  <si>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</si>
  <si>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</si>
  <si>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</si>
  <si>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</si>
  <si>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</si>
  <si>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</si>
  <si>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</si>
  <si>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</si>
  <si>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</si>
  <si>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</si>
  <si>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</si>
  <si>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</si>
  <si>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</si>
  <si>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</si>
  <si>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</si>
  <si>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</si>
  <si>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</si>
  <si>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</si>
  <si>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</si>
  <si>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</si>
  <si>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</si>
  <si>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</si>
  <si>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</si>
  <si>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</si>
  <si>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</si>
  <si>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</si>
  <si>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</si>
  <si>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</si>
  <si>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</si>
  <si>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</si>
  <si>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</si>
  <si>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</si>
  <si>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</si>
  <si>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</si>
  <si>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</si>
  <si>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</si>
  <si>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</si>
  <si>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</si>
  <si>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</si>
  <si>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</si>
  <si>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</si>
  <si>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</si>
  <si>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</si>
  <si>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</si>
  <si>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</si>
  <si>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</si>
  <si>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</si>
  <si>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</si>
  <si>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</si>
  <si>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</si>
  <si>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</si>
  <si>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</si>
  <si>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</si>
  <si>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</si>
  <si>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</si>
  <si>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</si>
  <si>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</si>
  <si>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</si>
  <si>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</si>
  <si>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</si>
  <si>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</si>
  <si>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</si>
  <si>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</si>
  <si>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</si>
  <si>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</si>
  <si>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</si>
  <si>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</si>
  <si>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</si>
  <si>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</si>
  <si>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</si>
  <si>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</si>
  <si>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</si>
  <si>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</si>
  <si>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</si>
  <si>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</si>
  <si>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</si>
  <si>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</si>
  <si>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</si>
  <si>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</si>
  <si>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</si>
  <si>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</si>
  <si>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</si>
  <si>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</si>
  <si>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</si>
  <si>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</si>
  <si>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</si>
  <si>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</si>
  <si>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</si>
  <si>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</si>
  <si>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</si>
  <si>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</si>
  <si>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</si>
  <si>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</si>
  <si>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</si>
  <si>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</si>
  <si>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</si>
  <si>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</si>
  <si>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</si>
  <si>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</si>
  <si>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</si>
  <si>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</si>
  <si>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</si>
  <si>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</si>
  <si>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</si>
  <si>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</si>
  <si>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</si>
  <si>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</si>
  <si>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</si>
  <si>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</si>
  <si>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</si>
  <si>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</si>
  <si>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</si>
  <si>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</si>
  <si>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</si>
  <si>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</si>
  <si>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</si>
  <si>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</si>
  <si>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</si>
  <si>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</si>
  <si>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</si>
  <si>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</si>
  <si>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</si>
  <si>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</si>
  <si>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</si>
  <si>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</si>
  <si>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</si>
  <si>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</si>
  <si>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</si>
  <si>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</si>
  <si>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</si>
  <si>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</si>
  <si>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</si>
  <si>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</si>
  <si>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</si>
  <si>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</si>
  <si>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</si>
  <si>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</si>
  <si>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</si>
  <si>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</si>
  <si>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</si>
  <si>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</si>
  <si>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</si>
  <si>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</si>
  <si>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</si>
  <si>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</si>
  <si>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</si>
  <si>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</si>
  <si>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</si>
  <si>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</si>
  <si>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</si>
  <si>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</si>
  <si>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</si>
  <si>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</si>
  <si>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</si>
  <si>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</si>
  <si>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</si>
  <si>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</si>
  <si>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</si>
  <si>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</si>
  <si>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</si>
  <si>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</si>
  <si>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</si>
  <si>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</si>
  <si>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</si>
  <si>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</si>
  <si>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</si>
  <si>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</si>
  <si>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</si>
  <si>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</si>
  <si>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</si>
  <si>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</si>
  <si>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</si>
  <si>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</si>
  <si>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</si>
  <si>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</si>
  <si>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</si>
  <si>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</si>
  <si>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</si>
  <si>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</si>
  <si>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</si>
  <si>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</si>
  <si>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</si>
  <si>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</si>
  <si>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</si>
  <si>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</si>
  <si>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</si>
  <si>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</si>
  <si>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</si>
  <si>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</si>
  <si>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</si>
  <si>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</si>
  <si>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</si>
  <si>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</si>
  <si>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</si>
  <si>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</si>
  <si>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</si>
  <si>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</si>
  <si>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</si>
  <si>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</si>
  <si>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</si>
  <si>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</si>
  <si>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</si>
  <si>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</si>
  <si>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</si>
  <si>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</si>
  <si>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</si>
  <si>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</si>
  <si>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</si>
  <si>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</si>
  <si>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</si>
  <si>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</si>
  <si>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</si>
  <si>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</si>
  <si>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</si>
  <si>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</si>
  <si>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</si>
  <si>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</si>
  <si>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</si>
  <si>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</si>
  <si>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</si>
  <si>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</si>
  <si>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</si>
  <si>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</si>
  <si>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</si>
  <si>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</si>
  <si>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</si>
  <si>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</si>
  <si>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</si>
  <si>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</si>
  <si>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</si>
  <si>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</si>
  <si>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</si>
  <si>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</si>
  <si>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</si>
  <si>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</si>
  <si>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</si>
  <si>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</si>
  <si>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</si>
  <si>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</si>
  <si>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</si>
  <si>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</si>
  <si>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</si>
  <si>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</si>
  <si>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</si>
  <si>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</si>
  <si>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</si>
  <si>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</si>
  <si>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</si>
  <si>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</si>
  <si>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</si>
  <si>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</si>
  <si>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</si>
  <si>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</si>
  <si>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</si>
  <si>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</si>
  <si>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</si>
  <si>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</si>
  <si>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</si>
  <si>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</si>
  <si>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</si>
  <si>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</si>
  <si>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</si>
  <si>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</si>
  <si>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</si>
  <si>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</si>
  <si>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</si>
  <si>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</si>
  <si>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</si>
  <si>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</si>
  <si>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</si>
  <si>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</si>
  <si>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</si>
  <si>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</si>
  <si>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</si>
  <si>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</si>
  <si>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</si>
  <si>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</si>
  <si>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</si>
  <si>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</si>
  <si>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</si>
  <si>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</si>
  <si>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</si>
  <si>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</si>
  <si>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</si>
  <si>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</si>
  <si>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</si>
  <si>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</si>
  <si>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</si>
  <si>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</si>
  <si>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</si>
  <si>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</si>
  <si>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</si>
  <si>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</si>
  <si>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</si>
  <si>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</si>
  <si>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</si>
  <si>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</si>
  <si>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</si>
  <si>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</si>
  <si>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</si>
  <si>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</si>
  <si>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</si>
  <si>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</si>
  <si>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</si>
  <si>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</si>
  <si>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</si>
  <si>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</si>
  <si>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</si>
  <si>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</si>
  <si>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</si>
  <si>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</si>
  <si>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</si>
  <si>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</si>
  <si>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</si>
  <si>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</si>
  <si>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</si>
  <si>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</si>
  <si>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</si>
  <si>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</si>
  <si>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</si>
  <si>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</si>
  <si>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</si>
  <si>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</si>
  <si>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</si>
  <si>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</si>
  <si>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</si>
  <si>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</si>
  <si>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</si>
  <si>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</si>
  <si>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</si>
  <si>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</si>
  <si>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</si>
  <si>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</si>
  <si>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</si>
  <si>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</si>
  <si>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</si>
  <si>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</si>
  <si>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</si>
  <si>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</si>
  <si>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</si>
  <si>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</si>
  <si>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</si>
  <si>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</si>
  <si>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</si>
  <si>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</si>
  <si>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</si>
  <si>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</si>
  <si>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</si>
  <si>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</si>
  <si>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</si>
  <si>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</si>
  <si>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</si>
  <si>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</si>
  <si>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</si>
  <si>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</si>
  <si>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</si>
  <si>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</si>
  <si>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</si>
  <si>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</si>
  <si>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</si>
  <si>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</si>
  <si>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</si>
  <si>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</si>
  <si>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</si>
  <si>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</si>
  <si>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</si>
  <si>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</si>
  <si>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</si>
  <si>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</si>
  <si>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</si>
  <si>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</si>
  <si>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</si>
  <si>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</si>
  <si>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</si>
  <si>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</si>
  <si>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</si>
  <si>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</si>
  <si>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</si>
  <si>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</si>
  <si>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</si>
  <si>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</si>
  <si>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</si>
  <si>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</si>
  <si>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</si>
  <si>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</si>
  <si>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</si>
  <si>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</si>
  <si>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</si>
  <si>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</si>
  <si>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</si>
  <si>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</si>
  <si>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</si>
  <si>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</si>
  <si>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</si>
  <si>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</si>
  <si>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</si>
  <si>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</si>
  <si>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</si>
  <si>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</si>
  <si>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</si>
  <si>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</si>
  <si>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</si>
  <si>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</si>
  <si>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</si>
  <si>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</si>
  <si>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</si>
  <si>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</si>
  <si>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</si>
  <si>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</si>
  <si>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</si>
  <si>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</si>
  <si>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</si>
  <si>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</si>
  <si>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</si>
  <si>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</si>
  <si>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</si>
  <si>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</si>
  <si>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</si>
  <si>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</si>
  <si>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</si>
  <si>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</si>
  <si>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</si>
  <si>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</si>
  <si>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</si>
  <si>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</si>
  <si>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</si>
  <si>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</si>
  <si>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</si>
  <si>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</si>
  <si>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</si>
  <si>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</si>
  <si>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</si>
  <si>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</si>
  <si>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</si>
  <si>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</si>
  <si>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</si>
  <si>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</si>
  <si>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</si>
  <si>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</si>
  <si>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</si>
  <si>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</si>
  <si>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</si>
  <si>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</si>
  <si>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</si>
  <si>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</si>
  <si>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</si>
  <si>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</si>
  <si>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</si>
  <si>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</si>
  <si>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</si>
  <si>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</si>
  <si>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</si>
  <si>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</si>
  <si>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</si>
  <si>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</si>
  <si>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</si>
  <si>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</si>
  <si>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</si>
  <si>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</si>
  <si>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</si>
  <si>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</si>
  <si>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</si>
  <si>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</si>
  <si>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</si>
  <si>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</si>
  <si>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</si>
  <si>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</si>
  <si>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</si>
  <si>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</si>
  <si>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</si>
  <si>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</si>
  <si>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</si>
  <si>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</si>
  <si>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</si>
  <si>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</si>
  <si>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</si>
  <si>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</si>
  <si>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</si>
  <si>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</si>
  <si>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</si>
  <si>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</si>
  <si>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</si>
  <si>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</si>
  <si>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</si>
  <si>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</si>
  <si>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</si>
  <si>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</si>
  <si>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</si>
  <si>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</si>
  <si>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</si>
  <si>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</si>
  <si>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</si>
  <si>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</si>
  <si>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</si>
  <si>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</si>
  <si>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</si>
  <si>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</si>
  <si>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</si>
  <si>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</si>
  <si>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</si>
  <si>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</si>
  <si>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</si>
  <si>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</si>
  <si>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</si>
  <si>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</si>
  <si>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</si>
  <si>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</si>
  <si>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</si>
  <si>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</si>
  <si>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</si>
  <si>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</si>
  <si>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</si>
  <si>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</si>
  <si>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</si>
  <si>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</si>
  <si>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</si>
  <si>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</si>
  <si>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</si>
  <si>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</si>
  <si>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</si>
  <si>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</si>
  <si>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</si>
  <si>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</si>
  <si>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</si>
  <si>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</si>
  <si>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</si>
  <si>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</si>
  <si>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</si>
  <si>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</si>
  <si>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</si>
  <si>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</si>
  <si>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</si>
  <si>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</si>
  <si>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</si>
  <si>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</si>
  <si>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</si>
  <si>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</si>
  <si>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</si>
  <si>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</si>
  <si>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</si>
  <si>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</si>
  <si>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</si>
  <si>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</si>
  <si>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</si>
  <si>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</si>
  <si>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</si>
  <si>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</si>
  <si>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</si>
  <si>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</si>
  <si>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</si>
  <si>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</si>
  <si>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</si>
  <si>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</si>
  <si>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</si>
  <si>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</si>
  <si>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</si>
  <si>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</si>
  <si>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</si>
  <si>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</si>
  <si>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</si>
  <si>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</si>
  <si>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</si>
  <si>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</si>
  <si>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</si>
  <si>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</si>
  <si>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</si>
  <si>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</si>
  <si>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</si>
  <si>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</si>
  <si>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</si>
  <si>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</si>
  <si>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</si>
  <si>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</si>
  <si>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</si>
  <si>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</si>
  <si>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</si>
  <si>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</si>
  <si>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</si>
  <si>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</si>
  <si>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</si>
  <si>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</si>
  <si>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</si>
  <si>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</si>
  <si>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</si>
  <si>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</si>
  <si>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</si>
  <si>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</si>
  <si>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</si>
  <si>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</si>
  <si>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</si>
  <si>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</si>
  <si>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</si>
  <si>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</si>
  <si>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</si>
  <si>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</si>
  <si>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</si>
  <si>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</si>
  <si>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</si>
  <si>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</si>
  <si>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</si>
  <si>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</si>
  <si>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</si>
  <si>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</si>
  <si>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</si>
  <si>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</si>
  <si>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</si>
  <si>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</si>
  <si>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</si>
  <si>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</si>
  <si>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</si>
  <si>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</si>
  <si>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</si>
  <si>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</si>
  <si>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</si>
  <si>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</si>
  <si>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</si>
  <si>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</si>
  <si>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</si>
  <si>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</si>
  <si>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</si>
  <si>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</si>
  <si>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</si>
  <si>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</si>
  <si>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</si>
  <si>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</si>
  <si>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</si>
  <si>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</si>
  <si>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</si>
  <si>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</si>
  <si>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</si>
  <si>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</si>
  <si>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</si>
  <si>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</si>
  <si>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</si>
  <si>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</si>
  <si>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</si>
  <si>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</si>
  <si>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</si>
  <si>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</si>
  <si>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</si>
  <si>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</si>
  <si>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</si>
  <si>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</si>
  <si>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</si>
  <si>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</si>
  <si>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</si>
  <si>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</si>
  <si>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</si>
  <si>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</si>
  <si>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</si>
  <si>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</si>
  <si>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</si>
  <si>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</si>
  <si>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</si>
  <si>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</si>
  <si>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</si>
  <si>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</si>
  <si>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</si>
  <si>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</si>
  <si>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</si>
  <si>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</si>
  <si>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</si>
  <si>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</si>
  <si>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</si>
  <si>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</si>
  <si>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</si>
  <si>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</si>
  <si>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</si>
  <si>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</si>
  <si>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</si>
  <si>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</si>
  <si>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</si>
  <si>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</si>
  <si>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</si>
  <si>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</si>
  <si>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</si>
  <si>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</si>
  <si>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</si>
  <si>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</si>
  <si>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</si>
  <si>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</si>
  <si>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</si>
  <si>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</si>
  <si>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</si>
  <si>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</si>
  <si>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</si>
  <si>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</si>
  <si>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</si>
  <si>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</si>
  <si>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</si>
  <si>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</si>
  <si>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</si>
  <si>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</si>
  <si>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</si>
  <si>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</si>
  <si>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</si>
  <si>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</si>
  <si>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</si>
  <si>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</si>
  <si>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</si>
  <si>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</si>
  <si>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</si>
  <si>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</si>
  <si>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</si>
  <si>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</si>
  <si>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</si>
  <si>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</si>
  <si>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</si>
  <si>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</si>
  <si>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</si>
  <si>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</si>
  <si>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</si>
  <si>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</si>
  <si>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</si>
  <si>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</si>
  <si>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</si>
  <si>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</si>
  <si>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</si>
  <si>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</si>
  <si>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</si>
  <si>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</si>
  <si>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</si>
  <si>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</si>
  <si>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</si>
  <si>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</si>
  <si>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</si>
  <si>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</si>
  <si>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</si>
  <si>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</si>
  <si>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</si>
  <si>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</si>
  <si>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</si>
  <si>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</si>
  <si>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</si>
  <si>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</si>
  <si>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</si>
  <si>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</si>
  <si>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</si>
  <si>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</si>
  <si>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</si>
  <si>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</si>
  <si>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</si>
  <si>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</si>
  <si>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</si>
  <si>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</si>
  <si>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</si>
  <si>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</si>
  <si>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</si>
  <si>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</si>
  <si>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</si>
  <si>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</si>
  <si>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</si>
  <si>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</si>
  <si>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</si>
  <si>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</si>
  <si>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</si>
  <si>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</si>
  <si>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</si>
  <si>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</si>
  <si>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</si>
  <si>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</si>
  <si>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</si>
  <si>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</si>
  <si>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</si>
  <si>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</si>
  <si>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</si>
  <si>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</si>
  <si>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</si>
  <si>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</si>
  <si>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</si>
  <si>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</si>
  <si>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</si>
  <si>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</si>
  <si>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</si>
  <si>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</si>
  <si>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</si>
  <si>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</si>
  <si>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</si>
  <si>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</si>
  <si>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</si>
  <si>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</si>
  <si>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</si>
  <si>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</si>
  <si>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</si>
  <si>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</si>
  <si>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</si>
  <si>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</si>
  <si>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</si>
  <si>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</si>
  <si>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</si>
  <si>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</si>
  <si>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</si>
  <si>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</si>
  <si>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</si>
  <si>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</si>
  <si>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</si>
  <si>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</si>
  <si>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</si>
  <si>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</si>
  <si>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</si>
  <si>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</si>
  <si>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</si>
  <si>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</si>
  <si>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</si>
  <si>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</si>
  <si>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</si>
  <si>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</si>
  <si>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</si>
  <si>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</si>
  <si>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</si>
  <si>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</si>
  <si>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</si>
  <si>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</si>
  <si>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</si>
  <si>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</si>
  <si>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</si>
  <si>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</si>
  <si>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</si>
  <si>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</si>
  <si>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</si>
  <si>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</si>
  <si>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</si>
  <si>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</si>
  <si>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</si>
  <si>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</si>
  <si>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</si>
  <si>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</si>
  <si>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</si>
  <si>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</si>
  <si>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</si>
  <si>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</si>
  <si>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</si>
  <si>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</si>
  <si>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</si>
  <si>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</si>
  <si>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</si>
  <si>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</si>
  <si>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</si>
  <si>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</si>
  <si>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</si>
  <si>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</si>
  <si>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</si>
  <si>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</si>
  <si>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</si>
  <si>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</si>
  <si>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</si>
  <si>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</si>
  <si>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</si>
  <si>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</si>
  <si>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</si>
  <si>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</si>
  <si>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</si>
  <si>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</si>
  <si>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</si>
  <si>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</si>
  <si>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</si>
  <si>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</si>
  <si>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</si>
  <si>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</si>
  <si>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</si>
  <si>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</si>
  <si>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</si>
  <si>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</si>
  <si>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</si>
  <si>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</si>
  <si>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</si>
  <si>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</si>
  <si>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</si>
  <si>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</si>
  <si>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</si>
  <si>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</si>
  <si>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</si>
  <si>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</si>
  <si>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</si>
  <si>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</si>
  <si>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</si>
  <si>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</si>
  <si>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</si>
  <si>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</si>
  <si>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</si>
  <si>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</si>
  <si>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</si>
  <si>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</si>
  <si>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</si>
  <si>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</si>
  <si>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</si>
  <si>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</si>
  <si>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</si>
  <si>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</si>
  <si>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</si>
  <si>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</si>
  <si>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</si>
  <si>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</si>
  <si>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</si>
  <si>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</si>
  <si>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</si>
  <si>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</si>
  <si>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</si>
  <si>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</si>
  <si>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</si>
  <si>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</si>
  <si>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</si>
  <si>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</si>
  <si>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</si>
  <si>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</si>
  <si>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</si>
  <si>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</si>
  <si>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</si>
  <si>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</si>
  <si>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</si>
  <si>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</si>
  <si>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</si>
  <si>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</si>
  <si>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</si>
  <si>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</si>
  <si>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</si>
  <si>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</si>
  <si>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</si>
  <si>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</si>
  <si>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</si>
  <si>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</si>
  <si>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</si>
  <si>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</si>
  <si>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</si>
  <si>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</si>
  <si>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</si>
  <si>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</si>
  <si>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</si>
  <si>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</si>
  <si>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</si>
  <si>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</si>
  <si>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</si>
  <si>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</si>
  <si>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</si>
  <si>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</si>
  <si>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</si>
  <si>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</si>
  <si>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</si>
  <si>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</si>
  <si>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</si>
  <si>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</si>
  <si>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</si>
  <si>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</si>
  <si>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</si>
  <si>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</si>
  <si>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</si>
  <si>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</si>
  <si>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</si>
  <si>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</si>
  <si>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</si>
  <si>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</si>
  <si>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</si>
  <si>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</si>
  <si>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</si>
  <si>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</si>
  <si>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</si>
  <si>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</si>
  <si>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</si>
  <si>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</si>
  <si>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</si>
  <si>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</si>
  <si>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</si>
  <si>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</si>
  <si>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</si>
  <si>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</si>
  <si>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</si>
  <si>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</si>
  <si>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</si>
  <si>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</si>
  <si>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</si>
  <si>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</si>
  <si>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</si>
  <si>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</si>
  <si>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</si>
  <si>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</si>
  <si>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</si>
  <si>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</si>
  <si>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</si>
  <si>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</si>
  <si>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</si>
  <si>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</si>
  <si>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</si>
  <si>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</si>
  <si>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</si>
  <si>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</si>
  <si>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</si>
  <si>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</si>
  <si>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</si>
  <si>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</si>
  <si>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</si>
  <si>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</si>
  <si>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</si>
  <si>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</si>
  <si>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</si>
  <si>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</si>
  <si>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</si>
  <si>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</si>
  <si>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</si>
  <si>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</si>
  <si>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</si>
  <si>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</si>
  <si>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</si>
  <si>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</si>
  <si>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</si>
  <si>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</si>
  <si>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</si>
  <si>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</si>
  <si>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</si>
  <si>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</si>
  <si>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</si>
  <si>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</si>
  <si>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</si>
  <si>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</si>
  <si>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</si>
  <si>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</si>
  <si>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</si>
  <si>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</si>
  <si>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</si>
  <si>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</si>
  <si>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</si>
  <si>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</si>
  <si>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</si>
  <si>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</si>
  <si>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</si>
  <si>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</si>
  <si>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</si>
  <si>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</si>
  <si>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</si>
  <si>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</si>
  <si>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</si>
  <si>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</si>
  <si>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</si>
  <si>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</si>
  <si>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</si>
  <si>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</si>
  <si>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</si>
  <si>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</si>
  <si>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</si>
  <si>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</si>
  <si>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</si>
  <si>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</si>
  <si>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</si>
  <si>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</si>
  <si>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</si>
  <si>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</si>
  <si>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</si>
  <si>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</si>
  <si>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</si>
  <si>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</si>
  <si>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</si>
  <si>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</si>
  <si>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</si>
  <si>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</si>
  <si>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</si>
  <si>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</si>
  <si>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</si>
  <si>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</si>
  <si>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</si>
  <si>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</si>
  <si>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</si>
  <si>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</si>
  <si>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</si>
  <si>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</si>
  <si>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</si>
  <si>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</si>
  <si>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</si>
  <si>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</si>
  <si>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</si>
  <si>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</si>
  <si>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</si>
  <si>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</si>
  <si>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</si>
  <si>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</si>
  <si>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</si>
  <si>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</si>
  <si>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</si>
  <si>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</si>
  <si>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</si>
  <si>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</si>
  <si>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</si>
  <si>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</si>
  <si>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</si>
  <si>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</si>
  <si>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</si>
  <si>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</si>
  <si>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</si>
  <si>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</si>
  <si>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</si>
  <si>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</si>
  <si>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</si>
  <si>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</si>
  <si>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</si>
  <si>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</si>
  <si>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</si>
  <si>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</si>
  <si>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</si>
  <si>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</si>
  <si>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</si>
  <si>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</si>
  <si>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</si>
  <si>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</si>
  <si>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</si>
  <si>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</si>
  <si>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</si>
  <si>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</si>
  <si>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</si>
  <si>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</si>
  <si>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</si>
  <si>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</si>
  <si>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</si>
  <si>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</si>
  <si>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</si>
  <si>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</si>
  <si>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</si>
  <si>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</si>
  <si>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</si>
  <si>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</si>
  <si>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</si>
  <si>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</si>
  <si>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</si>
  <si>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</si>
  <si>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</si>
  <si>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</si>
  <si>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</si>
  <si>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</si>
  <si>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</si>
  <si>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</si>
  <si>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</si>
  <si>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</si>
  <si>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</si>
  <si>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</si>
  <si>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</si>
  <si>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</si>
  <si>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</si>
  <si>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</si>
  <si>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</si>
  <si>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</si>
  <si>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</si>
  <si>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</si>
  <si>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</si>
  <si>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</si>
  <si>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</si>
  <si>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</si>
  <si>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</si>
  <si>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</si>
  <si>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</si>
  <si>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</si>
  <si>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</si>
  <si>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</si>
  <si>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</si>
  <si>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</si>
  <si>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</si>
  <si>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</si>
  <si>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</si>
  <si>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</si>
  <si>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</si>
  <si>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</si>
  <si>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</si>
  <si>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</si>
  <si>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</si>
  <si>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</si>
  <si>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</si>
  <si>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</si>
  <si>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</si>
  <si>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</si>
  <si>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</si>
  <si>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</si>
  <si>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</si>
  <si>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</si>
  <si>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</si>
  <si>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</si>
  <si>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</si>
  <si>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</si>
  <si>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</si>
  <si>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</si>
  <si>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</si>
  <si>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</si>
  <si>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</si>
  <si>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</si>
  <si>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</si>
  <si>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</si>
  <si>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</si>
  <si>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</si>
  <si>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</si>
  <si>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</si>
  <si>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</si>
  <si>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</si>
  <si>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</si>
  <si>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</si>
  <si>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</si>
  <si>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</si>
  <si>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</si>
  <si>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</si>
  <si>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</si>
  <si>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</si>
  <si>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</si>
  <si>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</si>
  <si>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</si>
  <si>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</si>
  <si>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</si>
  <si>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</si>
  <si>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</si>
  <si>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</si>
  <si>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</si>
  <si>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</si>
  <si>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</si>
  <si>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</si>
  <si>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</si>
  <si>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</si>
  <si>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</si>
  <si>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</si>
  <si>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</si>
  <si>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</si>
  <si>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</si>
  <si>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</si>
  <si>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</si>
  <si>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</si>
  <si>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</si>
  <si>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</si>
  <si>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</si>
  <si>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</si>
  <si>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</si>
  <si>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</si>
  <si>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</si>
  <si>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</si>
  <si>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</si>
  <si>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</si>
  <si>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</si>
  <si>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</si>
  <si>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</si>
  <si>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</si>
  <si>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</si>
  <si>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</si>
  <si>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</si>
  <si>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</si>
  <si>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</si>
  <si>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</si>
  <si>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</si>
  <si>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</si>
  <si>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</si>
  <si>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</si>
  <si>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</si>
  <si>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</si>
  <si>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</si>
  <si>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</si>
  <si>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</si>
  <si>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</si>
  <si>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</si>
  <si>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</si>
  <si>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</si>
  <si>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</si>
  <si>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</si>
  <si>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</si>
  <si>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</si>
  <si>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</si>
  <si>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</si>
  <si>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</si>
  <si>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</si>
  <si>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</si>
  <si>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</si>
  <si>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</si>
  <si>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</si>
  <si>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</si>
  <si>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</si>
  <si>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</si>
  <si>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</si>
  <si>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</si>
  <si>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</si>
  <si>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</si>
  <si>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</si>
  <si>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</si>
  <si>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</si>
  <si>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</si>
  <si>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</si>
  <si>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</si>
  <si>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</si>
  <si>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</si>
  <si>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</si>
  <si>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</si>
  <si>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</si>
  <si>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</si>
  <si>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</si>
  <si>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</si>
  <si>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</si>
  <si>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</si>
  <si>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</si>
  <si>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</si>
  <si>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</si>
  <si>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</si>
  <si>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</si>
  <si>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</si>
  <si>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</si>
  <si>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</si>
  <si>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</si>
  <si>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</si>
  <si>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</si>
  <si>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</si>
  <si>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</si>
  <si>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</si>
  <si>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</si>
  <si>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</si>
  <si>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</si>
  <si>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</si>
  <si>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</si>
  <si>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</si>
  <si>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</si>
  <si>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</si>
  <si>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</si>
  <si>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</si>
  <si>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</si>
  <si>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</si>
  <si>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</si>
  <si>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</si>
  <si>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</si>
  <si>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</si>
  <si>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</si>
  <si>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</si>
  <si>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</si>
  <si>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</si>
  <si>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</si>
  <si>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</si>
  <si>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</si>
  <si>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</si>
  <si>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</si>
  <si>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</si>
  <si>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</si>
  <si>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</si>
  <si>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</si>
  <si>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</si>
  <si>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</si>
  <si>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</si>
  <si>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</si>
  <si>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</si>
  <si>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</si>
  <si>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</si>
  <si>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</si>
  <si>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</si>
  <si>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</si>
  <si>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</si>
  <si>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</si>
  <si>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</si>
  <si>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</si>
  <si>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</si>
  <si>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</si>
  <si>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</si>
  <si>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</si>
  <si>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</si>
  <si>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</si>
  <si>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</si>
  <si>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</si>
  <si>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</si>
  <si>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</si>
  <si>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</si>
  <si>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</si>
  <si>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</si>
  <si>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</si>
  <si>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</si>
  <si>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</si>
  <si>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</si>
  <si>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</si>
  <si>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</si>
  <si>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</si>
  <si>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</si>
  <si>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</si>
  <si>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</si>
  <si>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</si>
  <si>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</si>
  <si>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</si>
  <si>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</si>
  <si>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</si>
  <si>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</si>
  <si>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</si>
  <si>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</si>
  <si>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</si>
  <si>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</si>
  <si>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</si>
  <si>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</si>
  <si>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</si>
  <si>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</si>
  <si>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</si>
  <si>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</si>
  <si>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</si>
  <si>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</si>
  <si>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</si>
  <si>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</si>
  <si>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</si>
  <si>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</si>
  <si>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</si>
  <si>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</si>
  <si>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</si>
  <si>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</si>
  <si>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</si>
  <si>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</si>
  <si>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</si>
  <si>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</si>
  <si>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</si>
  <si>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</si>
  <si>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</si>
  <si>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</si>
  <si>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</si>
  <si>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</si>
  <si>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</si>
  <si>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</si>
  <si>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</si>
  <si>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</si>
  <si>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</si>
  <si>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</si>
  <si>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</si>
  <si>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</si>
  <si>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</si>
  <si>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</si>
  <si>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</si>
  <si>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</si>
  <si>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</si>
  <si>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</si>
  <si>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</si>
  <si>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</si>
  <si>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</si>
  <si>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</si>
  <si>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</si>
  <si>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</si>
  <si>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</si>
  <si>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</si>
  <si>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</si>
  <si>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</si>
  <si>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</si>
  <si>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</si>
  <si>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</si>
  <si>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</si>
  <si>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</si>
  <si>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</si>
  <si>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</si>
  <si>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</si>
  <si>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</si>
  <si>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</si>
  <si>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</si>
  <si>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</si>
  <si>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</si>
  <si>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</si>
  <si>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</si>
  <si>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</si>
  <si>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</si>
  <si>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</si>
  <si>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</si>
  <si>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</si>
  <si>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</si>
  <si>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</si>
  <si>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</si>
  <si>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</si>
  <si>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</si>
  <si>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</si>
  <si>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</si>
  <si>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</si>
  <si>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</si>
  <si>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</si>
  <si>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</si>
  <si>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</si>
  <si>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</si>
  <si>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</si>
  <si>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</si>
  <si>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</si>
  <si>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</si>
  <si>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</si>
  <si>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</si>
  <si>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</si>
  <si>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</si>
  <si>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</si>
  <si>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</si>
  <si>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</si>
  <si>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</si>
  <si>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</si>
  <si>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</si>
  <si>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</si>
  <si>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</si>
  <si>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</si>
  <si>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</si>
  <si>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</si>
  <si>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</si>
  <si>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</si>
  <si>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</si>
  <si>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</si>
  <si>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</si>
  <si>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</si>
  <si>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</si>
  <si>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</si>
  <si>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</si>
  <si>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</si>
  <si>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</si>
  <si>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</si>
  <si>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</si>
  <si>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</si>
  <si>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</si>
  <si>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</si>
  <si>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</si>
  <si>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</si>
  <si>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</si>
  <si>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</si>
  <si>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</si>
  <si>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</si>
  <si>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</si>
  <si>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</si>
  <si>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</si>
  <si>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</si>
  <si>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</si>
  <si>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</si>
  <si>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</si>
  <si>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</si>
  <si>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</si>
  <si>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</si>
  <si>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</si>
  <si>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</si>
  <si>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</si>
  <si>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</si>
  <si>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</si>
  <si>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</si>
  <si>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</si>
  <si>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</si>
  <si>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</si>
  <si>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</si>
  <si>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</si>
  <si>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</si>
  <si>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</si>
  <si>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</si>
  <si>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</si>
  <si>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</si>
  <si>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</si>
  <si>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</si>
  <si>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</si>
  <si>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</si>
  <si>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</si>
  <si>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</si>
  <si>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</si>
  <si>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</si>
  <si>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</si>
  <si>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</si>
  <si>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</si>
  <si>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</si>
  <si>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</si>
  <si>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</si>
  <si>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</si>
  <si>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</si>
  <si>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</si>
  <si>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</si>
  <si>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</si>
  <si>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</si>
  <si>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</si>
  <si>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</si>
  <si>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</si>
  <si>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</si>
  <si>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</si>
  <si>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</si>
  <si>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</si>
  <si>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</si>
  <si>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</si>
  <si>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</si>
  <si>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</si>
  <si>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</si>
  <si>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</si>
  <si>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</si>
  <si>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</si>
  <si>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</si>
  <si>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</si>
  <si>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</si>
  <si>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</si>
  <si>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</si>
  <si>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</si>
  <si>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</si>
  <si>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</si>
  <si>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</si>
  <si>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</si>
  <si>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</si>
  <si>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</si>
  <si>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</si>
  <si>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</si>
  <si>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</si>
  <si>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</si>
  <si>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</si>
  <si>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</si>
  <si>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</si>
  <si>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</si>
  <si>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</si>
  <si>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</si>
  <si>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</si>
  <si>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</si>
  <si>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</si>
  <si>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</si>
  <si>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</si>
  <si>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</si>
  <si>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</si>
  <si>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</si>
  <si>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</si>
  <si>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</si>
  <si>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</si>
  <si>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</si>
  <si>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</si>
  <si>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</si>
  <si>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</si>
  <si>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</si>
  <si>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</si>
  <si>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</si>
  <si>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</si>
  <si>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</si>
  <si>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</si>
  <si>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</si>
  <si>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</si>
  <si>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</si>
  <si>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</si>
  <si>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</si>
  <si>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</si>
  <si>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</si>
  <si>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</si>
  <si>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</si>
  <si>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</si>
  <si>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</si>
  <si>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</si>
  <si>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</si>
  <si>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</si>
  <si>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</si>
  <si>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</si>
  <si>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</si>
  <si>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</si>
  <si>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</si>
  <si>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</si>
  <si>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</si>
  <si>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</si>
  <si>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</si>
  <si>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</si>
  <si>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</si>
  <si>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</si>
  <si>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</si>
  <si>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</si>
  <si>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</si>
  <si>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</si>
  <si>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</si>
  <si>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</si>
  <si>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</si>
  <si>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</si>
  <si>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</si>
  <si>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</si>
  <si>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</si>
  <si>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</si>
  <si>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</si>
  <si>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</si>
  <si>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</si>
  <si>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</si>
  <si>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</si>
  <si>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</si>
  <si>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</si>
  <si>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</si>
  <si>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</si>
  <si>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</si>
  <si>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</si>
  <si>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</si>
  <si>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</si>
  <si>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</si>
  <si>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</si>
  <si>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</si>
  <si>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</si>
  <si>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</si>
  <si>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</si>
  <si>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</si>
  <si>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</si>
  <si>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</si>
  <si>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</si>
  <si>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</si>
  <si>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</si>
  <si>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</si>
  <si>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</si>
  <si>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</si>
  <si>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</si>
  <si>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</si>
  <si>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</si>
  <si>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</si>
  <si>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</si>
  <si>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</si>
  <si>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</si>
  <si>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</si>
  <si>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</si>
  <si>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</si>
  <si>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</si>
  <si>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</si>
  <si>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</si>
  <si>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</si>
  <si>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</si>
  <si>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</si>
  <si>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</si>
  <si>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</si>
  <si>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</si>
  <si>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</si>
  <si>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</si>
  <si>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</si>
  <si>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</si>
  <si>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</si>
  <si>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</si>
  <si>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</si>
  <si>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</si>
  <si>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</si>
  <si>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</si>
  <si>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</si>
  <si>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</si>
  <si>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</si>
  <si>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</si>
  <si>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</si>
  <si>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</si>
  <si>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</si>
  <si>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</si>
  <si>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</si>
  <si>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</si>
  <si>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</si>
  <si>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</si>
  <si>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</si>
  <si>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</si>
  <si>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</si>
  <si>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</si>
  <si>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</si>
  <si>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</si>
  <si>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</si>
  <si>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</si>
  <si>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</si>
  <si>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</si>
  <si>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</si>
  <si>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</si>
  <si>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</si>
  <si>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</si>
  <si>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</si>
  <si>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</si>
  <si>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</si>
  <si>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</si>
  <si>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</si>
  <si>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</si>
  <si>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</si>
  <si>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</si>
  <si>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</si>
  <si>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</si>
  <si>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</si>
  <si>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</si>
  <si>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</si>
  <si>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</si>
  <si>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</si>
  <si>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</si>
  <si>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</si>
  <si>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</si>
  <si>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</si>
  <si>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</si>
  <si>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</si>
  <si>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</si>
  <si>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</si>
  <si>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</si>
  <si>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</si>
  <si>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</si>
  <si>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</si>
  <si>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</si>
  <si>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</si>
  <si>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</si>
  <si>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</si>
  <si>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</si>
  <si>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</si>
  <si>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</si>
  <si>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</si>
  <si>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</si>
  <si>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</si>
  <si>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</si>
  <si>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</si>
  <si>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</si>
  <si>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</si>
  <si>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</si>
  <si>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</si>
  <si>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</si>
  <si>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</si>
  <si>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</si>
  <si>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</si>
  <si>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</si>
  <si>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</si>
  <si>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</si>
  <si>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</si>
  <si>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</si>
  <si>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</si>
  <si>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</si>
  <si>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</si>
  <si>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</si>
  <si>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</si>
  <si>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</si>
  <si>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</si>
  <si>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</si>
  <si>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</si>
  <si>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</si>
  <si>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</si>
  <si>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</si>
  <si>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</si>
  <si>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</si>
  <si>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</si>
  <si>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</si>
  <si>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</si>
  <si>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</si>
  <si>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</si>
  <si>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</si>
  <si>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</si>
  <si>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</si>
  <si>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</si>
  <si>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</si>
  <si>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</si>
  <si>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</si>
  <si>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</si>
  <si>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</si>
  <si>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</si>
  <si>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</si>
  <si>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</si>
  <si>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</si>
  <si>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</si>
  <si>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</si>
  <si>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</si>
  <si>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</si>
  <si>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</si>
  <si>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</si>
  <si>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</si>
  <si>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</si>
  <si>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</si>
  <si>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</si>
  <si>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</si>
  <si>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</si>
  <si>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</si>
  <si>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</si>
  <si>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</si>
  <si>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</si>
  <si>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</si>
  <si>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</si>
  <si>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</si>
  <si>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</si>
  <si>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</si>
  <si>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</si>
  <si>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</si>
  <si>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</si>
  <si>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</si>
  <si>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</si>
  <si>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</si>
  <si>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</si>
  <si>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</si>
  <si>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</si>
  <si>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</si>
  <si>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</si>
  <si>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</si>
  <si>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</si>
  <si>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</si>
  <si>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</si>
  <si>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</si>
  <si>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</si>
  <si>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</si>
  <si>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</si>
  <si>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</si>
  <si>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</si>
  <si>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</si>
  <si>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</si>
  <si>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</si>
  <si>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</si>
  <si>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</si>
  <si>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</si>
  <si>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</si>
  <si>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</si>
  <si>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</si>
  <si>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</si>
  <si>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</si>
  <si>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</si>
  <si>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</si>
  <si>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</si>
  <si>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</si>
  <si>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</si>
  <si>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</si>
  <si>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</si>
  <si>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</si>
  <si>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</si>
  <si>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</si>
  <si>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</si>
  <si>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</si>
  <si>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</si>
  <si>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</si>
  <si>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</si>
  <si>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</si>
  <si>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</si>
  <si>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</si>
  <si>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</si>
  <si>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</si>
  <si>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</si>
  <si>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</si>
  <si>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</si>
  <si>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</si>
  <si>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</si>
  <si>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</si>
  <si>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</si>
  <si>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</si>
  <si>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</si>
  <si>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</si>
  <si>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</si>
  <si>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</si>
  <si>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</si>
  <si>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</si>
  <si>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</si>
  <si>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</si>
  <si>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</si>
  <si>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</si>
  <si>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</si>
  <si>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</si>
  <si>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</si>
  <si>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</si>
  <si>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</si>
  <si>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</si>
  <si>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</si>
  <si>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</si>
  <si>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</si>
  <si>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</si>
  <si>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</si>
  <si>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</si>
  <si>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</si>
  <si>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</si>
  <si>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</si>
  <si>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</si>
  <si>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</si>
  <si>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</si>
  <si>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</si>
  <si>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</si>
  <si>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</si>
  <si>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</si>
  <si>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</si>
  <si>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</si>
  <si>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</si>
  <si>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</si>
  <si>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</si>
  <si>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</si>
  <si>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</si>
  <si>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</si>
  <si>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</si>
  <si>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</si>
  <si>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</si>
  <si>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</si>
  <si>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</si>
  <si>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</si>
  <si>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</si>
  <si>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</si>
  <si>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</si>
  <si>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</si>
  <si>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</si>
  <si>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</si>
  <si>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</si>
  <si>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</si>
  <si>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</si>
  <si>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</si>
  <si>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</si>
  <si>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</si>
  <si>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</si>
  <si>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</si>
  <si>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</si>
  <si>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</si>
  <si>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</si>
  <si>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</si>
  <si>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</si>
  <si>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</si>
  <si>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</si>
  <si>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</si>
  <si>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</si>
  <si>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</si>
  <si>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</si>
  <si>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</si>
  <si>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</si>
  <si>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</si>
  <si>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</si>
  <si>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</si>
  <si>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</si>
  <si>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</si>
  <si>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</si>
  <si>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</si>
  <si>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</si>
  <si>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</si>
  <si>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</si>
  <si>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</si>
  <si>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</si>
  <si>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</si>
  <si>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</si>
  <si>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</si>
  <si>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</si>
  <si>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</si>
  <si>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</si>
  <si>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</si>
  <si>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</si>
  <si>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</si>
  <si>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</si>
  <si>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</si>
  <si>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</si>
  <si>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</si>
  <si>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</si>
  <si>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</si>
  <si>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</si>
  <si>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</si>
  <si>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</si>
  <si>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</si>
  <si>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</si>
  <si>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</si>
  <si>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</si>
  <si>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</si>
  <si>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</si>
  <si>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</si>
  <si>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</si>
  <si>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</si>
  <si>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</si>
  <si>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</si>
  <si>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</si>
  <si>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</si>
  <si>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</si>
  <si>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</si>
  <si>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</si>
  <si>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</si>
  <si>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</si>
  <si>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</si>
  <si>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</si>
  <si>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</si>
  <si>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</si>
  <si>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</si>
  <si>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</si>
  <si>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</si>
  <si>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</si>
  <si>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</si>
  <si>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</si>
  <si>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</si>
  <si>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</si>
  <si>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</si>
  <si>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</si>
  <si>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</si>
  <si>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</si>
  <si>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</si>
  <si>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</si>
  <si>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</si>
  <si>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</si>
  <si>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</si>
  <si>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</si>
  <si>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</si>
  <si>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</si>
  <si>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</si>
  <si>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</si>
  <si>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</si>
  <si>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</si>
  <si>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</si>
  <si>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</si>
  <si>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</si>
  <si>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</si>
  <si>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</si>
  <si>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</si>
  <si>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</si>
  <si>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</si>
  <si>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</si>
  <si>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</si>
  <si>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</si>
  <si>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</si>
  <si>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</si>
  <si>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</si>
  <si>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</si>
  <si>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</si>
  <si>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</si>
  <si>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</si>
  <si>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</si>
  <si>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</si>
  <si>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</si>
  <si>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</si>
  <si>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</si>
  <si>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</si>
  <si>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</si>
  <si>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</si>
  <si>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</si>
  <si>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</si>
  <si>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</si>
  <si>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</si>
  <si>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</si>
  <si>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</si>
  <si>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</si>
  <si>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</si>
  <si>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</si>
  <si>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</si>
  <si>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</si>
  <si>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</si>
  <si>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</si>
  <si>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</si>
  <si>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</si>
  <si>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</si>
  <si>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</si>
  <si>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</si>
  <si>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</si>
  <si>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</si>
  <si>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</si>
  <si>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</si>
  <si>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</si>
  <si>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</si>
  <si>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</si>
  <si>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</si>
  <si>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</si>
  <si>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</si>
  <si>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</si>
  <si>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</si>
  <si>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</si>
  <si>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</si>
  <si>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</si>
  <si>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</si>
  <si>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</si>
  <si>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</si>
  <si>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</si>
  <si>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</si>
  <si>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</si>
  <si>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</si>
  <si>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</si>
  <si>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</si>
  <si>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</si>
  <si>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</si>
  <si>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</si>
  <si>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</si>
  <si>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</si>
  <si>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</si>
  <si>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</si>
  <si>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</si>
  <si>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</si>
  <si>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</si>
  <si>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</si>
  <si>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</si>
  <si>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</si>
  <si>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</si>
  <si>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</si>
  <si>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</si>
  <si>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</si>
  <si>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</si>
  <si>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</si>
  <si>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</si>
  <si>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</si>
  <si>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</si>
  <si>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</si>
  <si>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</si>
  <si>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</si>
  <si>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</si>
  <si>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</si>
  <si>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</si>
  <si>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</si>
  <si>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</si>
  <si>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</si>
  <si>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</si>
  <si>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</si>
  <si>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</si>
  <si>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</si>
  <si>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</si>
  <si>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</si>
  <si>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</si>
  <si>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</si>
  <si>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</si>
  <si>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</si>
  <si>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</si>
  <si>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</si>
  <si>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</si>
  <si>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</si>
  <si>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</si>
  <si>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</si>
  <si>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</si>
  <si>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</si>
  <si>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</si>
  <si>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</si>
  <si>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</si>
  <si>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</si>
  <si>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</si>
  <si>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</si>
  <si>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</si>
  <si>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</si>
  <si>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</si>
  <si>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</si>
  <si>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</si>
  <si>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</si>
  <si>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</si>
  <si>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</si>
  <si>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</si>
  <si>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</si>
  <si>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</si>
  <si>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</si>
  <si>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</si>
  <si>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</si>
  <si>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</si>
  <si>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</si>
  <si>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</si>
  <si>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</si>
  <si>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</si>
  <si>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</si>
  <si>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</si>
  <si>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</si>
  <si>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</si>
  <si>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</si>
  <si>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</si>
  <si>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</si>
  <si>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</si>
  <si>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</si>
  <si>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</si>
  <si>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</si>
  <si>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</si>
  <si>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</si>
  <si>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</si>
  <si>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</si>
  <si>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</si>
  <si>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</si>
  <si>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</si>
  <si>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</si>
  <si>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</si>
  <si>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</si>
  <si>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</si>
  <si>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</si>
  <si>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</si>
  <si>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</si>
  <si>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</si>
  <si>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</si>
  <si>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</si>
  <si>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</si>
  <si>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</si>
  <si>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</si>
  <si>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</si>
  <si>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</si>
  <si>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</si>
  <si>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</si>
  <si>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</si>
  <si>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</si>
  <si>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</si>
  <si>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</si>
  <si>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</si>
  <si>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</si>
  <si>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</si>
  <si>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</si>
  <si>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</si>
  <si>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</si>
  <si>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</si>
  <si>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</si>
  <si>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</si>
  <si>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</si>
  <si>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</si>
  <si>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</si>
  <si>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</si>
  <si>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</si>
  <si>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</si>
  <si>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</si>
  <si>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</si>
  <si>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</si>
  <si>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</si>
  <si>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</si>
  <si>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</si>
  <si>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</si>
  <si>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</si>
  <si>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</si>
  <si>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</si>
  <si>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</si>
  <si>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</si>
  <si>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</si>
  <si>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</si>
  <si>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</si>
  <si>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</si>
  <si>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</si>
  <si>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</si>
  <si>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</si>
  <si>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</si>
  <si>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</si>
  <si>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</si>
  <si>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</si>
  <si>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</si>
  <si>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</si>
  <si>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</si>
  <si>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</si>
  <si>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</si>
  <si>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</si>
  <si>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</si>
  <si>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</si>
  <si>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</si>
  <si>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</si>
  <si>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</si>
  <si>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</si>
  <si>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</si>
  <si>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</si>
  <si>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</si>
  <si>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</si>
  <si>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</si>
  <si>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</si>
  <si>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</si>
  <si>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</si>
  <si>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</si>
  <si>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</si>
  <si>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</si>
  <si>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</si>
  <si>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</si>
  <si>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</si>
  <si>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</si>
  <si>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</si>
  <si>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</si>
  <si>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</si>
  <si>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</si>
  <si>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</si>
  <si>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</si>
  <si>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</si>
  <si>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</si>
  <si>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</si>
  <si>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</si>
  <si>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</si>
  <si>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</si>
  <si>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</si>
  <si>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</si>
  <si>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</si>
  <si>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</si>
  <si>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</si>
  <si>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</si>
  <si>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</si>
  <si>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</si>
  <si>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</si>
  <si>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</si>
  <si>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</si>
  <si>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</si>
  <si>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</si>
  <si>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</si>
  <si>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</si>
  <si>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</si>
  <si>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</si>
  <si>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</si>
  <si>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</si>
  <si>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</si>
  <si>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</si>
  <si>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</si>
  <si>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</si>
  <si>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</si>
  <si>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</si>
  <si>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</si>
  <si>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</si>
  <si>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</si>
  <si>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</si>
  <si>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</si>
  <si>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</si>
  <si>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</si>
  <si>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</si>
  <si>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</si>
  <si>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</si>
  <si>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</si>
  <si>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</si>
  <si>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</si>
  <si>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</si>
  <si>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</si>
  <si>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</si>
  <si>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</si>
  <si>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</si>
  <si>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</si>
  <si>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</si>
  <si>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</si>
  <si>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</si>
  <si>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</si>
  <si>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</si>
  <si>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</si>
  <si>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</si>
  <si>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</si>
  <si>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</si>
  <si>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</si>
  <si>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</si>
  <si>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</si>
  <si>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</si>
  <si>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</si>
  <si>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</si>
  <si>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</si>
  <si>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</si>
  <si>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</si>
  <si>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</si>
  <si>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</si>
  <si>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</si>
  <si>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</si>
  <si>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</si>
  <si>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</si>
  <si>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</si>
  <si>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</si>
  <si>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</si>
  <si>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</si>
  <si>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</si>
  <si>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</si>
  <si>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</si>
  <si>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</si>
  <si>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</si>
  <si>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</si>
  <si>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</si>
  <si>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</si>
  <si>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</si>
  <si>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</si>
  <si>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</si>
  <si>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</si>
  <si>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</si>
  <si>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</si>
  <si>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</si>
  <si>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</si>
  <si>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</si>
  <si>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</si>
  <si>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</si>
  <si>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</si>
  <si>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</si>
  <si>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</si>
  <si>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</si>
  <si>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</si>
  <si>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</si>
  <si>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</si>
  <si>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</si>
  <si>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</si>
  <si>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</si>
  <si>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</si>
  <si>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</si>
  <si>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</si>
  <si>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</si>
  <si>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</si>
  <si>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</si>
  <si>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</si>
  <si>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</si>
  <si>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</si>
  <si>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</si>
  <si>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</si>
  <si>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</si>
  <si>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</si>
  <si>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</si>
  <si>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</si>
  <si>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</si>
  <si>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</si>
  <si>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</si>
  <si>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</si>
  <si>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</si>
  <si>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</si>
  <si>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</si>
  <si>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</si>
  <si>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</si>
  <si>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</si>
  <si>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</si>
  <si>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</si>
  <si>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</si>
  <si>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</si>
  <si>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</si>
  <si>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</si>
  <si>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</si>
  <si>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</si>
  <si>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</si>
  <si>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</si>
  <si>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</si>
  <si>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</si>
  <si>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</si>
  <si>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</si>
  <si>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</si>
  <si>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</si>
  <si>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</si>
  <si>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</si>
  <si>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</si>
  <si>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</si>
  <si>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</si>
  <si>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</si>
  <si>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</si>
  <si>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</si>
  <si>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</si>
  <si>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</si>
  <si>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</si>
  <si>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</si>
  <si>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</si>
  <si>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</si>
  <si>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</si>
  <si>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</si>
  <si>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</si>
  <si>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</si>
  <si>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</si>
  <si>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</si>
  <si>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</si>
  <si>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</si>
  <si>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</si>
  <si>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</si>
  <si>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</si>
  <si>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</si>
  <si>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</si>
  <si>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</si>
  <si>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</si>
  <si>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</si>
  <si>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</si>
  <si>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</si>
  <si>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</si>
  <si>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</si>
  <si>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</si>
  <si>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</si>
  <si>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</si>
  <si>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</si>
  <si>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</si>
  <si>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</si>
  <si>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</si>
  <si>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</si>
  <si>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</si>
  <si>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</si>
  <si>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</si>
  <si>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</si>
  <si>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</si>
  <si>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</si>
  <si>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</si>
  <si>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</si>
  <si>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</si>
  <si>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</si>
  <si>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</si>
  <si>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</si>
  <si>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</si>
  <si>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</si>
  <si>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</si>
  <si>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</si>
  <si>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</si>
  <si>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</si>
  <si>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</si>
  <si>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</si>
  <si>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</si>
  <si>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</si>
  <si>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</si>
  <si>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</si>
  <si>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</si>
  <si>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</si>
  <si>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</si>
  <si>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</si>
  <si>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</si>
  <si>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</si>
  <si>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</si>
  <si>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</si>
  <si>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</si>
  <si>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</si>
  <si>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</si>
  <si>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</si>
  <si>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</si>
  <si>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</si>
  <si>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</si>
  <si>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</si>
  <si>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</si>
  <si>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</si>
  <si>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</si>
  <si>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</si>
  <si>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</si>
  <si>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</si>
  <si>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</si>
  <si>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</si>
  <si>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</si>
  <si>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</si>
  <si>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</si>
  <si>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</si>
  <si>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</si>
  <si>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</si>
  <si>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</si>
  <si>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</si>
  <si>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</si>
  <si>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</si>
  <si>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</si>
  <si>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</si>
  <si>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</si>
  <si>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</si>
  <si>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</si>
  <si>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</si>
  <si>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</si>
  <si>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</si>
  <si>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</si>
  <si>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</si>
  <si>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</si>
  <si>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</si>
  <si>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</si>
  <si>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</si>
  <si>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</si>
  <si>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</si>
  <si>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</si>
  <si>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</si>
  <si>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</si>
  <si>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</si>
  <si>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</si>
  <si>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</si>
  <si>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</si>
  <si>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</si>
  <si>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</si>
  <si>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</si>
  <si>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</si>
  <si>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</si>
  <si>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</si>
  <si>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</si>
  <si>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</si>
  <si>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</si>
  <si>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</si>
  <si>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</si>
  <si>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</si>
  <si>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</si>
  <si>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</si>
  <si>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</si>
  <si>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</si>
  <si>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</si>
  <si>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</si>
  <si>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</si>
  <si>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</si>
  <si>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</si>
  <si>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</si>
  <si>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</si>
  <si>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</si>
  <si>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</si>
  <si>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</si>
  <si>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</si>
  <si>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</si>
  <si>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</si>
  <si>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</si>
  <si>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</si>
  <si>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</si>
  <si>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</si>
  <si>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</si>
  <si>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</si>
  <si>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</si>
  <si>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</si>
  <si>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</si>
  <si>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</si>
  <si>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</si>
  <si>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</si>
  <si>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</si>
  <si>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</si>
  <si>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</si>
  <si>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</si>
  <si>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</si>
  <si>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</si>
  <si>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</si>
  <si>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</si>
  <si>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</si>
  <si>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</si>
  <si>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</si>
  <si>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</si>
  <si>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</si>
  <si>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</si>
  <si>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</si>
  <si>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</si>
  <si>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</si>
  <si>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</si>
  <si>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</si>
  <si>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</si>
  <si>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</si>
  <si>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</si>
  <si>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</si>
  <si>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</si>
  <si>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</si>
  <si>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</si>
  <si>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</si>
  <si>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</si>
  <si>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</si>
  <si>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</si>
  <si>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</si>
  <si>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</si>
  <si>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</si>
  <si>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</si>
  <si>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</si>
  <si>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</si>
  <si>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</si>
  <si>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</si>
  <si>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</si>
  <si>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</si>
  <si>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</si>
  <si>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</si>
  <si>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</si>
  <si>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</si>
  <si>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</si>
  <si>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</si>
  <si>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</si>
  <si>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</si>
  <si>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</si>
  <si>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</si>
  <si>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</si>
  <si>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</si>
  <si>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</si>
  <si>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</si>
  <si>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</si>
  <si>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</si>
  <si>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</si>
  <si>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</si>
  <si>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</si>
  <si>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</si>
  <si>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</si>
  <si>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</si>
  <si>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</si>
  <si>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</si>
  <si>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</si>
  <si>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</si>
  <si>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</si>
  <si>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</si>
  <si>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</si>
  <si>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</si>
  <si>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</si>
  <si>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</si>
  <si>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</si>
  <si>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</si>
  <si>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</si>
  <si>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</si>
  <si>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</si>
  <si>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</si>
  <si>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</si>
  <si>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</si>
  <si>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</si>
  <si>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</si>
  <si>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</si>
  <si>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</si>
  <si>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</si>
  <si>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</si>
  <si>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</si>
  <si>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</si>
  <si>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</si>
  <si>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</si>
  <si>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</si>
  <si>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</si>
  <si>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</si>
  <si>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</si>
  <si>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</si>
  <si>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</si>
  <si>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</si>
  <si>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</si>
  <si>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</si>
  <si>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</si>
  <si>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</si>
  <si>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</si>
  <si>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</si>
  <si>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</si>
  <si>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</si>
  <si>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</si>
  <si>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</si>
  <si>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</si>
  <si>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</si>
  <si>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</si>
  <si>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</si>
  <si>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</si>
  <si>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</si>
  <si>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</si>
  <si>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</si>
  <si>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</si>
  <si>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</si>
  <si>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</si>
  <si>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</si>
  <si>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</si>
  <si>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</si>
  <si>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</si>
  <si>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</si>
  <si>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</si>
  <si>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</si>
  <si>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</si>
  <si>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</si>
  <si>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</si>
  <si>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</si>
  <si>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</si>
  <si>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</si>
  <si>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</si>
  <si>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</si>
  <si>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</si>
  <si>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</si>
  <si>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</si>
  <si>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</si>
  <si>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</si>
  <si>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</si>
  <si>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</si>
  <si>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</si>
  <si>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</si>
  <si>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</si>
  <si>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</si>
  <si>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</si>
  <si>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</si>
  <si>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</si>
  <si>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</si>
  <si>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</si>
  <si>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</si>
  <si>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</si>
  <si>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</si>
  <si>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</si>
  <si>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</si>
  <si>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</si>
  <si>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</si>
  <si>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</si>
  <si>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</si>
  <si>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</si>
  <si>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</si>
  <si>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</si>
  <si>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</si>
  <si>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</si>
  <si>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</si>
  <si>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</si>
  <si>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</si>
  <si>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</si>
  <si>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</si>
  <si>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</si>
  <si>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</si>
  <si>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</si>
  <si>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</si>
  <si>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</si>
  <si>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</si>
  <si>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</si>
  <si>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</si>
  <si>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</si>
  <si>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</si>
  <si>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</si>
  <si>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</si>
  <si>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</si>
  <si>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</si>
  <si>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</si>
  <si>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</si>
  <si>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</si>
  <si>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</si>
  <si>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</si>
  <si>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</si>
  <si>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</si>
  <si>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</si>
  <si>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</si>
  <si>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</si>
  <si>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</si>
  <si>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</si>
  <si>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</si>
  <si>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</si>
  <si>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</si>
  <si>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</si>
  <si>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</si>
  <si>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</si>
  <si>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</si>
  <si>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</si>
  <si>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</si>
  <si>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</si>
  <si>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</si>
  <si>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</si>
  <si>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</si>
  <si>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</si>
  <si>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</si>
  <si>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</si>
  <si>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</si>
  <si>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</si>
  <si>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</si>
  <si>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</si>
  <si>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</si>
  <si>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</si>
  <si>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</si>
  <si>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</si>
  <si>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</si>
  <si>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</si>
  <si>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</si>
  <si>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</si>
  <si>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</si>
  <si>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</si>
  <si>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</si>
  <si>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</si>
  <si>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</si>
  <si>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</si>
  <si>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</si>
  <si>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</si>
  <si>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</si>
  <si>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</si>
  <si>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</si>
  <si>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</si>
  <si>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</si>
  <si>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</si>
  <si>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</si>
  <si>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</si>
  <si>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</si>
  <si>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</si>
  <si>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</si>
  <si>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</si>
  <si>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</si>
  <si>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</si>
  <si>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</si>
  <si>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</si>
  <si>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</si>
  <si>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</si>
  <si>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</si>
  <si>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</si>
  <si>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</si>
  <si>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</si>
  <si>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</si>
  <si>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</si>
  <si>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</si>
  <si>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</si>
  <si>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</si>
  <si>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</si>
  <si>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</si>
  <si>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</si>
  <si>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</si>
  <si>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</si>
  <si>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</si>
  <si>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</si>
  <si>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</si>
  <si>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</si>
  <si>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</si>
  <si>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</si>
  <si>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</si>
  <si>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</si>
  <si>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</si>
  <si>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</si>
  <si>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</si>
  <si>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</si>
  <si>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</si>
  <si>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</si>
  <si>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</si>
  <si>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</si>
  <si>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</si>
  <si>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</si>
  <si>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</si>
  <si>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</si>
  <si>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</si>
  <si>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</si>
  <si>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</si>
  <si>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</si>
  <si>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</si>
  <si>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</si>
  <si>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</si>
  <si>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</si>
  <si>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</si>
  <si>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</si>
  <si>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</si>
  <si>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</si>
  <si>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</si>
  <si>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</si>
  <si>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</si>
  <si>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</si>
  <si>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</si>
  <si>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</si>
  <si>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</si>
  <si>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</si>
  <si>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</si>
  <si>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</si>
  <si>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</si>
  <si>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</si>
  <si>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</si>
  <si>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</si>
  <si>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</si>
  <si>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</si>
  <si>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</si>
  <si>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</si>
  <si>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</si>
  <si>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</si>
  <si>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</si>
  <si>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</si>
  <si>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</si>
  <si>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</si>
  <si>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</si>
  <si>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</si>
  <si>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</si>
  <si>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</si>
  <si>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</si>
  <si>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</si>
  <si>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</si>
  <si>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</si>
  <si>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</si>
  <si>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</si>
  <si>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</si>
  <si>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</si>
  <si>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</si>
  <si>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</si>
  <si>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</si>
  <si>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</si>
  <si>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</si>
  <si>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</si>
  <si>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</si>
  <si>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</si>
  <si>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</si>
  <si>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</si>
  <si>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</si>
  <si>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</si>
  <si>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</si>
  <si>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</si>
  <si>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</si>
  <si>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</si>
  <si>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</si>
  <si>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</si>
  <si>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</si>
  <si>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</si>
  <si>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</si>
  <si>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</si>
  <si>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</si>
  <si>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</si>
  <si>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</si>
  <si>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</si>
  <si>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</si>
  <si>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</si>
  <si>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</si>
  <si>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</si>
  <si>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</si>
  <si>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</si>
  <si>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</si>
  <si>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</si>
  <si>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</si>
  <si>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</si>
  <si>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</si>
  <si>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</si>
  <si>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</si>
  <si>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</si>
  <si>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</si>
  <si>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</si>
  <si>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</si>
  <si>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</si>
  <si>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</si>
  <si>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</si>
  <si>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</si>
  <si>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</si>
  <si>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</si>
  <si>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</si>
  <si>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</si>
  <si>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</si>
  <si>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</si>
  <si>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</si>
  <si>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</si>
  <si>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</si>
  <si>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</si>
  <si>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</si>
  <si>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</si>
  <si>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</si>
  <si>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</si>
  <si>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</si>
  <si>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</si>
  <si>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</si>
  <si>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</si>
  <si>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</si>
  <si>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</si>
  <si>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</si>
  <si>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</si>
  <si>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</si>
  <si>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</si>
  <si>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</si>
  <si>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</si>
  <si>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</si>
  <si>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</si>
  <si>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</si>
  <si>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</si>
  <si>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</si>
  <si>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</si>
  <si>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</si>
  <si>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</si>
  <si>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</si>
  <si>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</si>
  <si>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</si>
  <si>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</si>
  <si>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</si>
  <si>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</si>
  <si>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</si>
  <si>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</si>
  <si>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</si>
  <si>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</si>
  <si>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</si>
  <si>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</si>
  <si>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</si>
  <si>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</si>
  <si>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</si>
  <si>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</si>
  <si>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</si>
  <si>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</si>
  <si>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</si>
  <si>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</si>
  <si>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</si>
  <si>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</si>
  <si>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</si>
  <si>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</si>
  <si>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</si>
  <si>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</si>
  <si>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</si>
  <si>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</si>
  <si>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</si>
  <si>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</si>
  <si>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</si>
  <si>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</si>
  <si>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</si>
  <si>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</si>
  <si>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</si>
  <si>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</si>
  <si>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</si>
  <si>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</si>
  <si>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</si>
  <si>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</si>
  <si>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</si>
  <si>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</si>
  <si>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</si>
  <si>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</si>
  <si>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</si>
  <si>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</si>
  <si>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</si>
  <si>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</si>
  <si>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</si>
  <si>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</si>
  <si>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</si>
  <si>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</si>
  <si>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</si>
  <si>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</si>
  <si>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</si>
  <si>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</si>
  <si>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</si>
  <si>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</si>
  <si>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</si>
  <si>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</si>
  <si>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</si>
  <si>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</si>
  <si>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</si>
  <si>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</si>
  <si>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</si>
  <si>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</si>
  <si>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</si>
  <si>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</si>
  <si>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</si>
  <si>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</si>
  <si>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</si>
  <si>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</si>
  <si>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</si>
  <si>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</si>
  <si>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</si>
  <si>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</si>
  <si>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</si>
  <si>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</si>
  <si>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</si>
  <si>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</si>
  <si>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</si>
  <si>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</si>
  <si>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</si>
  <si>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</si>
  <si>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</si>
  <si>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</si>
  <si>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</si>
  <si>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</si>
  <si>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</si>
  <si>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</si>
  <si>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</si>
  <si>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</si>
  <si>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</si>
  <si>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</si>
  <si>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</si>
  <si>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</si>
  <si>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</si>
  <si>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</si>
  <si>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</si>
  <si>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</si>
  <si>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</si>
  <si>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</si>
  <si>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</si>
  <si>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</si>
  <si>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</si>
  <si>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</si>
  <si>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</si>
  <si>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</si>
  <si>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</si>
  <si>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</si>
  <si>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</si>
  <si>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</si>
  <si>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</si>
  <si>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</si>
  <si>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</si>
  <si>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</si>
  <si>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</si>
  <si>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</si>
  <si>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</si>
  <si>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</si>
  <si>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</si>
  <si>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</si>
  <si>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</si>
  <si>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</si>
  <si>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</si>
  <si>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</si>
  <si>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</si>
  <si>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</si>
  <si>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</si>
  <si>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</si>
  <si>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</si>
  <si>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</si>
  <si>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</si>
  <si>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</si>
  <si>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</si>
  <si>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</si>
  <si>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</si>
  <si>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</si>
  <si>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</si>
  <si>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</si>
  <si>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</si>
  <si>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</si>
  <si>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</si>
  <si>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</si>
  <si>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</si>
  <si>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</si>
  <si>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</si>
  <si>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</si>
  <si>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</si>
  <si>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</si>
  <si>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</si>
  <si>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</si>
  <si>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</si>
  <si>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</si>
  <si>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</si>
  <si>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</si>
  <si>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</si>
  <si>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</si>
  <si>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</si>
  <si>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</si>
  <si>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</si>
  <si>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</si>
  <si>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</si>
  <si>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</si>
  <si>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</si>
  <si>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</si>
  <si>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</si>
  <si>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</si>
  <si>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</si>
  <si>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</si>
  <si>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</si>
  <si>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</si>
  <si>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</si>
  <si>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</si>
  <si>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</si>
  <si>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</si>
  <si>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</si>
  <si>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</si>
  <si>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</si>
  <si>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</si>
  <si>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</si>
  <si>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</si>
  <si>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</si>
  <si>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</si>
  <si>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</si>
  <si>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</si>
  <si>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</si>
  <si>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</si>
  <si>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</si>
  <si>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</si>
  <si>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</si>
  <si>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</si>
  <si>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</si>
  <si>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</si>
  <si>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</si>
  <si>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</si>
  <si>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</si>
  <si>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</si>
  <si>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</si>
  <si>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</si>
  <si>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</si>
  <si>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</si>
  <si>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</si>
  <si>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</si>
  <si>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</si>
  <si>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</si>
  <si>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</si>
  <si>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</si>
  <si>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</si>
  <si>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</si>
  <si>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</si>
  <si>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</si>
  <si>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</si>
  <si>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</si>
  <si>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</si>
  <si>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</si>
  <si>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</si>
  <si>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</si>
  <si>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</si>
  <si>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</si>
  <si>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</si>
  <si>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</si>
  <si>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</si>
  <si>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</si>
  <si>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</si>
  <si>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</si>
  <si>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</si>
  <si>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</si>
  <si>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</si>
  <si>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</si>
  <si>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</si>
  <si>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</si>
  <si>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</si>
  <si>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</si>
  <si>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</si>
  <si>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</si>
  <si>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</si>
  <si>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</si>
  <si>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</si>
  <si>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</si>
  <si>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</si>
  <si>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</si>
  <si>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</si>
  <si>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</si>
  <si>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</si>
  <si>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</si>
  <si>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</si>
  <si>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</si>
  <si>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</si>
  <si>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</si>
  <si>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</si>
  <si>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</si>
  <si>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</si>
  <si>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</si>
  <si>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</si>
  <si>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</si>
  <si>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</si>
  <si>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</si>
  <si>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</si>
  <si>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</si>
  <si>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</si>
  <si>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</si>
  <si>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</si>
  <si>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</si>
  <si>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</si>
  <si>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</si>
  <si>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</si>
  <si>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</si>
  <si>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</si>
  <si>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</si>
  <si>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</si>
  <si>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</si>
  <si>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</si>
  <si>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</si>
  <si>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</si>
  <si>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</si>
  <si>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</si>
  <si>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</si>
  <si>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</si>
  <si>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</si>
  <si>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</si>
  <si>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</si>
  <si>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</si>
  <si>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</si>
  <si>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</si>
  <si>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</si>
  <si>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</si>
  <si>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</si>
  <si>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</si>
  <si>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</si>
  <si>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</si>
  <si>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</si>
  <si>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</si>
  <si>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</si>
  <si>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</si>
  <si>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</si>
  <si>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</si>
  <si>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</si>
  <si>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</si>
  <si>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</si>
  <si>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</si>
  <si>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</si>
  <si>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</si>
  <si>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</si>
  <si>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</si>
  <si>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</si>
  <si>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</si>
  <si>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</si>
  <si>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</si>
  <si>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</si>
  <si>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</si>
  <si>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</si>
  <si>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</si>
  <si>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</si>
  <si>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</si>
  <si>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</si>
  <si>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</si>
  <si>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</si>
  <si>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</si>
  <si>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</si>
  <si>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</si>
  <si>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</si>
  <si>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</si>
  <si>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</si>
  <si>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</si>
  <si>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</si>
  <si>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</si>
  <si>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</si>
  <si>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</si>
  <si>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</si>
  <si>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</si>
  <si>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</si>
  <si>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</si>
  <si>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</si>
  <si>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</si>
  <si>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</si>
  <si>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</si>
  <si>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</si>
  <si>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</si>
  <si>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</si>
  <si>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</si>
  <si>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</si>
  <si>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</si>
  <si>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</si>
  <si>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</si>
  <si>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</si>
  <si>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</si>
  <si>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</si>
  <si>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</si>
  <si>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</si>
  <si>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</si>
  <si>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</si>
  <si>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</si>
  <si>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</si>
  <si>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</si>
  <si>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</si>
  <si>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</si>
  <si>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</si>
  <si>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</si>
  <si>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</si>
  <si>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</si>
  <si>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</si>
  <si>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</si>
  <si>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</si>
  <si>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</si>
  <si>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</si>
  <si>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</si>
  <si>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</si>
  <si>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</si>
  <si>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</si>
  <si>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</si>
  <si>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</si>
  <si>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</si>
  <si>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</si>
  <si>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</si>
  <si>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</si>
  <si>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</si>
  <si>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</si>
  <si>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</si>
  <si>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</si>
  <si>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</si>
  <si>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</si>
  <si>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</si>
  <si>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</si>
  <si>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</si>
  <si>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</si>
  <si>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</si>
  <si>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</si>
  <si>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</si>
  <si>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</si>
  <si>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</si>
  <si>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</si>
  <si>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</si>
  <si>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</si>
  <si>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</si>
  <si>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</si>
  <si>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</si>
  <si>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</si>
  <si>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</si>
  <si>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</si>
  <si>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</si>
  <si>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</si>
  <si>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</si>
  <si>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</si>
  <si>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</si>
  <si>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</si>
  <si>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</si>
  <si>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</si>
  <si>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</si>
  <si>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</si>
  <si>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</si>
  <si>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</si>
  <si>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</si>
  <si>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</si>
  <si>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</si>
  <si>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</si>
  <si>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</si>
  <si>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</si>
  <si>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</si>
  <si>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</si>
  <si>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</si>
  <si>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</si>
  <si>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</si>
  <si>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</si>
  <si>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</si>
  <si>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</si>
  <si>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</si>
  <si>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</si>
  <si>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</si>
  <si>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</si>
  <si>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</si>
  <si>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</si>
  <si>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</si>
  <si>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</si>
  <si>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</si>
  <si>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</si>
  <si>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</si>
  <si>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</si>
  <si>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</si>
  <si>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</si>
  <si>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</si>
  <si>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</si>
  <si>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</si>
  <si>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</si>
  <si>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</si>
  <si>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</si>
  <si>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</si>
  <si>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</si>
  <si>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</si>
  <si>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</si>
  <si>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</si>
  <si>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</si>
  <si>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</si>
  <si>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</si>
  <si>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</si>
  <si>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</si>
  <si>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</si>
  <si>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</si>
  <si>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</si>
  <si>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</si>
  <si>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</si>
  <si>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</si>
  <si>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</si>
  <si>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</si>
  <si>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</si>
  <si>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</si>
  <si>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</si>
  <si>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</si>
  <si>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</si>
  <si>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</si>
  <si>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</si>
  <si>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</si>
  <si>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</si>
  <si>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</si>
  <si>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</si>
  <si>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</si>
  <si>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</si>
  <si>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</si>
  <si>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</si>
  <si>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</si>
  <si>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</si>
  <si>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</si>
  <si>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</si>
  <si>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</si>
  <si>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</si>
  <si>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</si>
  <si>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</si>
  <si>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</si>
  <si>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</si>
  <si>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</si>
  <si>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</si>
  <si>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</si>
  <si>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</si>
  <si>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</si>
  <si>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</si>
  <si>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</si>
  <si>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</si>
  <si>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</si>
  <si>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</si>
  <si>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</si>
  <si>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</si>
  <si>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</si>
  <si>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</si>
  <si>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</si>
  <si>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</si>
  <si>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</si>
  <si>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</si>
  <si>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</si>
  <si>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</si>
  <si>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</si>
  <si>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</si>
  <si>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</si>
  <si>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</si>
  <si>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</si>
  <si>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</si>
  <si>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</si>
  <si>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</si>
  <si>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</si>
  <si>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</si>
  <si>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</si>
  <si>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</si>
  <si>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</si>
  <si>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</si>
  <si>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</si>
  <si>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</si>
  <si>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</si>
  <si>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</si>
  <si>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</si>
  <si>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</si>
  <si>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</si>
  <si>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</si>
  <si>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</si>
  <si>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</si>
  <si>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</si>
  <si>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</si>
  <si>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</si>
  <si>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</si>
  <si>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</si>
  <si>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</si>
  <si>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</si>
  <si>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</si>
  <si>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</si>
  <si>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</si>
  <si>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</si>
  <si>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</si>
  <si>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</si>
  <si>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</si>
  <si>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</si>
  <si>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</si>
  <si>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</si>
  <si>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</si>
  <si>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</si>
  <si>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</si>
  <si>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</si>
  <si>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</si>
  <si>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</si>
  <si>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</si>
  <si>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</si>
  <si>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</si>
  <si>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</si>
  <si>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</si>
  <si>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</si>
  <si>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</si>
  <si>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</si>
  <si>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</si>
  <si>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</si>
  <si>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</si>
  <si>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</si>
  <si>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</si>
  <si>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</si>
  <si>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</si>
  <si>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</si>
  <si>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</si>
  <si>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</si>
  <si>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</si>
  <si>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</si>
  <si>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</si>
  <si>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</si>
  <si>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</si>
  <si>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</si>
  <si>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</si>
  <si>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</si>
  <si>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</si>
  <si>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</si>
  <si>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</si>
  <si>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</si>
  <si>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</si>
  <si>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</si>
  <si>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</si>
  <si>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</si>
  <si>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</si>
  <si>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</si>
  <si>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</si>
  <si>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</si>
  <si>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</si>
  <si>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</si>
  <si>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</si>
  <si>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</si>
  <si>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</si>
  <si>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</si>
  <si>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</si>
  <si>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</si>
  <si>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</si>
  <si>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</si>
  <si>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</si>
  <si>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</si>
  <si>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</si>
  <si>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</si>
  <si>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</si>
  <si>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</si>
  <si>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</si>
  <si>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</si>
  <si>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</si>
  <si>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</si>
  <si>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</si>
  <si>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</si>
  <si>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</si>
  <si>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</si>
  <si>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</si>
  <si>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</si>
  <si>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</si>
  <si>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</si>
  <si>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</si>
  <si>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</si>
  <si>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</si>
  <si>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</si>
  <si>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</si>
  <si>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</si>
  <si>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</si>
  <si>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</si>
  <si>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</si>
  <si>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</si>
  <si>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</si>
  <si>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</si>
  <si>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</si>
  <si>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</si>
  <si>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</si>
  <si>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</si>
  <si>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</si>
  <si>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</si>
  <si>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</si>
  <si>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</si>
  <si>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</si>
  <si>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</si>
  <si>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</si>
  <si>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</si>
  <si>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</si>
  <si>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</si>
  <si>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</si>
  <si>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</si>
  <si>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</si>
  <si>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</si>
  <si>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</si>
  <si>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</si>
  <si>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</si>
  <si>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</si>
  <si>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</si>
  <si>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</si>
  <si>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</si>
  <si>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</si>
  <si>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</si>
  <si>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</si>
  <si>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</si>
  <si>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</si>
  <si>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</si>
  <si>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</si>
  <si>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</si>
  <si>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</si>
  <si>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</si>
  <si>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</si>
  <si>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</si>
  <si>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</si>
  <si>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</si>
  <si>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</si>
  <si>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</si>
  <si>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</si>
  <si>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</si>
  <si>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</si>
  <si>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</si>
  <si>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</si>
  <si>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</si>
  <si>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</si>
  <si>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</si>
  <si>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</si>
  <si>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</si>
  <si>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</si>
  <si>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</si>
  <si>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</si>
  <si>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</si>
  <si>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</si>
  <si>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</si>
  <si>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</si>
  <si>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</si>
  <si>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</si>
  <si>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</si>
  <si>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</si>
  <si>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</si>
  <si>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</si>
  <si>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</si>
  <si>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</si>
  <si>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</si>
  <si>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</si>
  <si>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</si>
  <si>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</si>
  <si>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</si>
  <si>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</si>
  <si>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</si>
  <si>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</si>
  <si>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</si>
  <si>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</si>
  <si>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</si>
  <si>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</si>
  <si>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</si>
  <si>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</si>
  <si>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</si>
  <si>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</si>
  <si>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</si>
  <si>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</si>
  <si>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</si>
  <si>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</si>
  <si>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</si>
  <si>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</si>
  <si>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</si>
  <si>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</si>
  <si>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</si>
  <si>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</si>
  <si>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</si>
  <si>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</si>
  <si>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</si>
  <si>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</si>
  <si>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</si>
  <si>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</si>
  <si>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</si>
  <si>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</si>
  <si>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</si>
  <si>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</si>
  <si>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</si>
  <si>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</si>
  <si>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</si>
  <si>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</si>
  <si>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</si>
  <si>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</si>
  <si>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</si>
  <si>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</si>
  <si>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</si>
  <si>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</si>
  <si>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</si>
  <si>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</si>
  <si>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</si>
  <si>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</si>
  <si>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</si>
  <si>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</si>
  <si>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</si>
  <si>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</si>
  <si>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</si>
  <si>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</si>
  <si>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</si>
  <si>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</si>
  <si>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</si>
  <si>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</si>
  <si>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</si>
  <si>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</si>
  <si>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</si>
  <si>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</si>
  <si>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</si>
  <si>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</si>
  <si>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</si>
  <si>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</si>
  <si>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</si>
  <si>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</si>
  <si>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</si>
  <si>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</si>
  <si>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</si>
  <si>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</si>
  <si>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</si>
  <si>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</si>
  <si>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</si>
  <si>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</si>
  <si>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</si>
  <si>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</si>
  <si>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</si>
  <si>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</si>
  <si>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</si>
  <si>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</si>
  <si>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</si>
  <si>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</si>
  <si>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</si>
  <si>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</si>
  <si>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</si>
  <si>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</si>
  <si>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</si>
  <si>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</si>
  <si>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</si>
  <si>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</si>
  <si>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</si>
  <si>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</si>
  <si>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</si>
  <si>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</si>
  <si>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</si>
  <si>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</si>
  <si>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</si>
  <si>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</si>
  <si>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</si>
  <si>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</si>
  <si>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</si>
  <si>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</si>
  <si>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</si>
  <si>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</si>
  <si>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</si>
  <si>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</si>
  <si>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</si>
  <si>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</si>
  <si>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</si>
  <si>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</si>
  <si>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</si>
  <si>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</si>
  <si>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</si>
  <si>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</si>
  <si>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</si>
  <si>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</si>
  <si>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</si>
  <si>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</si>
  <si>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</si>
  <si>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</si>
  <si>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</si>
  <si>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</si>
  <si>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</si>
  <si>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</si>
  <si>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</si>
  <si>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</si>
  <si>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</si>
  <si>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</si>
  <si>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</si>
  <si>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</si>
  <si>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</si>
  <si>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</si>
  <si>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</si>
  <si>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</si>
  <si>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</si>
  <si>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</si>
  <si>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</si>
  <si>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</si>
  <si>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</si>
  <si>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</si>
  <si>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</si>
  <si>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</si>
  <si>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</si>
  <si>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</si>
  <si>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</si>
  <si>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</si>
  <si>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</si>
  <si>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</si>
  <si>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</si>
  <si>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</si>
  <si>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</si>
  <si>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</si>
  <si>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</si>
  <si>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</si>
  <si>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</si>
  <si>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</si>
  <si>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</si>
  <si>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</si>
  <si>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</si>
  <si>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</si>
  <si>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</si>
  <si>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</si>
  <si>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</si>
  <si>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</si>
  <si>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</si>
  <si>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</si>
  <si>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</si>
  <si>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</si>
  <si>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</si>
  <si>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</si>
  <si>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</si>
  <si>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</si>
  <si>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</si>
  <si>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</si>
  <si>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</si>
  <si>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</si>
  <si>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</si>
  <si>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</si>
  <si>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</si>
  <si>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</si>
  <si>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</si>
  <si>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</si>
  <si>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</si>
  <si>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</si>
  <si>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</si>
  <si>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</si>
  <si>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</si>
  <si>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</si>
  <si>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</si>
  <si>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</si>
  <si>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</si>
  <si>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</si>
  <si>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</si>
  <si>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</si>
  <si>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</si>
  <si>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</si>
  <si>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</si>
  <si>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</si>
  <si>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</si>
  <si>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</si>
  <si>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</si>
  <si>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</si>
  <si>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</si>
  <si>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</si>
  <si>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</si>
  <si>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</si>
  <si>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</si>
  <si>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</si>
  <si>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</si>
  <si>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</si>
  <si>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</si>
  <si>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</si>
  <si>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</si>
  <si>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</si>
  <si>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</si>
  <si>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</si>
  <si>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</si>
  <si>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</si>
  <si>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</si>
  <si>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</si>
  <si>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</si>
  <si>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</si>
  <si>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</si>
  <si>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</si>
  <si>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</si>
  <si>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</si>
  <si>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</si>
  <si>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</si>
  <si>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</si>
  <si>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</si>
  <si>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</si>
  <si>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</si>
  <si>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</si>
  <si>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</si>
  <si>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</si>
  <si>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</si>
  <si>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</si>
  <si>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</si>
  <si>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</si>
  <si>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</si>
  <si>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</si>
  <si>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</si>
  <si>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</si>
  <si>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</si>
  <si>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</si>
  <si>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</si>
  <si>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</si>
  <si>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</si>
  <si>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</si>
  <si>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</si>
  <si>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</si>
  <si>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</si>
  <si>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</si>
  <si>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</si>
  <si>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</si>
  <si>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</si>
  <si>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</si>
  <si>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</si>
  <si>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</si>
  <si>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</si>
  <si>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</si>
  <si>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</si>
  <si>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</si>
  <si>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</si>
  <si>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</si>
  <si>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</si>
  <si>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</si>
  <si>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</si>
  <si>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</si>
  <si>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</si>
  <si>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</si>
  <si>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</si>
  <si>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</si>
  <si>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</si>
  <si>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</si>
  <si>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</si>
  <si>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</si>
  <si>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</si>
  <si>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</si>
  <si>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</si>
  <si>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</si>
  <si>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</si>
  <si>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</si>
  <si>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</si>
  <si>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</si>
  <si>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</si>
  <si>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</si>
  <si>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</si>
  <si>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</si>
  <si>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</si>
  <si>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</si>
  <si>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</si>
  <si>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</si>
  <si>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</si>
  <si>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</si>
  <si>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</si>
  <si>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</si>
  <si>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</si>
  <si>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</si>
  <si>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</si>
  <si>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</si>
  <si>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</si>
  <si>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</si>
  <si>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</si>
  <si>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</si>
  <si>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</si>
  <si>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</si>
  <si>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</si>
  <si>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</si>
  <si>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</si>
  <si>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</si>
  <si>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</si>
  <si>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</si>
  <si>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</si>
  <si>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</si>
  <si>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</si>
  <si>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</si>
  <si>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</si>
  <si>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</si>
  <si>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</si>
  <si>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</si>
  <si>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</si>
  <si>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</si>
  <si>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</si>
  <si>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</si>
  <si>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</si>
  <si>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</si>
  <si>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</si>
  <si>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</si>
  <si>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</si>
  <si>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</si>
  <si>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</si>
  <si>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</si>
  <si>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</si>
  <si>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</si>
  <si>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</si>
  <si>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</si>
  <si>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</si>
  <si>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</si>
  <si>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</si>
  <si>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</si>
  <si>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</si>
  <si>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</si>
  <si>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</si>
  <si>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</si>
  <si>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</si>
  <si>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</si>
  <si>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</si>
  <si>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</si>
  <si>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</si>
  <si>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</si>
  <si>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</si>
  <si>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</si>
  <si>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</si>
  <si>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</si>
  <si>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</si>
  <si>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</si>
  <si>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</si>
  <si>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</si>
  <si>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</si>
  <si>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</si>
  <si>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</si>
  <si>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</si>
  <si>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</si>
  <si>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</si>
  <si>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</si>
  <si>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</si>
  <si>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</si>
  <si>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</si>
  <si>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</si>
  <si>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</si>
  <si>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</si>
  <si>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</si>
  <si>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</si>
  <si>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</si>
  <si>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</si>
  <si>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</si>
  <si>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</si>
  <si>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</si>
  <si>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</si>
  <si>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</si>
  <si>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</si>
  <si>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</si>
  <si>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</si>
  <si>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</si>
  <si>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</si>
  <si>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</si>
  <si>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</si>
  <si>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</si>
  <si>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</si>
  <si>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</si>
  <si>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</si>
  <si>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</si>
  <si>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</si>
  <si>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</si>
  <si>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</si>
  <si>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</si>
  <si>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</si>
  <si>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</si>
  <si>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</si>
  <si>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</si>
  <si>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</si>
  <si>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</si>
  <si>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</si>
  <si>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</si>
  <si>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</si>
  <si>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</si>
  <si>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</si>
  <si>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</si>
  <si>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</si>
  <si>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</si>
  <si>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</si>
  <si>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</si>
  <si>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</si>
  <si>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</si>
  <si>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</si>
  <si>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</si>
  <si>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</si>
  <si>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</si>
  <si>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</si>
  <si>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</si>
  <si>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</si>
  <si>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</si>
  <si>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</si>
  <si>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</si>
  <si>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</si>
  <si>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</si>
  <si>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</si>
  <si>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</si>
  <si>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</si>
  <si>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</si>
  <si>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</si>
  <si>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</si>
  <si>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</si>
  <si>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</si>
  <si>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</si>
  <si>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</si>
  <si>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</si>
  <si>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</si>
  <si>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</si>
  <si>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</si>
  <si>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</si>
  <si>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</si>
  <si>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</si>
  <si>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</si>
  <si>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</si>
  <si>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</si>
  <si>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</si>
  <si>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</si>
  <si>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</si>
  <si>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</si>
  <si>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</si>
  <si>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</si>
  <si>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</si>
  <si>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</si>
  <si>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</si>
  <si>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</si>
  <si>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</si>
  <si>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</si>
  <si>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</si>
  <si>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</si>
  <si>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</si>
  <si>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</si>
  <si>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</si>
  <si>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</si>
  <si>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</si>
  <si>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</si>
  <si>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</si>
  <si>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</si>
  <si>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</si>
  <si>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</si>
  <si>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</si>
  <si>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</si>
  <si>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</si>
  <si>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</si>
  <si>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</si>
  <si>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</si>
  <si>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</si>
  <si>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</si>
  <si>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</si>
  <si>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</si>
  <si>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</si>
  <si>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</si>
  <si>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</si>
  <si>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</si>
  <si>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</si>
  <si>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</si>
  <si>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</si>
  <si>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</si>
  <si>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</si>
  <si>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</si>
  <si>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</si>
  <si>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</si>
  <si>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</si>
  <si>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</si>
  <si>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</si>
  <si>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</si>
  <si>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</si>
  <si>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</si>
  <si>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</si>
  <si>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</si>
  <si>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</si>
  <si>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</si>
  <si>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</si>
  <si>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</si>
  <si>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</si>
  <si>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</si>
  <si>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</si>
  <si>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</si>
  <si>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</si>
  <si>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</si>
  <si>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</si>
  <si>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</si>
  <si>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</si>
  <si>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</si>
  <si>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</si>
  <si>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</si>
  <si>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</si>
  <si>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</si>
  <si>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</si>
  <si>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</si>
  <si>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</si>
  <si>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</si>
  <si>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</si>
  <si>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</si>
  <si>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</si>
  <si>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</si>
  <si>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</si>
  <si>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</si>
  <si>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</si>
  <si>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</si>
  <si>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</si>
  <si>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</si>
  <si>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</si>
  <si>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</si>
  <si>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</si>
  <si>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</si>
  <si>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</si>
  <si>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</si>
  <si>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</si>
  <si>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</si>
  <si>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</si>
  <si>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</si>
  <si>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</si>
  <si>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</si>
  <si>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</si>
  <si>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</si>
  <si>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</si>
  <si>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</si>
  <si>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</si>
  <si>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</si>
  <si>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</si>
  <si>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</si>
  <si>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</si>
  <si>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</si>
  <si>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</si>
  <si>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</si>
  <si>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</si>
  <si>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</si>
  <si>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</si>
  <si>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</si>
  <si>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</si>
  <si>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</si>
  <si>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</si>
  <si>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</si>
  <si>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</si>
  <si>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</si>
  <si>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</si>
  <si>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</si>
  <si>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</si>
  <si>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</si>
  <si>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</si>
  <si>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</si>
  <si>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</si>
  <si>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</si>
  <si>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</si>
  <si>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</si>
  <si>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</si>
  <si>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</si>
  <si>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</si>
  <si>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</si>
  <si>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</si>
  <si>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</si>
  <si>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</si>
  <si>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</si>
  <si>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</si>
  <si>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</si>
  <si>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</si>
  <si>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</si>
  <si>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</si>
  <si>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</si>
  <si>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</si>
  <si>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</si>
  <si>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</si>
  <si>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</si>
  <si>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</si>
  <si>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</si>
  <si>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</si>
  <si>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</si>
  <si>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</si>
  <si>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</si>
  <si>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</si>
  <si>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</si>
  <si>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</si>
  <si>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</si>
  <si>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</si>
  <si>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</si>
  <si>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</si>
  <si>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</si>
  <si>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</si>
  <si>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</si>
  <si>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</si>
  <si>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</si>
  <si>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</si>
  <si>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</si>
  <si>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</si>
  <si>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</si>
  <si>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</si>
  <si>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</si>
  <si>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</si>
  <si>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</si>
  <si>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</si>
  <si>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</si>
  <si>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</si>
  <si>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</si>
  <si>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</si>
  <si>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</si>
  <si>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</si>
  <si>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</si>
  <si>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</si>
  <si>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</si>
  <si>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</si>
  <si>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</si>
  <si>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</si>
  <si>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</si>
  <si>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</si>
  <si>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</si>
  <si>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</si>
  <si>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</si>
  <si>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</si>
  <si>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</si>
  <si>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</si>
  <si>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</si>
  <si>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</si>
  <si>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</si>
  <si>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</si>
  <si>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</si>
  <si>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</si>
  <si>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</si>
  <si>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</si>
  <si>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</si>
  <si>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</si>
  <si>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</si>
  <si>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</si>
  <si>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</si>
  <si>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</si>
  <si>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</si>
  <si>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</si>
  <si>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</si>
  <si>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</si>
  <si>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</si>
  <si>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</si>
  <si>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</si>
  <si>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</si>
  <si>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</si>
  <si>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</si>
  <si>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</si>
  <si>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</si>
  <si>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</si>
  <si>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</si>
  <si>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</si>
  <si>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</si>
  <si>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</si>
  <si>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</si>
  <si>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</si>
  <si>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</si>
  <si>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</si>
  <si>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</si>
  <si>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</si>
  <si>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</si>
  <si>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</si>
  <si>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</si>
  <si>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</si>
  <si>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</si>
  <si>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</si>
  <si>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</si>
  <si>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</si>
  <si>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</si>
  <si>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</si>
  <si>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</si>
  <si>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</si>
  <si>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</si>
  <si>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</si>
  <si>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</si>
  <si>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</si>
  <si>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</si>
  <si>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</si>
  <si>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</si>
  <si>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</si>
  <si>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</si>
  <si>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</si>
  <si>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</si>
  <si>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</si>
  <si>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</si>
  <si>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</si>
  <si>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</si>
  <si>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</si>
  <si>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</si>
  <si>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</si>
  <si>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</si>
  <si>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</si>
  <si>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</si>
  <si>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</si>
  <si>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</si>
  <si>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</si>
  <si>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</si>
  <si>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</si>
  <si>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</si>
  <si>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</si>
  <si>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</si>
  <si>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</si>
  <si>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</si>
  <si>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</si>
  <si>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</si>
  <si>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</si>
  <si>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</si>
  <si>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</si>
  <si>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</si>
  <si>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</si>
  <si>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</si>
  <si>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</si>
  <si>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</si>
  <si>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</si>
  <si>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</si>
  <si>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</si>
  <si>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</si>
  <si>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</si>
  <si>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</si>
  <si>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</si>
  <si>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</si>
  <si>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</si>
  <si>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</si>
  <si>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</si>
  <si>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</si>
  <si>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</si>
  <si>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</si>
  <si>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</si>
  <si>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</si>
  <si>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</si>
  <si>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</si>
  <si>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</si>
  <si>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</si>
  <si>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</si>
  <si>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</si>
  <si>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</si>
  <si>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</si>
  <si>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</si>
  <si>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</si>
  <si>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</si>
  <si>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</si>
  <si>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</si>
  <si>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</si>
  <si>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</si>
  <si>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</si>
  <si>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</si>
  <si>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</si>
  <si>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</si>
  <si>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</si>
  <si>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</si>
  <si>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</si>
  <si>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</si>
  <si>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</si>
  <si>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</si>
  <si>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</si>
  <si>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</si>
  <si>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</si>
  <si>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</si>
  <si>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</si>
  <si>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</si>
  <si>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</si>
  <si>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</si>
  <si>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</si>
  <si>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</si>
  <si>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</si>
  <si>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</si>
  <si>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</si>
  <si>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</si>
  <si>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</si>
  <si>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</si>
  <si>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</si>
  <si>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</si>
  <si>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</si>
  <si>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</si>
  <si>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</si>
  <si>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</si>
  <si>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</si>
  <si>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</si>
  <si>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</si>
  <si>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</si>
  <si>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</si>
  <si>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</si>
  <si>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</si>
  <si>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</si>
  <si>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</si>
  <si>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</si>
  <si>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</si>
  <si>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</si>
  <si>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</si>
  <si>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</si>
  <si>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</si>
  <si>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</si>
  <si>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</si>
  <si>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</si>
  <si>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</si>
  <si>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</si>
  <si>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</si>
  <si>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</si>
  <si>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</si>
  <si>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</si>
  <si>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</si>
  <si>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</si>
  <si>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</si>
  <si>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</si>
  <si>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</si>
  <si>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</si>
  <si>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</si>
  <si>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</si>
  <si>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</si>
  <si>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</si>
  <si>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</si>
  <si>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</si>
  <si>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</si>
  <si>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</si>
  <si>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</si>
  <si>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</si>
  <si>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</si>
  <si>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</si>
  <si>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</si>
  <si>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</si>
  <si>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</si>
  <si>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</si>
  <si>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</si>
  <si>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</si>
  <si>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</si>
  <si>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</si>
  <si>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</si>
  <si>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</si>
  <si>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</si>
  <si>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</si>
  <si>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</si>
  <si>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</si>
  <si>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</si>
  <si>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</si>
  <si>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</si>
  <si>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</si>
  <si>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</si>
  <si>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</si>
  <si>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</si>
  <si>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</si>
  <si>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</si>
  <si>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</si>
  <si>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</si>
  <si>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</si>
  <si>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</si>
  <si>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</si>
  <si>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</si>
  <si>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</si>
  <si>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</si>
  <si>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</si>
  <si>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</si>
  <si>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</si>
  <si>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</si>
  <si>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</si>
  <si>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</si>
  <si>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</si>
  <si>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</si>
  <si>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</si>
  <si>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</si>
  <si>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</si>
  <si>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</si>
  <si>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</si>
  <si>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</si>
  <si>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</si>
  <si>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</si>
  <si>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</si>
  <si>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</si>
  <si>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</si>
  <si>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</si>
  <si>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</si>
  <si>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</si>
  <si>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</si>
  <si>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</si>
  <si>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</si>
  <si>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</si>
  <si>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</si>
  <si>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</si>
  <si>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</si>
  <si>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</si>
  <si>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</si>
  <si>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</si>
  <si>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</si>
  <si>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</si>
  <si>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</si>
  <si>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</si>
  <si>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</si>
  <si>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</si>
  <si>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</si>
  <si>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</si>
  <si>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</si>
  <si>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</si>
  <si>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</si>
  <si>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</si>
  <si>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</si>
  <si>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</si>
  <si>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</si>
  <si>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</si>
  <si>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</si>
  <si>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</si>
  <si>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</si>
  <si>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</si>
  <si>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</si>
  <si>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</si>
  <si>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</si>
  <si>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</si>
  <si>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</si>
  <si>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</si>
  <si>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</si>
  <si>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</si>
  <si>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</si>
  <si>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</si>
  <si>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</si>
  <si>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</si>
  <si>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</si>
  <si>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</si>
  <si>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</si>
  <si>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</si>
  <si>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</si>
  <si>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</si>
  <si>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</si>
  <si>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</si>
  <si>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</si>
  <si>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</si>
  <si>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</si>
  <si>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</si>
  <si>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</si>
  <si>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</si>
  <si>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</si>
  <si>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</si>
  <si>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</si>
  <si>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</si>
  <si>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</si>
  <si>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</si>
  <si>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</si>
  <si>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</si>
  <si>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</si>
  <si>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</si>
  <si>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</si>
  <si>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</si>
  <si>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</si>
  <si>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</si>
  <si>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</si>
  <si>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</si>
  <si>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</si>
  <si>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</si>
  <si>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</si>
  <si>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</si>
  <si>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</si>
  <si>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</si>
  <si>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</si>
  <si>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</si>
  <si>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</si>
  <si>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</si>
  <si>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</si>
  <si>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</si>
  <si>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</si>
  <si>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</si>
  <si>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</si>
  <si>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</si>
  <si>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</si>
  <si>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</si>
  <si>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</si>
  <si>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</si>
  <si>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</si>
  <si>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</si>
  <si>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</si>
  <si>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</si>
  <si>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</si>
  <si>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</si>
  <si>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</si>
  <si>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</si>
  <si>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</si>
  <si>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</si>
  <si>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</si>
  <si>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</si>
  <si>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</si>
  <si>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</si>
  <si>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</si>
  <si>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</si>
  <si>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</si>
  <si>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</si>
  <si>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</si>
  <si>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</si>
  <si>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</si>
  <si>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</si>
  <si>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</si>
  <si>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</si>
  <si>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</si>
  <si>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</si>
  <si>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</si>
  <si>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</si>
  <si>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</si>
  <si>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</si>
  <si>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</si>
  <si>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</si>
  <si>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</si>
  <si>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</si>
  <si>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</si>
  <si>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</si>
  <si>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</si>
  <si>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</si>
  <si>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</si>
  <si>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</si>
  <si>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</si>
  <si>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</si>
  <si>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</si>
  <si>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</si>
  <si>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</si>
  <si>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</si>
  <si>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</si>
  <si>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</si>
  <si>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</si>
  <si>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</si>
  <si>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</si>
  <si>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</si>
  <si>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</si>
  <si>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</si>
  <si>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</si>
  <si>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</si>
  <si>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</si>
  <si>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</si>
  <si>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</si>
  <si>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</si>
  <si>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</si>
  <si>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</si>
  <si>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</si>
  <si>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</si>
  <si>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</si>
  <si>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</si>
  <si>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</si>
  <si>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</si>
  <si>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</si>
  <si>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</si>
  <si>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</si>
  <si>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</si>
  <si>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</si>
  <si>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</si>
  <si>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</si>
  <si>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</si>
  <si>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</si>
  <si>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</si>
  <si>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</si>
  <si>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</si>
  <si>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</si>
  <si>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</si>
  <si>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</si>
  <si>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</si>
  <si>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</si>
  <si>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</si>
  <si>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</si>
  <si>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</si>
  <si>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</si>
  <si>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</si>
  <si>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</si>
  <si>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</si>
  <si>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</si>
  <si>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</si>
  <si>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</si>
  <si>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</si>
  <si>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</si>
  <si>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</si>
  <si>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</si>
  <si>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</si>
  <si>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</si>
  <si>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</si>
  <si>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</si>
  <si>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</si>
  <si>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</si>
  <si>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</si>
  <si>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</si>
  <si>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</si>
  <si>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</si>
  <si>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</si>
  <si>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</si>
  <si>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</si>
  <si>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</si>
  <si>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</si>
  <si>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</si>
  <si>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</si>
  <si>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</si>
  <si>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</si>
  <si>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</si>
  <si>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</si>
  <si>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</si>
  <si>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</si>
  <si>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</si>
  <si>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</si>
  <si>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</si>
  <si>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</si>
  <si>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</si>
  <si>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</si>
  <si>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</si>
  <si>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</si>
  <si>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</si>
  <si>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</si>
  <si>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</si>
  <si>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</si>
  <si>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</si>
  <si>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</si>
  <si>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</si>
  <si>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</si>
  <si>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</si>
  <si>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</si>
  <si>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</si>
  <si>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</si>
  <si>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</si>
  <si>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</si>
  <si>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</si>
  <si>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</si>
  <si>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</si>
  <si>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</si>
  <si>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</si>
  <si>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</si>
  <si>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</si>
  <si>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</si>
  <si>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</si>
  <si>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</si>
  <si>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</si>
  <si>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</si>
  <si>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</si>
  <si>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</si>
  <si>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</si>
  <si>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</si>
  <si>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</si>
  <si>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</si>
  <si>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</si>
  <si>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</si>
  <si>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</si>
  <si>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</si>
  <si>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</si>
  <si>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</si>
  <si>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</si>
  <si>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</si>
  <si>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</si>
  <si>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</si>
  <si>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</si>
  <si>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</si>
  <si>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</si>
  <si>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</si>
  <si>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</si>
  <si>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</si>
  <si>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</si>
  <si>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</si>
  <si>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</si>
  <si>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</si>
  <si>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</si>
  <si>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</si>
  <si>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</si>
  <si>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</si>
  <si>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</si>
  <si>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</si>
  <si>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</si>
  <si>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</si>
  <si>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</si>
  <si>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</si>
  <si>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</si>
  <si>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</si>
  <si>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</si>
  <si>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</si>
  <si>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</si>
  <si>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</si>
  <si>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</si>
  <si>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</si>
  <si>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</si>
  <si>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</si>
  <si>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</si>
  <si>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</si>
  <si>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</si>
  <si>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</si>
  <si>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</si>
  <si>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</si>
  <si>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</si>
  <si>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</si>
  <si>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</si>
  <si>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</si>
  <si>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</si>
  <si>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</si>
  <si>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</si>
  <si>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</si>
  <si>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</si>
  <si>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</si>
  <si>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</si>
  <si>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</si>
  <si>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</si>
  <si>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</si>
  <si>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</si>
  <si>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</si>
  <si>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</si>
  <si>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</si>
  <si>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</si>
  <si>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</si>
  <si>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</si>
  <si>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</si>
  <si>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</si>
  <si>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</si>
  <si>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</si>
  <si>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</si>
  <si>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</si>
  <si>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</si>
  <si>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</si>
  <si>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</si>
  <si>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</si>
  <si>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</si>
  <si>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</si>
  <si>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</si>
  <si>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</si>
  <si>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</si>
  <si>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</si>
  <si>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</si>
  <si>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</si>
  <si>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</si>
  <si>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</si>
  <si>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</si>
  <si>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</si>
  <si>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</si>
  <si>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</si>
  <si>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</si>
  <si>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</si>
  <si>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</si>
  <si>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</si>
  <si>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</si>
  <si>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</si>
  <si>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</si>
  <si>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</si>
  <si>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</si>
  <si>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</si>
  <si>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</si>
  <si>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</si>
  <si>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</si>
  <si>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</si>
  <si>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</si>
  <si>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</si>
  <si>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</si>
  <si>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</si>
  <si>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</si>
  <si>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</si>
  <si>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</si>
  <si>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</si>
  <si>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</si>
  <si>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</si>
  <si>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</si>
  <si>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</si>
  <si>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</si>
  <si>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</si>
  <si>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</si>
  <si>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</si>
  <si>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</si>
  <si>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</si>
  <si>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</si>
  <si>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</si>
  <si>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</si>
  <si>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</si>
  <si>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</si>
  <si>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</si>
  <si>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</si>
  <si>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</si>
  <si>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</si>
  <si>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</si>
  <si>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</si>
  <si>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</si>
  <si>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</si>
  <si>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</si>
  <si>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</si>
  <si>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</si>
  <si>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</si>
  <si>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</si>
  <si>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</si>
  <si>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</si>
  <si>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</si>
  <si>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</si>
  <si>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</si>
  <si>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</si>
  <si>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</si>
  <si>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</si>
  <si>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</si>
  <si>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</si>
  <si>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</si>
  <si>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</si>
  <si>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</si>
  <si>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</si>
  <si>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</si>
  <si>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</si>
  <si>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</si>
  <si>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</si>
  <si>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</si>
  <si>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</si>
  <si>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</si>
  <si>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</si>
  <si>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</si>
  <si>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</si>
  <si>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</si>
  <si>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</si>
  <si>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</si>
  <si>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</si>
  <si>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</si>
  <si>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</si>
  <si>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</si>
  <si>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</si>
  <si>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</si>
  <si>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</si>
  <si>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</si>
  <si>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</si>
  <si>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</si>
  <si>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</si>
  <si>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</si>
  <si>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</si>
  <si>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</si>
  <si>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</si>
  <si>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</si>
  <si>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</si>
  <si>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</si>
  <si>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</si>
  <si>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</si>
  <si>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</si>
  <si>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</si>
  <si>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</si>
  <si>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</si>
  <si>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</si>
  <si>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</si>
  <si>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</si>
  <si>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</si>
  <si>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</si>
  <si>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</si>
  <si>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</si>
  <si>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</si>
  <si>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</si>
  <si>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</si>
  <si>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</si>
  <si>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</si>
  <si>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</si>
  <si>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</si>
  <si>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</si>
  <si>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</si>
  <si>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</si>
  <si>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</si>
  <si>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</si>
  <si>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</si>
  <si>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</si>
  <si>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</si>
  <si>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</si>
  <si>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</si>
  <si>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</si>
  <si>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</si>
  <si>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</si>
  <si>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</si>
  <si>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</si>
  <si>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</si>
  <si>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</si>
  <si>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</si>
  <si>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</si>
  <si>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</si>
  <si>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</si>
  <si>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</si>
  <si>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</si>
  <si>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</si>
  <si>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</si>
  <si>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</si>
  <si>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</si>
  <si>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</si>
  <si>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</si>
  <si>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</si>
  <si>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</si>
  <si>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</si>
  <si>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</si>
  <si>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</si>
  <si>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</si>
  <si>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</si>
  <si>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</si>
  <si>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</si>
  <si>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</si>
  <si>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</si>
  <si>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</si>
  <si>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</si>
  <si>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</si>
  <si>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</si>
  <si>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</si>
  <si>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</si>
  <si>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</si>
  <si>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</si>
  <si>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</si>
  <si>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</si>
  <si>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</si>
  <si>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</si>
  <si>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</si>
  <si>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</si>
  <si>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</si>
  <si>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</si>
  <si>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</si>
  <si>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</si>
  <si>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</si>
  <si>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</si>
  <si>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</si>
  <si>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</si>
  <si>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</si>
  <si>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</si>
  <si>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</si>
  <si>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</si>
  <si>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</si>
  <si>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</si>
  <si>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</si>
  <si>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</si>
  <si>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</si>
  <si>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</si>
  <si>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</si>
  <si>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</si>
  <si>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</si>
  <si>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</si>
  <si>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</si>
  <si>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</si>
  <si>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</si>
  <si>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</si>
  <si>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</si>
  <si>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</si>
  <si>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</si>
  <si>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</si>
  <si>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</si>
  <si>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</si>
  <si>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</si>
  <si>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</si>
  <si>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</si>
  <si>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</si>
  <si>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</si>
  <si>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</si>
  <si>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</si>
  <si>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</si>
  <si>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</si>
  <si>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</si>
  <si>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</si>
  <si>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</si>
  <si>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</si>
  <si>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</si>
  <si>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</si>
  <si>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</si>
  <si>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</si>
  <si>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</si>
  <si>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</si>
  <si>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</si>
  <si>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</si>
  <si>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</si>
  <si>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</si>
  <si>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</si>
  <si>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</si>
  <si>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</si>
  <si>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</si>
  <si>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</si>
  <si>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</si>
  <si>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</si>
  <si>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</si>
  <si>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</si>
  <si>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</si>
  <si>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</si>
  <si>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</si>
  <si>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</si>
  <si>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</si>
  <si>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</si>
  <si>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</si>
  <si>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</si>
  <si>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</si>
  <si>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</si>
  <si>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</si>
  <si>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</si>
  <si>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</si>
  <si>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</si>
  <si>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</si>
  <si>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</si>
  <si>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</si>
  <si>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</si>
  <si>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</si>
  <si>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</si>
  <si>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</si>
  <si>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</si>
  <si>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</si>
  <si>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</si>
  <si>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</si>
  <si>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</si>
  <si>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</si>
  <si>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</si>
  <si>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</si>
  <si>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</si>
  <si>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</si>
  <si>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</si>
  <si>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</si>
  <si>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</si>
  <si>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</si>
  <si>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</si>
  <si>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</si>
  <si>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</si>
  <si>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</si>
  <si>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</si>
  <si>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</si>
  <si>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</si>
  <si>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</si>
  <si>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</si>
  <si>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</si>
  <si>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</si>
  <si>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</si>
  <si>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</si>
  <si>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</si>
  <si>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</si>
  <si>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</si>
  <si>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</si>
  <si>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</si>
  <si>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</si>
  <si>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</si>
  <si>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</si>
  <si>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</si>
  <si>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</si>
  <si>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</si>
  <si>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</si>
  <si>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</si>
  <si>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</si>
  <si>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</si>
  <si>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</si>
  <si>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</si>
  <si>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</si>
  <si>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</si>
  <si>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</si>
  <si>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</si>
  <si>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</si>
  <si>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</si>
  <si>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</si>
  <si>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</si>
  <si>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</si>
  <si>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</si>
  <si>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</si>
  <si>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</si>
  <si>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</si>
  <si>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</si>
  <si>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</si>
  <si>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</si>
  <si>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</si>
  <si>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</si>
  <si>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</si>
  <si>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</si>
  <si>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</si>
  <si>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</si>
  <si>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</si>
  <si>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</si>
  <si>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</si>
  <si>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</si>
  <si>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</si>
  <si>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</si>
  <si>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</si>
  <si>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</si>
  <si>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</si>
  <si>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</si>
  <si>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</si>
  <si>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</si>
  <si>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</si>
  <si>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</si>
  <si>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</si>
  <si>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</si>
  <si>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</si>
  <si>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</si>
  <si>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</si>
  <si>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</si>
  <si>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</si>
  <si>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</si>
  <si>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</si>
  <si>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</si>
  <si>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</si>
  <si>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</si>
  <si>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</si>
  <si>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</si>
  <si>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</si>
  <si>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</si>
  <si>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</si>
  <si>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</si>
  <si>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</si>
  <si>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</si>
  <si>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</si>
  <si>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</si>
  <si>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</si>
  <si>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</si>
  <si>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</si>
  <si>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</si>
  <si>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</si>
  <si>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</si>
  <si>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</si>
  <si>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</si>
  <si>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</si>
  <si>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</si>
  <si>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</si>
  <si>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</si>
  <si>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</si>
  <si>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</si>
  <si>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</si>
  <si>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</si>
  <si>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</si>
  <si>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</si>
  <si>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</si>
  <si>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</si>
  <si>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</si>
  <si>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</si>
  <si>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</si>
  <si>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</si>
  <si>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</si>
  <si>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</si>
  <si>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</si>
  <si>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</si>
  <si>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</si>
  <si>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</si>
  <si>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</si>
  <si>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</si>
  <si>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</si>
  <si>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</si>
  <si>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</si>
  <si>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</si>
  <si>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</si>
  <si>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</si>
  <si>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</si>
  <si>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</si>
  <si>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</si>
  <si>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</si>
  <si>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</si>
  <si>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</si>
  <si>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</si>
  <si>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</si>
  <si>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</si>
  <si>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</si>
  <si>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</si>
  <si>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</si>
  <si>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</si>
  <si>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</si>
  <si>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</si>
  <si>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</si>
  <si>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</si>
  <si>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</si>
  <si>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</si>
  <si>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</si>
  <si>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</si>
  <si>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</si>
  <si>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</si>
  <si>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</si>
  <si>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</si>
  <si>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</si>
  <si>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</si>
  <si>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</si>
  <si>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</si>
  <si>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</si>
  <si>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</si>
  <si>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</si>
  <si>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</si>
  <si>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</si>
  <si>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</si>
  <si>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</si>
  <si>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</si>
  <si>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</si>
  <si>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</si>
  <si>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</si>
  <si>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</si>
  <si>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</si>
  <si>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</si>
  <si>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</si>
  <si>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</si>
  <si>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</si>
  <si>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</si>
  <si>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</si>
  <si>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</si>
  <si>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</si>
  <si>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</si>
  <si>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</si>
  <si>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</si>
  <si>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</si>
  <si>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</si>
  <si>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</si>
  <si>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</si>
  <si>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</si>
  <si>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</si>
  <si>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</si>
  <si>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</si>
  <si>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</si>
  <si>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</si>
  <si>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</si>
  <si>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</si>
  <si>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</si>
  <si>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</si>
  <si>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</si>
  <si>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</si>
  <si>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</si>
  <si>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</si>
  <si>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</si>
  <si>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</si>
  <si>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</si>
  <si>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</si>
  <si>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</si>
  <si>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</si>
  <si>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</si>
  <si>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</si>
  <si>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</si>
  <si>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</si>
  <si>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</si>
  <si>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</si>
  <si>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</si>
  <si>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</si>
  <si>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</si>
  <si>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</si>
  <si>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</si>
  <si>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</si>
  <si>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</si>
  <si>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</si>
  <si>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</si>
  <si>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</si>
  <si>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</si>
  <si>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</si>
  <si>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</si>
  <si>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</si>
  <si>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</si>
  <si>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</si>
  <si>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</si>
  <si>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</si>
  <si>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</si>
  <si>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</si>
  <si>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</si>
  <si>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</si>
  <si>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</si>
  <si>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</si>
  <si>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</si>
  <si>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</si>
  <si>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</si>
  <si>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</si>
  <si>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</si>
  <si>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</si>
  <si>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</si>
  <si>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</si>
  <si>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</si>
  <si>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</si>
  <si>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</si>
  <si>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</si>
  <si>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</si>
  <si>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</si>
  <si>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</si>
  <si>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</si>
  <si>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</si>
  <si>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</si>
  <si>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</si>
  <si>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</si>
  <si>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</si>
  <si>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</si>
  <si>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</si>
  <si>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</si>
  <si>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</si>
  <si>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</si>
  <si>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</si>
  <si>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</si>
  <si>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</si>
  <si>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</si>
  <si>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</si>
  <si>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</si>
  <si>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</si>
  <si>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</si>
  <si>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</si>
  <si>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</si>
  <si>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</si>
  <si>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</si>
  <si>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</si>
  <si>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</si>
  <si>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</si>
  <si>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</si>
  <si>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</si>
  <si>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</si>
  <si>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</si>
  <si>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</si>
  <si>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</si>
  <si>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</si>
  <si>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</si>
  <si>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</si>
  <si>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</si>
  <si>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</si>
  <si>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</si>
  <si>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</si>
  <si>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</si>
  <si>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</si>
  <si>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</si>
  <si>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</si>
  <si>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</si>
  <si>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</si>
  <si>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</si>
  <si>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</si>
  <si>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</si>
  <si>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</si>
  <si>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</si>
  <si>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</si>
  <si>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</si>
  <si>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</si>
  <si>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</si>
  <si>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</si>
  <si>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</si>
  <si>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</si>
  <si>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</si>
  <si>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</si>
  <si>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</si>
  <si>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</si>
  <si>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</si>
  <si>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</si>
  <si>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</si>
  <si>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</si>
  <si>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</si>
  <si>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</si>
  <si>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</si>
  <si>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</si>
  <si>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</si>
  <si>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</si>
  <si>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</si>
  <si>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</si>
  <si>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</si>
  <si>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</si>
  <si>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</si>
  <si>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</si>
  <si>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</si>
  <si>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</si>
  <si>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</si>
  <si>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</si>
  <si>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</si>
  <si>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</si>
  <si>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</si>
  <si>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</si>
  <si>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</si>
  <si>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</si>
  <si>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</si>
  <si>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</si>
  <si>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</si>
  <si>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</si>
  <si>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</si>
  <si>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</si>
  <si>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</si>
  <si>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</si>
  <si>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</si>
  <si>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</si>
  <si>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</si>
  <si>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</si>
  <si>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</si>
  <si>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</si>
  <si>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</si>
  <si>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</si>
  <si>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</si>
  <si>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</si>
  <si>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</si>
  <si>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</si>
  <si>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</si>
  <si>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</si>
  <si>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</si>
  <si>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</si>
  <si>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</si>
  <si>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</si>
  <si>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</si>
  <si>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</si>
  <si>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</si>
  <si>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</si>
  <si>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</si>
  <si>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</si>
  <si>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</si>
  <si>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</si>
  <si>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</si>
  <si>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</si>
  <si>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</si>
  <si>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</si>
  <si>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</si>
  <si>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</si>
  <si>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</si>
  <si>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</si>
  <si>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</si>
  <si>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</si>
  <si>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</si>
  <si>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</si>
  <si>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</si>
  <si>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</si>
  <si>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</si>
  <si>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</si>
  <si>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</si>
  <si>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</si>
  <si>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</si>
  <si>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</si>
  <si>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</si>
  <si>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</si>
  <si>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</si>
  <si>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</si>
  <si>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</si>
  <si>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</si>
  <si>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</si>
  <si>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</si>
  <si>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</si>
  <si>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</si>
  <si>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</si>
  <si>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</si>
  <si>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</si>
  <si>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</si>
  <si>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</si>
  <si>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</si>
  <si>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</si>
  <si>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</si>
  <si>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</si>
  <si>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</si>
  <si>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</si>
  <si>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</si>
  <si>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</si>
  <si>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</si>
  <si>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</si>
  <si>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</si>
  <si>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</si>
  <si>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</si>
  <si>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</si>
  <si>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</si>
  <si>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</si>
  <si>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</si>
  <si>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</si>
  <si>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</si>
  <si>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</si>
  <si>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</si>
  <si>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</si>
  <si>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</si>
  <si>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</si>
  <si>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</si>
  <si>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</si>
  <si>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</si>
  <si>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</si>
  <si>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</si>
  <si>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</si>
  <si>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</si>
  <si>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</si>
  <si>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</si>
  <si>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</si>
  <si>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</si>
  <si>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</si>
  <si>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</si>
  <si>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</si>
  <si>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</si>
  <si>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</si>
  <si>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</si>
  <si>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</si>
  <si>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</si>
  <si>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</si>
  <si>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</si>
  <si>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</si>
  <si>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</si>
  <si>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</si>
  <si>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</si>
  <si>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</si>
  <si>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</si>
  <si>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</si>
  <si>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</si>
  <si>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</si>
  <si>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</si>
  <si>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</si>
  <si>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</si>
  <si>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</si>
  <si>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</si>
  <si>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</si>
  <si>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</si>
  <si>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</si>
  <si>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</si>
  <si>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</si>
  <si>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</si>
  <si>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</si>
  <si>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</si>
  <si>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</si>
  <si>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</si>
  <si>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</si>
  <si>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</si>
  <si>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</si>
  <si>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</si>
  <si>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</si>
  <si>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</si>
  <si>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</si>
  <si>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</si>
  <si>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</si>
  <si>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</si>
  <si>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</si>
  <si>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</si>
  <si>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</si>
  <si>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</si>
  <si>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</si>
  <si>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</si>
  <si>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</si>
  <si>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</si>
  <si>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</si>
  <si>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</si>
  <si>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</si>
  <si>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</si>
  <si>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</si>
  <si>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</si>
  <si>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</si>
  <si>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</si>
  <si>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</si>
  <si>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</si>
  <si>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</si>
  <si>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</si>
  <si>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</si>
  <si>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</si>
  <si>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</si>
  <si>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</si>
  <si>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</si>
  <si>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</si>
  <si>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</si>
  <si>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</si>
  <si>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</si>
  <si>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</si>
  <si>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</si>
  <si>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</si>
  <si>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</si>
  <si>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</si>
  <si>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</si>
  <si>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</si>
  <si>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</si>
  <si>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</si>
  <si>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</si>
  <si>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</si>
  <si>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</si>
  <si>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</si>
  <si>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</si>
  <si>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</si>
  <si>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</si>
  <si>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</si>
  <si>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</si>
  <si>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</si>
  <si>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</si>
  <si>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</si>
  <si>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</si>
  <si>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</si>
  <si>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</si>
  <si>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</si>
  <si>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</si>
  <si>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</si>
  <si>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</si>
  <si>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</si>
  <si>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</si>
  <si>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</si>
  <si>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</si>
  <si>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</si>
  <si>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</si>
  <si>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</si>
  <si>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</si>
  <si>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</si>
  <si>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</si>
  <si>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</si>
  <si>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</si>
  <si>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</si>
  <si>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</si>
  <si>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</si>
  <si>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</si>
  <si>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</si>
  <si>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</si>
  <si>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</si>
  <si>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</si>
  <si>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</si>
  <si>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</si>
  <si>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</si>
  <si>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</si>
  <si>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</si>
  <si>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</si>
  <si>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</si>
  <si>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</si>
  <si>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</si>
  <si>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</si>
  <si>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</si>
  <si>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</si>
  <si>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</si>
  <si>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</si>
  <si>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</si>
  <si>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</si>
  <si>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</si>
  <si>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</si>
  <si>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</si>
  <si>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</si>
  <si>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</si>
  <si>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</si>
  <si>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</si>
  <si>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</si>
  <si>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</si>
  <si>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</si>
  <si>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</si>
  <si>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</si>
  <si>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</si>
  <si>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</si>
  <si>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</si>
  <si>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</si>
  <si>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</si>
  <si>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</si>
  <si>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</si>
  <si>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</si>
  <si>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</si>
  <si>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</si>
  <si>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</si>
  <si>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</si>
  <si>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</si>
  <si>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</si>
  <si>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</si>
  <si>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</si>
  <si>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</si>
  <si>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</si>
  <si>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</si>
  <si>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</si>
  <si>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</si>
  <si>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</si>
  <si>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</si>
  <si>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</si>
  <si>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</si>
  <si>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</si>
  <si>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</si>
  <si>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</si>
  <si>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</si>
  <si>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</si>
  <si>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</si>
  <si>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</si>
  <si>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</si>
  <si>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</si>
  <si>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</si>
  <si>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</si>
  <si>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</si>
  <si>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</si>
  <si>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</si>
  <si>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</si>
  <si>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</si>
  <si>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</si>
  <si>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</si>
  <si>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</si>
  <si>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</si>
  <si>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</si>
  <si>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</si>
  <si>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</si>
  <si>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</si>
  <si>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</si>
  <si>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</si>
  <si>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</si>
  <si>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</si>
  <si>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</si>
  <si>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</si>
  <si>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</si>
  <si>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</si>
  <si>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</si>
  <si>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</si>
  <si>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</si>
  <si>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</si>
  <si>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</si>
  <si>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</si>
  <si>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</si>
  <si>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</si>
  <si>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</si>
  <si>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</si>
  <si>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</si>
  <si>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</si>
  <si>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</si>
  <si>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</si>
  <si>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</si>
  <si>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</si>
  <si>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</si>
  <si>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</si>
  <si>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</si>
  <si>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</si>
  <si>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</si>
  <si>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</si>
  <si>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</si>
  <si>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</si>
  <si>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</si>
  <si>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</si>
  <si>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</si>
  <si>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</si>
  <si>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</si>
  <si>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</si>
  <si>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</si>
  <si>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</si>
  <si>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</si>
  <si>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</si>
  <si>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</si>
  <si>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</si>
  <si>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</si>
  <si>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</si>
  <si>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</si>
  <si>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</si>
  <si>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</si>
  <si>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</si>
  <si>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</si>
  <si>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</si>
  <si>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</si>
  <si>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</si>
  <si>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</si>
  <si>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</si>
  <si>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</si>
  <si>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</si>
  <si>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</si>
  <si>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</si>
  <si>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</si>
  <si>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</si>
  <si>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</si>
  <si>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</si>
  <si>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</si>
  <si>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</si>
  <si>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Mean Goal </t>
  </si>
  <si>
    <t xml:space="preserve">Successful </t>
  </si>
  <si>
    <t>Failed</t>
  </si>
  <si>
    <t>Median Goal</t>
  </si>
  <si>
    <t xml:space="preserve">Standard Deviation of Goal </t>
  </si>
  <si>
    <t xml:space="preserve">Upper Quartile of Goal </t>
  </si>
  <si>
    <t>Lower Quartile of Goal</t>
  </si>
  <si>
    <t>IQR of Goal</t>
  </si>
  <si>
    <t>Upper Quartile of Pledged</t>
  </si>
  <si>
    <t>Mean Pledged</t>
  </si>
  <si>
    <t>Median Pledged</t>
  </si>
  <si>
    <t>Standard Deviation of Pledged</t>
  </si>
  <si>
    <t xml:space="preserve">Lower Quartile of Pledged </t>
  </si>
  <si>
    <t>IQR of Pledged</t>
  </si>
  <si>
    <t>Plays</t>
  </si>
  <si>
    <t xml:space="preserve">Goal 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</si>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</sst>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0" fontId="0" fillId="0" borderId="0" xfId="0" applyFont="1"/>
    <xf numFmtId="165" fontId="0" fillId="0" borderId="0" xfId="0" applyNumberFormat="1" applyFont="1"/>
    <xf numFmtId="9" fontId="1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552B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72208223972003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8-2E42-BC5D-E1C2954395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A8-2E42-BC5D-E1C2954395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A8-2E42-BC5D-E1C295439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877168"/>
        <c:axId val="819628352"/>
      </c:lineChart>
      <c:catAx>
        <c:axId val="784877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28352"/>
        <c:crosses val="autoZero"/>
        <c:auto val="1"/>
        <c:lblAlgn val="ctr"/>
        <c:lblOffset val="100"/>
        <c:noMultiLvlLbl val="0"/>
      </c:catAx>
      <c:valAx>
        <c:axId val="8196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77-DE46-8D0D-7E02056A813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77-DE46-8D0D-7E02056A813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77-DE46-8D0D-7E02056A8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455840"/>
        <c:axId val="863457472"/>
      </c:lineChart>
      <c:catAx>
        <c:axId val="86345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57472"/>
        <c:crosses val="autoZero"/>
        <c:auto val="1"/>
        <c:lblAlgn val="ctr"/>
        <c:lblOffset val="100"/>
        <c:noMultiLvlLbl val="0"/>
      </c:catAx>
      <c:valAx>
        <c:axId val="8634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5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6-484F-8548-357425EB78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DF6-484F-8548-357425EB78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DF6-484F-8548-357425EB78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DF6-484F-8548-357425EB7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6981439"/>
        <c:axId val="606983071"/>
      </c:barChart>
      <c:catAx>
        <c:axId val="606981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83071"/>
        <c:crosses val="autoZero"/>
        <c:auto val="1"/>
        <c:lblAlgn val="ctr"/>
        <c:lblOffset val="100"/>
        <c:noMultiLvlLbl val="0"/>
      </c:catAx>
      <c:valAx>
        <c:axId val="60698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8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1-FD4D-9793-263D5021D1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51-FD4D-9793-263D5021D1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51-FD4D-9793-263D5021D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1417535"/>
        <c:axId val="629822383"/>
      </c:barChart>
      <c:catAx>
        <c:axId val="631417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22383"/>
        <c:crosses val="autoZero"/>
        <c:auto val="1"/>
        <c:lblAlgn val="ctr"/>
        <c:lblOffset val="100"/>
        <c:noMultiLvlLbl val="0"/>
      </c:catAx>
      <c:valAx>
        <c:axId val="62982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41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</a:t>
            </a:r>
            <a:r>
              <a:rPr lang="en-US" baseline="0"/>
              <a:t> Campaigns Based on Month of the Year</a:t>
            </a:r>
            <a:endParaRPr lang="en-US"/>
          </a:p>
        </c:rich>
      </c:tx>
      <c:layout>
        <c:manualLayout>
          <c:xMode val="edge"/>
          <c:yMode val="edge"/>
          <c:x val="0.37877800407331969"/>
          <c:y val="4.50160771704180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6-1A41-975C-41F236AEB9F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86-1A41-975C-41F236AEB9F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86-1A41-975C-41F236AEB9F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86-1A41-975C-41F236AEB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955583"/>
        <c:axId val="633016367"/>
      </c:lineChart>
      <c:catAx>
        <c:axId val="634955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6367"/>
        <c:crosses val="autoZero"/>
        <c:auto val="1"/>
        <c:lblAlgn val="ctr"/>
        <c:lblOffset val="100"/>
        <c:noMultiLvlLbl val="0"/>
      </c:catAx>
      <c:valAx>
        <c:axId val="63301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5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5</xdr:row>
      <xdr:rowOff>31750</xdr:rowOff>
    </xdr:from>
    <xdr:to>
      <xdr:col>12</xdr:col>
      <xdr:colOff>222250</xdr:colOff>
      <xdr:row>19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EF705-5819-7144-AA89-D5150CCAE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1066800</xdr:colOff>
      <xdr:row>14</xdr:row>
      <xdr:rowOff>44449</xdr:rowOff>
    </xdr:from>
    <xdr:to>
      <xdr:col>10</xdr:col>
      <xdr:colOff>571500</xdr:colOff>
      <xdr:row>34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AFC411-DB75-504F-831B-FEB994108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7</xdr:row>
      <xdr:rowOff>127000</xdr:rowOff>
    </xdr:from>
    <xdr:to>
      <xdr:col>13</xdr:col>
      <xdr:colOff>736600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377DB-EDF5-8E40-AB95-956E2964A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6</xdr:row>
      <xdr:rowOff>114300</xdr:rowOff>
    </xdr:from>
    <xdr:to>
      <xdr:col>17</xdr:col>
      <xdr:colOff>317500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3D055-B253-C04A-A874-A20C37F29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4</xdr:row>
      <xdr:rowOff>25400</xdr:rowOff>
    </xdr:from>
    <xdr:to>
      <xdr:col>14</xdr:col>
      <xdr:colOff>558800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E73B8-310E-5641-85D1-8F03C454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n.thmpsn@gmail.com" refreshedDate="44359.479164699071" createdVersion="6" refreshedVersion="6" minRefreshableVersion="3" recordCount="4114" xr:uid="{E63EBBD6-F005-414A-88E6-E3D4A7056B7F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n.thmpsn@gmail.com" refreshedDate="44359.498986805556" createdVersion="6" refreshedVersion="6" minRefreshableVersion="3" recordCount="4114" xr:uid="{3BB9DAB4-DAF5-7747-9C70-CA620C89ECFC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n.thmpsn@gmail.com" refreshedDate="44361.883706944442" createdVersion="6" refreshedVersion="6" minRefreshableVersion="3" recordCount="4114" xr:uid="{72786CC8-F84D-6D4A-9BFE-BD492EB3E1E9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202FB-86A4-144F-8DA5-E8B203DABC2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06F8A-9251-1340-B1C2-EA65D5E90E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6A124-00C5-D545-BAA7-551999551F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D1532-38B9-E54D-AD00-C6B73D36ED1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B5" sqref="B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1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customWidth="1"/>
    <col min="17" max="17" width="13.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1C34528C-A8B3-D44B-AFC1-A30C66B5EF49}"/>
  <sortState xmlns:xlrd2="http://schemas.microsoft.com/office/spreadsheetml/2017/richdata2" ref="A2:P4116">
    <sortCondition descending="1" ref="E1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552B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AFE6D-4E86-684C-A0D1-C355C9F70F62}">
  <dimension ref="A1:E18"/>
  <sheetViews>
    <sheetView workbookViewId="0">
      <selection activeCell="F10" sqref="F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4DE9E-C843-2A49-ADC3-091FF25B1065}">
  <dimension ref="A1:H13"/>
  <sheetViews>
    <sheetView zoomScaleNormal="95" workbookViewId="0">
      <selection activeCell="K8" sqref="K8"/>
    </sheetView>
  </sheetViews>
  <sheetFormatPr baseColWidth="10" defaultRowHeight="15" x14ac:dyDescent="0.2"/>
  <cols>
    <col min="1" max="1" width="17.33203125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7" bestFit="1" customWidth="1"/>
    <col min="7" max="7" width="14.33203125" bestFit="1" customWidth="1"/>
    <col min="8" max="8" width="16.83203125" bestFit="1" customWidth="1"/>
  </cols>
  <sheetData>
    <row r="1" spans="1:8" s="18" customFormat="1" x14ac:dyDescent="0.2">
      <c r="A1" s="18" t="s">
        <v>8400</v>
      </c>
      <c r="B1" s="18" t="s">
        <v>8401</v>
      </c>
      <c r="C1" s="18" t="s">
        <v>8402</v>
      </c>
      <c r="D1" s="18" t="s">
        <v>8403</v>
      </c>
      <c r="E1" s="18" t="s">
        <v>8404</v>
      </c>
      <c r="F1" s="26" t="s">
        <v>8405</v>
      </c>
      <c r="G1" s="18" t="s">
        <v>8406</v>
      </c>
      <c r="H1" s="18" t="s">
        <v>8407</v>
      </c>
    </row>
    <row r="2" spans="1:8" x14ac:dyDescent="0.2">
      <c r="A2" t="s">
        <v>8408</v>
      </c>
      <c r="B2">
        <f>COUNTIFS(Kickstarter_Challenge!$D:$D,"&lt;1000",Kickstarter_Challenge!F:F,"successful",Kickstarter_Challenge!R:R,"plays")</f>
        <v>141</v>
      </c>
      <c r="C2">
        <f>COUNTIFS(Kickstarter_Challenge!$D:$D,"&lt;1000",Kickstarter_Challenge!$F:$F,"failed",Kickstarter_Challenge!$R:$R,"plays")</f>
        <v>45</v>
      </c>
      <c r="D2">
        <f>COUNTIFS(Kickstarter_Challenge!$D:$D,"&lt;1000",Kickstarter_Challenge!$F:$F,"canceled",Kickstarter_Challenge!$R:$R,"plays")</f>
        <v>0</v>
      </c>
      <c r="E2">
        <f>SUM(B2:C2)</f>
        <v>186</v>
      </c>
      <c r="F2" s="27">
        <f>((B2/(E2)))</f>
        <v>0.75806451612903225</v>
      </c>
      <c r="G2" s="27">
        <f>C2/E2</f>
        <v>0.24193548387096775</v>
      </c>
      <c r="H2">
        <f>D2/E2</f>
        <v>0</v>
      </c>
    </row>
    <row r="3" spans="1:8" x14ac:dyDescent="0.2">
      <c r="A3" t="s">
        <v>8409</v>
      </c>
      <c r="B3">
        <f>COUNTIFS(Kickstarter_Challenge!$D:$D,"&gt;=1000",Kickstarter_Challenge!$D:$D,"&lt;4999",Kickstarter_Challenge!$F:$F,"successful",Kickstarter_Challenge!$R:$R,"plays")</f>
        <v>387</v>
      </c>
      <c r="C3">
        <f>COUNTIFS(Kickstarter_Challenge!$D:$D,"&gt;=1000",Kickstarter_Challenge!$D:$D,"&lt;4999",Kickstarter_Challenge!$F:$F,"failed",Kickstarter_Challenge!$R:$R,"plays")</f>
        <v>146</v>
      </c>
      <c r="D3">
        <f>COUNTIFS(Kickstarter_Challenge!$D:$D,"&gt;=1000",Kickstarter_Challenge!$D:$D,"&lt;4999",Kickstarter_Challenge!$F:$F,"canceled",Kickstarter_Challenge!$R:$R,"plays")</f>
        <v>0</v>
      </c>
      <c r="E3">
        <f t="shared" ref="E3:E13" si="0">SUM(B3:C3)</f>
        <v>533</v>
      </c>
      <c r="F3" s="27">
        <f t="shared" ref="F3:F13" si="1">((B3/(E3)))</f>
        <v>0.726078799249531</v>
      </c>
      <c r="G3" s="27">
        <f t="shared" ref="G3:G13" si="2">C3/E3</f>
        <v>0.27392120075046905</v>
      </c>
      <c r="H3">
        <f t="shared" ref="H3:H13" si="3">D3/E3</f>
        <v>0</v>
      </c>
    </row>
    <row r="4" spans="1:8" x14ac:dyDescent="0.2">
      <c r="A4" t="s">
        <v>8410</v>
      </c>
      <c r="B4">
        <f>COUNTIFS(Kickstarter_Challenge!$D:$D,"&gt;=5000",Kickstarter_Challenge!$D:$D,"&lt;9999",Kickstarter_Challenge!$F:$F,"successful",Kickstarter_Challenge!$R:$R,"plays")</f>
        <v>93</v>
      </c>
      <c r="C4">
        <f>COUNTIFS(Kickstarter_Challenge!$D:$D,"&gt;=5000",Kickstarter_Challenge!$D:$D,"&lt;9999",Kickstarter_Challenge!$F:$F,"failed",Kickstarter_Challenge!$R:$R,"plays")</f>
        <v>76</v>
      </c>
      <c r="D4">
        <f>COUNTIFS(Kickstarter_Challenge!$D:$D,"&gt;=5000",Kickstarter_Challenge!$D:$D,"&lt;9999",Kickstarter_Challenge!$F:$F,"canceled",Kickstarter_Challenge!$R:$R,"plays")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>
        <f t="shared" si="3"/>
        <v>0</v>
      </c>
    </row>
    <row r="5" spans="1:8" x14ac:dyDescent="0.2">
      <c r="A5" t="s">
        <v>8411</v>
      </c>
      <c r="B5">
        <f>COUNTIFS(Kickstarter_Challenge!$D:$D,"&gt;=10000",Kickstarter_Challenge!$D:$D,"&lt;14999",Kickstarter_Challenge!$F:$F,"successful",Kickstarter_Challenge!$R:$R,"plays")</f>
        <v>39</v>
      </c>
      <c r="C5">
        <f>COUNTIFS(Kickstarter_Challenge!$D:$D,"&gt;=10000",Kickstarter_Challenge!$D:$D,"&lt;14999",Kickstarter_Challenge!$F:$F,"failed",Kickstarter_Challenge!$R:$R,"plays")</f>
        <v>33</v>
      </c>
      <c r="D5">
        <f>COUNTIFS(Kickstarter_Challenge!$D:$D,"&gt;=10000",Kickstarter_Challenge!$D:$D,"&lt;14999",Kickstarter_Challenge!$F:$F,"canceled",Kickstarter_Challenge!$R:$R,"plays")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>
        <f t="shared" si="3"/>
        <v>0</v>
      </c>
    </row>
    <row r="6" spans="1:8" x14ac:dyDescent="0.2">
      <c r="A6" t="s">
        <v>8412</v>
      </c>
      <c r="B6">
        <f>COUNTIFS(Kickstarter_Challenge!$D:$D,"&gt;=15000",Kickstarter_Challenge!$D:$D,"&lt;19999",Kickstarter_Challenge!$F:$F,"successful",Kickstarter_Challenge!$R:$R,"plays")</f>
        <v>12</v>
      </c>
      <c r="C6">
        <f>COUNTIFS(Kickstarter_Challenge!$D:$D,"&gt;=15000",Kickstarter_Challenge!$D:$D,"&lt;19999",Kickstarter_Challenge!$F:$F,"failed",Kickstarter_Challenge!$R:$R,"plays")</f>
        <v>12</v>
      </c>
      <c r="D6">
        <f>COUNTIFS(Kickstarter_Challenge!$D:$D,"&gt;=15000",Kickstarter_Challenge!$D:$D,"&lt;19999",Kickstarter_Challenge!$F:$F,"canceled",Kickstarter_Challenge!$R:$R,"plays")</f>
        <v>0</v>
      </c>
      <c r="E6">
        <f t="shared" si="0"/>
        <v>24</v>
      </c>
      <c r="F6" s="27">
        <f>((B6/(E6)))</f>
        <v>0.5</v>
      </c>
      <c r="G6" s="27">
        <f t="shared" si="2"/>
        <v>0.5</v>
      </c>
      <c r="H6">
        <f t="shared" si="3"/>
        <v>0</v>
      </c>
    </row>
    <row r="7" spans="1:8" x14ac:dyDescent="0.2">
      <c r="A7" t="s">
        <v>8413</v>
      </c>
      <c r="B7">
        <f>COUNTIFS(Kickstarter_Challenge!$D:$D,"&gt;=20000",Kickstarter_Challenge!$D:$D,"&lt;24999",Kickstarter_Challenge!$F:$F,"successful",Kickstarter_Challenge!$R:$R,"plays")</f>
        <v>9</v>
      </c>
      <c r="C7">
        <f>COUNTIFS(Kickstarter_Challenge!$D:$D,"&gt;=20000",Kickstarter_Challenge!$D:$D,"&lt;24999",Kickstarter_Challenge!$F:$F,"failed",Kickstarter_Challenge!$R:$R,"plays")</f>
        <v>11</v>
      </c>
      <c r="D7">
        <f>COUNTIFS(Kickstarter_Challenge!$D:$D,"&gt;=20000",Kickstarter_Challenge!$D:$D,"&lt;24999",Kickstarter_Challenge!$F:$F,"canceled",Kickstarter_Challenge!$R:$R,"plays")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>
        <f t="shared" si="3"/>
        <v>0</v>
      </c>
    </row>
    <row r="8" spans="1:8" x14ac:dyDescent="0.2">
      <c r="A8" t="s">
        <v>8419</v>
      </c>
      <c r="B8">
        <f>COUNTIFS(Kickstarter_Challenge!$D:$D,"&gt;=25000",Kickstarter_Challenge!$D:$D,"&lt;29999",Kickstarter_Challenge!$F:$F,"successful",Kickstarter_Challenge!$R:$R,"plays")</f>
        <v>1</v>
      </c>
      <c r="C8">
        <f>COUNTIFS(Kickstarter_Challenge!$D:$D,"&gt;=25000",Kickstarter_Challenge!$D:$D,"&lt;29999",Kickstarter_Challenge!$F:$F,"failed",Kickstarter_Challenge!$R:$R,"plays")</f>
        <v>4</v>
      </c>
      <c r="D8">
        <f>COUNTIFS(Kickstarter_Challenge!$D:$D,"&gt;=25000",Kickstarter_Challenge!$D:$D,"&lt;29999",Kickstarter_Challenge!$F:$F,"canceled",Kickstarter_Challenge!$R:$R,"plays")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>
        <f t="shared" si="3"/>
        <v>0</v>
      </c>
    </row>
    <row r="9" spans="1:8" x14ac:dyDescent="0.2">
      <c r="A9" t="s">
        <v>8414</v>
      </c>
      <c r="B9">
        <f>COUNTIFS(Kickstarter_Challenge!$D:$D,"&gt;=30000",Kickstarter_Challenge!$D:$D,"&lt;34999",Kickstarter_Challenge!$F:$F,"successful",Kickstarter_Challenge!$R:$R,"plays")</f>
        <v>3</v>
      </c>
      <c r="C9">
        <f>COUNTIFS(Kickstarter_Challenge!$D:$D,"&gt;=30000",Kickstarter_Challenge!$D:$D,"&lt;34999",Kickstarter_Challenge!$F:$F,"failed",Kickstarter_Challenge!$R:$R,"plays")</f>
        <v>8</v>
      </c>
      <c r="D9">
        <f>COUNTIFS(Kickstarter_Challenge!$D:$D,"&gt;=30000",Kickstarter_Challenge!$D:$D,"&lt;34999",Kickstarter_Challenge!$F:$F,"canceled",Kickstarter_Challenge!$R:$R,"plays")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>
        <f t="shared" si="3"/>
        <v>0</v>
      </c>
    </row>
    <row r="10" spans="1:8" x14ac:dyDescent="0.2">
      <c r="A10" t="s">
        <v>8415</v>
      </c>
      <c r="B10">
        <f>COUNTIFS(Kickstarter_Challenge!$D:$D,"&gt;=35000",Kickstarter_Challenge!$D:$D,"&lt;39999",Kickstarter_Challenge!$F:$F,"successful",Kickstarter_Challenge!$R:$R,"plays")</f>
        <v>4</v>
      </c>
      <c r="C10">
        <f>COUNTIFS(Kickstarter_Challenge!$D:$D,"&gt;=35000",Kickstarter_Challenge!$D:$D,"&lt;39999",Kickstarter_Challenge!$F:$F,"failed",Kickstarter_Challenge!$R:$R,"plays")</f>
        <v>2</v>
      </c>
      <c r="D10">
        <f>COUNTIFS(Kickstarter_Challenge!$D:$D,"&gt;=35000",Kickstarter_Challenge!$D:$D,"&lt;39999",Kickstarter_Challenge!$F:$F,"canceled",Kickstarter_Challenge!$R:$R,"plays")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>
        <f t="shared" si="3"/>
        <v>0</v>
      </c>
    </row>
    <row r="11" spans="1:8" x14ac:dyDescent="0.2">
      <c r="A11" t="s">
        <v>8416</v>
      </c>
      <c r="B11">
        <f>COUNTIFS(Kickstarter_Challenge!$D:$D,"&gt;=40000",Kickstarter_Challenge!$D:$D,"&lt;44999",Kickstarter_Challenge!$F:$F,"successful",Kickstarter_Challenge!$R:$R,"plays")</f>
        <v>2</v>
      </c>
      <c r="C11">
        <f>COUNTIFS(Kickstarter_Challenge!$D:$D,"&gt;=40000",Kickstarter_Challenge!$D:$D,"&lt;44999",Kickstarter_Challenge!$F:$F,"failed",Kickstarter_Challenge!$R:$R,"plays")</f>
        <v>1</v>
      </c>
      <c r="D11">
        <f>COUNTIFS(Kickstarter_Challenge!$D:$D,"&gt;=40000",Kickstarter_Challenge!$D:$D,"&lt;44999",Kickstarter_Challenge!$F:$F,"canceled",Kickstarter_Challenge!$R:$R,"plays")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>
        <f t="shared" si="3"/>
        <v>0</v>
      </c>
    </row>
    <row r="12" spans="1:8" x14ac:dyDescent="0.2">
      <c r="A12" t="s">
        <v>8417</v>
      </c>
      <c r="B12">
        <f>COUNTIFS(Kickstarter_Challenge!$D:$D,"&gt;=45000",Kickstarter_Challenge!$D:$D,"&lt;49999",Kickstarter_Challenge!$F:$F,"successful",Kickstarter_Challenge!$R:$R,"plays")</f>
        <v>0</v>
      </c>
      <c r="C12">
        <f>COUNTIFS(Kickstarter_Challenge!$D:$D,"&gt;=45000",Kickstarter_Challenge!$D:$D,"&lt;49999",Kickstarter_Challenge!$F:$F,"failed",Kickstarter_Challenge!$R:$R,"plays")</f>
        <v>1</v>
      </c>
      <c r="D12">
        <f>COUNTIFS(Kickstarter_Challenge!$D:$D,"&gt;=45000",Kickstarter_Challenge!$D:$D,"&lt;49999",Kickstarter_Challenge!$F:$F,"canceled",Kickstarter_Challenge!$R:$R,"plays")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>
        <f t="shared" si="3"/>
        <v>0</v>
      </c>
    </row>
    <row r="13" spans="1:8" x14ac:dyDescent="0.2">
      <c r="A13" t="s">
        <v>8418</v>
      </c>
      <c r="B13">
        <f>COUNTIFS(Kickstarter_Challenge!$D:$D,"&gt;50000",Kickstarter_Challenge!$F:$F,"successful",Kickstarter_Challenge!$R:$R,"plays")</f>
        <v>2</v>
      </c>
      <c r="C13">
        <f>COUNTIFS(Kickstarter_Challenge!$D:$D,"&gt;50000",Kickstarter_Challenge!$F:$F,"failed",Kickstarter_Challenge!$R:$R,"plays")</f>
        <v>10</v>
      </c>
      <c r="D13">
        <f>COUNTIFS(Kickstarter_Challenge!$D:$D,"&gt;50000",Kickstarter_Challenge!$F:$F,"canceled",Kickstarter_Challenge!$R:$R,"plays")</f>
        <v>0</v>
      </c>
      <c r="E13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CE9D9-3396-D34F-B9E8-41B57A2A8FAD}">
  <dimension ref="A1:F6"/>
  <sheetViews>
    <sheetView zoomScale="110" workbookViewId="0">
      <selection activeCell="C15" sqref="C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D282-7605-1B4C-84AB-0C392FDD6141}">
  <dimension ref="A1:E7"/>
  <sheetViews>
    <sheetView workbookViewId="0">
      <selection activeCell="F26" sqref="F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841F7-CED5-224E-BA37-34AECBB7ECA5}">
  <dimension ref="A1:F18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8318F-64B6-554E-BF62-B2D5F241E3C2}">
  <dimension ref="A1:C15"/>
  <sheetViews>
    <sheetView workbookViewId="0">
      <selection activeCell="B3" sqref="B3"/>
    </sheetView>
  </sheetViews>
  <sheetFormatPr baseColWidth="10" defaultRowHeight="15" x14ac:dyDescent="0.2"/>
  <cols>
    <col min="1" max="1" width="24.6640625" bestFit="1" customWidth="1"/>
    <col min="2" max="2" width="10.83203125" style="22"/>
    <col min="3" max="3" width="11.1640625" style="22" bestFit="1" customWidth="1"/>
  </cols>
  <sheetData>
    <row r="1" spans="1:3" x14ac:dyDescent="0.2">
      <c r="A1" t="s">
        <v>8399</v>
      </c>
    </row>
    <row r="2" spans="1:3" x14ac:dyDescent="0.2">
      <c r="B2" s="25" t="s">
        <v>8386</v>
      </c>
      <c r="C2" s="25" t="s">
        <v>8387</v>
      </c>
    </row>
    <row r="3" spans="1:3" x14ac:dyDescent="0.2">
      <c r="A3" s="24" t="s">
        <v>8385</v>
      </c>
      <c r="B3" s="22" t="e">
        <f>AVERAGE(#REF!)</f>
        <v>#REF!</v>
      </c>
      <c r="C3" s="22" t="e">
        <f>AVERAGE(#REF!)</f>
        <v>#REF!</v>
      </c>
    </row>
    <row r="4" spans="1:3" x14ac:dyDescent="0.2">
      <c r="A4" s="24" t="s">
        <v>8388</v>
      </c>
      <c r="B4" s="22" t="e">
        <f>MEDIAN(#REF!)</f>
        <v>#REF!</v>
      </c>
      <c r="C4" s="22" t="e">
        <f>MEDIAN(#REF!)</f>
        <v>#REF!</v>
      </c>
    </row>
    <row r="5" spans="1:3" x14ac:dyDescent="0.2">
      <c r="A5" s="24" t="s">
        <v>8389</v>
      </c>
      <c r="B5" s="22" t="e">
        <f>_xlfn.STDEV.P(#REF!)</f>
        <v>#REF!</v>
      </c>
      <c r="C5" s="22" t="e">
        <f>_xlfn.STDEV.P(#REF!)</f>
        <v>#REF!</v>
      </c>
    </row>
    <row r="6" spans="1:3" x14ac:dyDescent="0.2">
      <c r="A6" s="24" t="s">
        <v>8390</v>
      </c>
      <c r="B6" s="22" t="e">
        <f>_xlfn.QUARTILE.EXC(#REF!,3)</f>
        <v>#REF!</v>
      </c>
      <c r="C6" s="22" t="e">
        <f>_xlfn.QUARTILE.EXC(#REF!,3)</f>
        <v>#REF!</v>
      </c>
    </row>
    <row r="7" spans="1:3" x14ac:dyDescent="0.2">
      <c r="A7" s="24" t="s">
        <v>8391</v>
      </c>
      <c r="B7" s="22" t="e">
        <f>_xlfn.QUARTILE.EXC(#REF!,1)</f>
        <v>#REF!</v>
      </c>
      <c r="C7" s="22" t="e">
        <f>_xlfn.QUARTILE.EXC(#REF!,1)</f>
        <v>#REF!</v>
      </c>
    </row>
    <row r="8" spans="1:3" x14ac:dyDescent="0.2">
      <c r="A8" s="24" t="s">
        <v>8392</v>
      </c>
      <c r="B8" s="22" t="e">
        <f>B6-B7</f>
        <v>#REF!</v>
      </c>
      <c r="C8" s="22" t="e">
        <f>C6-C7</f>
        <v>#REF!</v>
      </c>
    </row>
    <row r="9" spans="1:3" x14ac:dyDescent="0.2">
      <c r="A9" s="24"/>
    </row>
    <row r="10" spans="1:3" x14ac:dyDescent="0.2">
      <c r="A10" s="24" t="s">
        <v>8394</v>
      </c>
      <c r="B10" s="23" t="e">
        <f>AVERAGE(#REF!)</f>
        <v>#REF!</v>
      </c>
      <c r="C10" s="22" t="e">
        <f>AVERAGE(#REF!)</f>
        <v>#REF!</v>
      </c>
    </row>
    <row r="11" spans="1:3" x14ac:dyDescent="0.2">
      <c r="A11" s="24" t="s">
        <v>8395</v>
      </c>
      <c r="B11" s="22" t="e">
        <f>MEDIAN(#REF!)</f>
        <v>#REF!</v>
      </c>
      <c r="C11" s="23" t="e">
        <f>MEDIAN(#REF!)</f>
        <v>#REF!</v>
      </c>
    </row>
    <row r="12" spans="1:3" x14ac:dyDescent="0.2">
      <c r="A12" s="24" t="s">
        <v>8396</v>
      </c>
      <c r="B12" s="22" t="e">
        <f>_xlfn.STDEV.P(#REF!)</f>
        <v>#REF!</v>
      </c>
      <c r="C12" s="22" t="e">
        <f>_xlfn.STDEV.P(#REF!)</f>
        <v>#REF!</v>
      </c>
    </row>
    <row r="13" spans="1:3" x14ac:dyDescent="0.2">
      <c r="A13" s="24" t="s">
        <v>8393</v>
      </c>
      <c r="B13" s="22" t="e">
        <f>_xlfn.QUARTILE.EXC(#REF!,3)</f>
        <v>#REF!</v>
      </c>
      <c r="C13" s="22" t="e">
        <f>_xlfn.QUARTILE.EXC(#REF!,3)</f>
        <v>#REF!</v>
      </c>
    </row>
    <row r="14" spans="1:3" x14ac:dyDescent="0.2">
      <c r="A14" s="24" t="s">
        <v>8397</v>
      </c>
      <c r="B14" s="22" t="e">
        <f>_xlfn.QUARTILE.EXC(#REF!,1)</f>
        <v>#REF!</v>
      </c>
      <c r="C14" s="22" t="e">
        <f>_xlfn.QUARTILE.EXC(#REF!,1)</f>
        <v>#REF!</v>
      </c>
    </row>
    <row r="15" spans="1:3" x14ac:dyDescent="0.2">
      <c r="A15" s="24" t="s">
        <v>8398</v>
      </c>
      <c r="B15" s="22" t="e">
        <f>B13-B14</f>
        <v>#REF!</v>
      </c>
      <c r="C15" s="22" t="e">
        <f>C13-C14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D73E2-EE03-F744-BAE8-D6840466CDDD}">
  <dimension ref="A1:F6"/>
  <sheetViews>
    <sheetView workbookViewId="0">
      <selection activeCell="B13" sqref="B13"/>
    </sheetView>
  </sheetViews>
  <sheetFormatPr baseColWidth="10" defaultRowHeight="15" x14ac:dyDescent="0.2"/>
  <cols>
    <col min="1" max="1" width="28.6640625" bestFit="1" customWidth="1"/>
    <col min="2" max="2" width="60.1640625" style="3" customWidth="1"/>
    <col min="3" max="4" width="10.1640625" style="6" bestFit="1" customWidth="1"/>
    <col min="5" max="5" width="15" bestFit="1" customWidth="1"/>
    <col min="6" max="6" width="15.5" bestFit="1" customWidth="1"/>
  </cols>
  <sheetData>
    <row r="1" spans="1:6" ht="16" x14ac:dyDescent="0.2">
      <c r="A1" s="18" t="s">
        <v>8380</v>
      </c>
      <c r="B1" s="20" t="s">
        <v>8381</v>
      </c>
      <c r="C1" s="21" t="s">
        <v>8382</v>
      </c>
      <c r="D1" s="21" t="s">
        <v>8383</v>
      </c>
      <c r="E1" s="18" t="s">
        <v>8307</v>
      </c>
      <c r="F1" s="18" t="s">
        <v>8384</v>
      </c>
    </row>
    <row r="2" spans="1:6" ht="32" x14ac:dyDescent="0.2">
      <c r="A2" s="19" t="s">
        <v>3473</v>
      </c>
      <c r="B2" s="3" t="str">
        <f>VLOOKUP(A2,Kickstarter_Challenge!B:C,2,FALSE)</f>
        <v>Help us get actor-writer Ian Bonar's debut play - a hilarious, heartbreaking story of grief and loss - to the 2016 Edinburgh Fringe.</v>
      </c>
      <c r="C2" s="6">
        <f>VLOOKUP(A2,Kickstarter_Challenge!B:E,3,FALSE)</f>
        <v>2000</v>
      </c>
      <c r="D2" s="6">
        <f>VLOOKUP(A2,Kickstarter_Challenge!B:E,4,FALSE)</f>
        <v>2020</v>
      </c>
      <c r="E2">
        <f>VLOOKUP(A2,Kickstarter_Challenge!B:P,15,FALSE)</f>
        <v>51.79</v>
      </c>
      <c r="F2">
        <f>VLOOKUP(A2,Kickstarter_Challenge!B:L,11,FALSE)</f>
        <v>39</v>
      </c>
    </row>
    <row r="3" spans="1:6" ht="32" x14ac:dyDescent="0.2">
      <c r="A3" s="19" t="s">
        <v>3616</v>
      </c>
      <c r="B3" s="3" t="str">
        <f>VLOOKUP(A3,Kickstarter_Challenge!B:C,2,FALSE)</f>
        <v>The play yet to be described as "A surefire Edinburgh Fringe Festival Cult Hit". Coming to the Underbelly, Edinburgh, 5th-30th August.</v>
      </c>
      <c r="C3" s="6">
        <f>VLOOKUP(A3,Kickstarter_Challenge!B:E,3,FALSE)</f>
        <v>2000</v>
      </c>
      <c r="D3" s="6">
        <f>VLOOKUP(A3,Kickstarter_Challenge!B:E,4,FALSE)</f>
        <v>2020</v>
      </c>
      <c r="E3">
        <f>VLOOKUP(A3,Kickstarter_Challenge!B:P,15,FALSE)</f>
        <v>36.07</v>
      </c>
      <c r="F3">
        <f>VLOOKUP(A3,Kickstarter_Challenge!B:L,11,FALSE)</f>
        <v>56</v>
      </c>
    </row>
    <row r="4" spans="1:6" ht="32" x14ac:dyDescent="0.2">
      <c r="A4" s="19" t="s">
        <v>3178</v>
      </c>
      <c r="B4" s="3" t="str">
        <f>VLOOKUP(A4,Kickstarter_Challenge!B:C,2,FALSE)</f>
        <v>Cutting Off Kate Bush is a one-woman show written &amp; performed by Lucy Benson-Brown, premiering at the Edinburgh Fringe Festival 2014</v>
      </c>
      <c r="C4" s="6">
        <f>VLOOKUP(A4,Kickstarter_Challenge!B:E,3,FALSE)</f>
        <v>1500</v>
      </c>
      <c r="D4" s="6">
        <f>VLOOKUP(A4,Kickstarter_Challenge!B:E,4,FALSE)</f>
        <v>2576</v>
      </c>
      <c r="E4">
        <f>VLOOKUP(A4,Kickstarter_Challenge!B:P,15,FALSE)</f>
        <v>33.03</v>
      </c>
      <c r="F4">
        <f>VLOOKUP(A4,Kickstarter_Challenge!B:L,11,FALSE)</f>
        <v>78</v>
      </c>
    </row>
    <row r="5" spans="1:6" ht="32" x14ac:dyDescent="0.2">
      <c r="A5" s="19" t="s">
        <v>3329</v>
      </c>
      <c r="B5" s="3" t="str">
        <f>VLOOKUP(A5,Kickstarter_Challenge!B:C,2,FALSE)</f>
        <v>Jestia and Raedon is a brand new romantic comedy play going to the Edinburgh Fringe Festival this summer.</v>
      </c>
      <c r="C5" s="6">
        <f>VLOOKUP(A5,Kickstarter_Challenge!B:E,3,FALSE)</f>
        <v>1000</v>
      </c>
      <c r="D5" s="6">
        <f>VLOOKUP(A5,Kickstarter_Challenge!B:E,4,FALSE)</f>
        <v>1168</v>
      </c>
      <c r="E5">
        <f>VLOOKUP(A5,Kickstarter_Challenge!B:P,15,FALSE)</f>
        <v>44.92</v>
      </c>
      <c r="F5">
        <f>VLOOKUP(A5,Kickstarter_Challenge!B:L,11,FALSE)</f>
        <v>26</v>
      </c>
    </row>
    <row r="6" spans="1:6" ht="32" x14ac:dyDescent="0.2">
      <c r="A6" s="19" t="s">
        <v>3221</v>
      </c>
      <c r="B6" s="3" t="str">
        <f>VLOOKUP(A6,Kickstarter_Challenge!B:C,2,FALSE)</f>
        <v>A one-man show about love, loss, and motorways, written &amp; performed by Ben Norris. Help us get to the 2015 Edinburgh Fringe and beyond!</v>
      </c>
      <c r="C6" s="6">
        <f>VLOOKUP(A6,Kickstarter_Challenge!B:E,3,FALSE)</f>
        <v>4000</v>
      </c>
      <c r="D6" s="6">
        <f>VLOOKUP(A6,Kickstarter_Challenge!B:E,4,FALSE)</f>
        <v>4137</v>
      </c>
      <c r="E6">
        <f>VLOOKUP(A6,Kickstarter_Challenge!B:P,15,FALSE)</f>
        <v>36.61</v>
      </c>
      <c r="F6">
        <f>VLOOKUP(A6,Kickstarter_Challenge!B:L,11,FALSE)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Kickstarter_Challenge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gln.thmpsn@gmail.com</cp:lastModifiedBy>
  <dcterms:created xsi:type="dcterms:W3CDTF">2017-04-20T15:17:24Z</dcterms:created>
  <dcterms:modified xsi:type="dcterms:W3CDTF">2021-06-15T04:16:29Z</dcterms:modified>
</cp:coreProperties>
</file>