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I:\Projects\GB211661_OCcAM\11_Modelling\Tool development\MA3\Tool versions\"/>
    </mc:Choice>
  </mc:AlternateContent>
  <xr:revisionPtr revIDLastSave="0" documentId="13_ncr:1_{87E52F22-1FE9-4B4E-AB5D-EE780D30CEDB}" xr6:coauthVersionLast="47" xr6:coauthVersionMax="47" xr10:uidLastSave="{00000000-0000-0000-0000-000000000000}"/>
  <bookViews>
    <workbookView xWindow="19090" yWindow="-110" windowWidth="38620" windowHeight="21100" xr2:uid="{AF19147E-016C-4F17-BB4D-756FD962E0F0}"/>
  </bookViews>
  <sheets>
    <sheet name="Introduction" sheetId="3" r:id="rId1"/>
    <sheet name="User inputs - run and wind farm" sheetId="13" r:id="rId2"/>
    <sheet name="User inputs - bird impacts" sheetId="14" r:id="rId3"/>
    <sheet name="User inputs - bird populations" sheetId="15" r:id="rId4"/>
    <sheet name="Default parameters" sheetId="2" r:id="rId5"/>
    <sheet name="Results" sheetId="4" r:id="rId6"/>
    <sheet name="Run log and assumptions" sheetId="16" r:id="rId7"/>
    <sheet name="Overall collision risk" sheetId="5" r:id="rId8"/>
    <sheet name="Single transit collision risk" sheetId="9" r:id="rId9"/>
    <sheet name="Hours of daylight" sheetId="7" r:id="rId10"/>
    <sheet name="Proportion at collision height" sheetId="8" r:id="rId11"/>
  </sheets>
  <externalReferences>
    <externalReference r:id="rId12"/>
  </externalReferences>
  <definedNames>
    <definedName name="banddown">[1]Extended!$G$26</definedName>
    <definedName name="bandup">[1]Extended!$F$26</definedName>
    <definedName name="hubheight">[1]Extended!$B$9</definedName>
    <definedName name="Npoints">[1]Flightheight!$B$7</definedName>
    <definedName name="offset">[1]Extended!$B$10</definedName>
    <definedName name="output_option">'Overall collision risk'!#REF!</definedName>
    <definedName name="radius">[1]Extended!$B$5</definedName>
    <definedName name="testi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1" i="13" l="1"/>
  <c r="M20" i="13"/>
  <c r="M17" i="8" l="1"/>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16" i="8"/>
  <c r="Z12" i="4"/>
  <c r="AB12" i="4" s="1"/>
  <c r="U12" i="4"/>
  <c r="P12" i="4"/>
  <c r="K12" i="4"/>
  <c r="M12" i="4" s="1"/>
  <c r="F12" i="4"/>
  <c r="H12" i="4" s="1"/>
  <c r="W12" i="4"/>
  <c r="O38" i="15" l="1"/>
  <c r="B114" i="16" s="1"/>
  <c r="I38" i="15"/>
  <c r="B96" i="16" s="1"/>
  <c r="F38" i="15"/>
  <c r="B87" i="16" s="1"/>
  <c r="O34" i="15"/>
  <c r="B111" i="16" s="1"/>
  <c r="I34" i="15"/>
  <c r="B93" i="16" s="1"/>
  <c r="F34" i="15"/>
  <c r="B84" i="16" s="1"/>
  <c r="R30" i="15"/>
  <c r="B120" i="16" s="1"/>
  <c r="O30" i="15"/>
  <c r="B108" i="16" s="1"/>
  <c r="L30" i="15"/>
  <c r="B102" i="16" s="1"/>
  <c r="R26" i="15"/>
  <c r="B117" i="16" s="1"/>
  <c r="O26" i="15"/>
  <c r="B105" i="16" s="1"/>
  <c r="L26" i="15"/>
  <c r="B99" i="16" s="1"/>
  <c r="I26" i="15"/>
  <c r="B90" i="16" s="1"/>
  <c r="F26" i="15"/>
  <c r="B81" i="16" s="1"/>
  <c r="R92" i="15"/>
  <c r="D120" i="16" s="1"/>
  <c r="R91" i="15"/>
  <c r="D119" i="16" s="1"/>
  <c r="R88" i="15"/>
  <c r="D117" i="16" s="1"/>
  <c r="R87" i="15"/>
  <c r="D116" i="16" s="1"/>
  <c r="R86" i="15"/>
  <c r="D115" i="16" s="1"/>
  <c r="O99" i="15"/>
  <c r="D113" i="16" s="1"/>
  <c r="O96" i="15"/>
  <c r="D111" i="16" s="1"/>
  <c r="O86" i="15"/>
  <c r="D103" i="16" s="1"/>
  <c r="L91" i="15"/>
  <c r="D101" i="16" s="1"/>
  <c r="L88" i="15"/>
  <c r="D99" i="16" s="1"/>
  <c r="I95" i="15"/>
  <c r="D92" i="16" s="1"/>
  <c r="I86" i="15"/>
  <c r="D88" i="16" s="1"/>
  <c r="F94" i="15"/>
  <c r="D82" i="16" s="1"/>
  <c r="O100" i="15"/>
  <c r="D114" i="16" s="1"/>
  <c r="I100" i="15"/>
  <c r="D96" i="16" s="1"/>
  <c r="F100" i="15"/>
  <c r="D87" i="16" s="1"/>
  <c r="I96" i="15"/>
  <c r="D93" i="16" s="1"/>
  <c r="F96" i="15"/>
  <c r="D84" i="16" s="1"/>
  <c r="O92" i="15"/>
  <c r="D108" i="16" s="1"/>
  <c r="L92" i="15"/>
  <c r="D102" i="16" s="1"/>
  <c r="O88" i="15"/>
  <c r="D105" i="16" s="1"/>
  <c r="I88" i="15"/>
  <c r="D90" i="16" s="1"/>
  <c r="F88" i="15"/>
  <c r="D81" i="16" s="1"/>
  <c r="I99" i="15"/>
  <c r="D95" i="16" s="1"/>
  <c r="F99" i="15"/>
  <c r="D86" i="16" s="1"/>
  <c r="O95" i="15"/>
  <c r="D110" i="16" s="1"/>
  <c r="F95" i="15"/>
  <c r="D83" i="16" s="1"/>
  <c r="O91" i="15"/>
  <c r="D107" i="16" s="1"/>
  <c r="O87" i="15"/>
  <c r="D104" i="16" s="1"/>
  <c r="L87" i="15"/>
  <c r="D98" i="16" s="1"/>
  <c r="I87" i="15"/>
  <c r="D89" i="16" s="1"/>
  <c r="F87" i="15"/>
  <c r="D80" i="16" s="1"/>
  <c r="O69" i="15"/>
  <c r="C114" i="16" s="1"/>
  <c r="I69" i="15"/>
  <c r="C96" i="16" s="1"/>
  <c r="F69" i="15"/>
  <c r="C87" i="16" s="1"/>
  <c r="O65" i="15"/>
  <c r="C111" i="16" s="1"/>
  <c r="I65" i="15"/>
  <c r="C93" i="16" s="1"/>
  <c r="F65" i="15"/>
  <c r="C84" i="16" s="1"/>
  <c r="R61" i="15"/>
  <c r="C120" i="16" s="1"/>
  <c r="O61" i="15"/>
  <c r="C108" i="16" s="1"/>
  <c r="L61" i="15"/>
  <c r="C102" i="16" s="1"/>
  <c r="R57" i="15"/>
  <c r="C117" i="16" s="1"/>
  <c r="O57" i="15"/>
  <c r="C105" i="16" s="1"/>
  <c r="L57" i="15"/>
  <c r="C99" i="16" s="1"/>
  <c r="I57" i="15"/>
  <c r="C90" i="16" s="1"/>
  <c r="F57" i="15"/>
  <c r="C81" i="16" s="1"/>
  <c r="O68" i="15"/>
  <c r="C113" i="16" s="1"/>
  <c r="I68" i="15"/>
  <c r="C95" i="16" s="1"/>
  <c r="F68" i="15"/>
  <c r="C86" i="16" s="1"/>
  <c r="O64" i="15"/>
  <c r="C110" i="16" s="1"/>
  <c r="I64" i="15"/>
  <c r="C92" i="16" s="1"/>
  <c r="F64" i="15"/>
  <c r="C83" i="16" s="1"/>
  <c r="R60" i="15"/>
  <c r="C119" i="16" s="1"/>
  <c r="O60" i="15"/>
  <c r="C107" i="16" s="1"/>
  <c r="L60" i="15"/>
  <c r="C101" i="16" s="1"/>
  <c r="R56" i="15"/>
  <c r="C116" i="16" s="1"/>
  <c r="O56" i="15"/>
  <c r="C104" i="16" s="1"/>
  <c r="L56" i="15"/>
  <c r="C98" i="16" s="1"/>
  <c r="I56" i="15"/>
  <c r="C89" i="16" s="1"/>
  <c r="F56" i="15"/>
  <c r="C80" i="16" s="1"/>
  <c r="O37" i="15"/>
  <c r="B113" i="16" s="1"/>
  <c r="I37" i="15"/>
  <c r="B95" i="16" s="1"/>
  <c r="F37" i="15"/>
  <c r="B86" i="16" s="1"/>
  <c r="O33" i="15"/>
  <c r="B110" i="16" s="1"/>
  <c r="I33" i="15"/>
  <c r="B92" i="16" s="1"/>
  <c r="F33" i="15"/>
  <c r="B83" i="16" s="1"/>
  <c r="R29" i="15"/>
  <c r="B119" i="16" s="1"/>
  <c r="O29" i="15"/>
  <c r="B107" i="16" s="1"/>
  <c r="L29" i="15"/>
  <c r="B101" i="16" s="1"/>
  <c r="R25" i="15"/>
  <c r="B116" i="16" s="1"/>
  <c r="O25" i="15"/>
  <c r="B104" i="16" s="1"/>
  <c r="L25" i="15"/>
  <c r="B98" i="16" s="1"/>
  <c r="I25" i="15"/>
  <c r="B89" i="16" s="1"/>
  <c r="F25" i="15"/>
  <c r="B80" i="16" s="1"/>
  <c r="C78" i="16"/>
  <c r="C76" i="16"/>
  <c r="D73" i="16"/>
  <c r="C73" i="16"/>
  <c r="C72" i="16"/>
  <c r="D72" i="16"/>
  <c r="D71" i="16"/>
  <c r="C71" i="16"/>
  <c r="E23" i="4"/>
  <c r="E22" i="4"/>
  <c r="E20" i="4"/>
  <c r="G57" i="14"/>
  <c r="F23" i="4"/>
  <c r="F22" i="4"/>
  <c r="F20" i="4"/>
  <c r="R90" i="15"/>
  <c r="D118" i="16" s="1"/>
  <c r="O98" i="15"/>
  <c r="D112" i="16" s="1"/>
  <c r="O94" i="15"/>
  <c r="D109" i="16" s="1"/>
  <c r="O90" i="15"/>
  <c r="D106" i="16" s="1"/>
  <c r="L90" i="15"/>
  <c r="D100" i="16" s="1"/>
  <c r="L86" i="15"/>
  <c r="D97" i="16" s="1"/>
  <c r="I98" i="15"/>
  <c r="D94" i="16" s="1"/>
  <c r="I94" i="15"/>
  <c r="D91" i="16" s="1"/>
  <c r="F98" i="15"/>
  <c r="D85" i="16" s="1"/>
  <c r="F86" i="15"/>
  <c r="D79" i="16" s="1"/>
  <c r="R59" i="15"/>
  <c r="C118" i="16" s="1"/>
  <c r="R55" i="15"/>
  <c r="C115" i="16" s="1"/>
  <c r="O67" i="15"/>
  <c r="C112" i="16" s="1"/>
  <c r="O63" i="15"/>
  <c r="C109" i="16" s="1"/>
  <c r="O59" i="15"/>
  <c r="C106" i="16" s="1"/>
  <c r="O55" i="15"/>
  <c r="C103" i="16" s="1"/>
  <c r="L59" i="15"/>
  <c r="C100" i="16" s="1"/>
  <c r="L55" i="15"/>
  <c r="C97" i="16" s="1"/>
  <c r="I67" i="15"/>
  <c r="C94" i="16" s="1"/>
  <c r="I63" i="15"/>
  <c r="C91" i="16" s="1"/>
  <c r="I55" i="15"/>
  <c r="C88" i="16" s="1"/>
  <c r="F67" i="15"/>
  <c r="C85" i="16" s="1"/>
  <c r="F63" i="15"/>
  <c r="C82" i="16" s="1"/>
  <c r="F55" i="15"/>
  <c r="C79" i="16" s="1"/>
  <c r="R28" i="15"/>
  <c r="B118" i="16" s="1"/>
  <c r="R24" i="15"/>
  <c r="B115" i="16" s="1"/>
  <c r="O36" i="15"/>
  <c r="B112" i="16" s="1"/>
  <c r="O32" i="15"/>
  <c r="B109" i="16" s="1"/>
  <c r="O28" i="15"/>
  <c r="B106" i="16" s="1"/>
  <c r="O24" i="15"/>
  <c r="B103" i="16" s="1"/>
  <c r="L28" i="15"/>
  <c r="B100" i="16" s="1"/>
  <c r="L24" i="15"/>
  <c r="B97" i="16" s="1"/>
  <c r="I36" i="15"/>
  <c r="B94" i="16" s="1"/>
  <c r="I32" i="15"/>
  <c r="B91" i="16" s="1"/>
  <c r="I24" i="15"/>
  <c r="B88" i="16" s="1"/>
  <c r="F36" i="15"/>
  <c r="B85" i="16" s="1"/>
  <c r="F32" i="15"/>
  <c r="B82" i="16" s="1"/>
  <c r="F24" i="15"/>
  <c r="B79" i="16" s="1"/>
  <c r="E12" i="4"/>
  <c r="D78" i="16" l="1"/>
  <c r="AA12" i="4"/>
  <c r="D77" i="16"/>
  <c r="V12" i="4"/>
  <c r="D76" i="16"/>
  <c r="Q12" i="4"/>
  <c r="R12" i="4" s="1"/>
  <c r="D75" i="16"/>
  <c r="L12" i="4"/>
  <c r="D74" i="16"/>
  <c r="G12" i="4"/>
  <c r="C77" i="16"/>
  <c r="C75" i="16"/>
  <c r="C74" i="16"/>
  <c r="B78" i="16"/>
  <c r="B77" i="16"/>
  <c r="B76" i="16"/>
  <c r="B75" i="16"/>
  <c r="B74" i="16"/>
  <c r="B73" i="16"/>
  <c r="B72" i="16"/>
  <c r="B71" i="16"/>
  <c r="B70" i="16"/>
  <c r="C57" i="16"/>
  <c r="C53" i="16"/>
  <c r="C43" i="16"/>
  <c r="C42" i="16"/>
  <c r="C41" i="16"/>
  <c r="B69" i="16"/>
  <c r="B68" i="16"/>
  <c r="B67" i="16"/>
  <c r="B66" i="16"/>
  <c r="B65" i="16"/>
  <c r="B64" i="16"/>
  <c r="B63" i="16"/>
  <c r="B62" i="16"/>
  <c r="B61" i="16"/>
  <c r="B60" i="16"/>
  <c r="B59" i="16"/>
  <c r="B58" i="16"/>
  <c r="B57" i="16"/>
  <c r="B56" i="16"/>
  <c r="B55" i="16"/>
  <c r="B54" i="16"/>
  <c r="B53" i="16"/>
  <c r="B52" i="16"/>
  <c r="B51" i="16"/>
  <c r="B50" i="16"/>
  <c r="B49" i="16"/>
  <c r="B48" i="16"/>
  <c r="B47" i="16"/>
  <c r="B46" i="16"/>
  <c r="B45" i="16"/>
  <c r="B44" i="16"/>
  <c r="B43" i="16"/>
  <c r="B42" i="16"/>
  <c r="B41" i="16"/>
  <c r="D40" i="16"/>
  <c r="C40" i="16"/>
  <c r="B40" i="16"/>
  <c r="D39" i="16"/>
  <c r="C39" i="16"/>
  <c r="B39" i="16"/>
  <c r="D38" i="16"/>
  <c r="C38" i="16"/>
  <c r="B38" i="16"/>
  <c r="C54" i="16"/>
  <c r="AF25" i="5"/>
  <c r="Z25" i="5"/>
  <c r="Y25" i="5"/>
  <c r="X25" i="5"/>
  <c r="W25" i="5"/>
  <c r="AG25" i="5"/>
  <c r="AE25" i="5"/>
  <c r="AD25" i="5"/>
  <c r="AC25" i="5"/>
  <c r="AB25" i="5"/>
  <c r="AA25" i="5"/>
  <c r="O118" i="5"/>
  <c r="N118" i="5"/>
  <c r="M118" i="5"/>
  <c r="L118" i="5"/>
  <c r="K118" i="5"/>
  <c r="J118" i="5"/>
  <c r="I118" i="5"/>
  <c r="H118" i="5"/>
  <c r="J117" i="5"/>
  <c r="I117" i="5"/>
  <c r="H117" i="5"/>
  <c r="G117" i="5"/>
  <c r="F117" i="5"/>
  <c r="E117" i="5"/>
  <c r="D117" i="5"/>
  <c r="O116" i="5"/>
  <c r="N116" i="5"/>
  <c r="M116" i="5"/>
  <c r="L116" i="5"/>
  <c r="K116" i="5"/>
  <c r="G116" i="5"/>
  <c r="F116" i="5"/>
  <c r="E116" i="5"/>
  <c r="D116" i="5"/>
  <c r="O79" i="5"/>
  <c r="N79" i="5"/>
  <c r="M79" i="5"/>
  <c r="L79" i="5"/>
  <c r="K79" i="5"/>
  <c r="J79" i="5"/>
  <c r="I79" i="5"/>
  <c r="H79" i="5"/>
  <c r="J78" i="5"/>
  <c r="I78" i="5"/>
  <c r="H78" i="5"/>
  <c r="G78" i="5"/>
  <c r="F78" i="5"/>
  <c r="E78" i="5"/>
  <c r="D78" i="5"/>
  <c r="O77" i="5"/>
  <c r="N77" i="5"/>
  <c r="M77" i="5"/>
  <c r="L77" i="5"/>
  <c r="K77" i="5"/>
  <c r="G77" i="5"/>
  <c r="F77" i="5"/>
  <c r="E77" i="5"/>
  <c r="D77" i="5"/>
  <c r="E50" i="9"/>
  <c r="E51" i="9" s="1"/>
  <c r="E49" i="9"/>
  <c r="U23" i="4" l="1"/>
  <c r="U32" i="4" s="1"/>
  <c r="U22" i="4"/>
  <c r="U31" i="4" s="1"/>
  <c r="U21" i="4"/>
  <c r="U30" i="4" s="1"/>
  <c r="U20" i="4"/>
  <c r="U29" i="4" s="1"/>
  <c r="P21" i="4"/>
  <c r="P30" i="4" s="1"/>
  <c r="P20" i="4"/>
  <c r="P29" i="4" s="1"/>
  <c r="F32" i="4"/>
  <c r="F31" i="4"/>
  <c r="F29" i="4"/>
  <c r="D35" i="16"/>
  <c r="C36" i="16"/>
  <c r="B36" i="16"/>
  <c r="B35" i="16"/>
  <c r="C35" i="16"/>
  <c r="B34" i="16"/>
  <c r="B33" i="16"/>
  <c r="B32" i="16"/>
  <c r="B31" i="16"/>
  <c r="B30" i="16"/>
  <c r="B29" i="16"/>
  <c r="B28" i="16"/>
  <c r="B27" i="16"/>
  <c r="B26" i="16"/>
  <c r="B25" i="16"/>
  <c r="B24" i="16"/>
  <c r="B23" i="16"/>
  <c r="B22" i="16"/>
  <c r="B21" i="16"/>
  <c r="B20" i="16"/>
  <c r="B19" i="16"/>
  <c r="B18" i="16"/>
  <c r="B17" i="16"/>
  <c r="B16" i="16"/>
  <c r="B15" i="16"/>
  <c r="B14" i="16"/>
  <c r="B13" i="16"/>
  <c r="B12" i="16"/>
  <c r="B11" i="16"/>
  <c r="D10" i="16"/>
  <c r="C10" i="16"/>
  <c r="B10" i="16"/>
  <c r="C8" i="16"/>
  <c r="D8" i="16"/>
  <c r="B8" i="16"/>
  <c r="C9" i="16"/>
  <c r="D9" i="16"/>
  <c r="B9" i="16"/>
  <c r="C7" i="16"/>
  <c r="D7" i="16"/>
  <c r="B7" i="16"/>
  <c r="C5" i="16"/>
  <c r="D5" i="16"/>
  <c r="B5" i="16"/>
  <c r="C6" i="16"/>
  <c r="D6" i="16"/>
  <c r="B6" i="16"/>
  <c r="C2" i="16"/>
  <c r="D2" i="16"/>
  <c r="B2" i="16"/>
  <c r="D62" i="16"/>
  <c r="D57" i="16"/>
  <c r="D56" i="16"/>
  <c r="D55" i="16"/>
  <c r="D52" i="16"/>
  <c r="D51" i="16"/>
  <c r="D47" i="16"/>
  <c r="C69" i="16"/>
  <c r="C68" i="16"/>
  <c r="C66" i="16"/>
  <c r="C65" i="16"/>
  <c r="C63" i="16"/>
  <c r="C62" i="16"/>
  <c r="C60" i="16"/>
  <c r="C59" i="16"/>
  <c r="C56" i="16"/>
  <c r="C67" i="16"/>
  <c r="C64" i="16"/>
  <c r="C61" i="16"/>
  <c r="C58" i="16"/>
  <c r="C55" i="16"/>
  <c r="Z20" i="4"/>
  <c r="Z29" i="4" s="1"/>
  <c r="C52" i="16"/>
  <c r="C51" i="16"/>
  <c r="C50" i="16"/>
  <c r="C49" i="16"/>
  <c r="C48" i="16"/>
  <c r="C47" i="16"/>
  <c r="C46" i="16"/>
  <c r="C45" i="16"/>
  <c r="D36" i="16" l="1"/>
  <c r="G94" i="14"/>
  <c r="D37" i="16" s="1"/>
  <c r="D68" i="16"/>
  <c r="D69" i="16"/>
  <c r="D66" i="16"/>
  <c r="D65" i="16"/>
  <c r="D63" i="16"/>
  <c r="D59" i="16"/>
  <c r="D60" i="16"/>
  <c r="D67" i="16"/>
  <c r="D64" i="16"/>
  <c r="D61" i="16"/>
  <c r="D46" i="16"/>
  <c r="D45" i="16"/>
  <c r="AA21" i="4"/>
  <c r="D204" i="16" s="1"/>
  <c r="D54" i="16"/>
  <c r="C44" i="16"/>
  <c r="P34" i="4"/>
  <c r="G23" i="4"/>
  <c r="G32" i="4" s="1"/>
  <c r="D43" i="16"/>
  <c r="G22" i="4"/>
  <c r="G31" i="4" s="1"/>
  <c r="D42" i="16"/>
  <c r="G20" i="4"/>
  <c r="G29" i="4" s="1"/>
  <c r="D41" i="16"/>
  <c r="F34" i="4"/>
  <c r="U34" i="4"/>
  <c r="C127" i="16"/>
  <c r="C133" i="16"/>
  <c r="C134" i="16"/>
  <c r="C180" i="16"/>
  <c r="C176" i="16"/>
  <c r="C179" i="16"/>
  <c r="C175" i="16"/>
  <c r="C207" i="16"/>
  <c r="C203" i="16"/>
  <c r="C193" i="16"/>
  <c r="C187" i="16"/>
  <c r="C194" i="16"/>
  <c r="C188" i="16"/>
  <c r="C195" i="16"/>
  <c r="C189" i="16"/>
  <c r="C196" i="16"/>
  <c r="C190" i="16"/>
  <c r="D44" i="16"/>
  <c r="F25" i="4"/>
  <c r="K20" i="4"/>
  <c r="K22" i="4"/>
  <c r="C152" i="16" s="1"/>
  <c r="K23" i="4"/>
  <c r="C153" i="16" s="1"/>
  <c r="Z21" i="4"/>
  <c r="Z30" i="4" s="1"/>
  <c r="Z34" i="4" s="1"/>
  <c r="U25" i="4"/>
  <c r="C191" i="16" s="1"/>
  <c r="P25" i="4"/>
  <c r="C177" i="16" s="1"/>
  <c r="G20" i="14"/>
  <c r="B37" i="16" s="1"/>
  <c r="N21" i="13"/>
  <c r="L21" i="13"/>
  <c r="K21" i="13"/>
  <c r="J21" i="13"/>
  <c r="N20" i="13"/>
  <c r="L20" i="13"/>
  <c r="K20" i="13"/>
  <c r="J20" i="13"/>
  <c r="N19" i="13"/>
  <c r="M19" i="13"/>
  <c r="L19" i="13"/>
  <c r="K19" i="13"/>
  <c r="J19" i="13"/>
  <c r="E32" i="4"/>
  <c r="E31" i="4"/>
  <c r="E29" i="4"/>
  <c r="O90" i="9"/>
  <c r="O89" i="9"/>
  <c r="O88" i="9"/>
  <c r="R109" i="9" s="1"/>
  <c r="O87" i="9"/>
  <c r="P87" i="9" s="1"/>
  <c r="O86" i="9"/>
  <c r="O85" i="9"/>
  <c r="Q68" i="9"/>
  <c r="Q51" i="9"/>
  <c r="Q52" i="9" s="1"/>
  <c r="Q53" i="9" s="1"/>
  <c r="Q54" i="9" s="1"/>
  <c r="Q55" i="9" s="1"/>
  <c r="Q56" i="9" s="1"/>
  <c r="Q57" i="9" s="1"/>
  <c r="Q58" i="9" s="1"/>
  <c r="Q59" i="9" s="1"/>
  <c r="Q60" i="9" s="1"/>
  <c r="Q61" i="9" s="1"/>
  <c r="Q62" i="9" s="1"/>
  <c r="Q63" i="9" s="1"/>
  <c r="Q64" i="9" s="1"/>
  <c r="Q65" i="9" s="1"/>
  <c r="Q66" i="9" s="1"/>
  <c r="Q67" i="9" s="1"/>
  <c r="Q50" i="9"/>
  <c r="O54" i="9"/>
  <c r="O53" i="9"/>
  <c r="O52" i="9"/>
  <c r="Q73" i="9" s="1"/>
  <c r="O51" i="9"/>
  <c r="P51" i="9" s="1"/>
  <c r="O50" i="9"/>
  <c r="O49" i="9"/>
  <c r="C90" i="9"/>
  <c r="C89" i="9"/>
  <c r="C88" i="9"/>
  <c r="C87" i="9"/>
  <c r="C86" i="9"/>
  <c r="C85" i="9"/>
  <c r="O18" i="9"/>
  <c r="O17" i="9"/>
  <c r="O16" i="9"/>
  <c r="O15" i="9"/>
  <c r="O14" i="9"/>
  <c r="O13" i="9"/>
  <c r="Q86" i="9"/>
  <c r="Q85" i="9"/>
  <c r="Q49" i="9"/>
  <c r="C37" i="16"/>
  <c r="C130" i="16" l="1"/>
  <c r="C135" i="16"/>
  <c r="AA30" i="4"/>
  <c r="D208" i="16" s="1"/>
  <c r="V22" i="4"/>
  <c r="V31" i="4" s="1"/>
  <c r="D195" i="16" s="1"/>
  <c r="V23" i="4"/>
  <c r="V32" i="4" s="1"/>
  <c r="D196" i="16" s="1"/>
  <c r="Q20" i="4"/>
  <c r="Q29" i="4" s="1"/>
  <c r="D50" i="16"/>
  <c r="V21" i="4"/>
  <c r="D49" i="16"/>
  <c r="V20" i="4"/>
  <c r="D48" i="16"/>
  <c r="Q21" i="4"/>
  <c r="AA20" i="4"/>
  <c r="D203" i="16" s="1"/>
  <c r="D53" i="16"/>
  <c r="K29" i="4"/>
  <c r="C156" i="16" s="1"/>
  <c r="C151" i="16"/>
  <c r="D127" i="16"/>
  <c r="U10" i="4"/>
  <c r="C197" i="16"/>
  <c r="Z10" i="4"/>
  <c r="C209" i="16"/>
  <c r="P10" i="4"/>
  <c r="C181" i="16"/>
  <c r="G34" i="4"/>
  <c r="E34" i="4"/>
  <c r="B135" i="16" s="1"/>
  <c r="K32" i="4"/>
  <c r="C158" i="16" s="1"/>
  <c r="K31" i="4"/>
  <c r="C129" i="16"/>
  <c r="C128" i="16"/>
  <c r="D128" i="16"/>
  <c r="D134" i="16"/>
  <c r="G25" i="4"/>
  <c r="C132" i="16"/>
  <c r="C204" i="16"/>
  <c r="K25" i="4"/>
  <c r="D58" i="16"/>
  <c r="L22" i="4"/>
  <c r="D152" i="16" s="1"/>
  <c r="L23" i="4"/>
  <c r="D153" i="16" s="1"/>
  <c r="L20" i="4"/>
  <c r="B129" i="16"/>
  <c r="B134" i="16"/>
  <c r="B128" i="16"/>
  <c r="B133" i="16"/>
  <c r="B127" i="16"/>
  <c r="Z25" i="4"/>
  <c r="C205" i="16" s="1"/>
  <c r="O95" i="9"/>
  <c r="R73" i="9"/>
  <c r="O59" i="9"/>
  <c r="Q87" i="9"/>
  <c r="Q109" i="9"/>
  <c r="W100" i="5"/>
  <c r="X100" i="5"/>
  <c r="Y100" i="5"/>
  <c r="Z100" i="5"/>
  <c r="AA100" i="5"/>
  <c r="AB100" i="5"/>
  <c r="AC100" i="5"/>
  <c r="AD100" i="5"/>
  <c r="AE100" i="5"/>
  <c r="AF100" i="5"/>
  <c r="AG100" i="5"/>
  <c r="V100" i="5"/>
  <c r="W98" i="5"/>
  <c r="X98" i="5"/>
  <c r="Y98" i="5"/>
  <c r="Z98" i="5"/>
  <c r="AA98" i="5"/>
  <c r="AB98" i="5"/>
  <c r="AC98" i="5"/>
  <c r="AD98" i="5"/>
  <c r="AE98" i="5"/>
  <c r="AF98" i="5"/>
  <c r="AG98" i="5"/>
  <c r="V98" i="5"/>
  <c r="U93" i="5"/>
  <c r="U92" i="5"/>
  <c r="U91" i="5"/>
  <c r="U90" i="5"/>
  <c r="U87" i="5"/>
  <c r="U86" i="5"/>
  <c r="W61" i="5"/>
  <c r="X61" i="5"/>
  <c r="Y61" i="5"/>
  <c r="Z61" i="5"/>
  <c r="AA61" i="5"/>
  <c r="AB61" i="5"/>
  <c r="AC61" i="5"/>
  <c r="AD61" i="5"/>
  <c r="AE61" i="5"/>
  <c r="AF61" i="5"/>
  <c r="AG61" i="5"/>
  <c r="V61" i="5"/>
  <c r="W59" i="5"/>
  <c r="X59" i="5"/>
  <c r="Y59" i="5"/>
  <c r="Z59" i="5"/>
  <c r="AA59" i="5"/>
  <c r="AB59" i="5"/>
  <c r="AC59" i="5"/>
  <c r="AD59" i="5"/>
  <c r="AE59" i="5"/>
  <c r="AF59" i="5"/>
  <c r="AG59" i="5"/>
  <c r="V59" i="5"/>
  <c r="U54" i="5"/>
  <c r="U53" i="5"/>
  <c r="U52" i="5"/>
  <c r="U51" i="5"/>
  <c r="U48" i="5"/>
  <c r="U47" i="5"/>
  <c r="V25" i="5"/>
  <c r="W22" i="5"/>
  <c r="X22" i="5"/>
  <c r="Y22" i="5"/>
  <c r="Z22" i="5"/>
  <c r="AA22" i="5"/>
  <c r="AB22" i="5"/>
  <c r="AC22" i="5"/>
  <c r="AD22" i="5"/>
  <c r="AE22" i="5"/>
  <c r="AF22" i="5"/>
  <c r="AG22" i="5"/>
  <c r="V22" i="5"/>
  <c r="X20" i="5"/>
  <c r="Y20" i="5"/>
  <c r="Z20" i="5"/>
  <c r="AA20" i="5"/>
  <c r="AB20" i="5"/>
  <c r="AC20" i="5"/>
  <c r="AD20" i="5"/>
  <c r="AE20" i="5"/>
  <c r="AF20" i="5"/>
  <c r="AG20" i="5"/>
  <c r="W20" i="5"/>
  <c r="V20" i="5"/>
  <c r="U15" i="5"/>
  <c r="U14" i="5"/>
  <c r="U13" i="5"/>
  <c r="U12" i="5"/>
  <c r="U9" i="5"/>
  <c r="U8" i="5"/>
  <c r="C17" i="9"/>
  <c r="C16" i="9"/>
  <c r="C14" i="9"/>
  <c r="C13" i="9"/>
  <c r="C54" i="9"/>
  <c r="C53" i="9"/>
  <c r="C52" i="9"/>
  <c r="C51" i="9"/>
  <c r="C50" i="9"/>
  <c r="C49" i="9"/>
  <c r="E100" i="5"/>
  <c r="F100" i="5"/>
  <c r="G100" i="5"/>
  <c r="H100" i="5"/>
  <c r="I100" i="5"/>
  <c r="J100" i="5"/>
  <c r="K100" i="5"/>
  <c r="L100" i="5"/>
  <c r="M100" i="5"/>
  <c r="N100" i="5"/>
  <c r="O100" i="5"/>
  <c r="D100" i="5"/>
  <c r="C93" i="5"/>
  <c r="C92" i="5"/>
  <c r="C91" i="5"/>
  <c r="C90" i="5"/>
  <c r="C87" i="5"/>
  <c r="C86" i="5"/>
  <c r="E61" i="5"/>
  <c r="F61" i="5"/>
  <c r="G61" i="5"/>
  <c r="H61" i="5"/>
  <c r="I61" i="5"/>
  <c r="J61" i="5"/>
  <c r="K61" i="5"/>
  <c r="L61" i="5"/>
  <c r="M61" i="5"/>
  <c r="N61" i="5"/>
  <c r="O61" i="5"/>
  <c r="D61" i="5"/>
  <c r="C54" i="5"/>
  <c r="C53" i="5"/>
  <c r="C52" i="5"/>
  <c r="C51" i="5"/>
  <c r="C48" i="5"/>
  <c r="C47" i="5"/>
  <c r="Y12" i="4"/>
  <c r="T12" i="4"/>
  <c r="O12" i="4"/>
  <c r="J12" i="4"/>
  <c r="Y21" i="4"/>
  <c r="Y30" i="4" s="1"/>
  <c r="Y20" i="4"/>
  <c r="Y29" i="4" s="1"/>
  <c r="T23" i="4"/>
  <c r="T32" i="4" s="1"/>
  <c r="T22" i="4"/>
  <c r="T31" i="4" s="1"/>
  <c r="T21" i="4"/>
  <c r="T30" i="4" s="1"/>
  <c r="T20" i="4"/>
  <c r="T29" i="4" s="1"/>
  <c r="O21" i="4"/>
  <c r="O30" i="4" s="1"/>
  <c r="O20" i="4"/>
  <c r="O29" i="4" s="1"/>
  <c r="J23" i="4"/>
  <c r="J22" i="4"/>
  <c r="J20" i="4"/>
  <c r="D130" i="16" l="1"/>
  <c r="C154" i="16"/>
  <c r="D135" i="16"/>
  <c r="D189" i="16"/>
  <c r="D175" i="16"/>
  <c r="D190" i="16"/>
  <c r="V30" i="4"/>
  <c r="D194" i="16" s="1"/>
  <c r="D188" i="16"/>
  <c r="V29" i="4"/>
  <c r="W29" i="4" s="1"/>
  <c r="D187" i="16"/>
  <c r="V25" i="4"/>
  <c r="D191" i="16" s="1"/>
  <c r="Q30" i="4"/>
  <c r="Q25" i="4"/>
  <c r="D177" i="16" s="1"/>
  <c r="D176" i="16"/>
  <c r="AA25" i="4"/>
  <c r="D205" i="16" s="1"/>
  <c r="AA29" i="4"/>
  <c r="AA34" i="4" s="1"/>
  <c r="AA10" i="4" s="1"/>
  <c r="U55" i="5"/>
  <c r="B151" i="16"/>
  <c r="J29" i="4"/>
  <c r="B152" i="16"/>
  <c r="J31" i="4"/>
  <c r="B157" i="16" s="1"/>
  <c r="B153" i="16"/>
  <c r="J32" i="4"/>
  <c r="L29" i="4"/>
  <c r="D156" i="16" s="1"/>
  <c r="D151" i="16"/>
  <c r="M20" i="4"/>
  <c r="K34" i="4"/>
  <c r="L32" i="4"/>
  <c r="D158" i="16" s="1"/>
  <c r="L31" i="4"/>
  <c r="D157" i="16" s="1"/>
  <c r="D132" i="16"/>
  <c r="B195" i="16"/>
  <c r="B189" i="16"/>
  <c r="B196" i="16"/>
  <c r="B190" i="16"/>
  <c r="B175" i="16"/>
  <c r="B203" i="16"/>
  <c r="B208" i="16"/>
  <c r="B204" i="16"/>
  <c r="B187" i="16"/>
  <c r="B176" i="16"/>
  <c r="B194" i="16"/>
  <c r="B188" i="16"/>
  <c r="D129" i="16"/>
  <c r="H32" i="4"/>
  <c r="D179" i="16"/>
  <c r="D133" i="16"/>
  <c r="M22" i="4"/>
  <c r="M23" i="4"/>
  <c r="C157" i="16"/>
  <c r="U94" i="5"/>
  <c r="C208" i="16"/>
  <c r="L25" i="4"/>
  <c r="B132" i="16"/>
  <c r="AG64" i="5"/>
  <c r="C34" i="16"/>
  <c r="C33" i="16"/>
  <c r="AE64" i="5"/>
  <c r="C32" i="16"/>
  <c r="C31" i="16"/>
  <c r="C30" i="16"/>
  <c r="C29" i="16"/>
  <c r="AA103" i="5"/>
  <c r="C28" i="16"/>
  <c r="Z103" i="5"/>
  <c r="C27" i="16"/>
  <c r="Y64" i="5"/>
  <c r="C26" i="16"/>
  <c r="X103" i="5"/>
  <c r="C25" i="16"/>
  <c r="W64" i="5"/>
  <c r="C24" i="16"/>
  <c r="C23" i="16"/>
  <c r="I64" i="5"/>
  <c r="C16" i="16"/>
  <c r="O64" i="5"/>
  <c r="C22" i="16"/>
  <c r="G64" i="5"/>
  <c r="C14" i="16"/>
  <c r="C21" i="16"/>
  <c r="F103" i="5"/>
  <c r="C13" i="16"/>
  <c r="H64" i="5"/>
  <c r="C15" i="16"/>
  <c r="C20" i="16"/>
  <c r="E103" i="5"/>
  <c r="C12" i="16"/>
  <c r="C19" i="16"/>
  <c r="C18" i="16"/>
  <c r="C11" i="16"/>
  <c r="J64" i="5"/>
  <c r="C17" i="16"/>
  <c r="AB20" i="4"/>
  <c r="AB21" i="4"/>
  <c r="W23" i="4"/>
  <c r="W22" i="4"/>
  <c r="W21" i="4"/>
  <c r="W20" i="4"/>
  <c r="R20" i="4"/>
  <c r="H31" i="4"/>
  <c r="H22" i="4"/>
  <c r="H29" i="4"/>
  <c r="H20" i="4"/>
  <c r="AB39" i="5"/>
  <c r="AB40" i="5"/>
  <c r="AE38" i="5"/>
  <c r="AE40" i="5"/>
  <c r="AF77" i="5"/>
  <c r="AF79" i="5"/>
  <c r="X78" i="5"/>
  <c r="X77" i="5"/>
  <c r="AE118" i="5"/>
  <c r="AE116" i="5"/>
  <c r="W117" i="5"/>
  <c r="W116" i="5"/>
  <c r="AD40" i="5"/>
  <c r="AD38" i="5"/>
  <c r="AE79" i="5"/>
  <c r="AE77" i="5"/>
  <c r="W78" i="5"/>
  <c r="W77" i="5"/>
  <c r="AD116" i="5"/>
  <c r="AD118" i="5"/>
  <c r="AC40" i="5"/>
  <c r="AC39" i="5"/>
  <c r="AD77" i="5"/>
  <c r="AD79" i="5"/>
  <c r="AC117" i="5"/>
  <c r="AC118" i="5"/>
  <c r="AB118" i="5"/>
  <c r="AB117" i="5"/>
  <c r="AC78" i="5"/>
  <c r="AC79" i="5"/>
  <c r="V38" i="5"/>
  <c r="V39" i="5"/>
  <c r="AA39" i="5"/>
  <c r="AA40" i="5"/>
  <c r="AB79" i="5"/>
  <c r="AB78" i="5"/>
  <c r="AA117" i="5"/>
  <c r="AA118" i="5"/>
  <c r="W39" i="5"/>
  <c r="W38" i="5"/>
  <c r="Z40" i="5"/>
  <c r="Z39" i="5"/>
  <c r="AA79" i="5"/>
  <c r="AA78" i="5"/>
  <c r="V117" i="5"/>
  <c r="V116" i="5"/>
  <c r="Z118" i="5"/>
  <c r="Z117" i="5"/>
  <c r="AG38" i="5"/>
  <c r="AG39" i="5"/>
  <c r="Y39" i="5"/>
  <c r="Y40" i="5"/>
  <c r="V78" i="5"/>
  <c r="V77" i="5"/>
  <c r="Z79" i="5"/>
  <c r="Z78" i="5"/>
  <c r="AG116" i="5"/>
  <c r="AG117" i="5"/>
  <c r="Y118" i="5"/>
  <c r="Y117" i="5"/>
  <c r="AF38" i="5"/>
  <c r="AF40" i="5"/>
  <c r="X39" i="5"/>
  <c r="X38" i="5"/>
  <c r="AG77" i="5"/>
  <c r="AG78" i="5"/>
  <c r="Y79" i="5"/>
  <c r="Y78" i="5"/>
  <c r="AF116" i="5"/>
  <c r="AF118" i="5"/>
  <c r="X117" i="5"/>
  <c r="X116" i="5"/>
  <c r="H23" i="4"/>
  <c r="Q88" i="9"/>
  <c r="D64" i="5"/>
  <c r="V64" i="5"/>
  <c r="AD64" i="5"/>
  <c r="G103" i="5"/>
  <c r="F64" i="5"/>
  <c r="K64" i="5"/>
  <c r="N64" i="5"/>
  <c r="Z64" i="5"/>
  <c r="AC64" i="5"/>
  <c r="W103" i="5"/>
  <c r="I103" i="5"/>
  <c r="L64" i="5"/>
  <c r="AA64" i="5"/>
  <c r="H103" i="5"/>
  <c r="E64" i="5"/>
  <c r="M64" i="5"/>
  <c r="AB64" i="5"/>
  <c r="Y103" i="5"/>
  <c r="X64" i="5"/>
  <c r="AF64" i="5"/>
  <c r="J25" i="4"/>
  <c r="B154" i="16" s="1"/>
  <c r="T25" i="4"/>
  <c r="O25" i="4"/>
  <c r="B177" i="16" s="1"/>
  <c r="R21" i="4"/>
  <c r="Z8" i="4"/>
  <c r="C199" i="16" s="1"/>
  <c r="Y25" i="4"/>
  <c r="U8" i="4"/>
  <c r="C183" i="16" s="1"/>
  <c r="P8" i="4"/>
  <c r="C171" i="16" s="1"/>
  <c r="AA8" i="4" l="1"/>
  <c r="D199" i="16" s="1"/>
  <c r="D154" i="16"/>
  <c r="C159" i="16"/>
  <c r="Q8" i="4"/>
  <c r="D171" i="16" s="1"/>
  <c r="D207" i="16"/>
  <c r="V8" i="4"/>
  <c r="D183" i="16" s="1"/>
  <c r="V34" i="4"/>
  <c r="D193" i="16"/>
  <c r="D180" i="16"/>
  <c r="Q34" i="4"/>
  <c r="D209" i="16"/>
  <c r="D21" i="16"/>
  <c r="N103" i="5"/>
  <c r="D31" i="16"/>
  <c r="AD103" i="5"/>
  <c r="D34" i="16"/>
  <c r="AG103" i="5"/>
  <c r="D20" i="16"/>
  <c r="M103" i="5"/>
  <c r="D17" i="16"/>
  <c r="J103" i="5"/>
  <c r="D32" i="16"/>
  <c r="AE103" i="5"/>
  <c r="D18" i="16"/>
  <c r="K103" i="5"/>
  <c r="D29" i="16"/>
  <c r="AB103" i="5"/>
  <c r="D33" i="16"/>
  <c r="AF103" i="5"/>
  <c r="D22" i="16"/>
  <c r="O103" i="5"/>
  <c r="D30" i="16"/>
  <c r="AC103" i="5"/>
  <c r="D19" i="16"/>
  <c r="L103" i="5"/>
  <c r="L34" i="4"/>
  <c r="W32" i="4"/>
  <c r="H34" i="4"/>
  <c r="W31" i="4"/>
  <c r="B207" i="16"/>
  <c r="Y34" i="4"/>
  <c r="J34" i="4"/>
  <c r="B159" i="16" s="1"/>
  <c r="B179" i="16"/>
  <c r="O34" i="4"/>
  <c r="B193" i="16"/>
  <c r="T34" i="4"/>
  <c r="M25" i="4"/>
  <c r="B180" i="16"/>
  <c r="R30" i="4"/>
  <c r="Y8" i="4"/>
  <c r="B199" i="16" s="1"/>
  <c r="B205" i="16"/>
  <c r="T8" i="4"/>
  <c r="B183" i="16" s="1"/>
  <c r="B191" i="16"/>
  <c r="AB29" i="4"/>
  <c r="W30" i="4"/>
  <c r="M31" i="4"/>
  <c r="B156" i="16"/>
  <c r="M29" i="4"/>
  <c r="B158" i="16"/>
  <c r="M32" i="4"/>
  <c r="D28" i="16"/>
  <c r="D27" i="16"/>
  <c r="D26" i="16"/>
  <c r="D25" i="16"/>
  <c r="D24" i="16"/>
  <c r="V103" i="5"/>
  <c r="D23" i="16"/>
  <c r="D15" i="16"/>
  <c r="D14" i="16"/>
  <c r="D103" i="5"/>
  <c r="D11" i="16"/>
  <c r="D16" i="16"/>
  <c r="D12" i="16"/>
  <c r="D13" i="16"/>
  <c r="AB25" i="4"/>
  <c r="H25" i="4"/>
  <c r="AB30" i="4"/>
  <c r="W25" i="4"/>
  <c r="R25" i="4"/>
  <c r="R29" i="4"/>
  <c r="Q89" i="9"/>
  <c r="O8" i="4"/>
  <c r="E25" i="4"/>
  <c r="B130" i="16" s="1"/>
  <c r="D159" i="16" l="1"/>
  <c r="V10" i="4"/>
  <c r="D197" i="16"/>
  <c r="D181" i="16"/>
  <c r="Q10" i="4"/>
  <c r="D172" i="16" s="1"/>
  <c r="Y10" i="4"/>
  <c r="B209" i="16"/>
  <c r="O10" i="4"/>
  <c r="B181" i="16"/>
  <c r="T10" i="4"/>
  <c r="B197" i="16"/>
  <c r="W34" i="4"/>
  <c r="W10" i="4" s="1"/>
  <c r="W13" i="4" s="1"/>
  <c r="R34" i="4"/>
  <c r="R10" i="4" s="1"/>
  <c r="R13" i="4" s="1"/>
  <c r="AB8" i="4"/>
  <c r="M34" i="4"/>
  <c r="AB34" i="4"/>
  <c r="AB10" i="4" s="1"/>
  <c r="AB13" i="4" s="1"/>
  <c r="W8" i="4"/>
  <c r="R8" i="4"/>
  <c r="B171" i="16"/>
  <c r="U13" i="4"/>
  <c r="C185" i="16" s="1"/>
  <c r="C184" i="16"/>
  <c r="P13" i="4"/>
  <c r="C173" i="16" s="1"/>
  <c r="C172" i="16"/>
  <c r="Q90" i="9"/>
  <c r="D5" i="7"/>
  <c r="D6" i="7"/>
  <c r="K24" i="7"/>
  <c r="L24" i="7"/>
  <c r="M24" i="7"/>
  <c r="N24" i="7"/>
  <c r="O24" i="7"/>
  <c r="P24" i="7"/>
  <c r="Q24" i="7"/>
  <c r="R24" i="7"/>
  <c r="S24" i="7"/>
  <c r="T24" i="7"/>
  <c r="U24" i="7"/>
  <c r="V24" i="7"/>
  <c r="U16" i="5"/>
  <c r="O98" i="5"/>
  <c r="N98" i="5"/>
  <c r="M98" i="5"/>
  <c r="L98" i="5"/>
  <c r="K98" i="5"/>
  <c r="J98" i="5"/>
  <c r="I98" i="5"/>
  <c r="H98" i="5"/>
  <c r="G98" i="5"/>
  <c r="F98" i="5"/>
  <c r="E98" i="5"/>
  <c r="D98" i="5"/>
  <c r="O59" i="5"/>
  <c r="N59" i="5"/>
  <c r="M59" i="5"/>
  <c r="L59" i="5"/>
  <c r="K59" i="5"/>
  <c r="J59" i="5"/>
  <c r="I59" i="5"/>
  <c r="H59" i="5"/>
  <c r="G59" i="5"/>
  <c r="F59" i="5"/>
  <c r="E59" i="5"/>
  <c r="D59" i="5"/>
  <c r="C55" i="5"/>
  <c r="Q13" i="4" l="1"/>
  <c r="D173" i="16" s="1"/>
  <c r="Q91" i="9"/>
  <c r="C94" i="5"/>
  <c r="V13" i="4" l="1"/>
  <c r="D185" i="16" s="1"/>
  <c r="D184" i="16"/>
  <c r="B184" i="16"/>
  <c r="T13" i="4"/>
  <c r="B185" i="16" s="1"/>
  <c r="B200" i="16"/>
  <c r="Y13" i="4"/>
  <c r="B201" i="16" s="1"/>
  <c r="Z13" i="4"/>
  <c r="C201" i="16" s="1"/>
  <c r="C200" i="16"/>
  <c r="AA13" i="4"/>
  <c r="D201" i="16" s="1"/>
  <c r="D200" i="16"/>
  <c r="Q92" i="9"/>
  <c r="O13" i="4" l="1"/>
  <c r="B173" i="16" s="1"/>
  <c r="B172" i="16"/>
  <c r="Q93" i="9"/>
  <c r="F109" i="9"/>
  <c r="E109" i="9"/>
  <c r="D87" i="9"/>
  <c r="E86" i="9"/>
  <c r="C95" i="9"/>
  <c r="E85" i="9"/>
  <c r="F73" i="9"/>
  <c r="D51" i="9"/>
  <c r="E52" i="9"/>
  <c r="E53" i="9" s="1"/>
  <c r="E54" i="9" s="1"/>
  <c r="E55" i="9" s="1"/>
  <c r="E56" i="9" s="1"/>
  <c r="E57" i="9" s="1"/>
  <c r="E58" i="9" s="1"/>
  <c r="E59" i="9" s="1"/>
  <c r="E60" i="9" s="1"/>
  <c r="E61" i="9" s="1"/>
  <c r="E62" i="9" s="1"/>
  <c r="E63" i="9" s="1"/>
  <c r="E64" i="9" s="1"/>
  <c r="E65" i="9" s="1"/>
  <c r="E66" i="9" s="1"/>
  <c r="E67" i="9" s="1"/>
  <c r="E68" i="9" s="1"/>
  <c r="C59" i="9"/>
  <c r="R37" i="9"/>
  <c r="P15" i="9"/>
  <c r="Q13" i="9"/>
  <c r="O23" i="9"/>
  <c r="C15" i="9"/>
  <c r="C18" i="9"/>
  <c r="P8" i="8"/>
  <c r="O8" i="8"/>
  <c r="N8" i="8"/>
  <c r="E8" i="8"/>
  <c r="F8" i="8"/>
  <c r="D8" i="8"/>
  <c r="O25" i="5"/>
  <c r="N25" i="5"/>
  <c r="M25" i="5"/>
  <c r="L25" i="5"/>
  <c r="K25" i="5"/>
  <c r="J25" i="5"/>
  <c r="I25" i="5"/>
  <c r="H25" i="5"/>
  <c r="G25" i="5"/>
  <c r="F25" i="5"/>
  <c r="E25" i="5"/>
  <c r="D25" i="5"/>
  <c r="E20" i="5"/>
  <c r="F20" i="5"/>
  <c r="G20" i="5"/>
  <c r="H20" i="5"/>
  <c r="I20" i="5"/>
  <c r="J20" i="5"/>
  <c r="K20" i="5"/>
  <c r="L20" i="5"/>
  <c r="M20" i="5"/>
  <c r="N20" i="5"/>
  <c r="O20" i="5"/>
  <c r="D20" i="5"/>
  <c r="C15" i="5"/>
  <c r="C14" i="5"/>
  <c r="C13" i="5"/>
  <c r="C12" i="5"/>
  <c r="C9" i="5"/>
  <c r="B12" i="7"/>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B352" i="7" s="1"/>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D4" i="7"/>
  <c r="D9" i="8" l="1"/>
  <c r="D205" i="8" s="1"/>
  <c r="E205" i="8" s="1"/>
  <c r="C9" i="9"/>
  <c r="O9" i="9"/>
  <c r="C10" i="9"/>
  <c r="D10" i="9" s="1"/>
  <c r="O10" i="9"/>
  <c r="P10" i="9" s="1"/>
  <c r="C8" i="9"/>
  <c r="O8" i="9"/>
  <c r="C19" i="9"/>
  <c r="C20" i="9" s="1"/>
  <c r="O19" i="9"/>
  <c r="O20" i="9" s="1"/>
  <c r="C45" i="9"/>
  <c r="O45" i="9"/>
  <c r="C44" i="9"/>
  <c r="O44" i="9"/>
  <c r="O81" i="9"/>
  <c r="C81" i="9"/>
  <c r="C55" i="9"/>
  <c r="C56" i="9" s="1"/>
  <c r="O55" i="9"/>
  <c r="O56" i="9" s="1"/>
  <c r="C46" i="9"/>
  <c r="D46" i="9" s="1"/>
  <c r="O46" i="9"/>
  <c r="P46" i="9" s="1"/>
  <c r="O80" i="9"/>
  <c r="C80" i="9"/>
  <c r="O91" i="9"/>
  <c r="O92" i="9" s="1"/>
  <c r="C91" i="9"/>
  <c r="C92" i="9" s="1"/>
  <c r="O82" i="9"/>
  <c r="P82" i="9" s="1"/>
  <c r="C82" i="9"/>
  <c r="D82" i="9" s="1"/>
  <c r="Q94" i="9"/>
  <c r="P9" i="8"/>
  <c r="R113" i="8" s="1"/>
  <c r="S113" i="8" s="1"/>
  <c r="N9" i="8"/>
  <c r="N108" i="8" s="1"/>
  <c r="O108" i="8" s="1"/>
  <c r="O9" i="8"/>
  <c r="K40" i="5"/>
  <c r="K38" i="5"/>
  <c r="L38" i="5"/>
  <c r="L40" i="5"/>
  <c r="J40" i="5"/>
  <c r="J39" i="5"/>
  <c r="H40" i="5"/>
  <c r="H39" i="5"/>
  <c r="I40" i="5"/>
  <c r="I39" i="5"/>
  <c r="D38" i="5"/>
  <c r="D39" i="5"/>
  <c r="O40" i="5"/>
  <c r="O38" i="5"/>
  <c r="G38" i="5"/>
  <c r="G39" i="5"/>
  <c r="N38" i="5"/>
  <c r="N40" i="5"/>
  <c r="F39" i="5"/>
  <c r="F38" i="5"/>
  <c r="M38" i="5"/>
  <c r="M40" i="5"/>
  <c r="E39" i="5"/>
  <c r="E38" i="5"/>
  <c r="E87" i="9"/>
  <c r="E73" i="9"/>
  <c r="Q14" i="9"/>
  <c r="Q37" i="9"/>
  <c r="E9" i="8"/>
  <c r="F9" i="8"/>
  <c r="D15" i="9"/>
  <c r="E13" i="9"/>
  <c r="E14" i="9" s="1"/>
  <c r="E15" i="9" s="1"/>
  <c r="E16" i="9" s="1"/>
  <c r="E17" i="9" s="1"/>
  <c r="E18" i="9" s="1"/>
  <c r="E19" i="9" s="1"/>
  <c r="E20" i="9" s="1"/>
  <c r="E21" i="9" s="1"/>
  <c r="E22" i="9" s="1"/>
  <c r="E23" i="9" s="1"/>
  <c r="E24" i="9" s="1"/>
  <c r="E25" i="9" s="1"/>
  <c r="E26" i="9" s="1"/>
  <c r="E27" i="9" s="1"/>
  <c r="E28" i="9" s="1"/>
  <c r="E29" i="9" s="1"/>
  <c r="E30" i="9" s="1"/>
  <c r="E31" i="9" s="1"/>
  <c r="E32" i="9" s="1"/>
  <c r="D11" i="7"/>
  <c r="C12" i="7"/>
  <c r="D12" i="7" s="1"/>
  <c r="E22" i="5"/>
  <c r="F22" i="5"/>
  <c r="G22" i="5"/>
  <c r="H22" i="5"/>
  <c r="I22" i="5"/>
  <c r="J22" i="5"/>
  <c r="K22" i="5"/>
  <c r="L22" i="5"/>
  <c r="M22" i="5"/>
  <c r="N22" i="5"/>
  <c r="O22" i="5"/>
  <c r="D22" i="5"/>
  <c r="C8" i="5"/>
  <c r="R23" i="8" l="1"/>
  <c r="S23" i="8" s="1"/>
  <c r="R159" i="8"/>
  <c r="S159" i="8" s="1"/>
  <c r="R32" i="8"/>
  <c r="S32" i="8" s="1"/>
  <c r="R77" i="8"/>
  <c r="S77" i="8" s="1"/>
  <c r="R16" i="8"/>
  <c r="S16" i="8" s="1"/>
  <c r="R79" i="8"/>
  <c r="S79" i="8" s="1"/>
  <c r="R163" i="8"/>
  <c r="S163" i="8" s="1"/>
  <c r="R26" i="8"/>
  <c r="S26" i="8" s="1"/>
  <c r="R161" i="8"/>
  <c r="S161" i="8" s="1"/>
  <c r="R39" i="8"/>
  <c r="S39" i="8" s="1"/>
  <c r="R33" i="8"/>
  <c r="S33" i="8" s="1"/>
  <c r="R139" i="8"/>
  <c r="S139" i="8" s="1"/>
  <c r="R133" i="8"/>
  <c r="S133" i="8" s="1"/>
  <c r="R62" i="8"/>
  <c r="S62" i="8" s="1"/>
  <c r="R165" i="8"/>
  <c r="S165" i="8" s="1"/>
  <c r="R82" i="8"/>
  <c r="S82" i="8" s="1"/>
  <c r="R51" i="8"/>
  <c r="S51" i="8" s="1"/>
  <c r="R74" i="8"/>
  <c r="S74" i="8" s="1"/>
  <c r="R168" i="8"/>
  <c r="S168" i="8" s="1"/>
  <c r="R143" i="8"/>
  <c r="S143" i="8" s="1"/>
  <c r="R63" i="8"/>
  <c r="S63" i="8" s="1"/>
  <c r="R89" i="8"/>
  <c r="S89" i="8" s="1"/>
  <c r="R101" i="8"/>
  <c r="S101" i="8" s="1"/>
  <c r="R78" i="8"/>
  <c r="S78" i="8" s="1"/>
  <c r="R106" i="8"/>
  <c r="S106" i="8" s="1"/>
  <c r="R85" i="8"/>
  <c r="S85" i="8" s="1"/>
  <c r="R142" i="8"/>
  <c r="S142" i="8" s="1"/>
  <c r="R86" i="8"/>
  <c r="S86" i="8" s="1"/>
  <c r="R18" i="8"/>
  <c r="S18" i="8" s="1"/>
  <c r="R149" i="8"/>
  <c r="S149" i="8" s="1"/>
  <c r="R127" i="8"/>
  <c r="S127" i="8" s="1"/>
  <c r="R155" i="8"/>
  <c r="S155" i="8" s="1"/>
  <c r="R98" i="8"/>
  <c r="S98" i="8" s="1"/>
  <c r="R102" i="8"/>
  <c r="S102" i="8" s="1"/>
  <c r="R117" i="8"/>
  <c r="S117" i="8" s="1"/>
  <c r="D173" i="8"/>
  <c r="E173" i="8" s="1"/>
  <c r="D280" i="8"/>
  <c r="E280" i="8" s="1"/>
  <c r="D204" i="8"/>
  <c r="E204" i="8" s="1"/>
  <c r="D201" i="8"/>
  <c r="E201" i="8" s="1"/>
  <c r="D238" i="8"/>
  <c r="E238" i="8" s="1"/>
  <c r="D193" i="8"/>
  <c r="E193" i="8" s="1"/>
  <c r="D315" i="8"/>
  <c r="E315" i="8" s="1"/>
  <c r="D308" i="8"/>
  <c r="E308" i="8" s="1"/>
  <c r="D180" i="8"/>
  <c r="E180" i="8" s="1"/>
  <c r="D198" i="8"/>
  <c r="E198" i="8" s="1"/>
  <c r="D209" i="8"/>
  <c r="E209" i="8" s="1"/>
  <c r="D196" i="8"/>
  <c r="E196" i="8" s="1"/>
  <c r="D206" i="8"/>
  <c r="E206" i="8" s="1"/>
  <c r="D300" i="8"/>
  <c r="E300" i="8" s="1"/>
  <c r="D233" i="8"/>
  <c r="E233" i="8" s="1"/>
  <c r="D293" i="8"/>
  <c r="E293" i="8" s="1"/>
  <c r="D252" i="8"/>
  <c r="E252" i="8" s="1"/>
  <c r="D294" i="8"/>
  <c r="E294" i="8" s="1"/>
  <c r="D248" i="8"/>
  <c r="E248" i="8" s="1"/>
  <c r="D270" i="8"/>
  <c r="E270" i="8" s="1"/>
  <c r="D291" i="8"/>
  <c r="E291" i="8" s="1"/>
  <c r="D220" i="8"/>
  <c r="E220" i="8" s="1"/>
  <c r="D262" i="8"/>
  <c r="E262" i="8" s="1"/>
  <c r="D199" i="8"/>
  <c r="E199" i="8" s="1"/>
  <c r="R130" i="8"/>
  <c r="S130" i="8" s="1"/>
  <c r="R99" i="8"/>
  <c r="S99" i="8" s="1"/>
  <c r="R61" i="8"/>
  <c r="S61" i="8" s="1"/>
  <c r="R72" i="8"/>
  <c r="S72" i="8" s="1"/>
  <c r="R119" i="8"/>
  <c r="S119" i="8" s="1"/>
  <c r="R43" i="8"/>
  <c r="S43" i="8" s="1"/>
  <c r="R42" i="8"/>
  <c r="S42" i="8" s="1"/>
  <c r="R93" i="8"/>
  <c r="S93" i="8" s="1"/>
  <c r="R55" i="8"/>
  <c r="S55" i="8" s="1"/>
  <c r="R148" i="8"/>
  <c r="S148" i="8" s="1"/>
  <c r="R118" i="8"/>
  <c r="S118" i="8" s="1"/>
  <c r="R97" i="8"/>
  <c r="S97" i="8" s="1"/>
  <c r="R131" i="8"/>
  <c r="S131" i="8" s="1"/>
  <c r="R166" i="8"/>
  <c r="S166" i="8" s="1"/>
  <c r="R67" i="8"/>
  <c r="S67" i="8" s="1"/>
  <c r="R132" i="8"/>
  <c r="S132" i="8" s="1"/>
  <c r="R28" i="8"/>
  <c r="S28" i="8" s="1"/>
  <c r="R110" i="8"/>
  <c r="S110" i="8" s="1"/>
  <c r="R46" i="8"/>
  <c r="S46" i="8" s="1"/>
  <c r="R134" i="8"/>
  <c r="S134" i="8" s="1"/>
  <c r="R91" i="8"/>
  <c r="S91" i="8" s="1"/>
  <c r="R50" i="8"/>
  <c r="S50" i="8" s="1"/>
  <c r="R20" i="8"/>
  <c r="S20" i="8" s="1"/>
  <c r="R111" i="8"/>
  <c r="S111" i="8" s="1"/>
  <c r="R114" i="8"/>
  <c r="S114" i="8" s="1"/>
  <c r="R121" i="8"/>
  <c r="S121" i="8" s="1"/>
  <c r="R25" i="8"/>
  <c r="S25" i="8" s="1"/>
  <c r="R81" i="8"/>
  <c r="S81" i="8" s="1"/>
  <c r="R49" i="8"/>
  <c r="S49" i="8" s="1"/>
  <c r="R19" i="8"/>
  <c r="S19" i="8" s="1"/>
  <c r="R30" i="8"/>
  <c r="S30" i="8" s="1"/>
  <c r="R68" i="8"/>
  <c r="S68" i="8" s="1"/>
  <c r="R34" i="8"/>
  <c r="S34" i="8" s="1"/>
  <c r="R96" i="8"/>
  <c r="S96" i="8" s="1"/>
  <c r="R69" i="8"/>
  <c r="S69" i="8" s="1"/>
  <c r="R140" i="8"/>
  <c r="S140" i="8" s="1"/>
  <c r="R35" i="8"/>
  <c r="S35" i="8" s="1"/>
  <c r="R112" i="8"/>
  <c r="S112" i="8" s="1"/>
  <c r="R57" i="8"/>
  <c r="S57" i="8" s="1"/>
  <c r="R144" i="8"/>
  <c r="S144" i="8" s="1"/>
  <c r="R100" i="8"/>
  <c r="S100" i="8" s="1"/>
  <c r="R70" i="8"/>
  <c r="S70" i="8" s="1"/>
  <c r="R27" i="8"/>
  <c r="S27" i="8" s="1"/>
  <c r="R128" i="8"/>
  <c r="S128" i="8" s="1"/>
  <c r="D276" i="8"/>
  <c r="E276" i="8" s="1"/>
  <c r="D313" i="8"/>
  <c r="E313" i="8" s="1"/>
  <c r="D230" i="8"/>
  <c r="E230" i="8" s="1"/>
  <c r="D267" i="8"/>
  <c r="E267" i="8" s="1"/>
  <c r="D235" i="8"/>
  <c r="E235" i="8" s="1"/>
  <c r="D261" i="8"/>
  <c r="E261" i="8" s="1"/>
  <c r="D228" i="8"/>
  <c r="E228" i="8" s="1"/>
  <c r="D302" i="8"/>
  <c r="E302" i="8" s="1"/>
  <c r="D174" i="8"/>
  <c r="E174" i="8" s="1"/>
  <c r="D195" i="8"/>
  <c r="E195" i="8" s="1"/>
  <c r="D269" i="8"/>
  <c r="E269" i="8" s="1"/>
  <c r="D301" i="8"/>
  <c r="E301" i="8" s="1"/>
  <c r="D292" i="8"/>
  <c r="E292" i="8" s="1"/>
  <c r="D244" i="8"/>
  <c r="E244" i="8" s="1"/>
  <c r="D188" i="8"/>
  <c r="E188" i="8" s="1"/>
  <c r="D310" i="8"/>
  <c r="E310" i="8" s="1"/>
  <c r="D246" i="8"/>
  <c r="E246" i="8" s="1"/>
  <c r="D182" i="8"/>
  <c r="E182" i="8" s="1"/>
  <c r="D299" i="8"/>
  <c r="E299" i="8" s="1"/>
  <c r="D227" i="8"/>
  <c r="E227" i="8" s="1"/>
  <c r="D231" i="8"/>
  <c r="E231" i="8" s="1"/>
  <c r="D285" i="8"/>
  <c r="E285" i="8" s="1"/>
  <c r="D284" i="8"/>
  <c r="E284" i="8" s="1"/>
  <c r="D236" i="8"/>
  <c r="E236" i="8" s="1"/>
  <c r="D184" i="8"/>
  <c r="E184" i="8" s="1"/>
  <c r="D306" i="8"/>
  <c r="E306" i="8" s="1"/>
  <c r="D242" i="8"/>
  <c r="E242" i="8" s="1"/>
  <c r="D178" i="8"/>
  <c r="E178" i="8" s="1"/>
  <c r="D295" i="8"/>
  <c r="E295" i="8" s="1"/>
  <c r="D203" i="8"/>
  <c r="E203" i="8" s="1"/>
  <c r="D177" i="8"/>
  <c r="E177" i="8" s="1"/>
  <c r="D268" i="8"/>
  <c r="E268" i="8" s="1"/>
  <c r="D216" i="8"/>
  <c r="E216" i="8" s="1"/>
  <c r="D253" i="8"/>
  <c r="E253" i="8" s="1"/>
  <c r="D278" i="8"/>
  <c r="E278" i="8" s="1"/>
  <c r="D214" i="8"/>
  <c r="E214" i="8" s="1"/>
  <c r="D229" i="8"/>
  <c r="E229" i="8" s="1"/>
  <c r="D263" i="8"/>
  <c r="E263" i="8" s="1"/>
  <c r="D309" i="8"/>
  <c r="E309" i="8" s="1"/>
  <c r="D312" i="8"/>
  <c r="E312" i="8" s="1"/>
  <c r="D260" i="8"/>
  <c r="E260" i="8" s="1"/>
  <c r="D212" i="8"/>
  <c r="E212" i="8" s="1"/>
  <c r="D241" i="8"/>
  <c r="E241" i="8" s="1"/>
  <c r="D274" i="8"/>
  <c r="E274" i="8" s="1"/>
  <c r="D210" i="8"/>
  <c r="E210" i="8" s="1"/>
  <c r="D213" i="8"/>
  <c r="E213" i="8" s="1"/>
  <c r="D259" i="8"/>
  <c r="E259" i="8" s="1"/>
  <c r="D297" i="8"/>
  <c r="E297" i="8" s="1"/>
  <c r="R65" i="8"/>
  <c r="S65" i="8" s="1"/>
  <c r="R125" i="8"/>
  <c r="S125" i="8" s="1"/>
  <c r="R21" i="8"/>
  <c r="S21" i="8" s="1"/>
  <c r="R76" i="8"/>
  <c r="S76" i="8" s="1"/>
  <c r="R137" i="8"/>
  <c r="S137" i="8" s="1"/>
  <c r="R48" i="8"/>
  <c r="S48" i="8" s="1"/>
  <c r="R123" i="8"/>
  <c r="S123" i="8" s="1"/>
  <c r="R41" i="8"/>
  <c r="S41" i="8" s="1"/>
  <c r="R115" i="8"/>
  <c r="S115" i="8" s="1"/>
  <c r="R36" i="8"/>
  <c r="S36" i="8" s="1"/>
  <c r="R94" i="8"/>
  <c r="S94" i="8" s="1"/>
  <c r="R136" i="8"/>
  <c r="S136" i="8" s="1"/>
  <c r="R80" i="8"/>
  <c r="S80" i="8" s="1"/>
  <c r="R129" i="8"/>
  <c r="S129" i="8" s="1"/>
  <c r="R37" i="8"/>
  <c r="S37" i="8" s="1"/>
  <c r="R104" i="8"/>
  <c r="S104" i="8" s="1"/>
  <c r="R153" i="8"/>
  <c r="S153" i="8" s="1"/>
  <c r="R59" i="8"/>
  <c r="S59" i="8" s="1"/>
  <c r="R146" i="8"/>
  <c r="S146" i="8" s="1"/>
  <c r="R66" i="8"/>
  <c r="S66" i="8" s="1"/>
  <c r="R141" i="8"/>
  <c r="S141" i="8" s="1"/>
  <c r="R52" i="8"/>
  <c r="S52" i="8" s="1"/>
  <c r="R109" i="8"/>
  <c r="S109" i="8" s="1"/>
  <c r="R150" i="8"/>
  <c r="S150" i="8" s="1"/>
  <c r="R44" i="8"/>
  <c r="S44" i="8" s="1"/>
  <c r="R95" i="8"/>
  <c r="S95" i="8" s="1"/>
  <c r="R151" i="8"/>
  <c r="S151" i="8" s="1"/>
  <c r="R53" i="8"/>
  <c r="S53" i="8" s="1"/>
  <c r="R108" i="8"/>
  <c r="S108" i="8" s="1"/>
  <c r="R157" i="8"/>
  <c r="S157" i="8" s="1"/>
  <c r="R87" i="8"/>
  <c r="S87" i="8" s="1"/>
  <c r="R170" i="8"/>
  <c r="S170" i="8" s="1"/>
  <c r="R83" i="8"/>
  <c r="S83" i="8" s="1"/>
  <c r="R164" i="8"/>
  <c r="S164" i="8" s="1"/>
  <c r="R64" i="8"/>
  <c r="S64" i="8" s="1"/>
  <c r="H170" i="8"/>
  <c r="I170" i="8" s="1"/>
  <c r="H173" i="8"/>
  <c r="I173" i="8" s="1"/>
  <c r="H177" i="8"/>
  <c r="I177" i="8" s="1"/>
  <c r="H181" i="8"/>
  <c r="I181" i="8" s="1"/>
  <c r="H185" i="8"/>
  <c r="I185" i="8" s="1"/>
  <c r="H189" i="8"/>
  <c r="I189" i="8" s="1"/>
  <c r="H193" i="8"/>
  <c r="I193" i="8" s="1"/>
  <c r="H197" i="8"/>
  <c r="I197" i="8" s="1"/>
  <c r="H201" i="8"/>
  <c r="I201" i="8" s="1"/>
  <c r="H205" i="8"/>
  <c r="I205" i="8" s="1"/>
  <c r="H209" i="8"/>
  <c r="I209" i="8" s="1"/>
  <c r="H213" i="8"/>
  <c r="I213" i="8" s="1"/>
  <c r="H217" i="8"/>
  <c r="I217" i="8" s="1"/>
  <c r="H221" i="8"/>
  <c r="I221" i="8" s="1"/>
  <c r="H225" i="8"/>
  <c r="I225" i="8" s="1"/>
  <c r="H229" i="8"/>
  <c r="I229" i="8" s="1"/>
  <c r="H233" i="8"/>
  <c r="I233" i="8" s="1"/>
  <c r="H237" i="8"/>
  <c r="I237" i="8" s="1"/>
  <c r="H241" i="8"/>
  <c r="I241" i="8" s="1"/>
  <c r="H245" i="8"/>
  <c r="I245" i="8" s="1"/>
  <c r="H249" i="8"/>
  <c r="I249" i="8" s="1"/>
  <c r="H253" i="8"/>
  <c r="I253" i="8" s="1"/>
  <c r="H257" i="8"/>
  <c r="I257" i="8" s="1"/>
  <c r="H261" i="8"/>
  <c r="I261" i="8" s="1"/>
  <c r="H265" i="8"/>
  <c r="I265" i="8" s="1"/>
  <c r="H269" i="8"/>
  <c r="I269" i="8" s="1"/>
  <c r="H273" i="8"/>
  <c r="I273" i="8" s="1"/>
  <c r="H277" i="8"/>
  <c r="I277" i="8" s="1"/>
  <c r="H281" i="8"/>
  <c r="I281" i="8" s="1"/>
  <c r="H285" i="8"/>
  <c r="I285" i="8" s="1"/>
  <c r="H289" i="8"/>
  <c r="I289" i="8" s="1"/>
  <c r="H293" i="8"/>
  <c r="I293" i="8" s="1"/>
  <c r="H297" i="8"/>
  <c r="I297" i="8" s="1"/>
  <c r="H301" i="8"/>
  <c r="I301" i="8" s="1"/>
  <c r="H305" i="8"/>
  <c r="I305" i="8" s="1"/>
  <c r="H309" i="8"/>
  <c r="I309" i="8" s="1"/>
  <c r="H313" i="8"/>
  <c r="I313" i="8" s="1"/>
  <c r="H175" i="8"/>
  <c r="I175" i="8" s="1"/>
  <c r="H179" i="8"/>
  <c r="I179" i="8" s="1"/>
  <c r="H183" i="8"/>
  <c r="I183" i="8" s="1"/>
  <c r="H187" i="8"/>
  <c r="I187" i="8" s="1"/>
  <c r="H191" i="8"/>
  <c r="I191" i="8" s="1"/>
  <c r="H195" i="8"/>
  <c r="I195" i="8" s="1"/>
  <c r="H199" i="8"/>
  <c r="I199" i="8" s="1"/>
  <c r="H203" i="8"/>
  <c r="I203" i="8" s="1"/>
  <c r="H207" i="8"/>
  <c r="I207" i="8" s="1"/>
  <c r="H211" i="8"/>
  <c r="I211" i="8" s="1"/>
  <c r="H215" i="8"/>
  <c r="I215" i="8" s="1"/>
  <c r="H219" i="8"/>
  <c r="I219" i="8" s="1"/>
  <c r="H223" i="8"/>
  <c r="I223" i="8" s="1"/>
  <c r="H227" i="8"/>
  <c r="I227" i="8" s="1"/>
  <c r="H231" i="8"/>
  <c r="I231" i="8" s="1"/>
  <c r="H235" i="8"/>
  <c r="I235" i="8" s="1"/>
  <c r="H239" i="8"/>
  <c r="I239" i="8" s="1"/>
  <c r="H243" i="8"/>
  <c r="I243" i="8" s="1"/>
  <c r="H247" i="8"/>
  <c r="I247" i="8" s="1"/>
  <c r="H251" i="8"/>
  <c r="I251" i="8" s="1"/>
  <c r="H255" i="8"/>
  <c r="I255" i="8" s="1"/>
  <c r="H259" i="8"/>
  <c r="I259" i="8" s="1"/>
  <c r="H263" i="8"/>
  <c r="I263" i="8" s="1"/>
  <c r="H267" i="8"/>
  <c r="I267" i="8" s="1"/>
  <c r="H271" i="8"/>
  <c r="I271" i="8" s="1"/>
  <c r="H275" i="8"/>
  <c r="I275" i="8" s="1"/>
  <c r="H279" i="8"/>
  <c r="I279" i="8" s="1"/>
  <c r="H283" i="8"/>
  <c r="I283" i="8" s="1"/>
  <c r="H287" i="8"/>
  <c r="I287" i="8" s="1"/>
  <c r="H291" i="8"/>
  <c r="I291" i="8" s="1"/>
  <c r="H295" i="8"/>
  <c r="I295" i="8" s="1"/>
  <c r="H299" i="8"/>
  <c r="I299" i="8" s="1"/>
  <c r="H303" i="8"/>
  <c r="I303" i="8" s="1"/>
  <c r="H307" i="8"/>
  <c r="I307" i="8" s="1"/>
  <c r="H311" i="8"/>
  <c r="I311" i="8" s="1"/>
  <c r="H315" i="8"/>
  <c r="I315" i="8" s="1"/>
  <c r="H192" i="8"/>
  <c r="I192" i="8" s="1"/>
  <c r="H304" i="8"/>
  <c r="I304" i="8" s="1"/>
  <c r="H310" i="8"/>
  <c r="I310" i="8" s="1"/>
  <c r="H262" i="8"/>
  <c r="I262" i="8" s="1"/>
  <c r="H208" i="8"/>
  <c r="I208" i="8" s="1"/>
  <c r="H264" i="8"/>
  <c r="I264" i="8" s="1"/>
  <c r="H182" i="8"/>
  <c r="I182" i="8" s="1"/>
  <c r="H292" i="8"/>
  <c r="I292" i="8" s="1"/>
  <c r="H294" i="8"/>
  <c r="I294" i="8" s="1"/>
  <c r="H200" i="8"/>
  <c r="I200" i="8" s="1"/>
  <c r="H256" i="8"/>
  <c r="I256" i="8" s="1"/>
  <c r="H172" i="8"/>
  <c r="I172" i="8" s="1"/>
  <c r="H184" i="8"/>
  <c r="I184" i="8" s="1"/>
  <c r="H194" i="8"/>
  <c r="I194" i="8" s="1"/>
  <c r="H202" i="8"/>
  <c r="I202" i="8" s="1"/>
  <c r="H210" i="8"/>
  <c r="I210" i="8" s="1"/>
  <c r="H218" i="8"/>
  <c r="I218" i="8" s="1"/>
  <c r="H226" i="8"/>
  <c r="I226" i="8" s="1"/>
  <c r="H234" i="8"/>
  <c r="I234" i="8" s="1"/>
  <c r="H242" i="8"/>
  <c r="I242" i="8" s="1"/>
  <c r="H250" i="8"/>
  <c r="I250" i="8" s="1"/>
  <c r="H258" i="8"/>
  <c r="I258" i="8" s="1"/>
  <c r="H266" i="8"/>
  <c r="I266" i="8" s="1"/>
  <c r="H274" i="8"/>
  <c r="I274" i="8" s="1"/>
  <c r="H282" i="8"/>
  <c r="I282" i="8" s="1"/>
  <c r="H290" i="8"/>
  <c r="I290" i="8" s="1"/>
  <c r="H298" i="8"/>
  <c r="I298" i="8" s="1"/>
  <c r="H312" i="8"/>
  <c r="I312" i="8" s="1"/>
  <c r="H284" i="8"/>
  <c r="I284" i="8" s="1"/>
  <c r="H230" i="8"/>
  <c r="I230" i="8" s="1"/>
  <c r="H286" i="8"/>
  <c r="I286" i="8" s="1"/>
  <c r="H190" i="8"/>
  <c r="I190" i="8" s="1"/>
  <c r="H240" i="8"/>
  <c r="I240" i="8" s="1"/>
  <c r="H288" i="8"/>
  <c r="I288" i="8" s="1"/>
  <c r="H174" i="8"/>
  <c r="I174" i="8" s="1"/>
  <c r="H196" i="8"/>
  <c r="I196" i="8" s="1"/>
  <c r="H204" i="8"/>
  <c r="I204" i="8" s="1"/>
  <c r="H212" i="8"/>
  <c r="I212" i="8" s="1"/>
  <c r="H220" i="8"/>
  <c r="I220" i="8" s="1"/>
  <c r="H228" i="8"/>
  <c r="I228" i="8" s="1"/>
  <c r="H236" i="8"/>
  <c r="I236" i="8" s="1"/>
  <c r="H244" i="8"/>
  <c r="I244" i="8" s="1"/>
  <c r="H252" i="8"/>
  <c r="I252" i="8" s="1"/>
  <c r="H260" i="8"/>
  <c r="I260" i="8" s="1"/>
  <c r="H268" i="8"/>
  <c r="I268" i="8" s="1"/>
  <c r="H276" i="8"/>
  <c r="I276" i="8" s="1"/>
  <c r="H300" i="8"/>
  <c r="I300" i="8" s="1"/>
  <c r="H306" i="8"/>
  <c r="I306" i="8" s="1"/>
  <c r="H254" i="8"/>
  <c r="I254" i="8" s="1"/>
  <c r="H302" i="8"/>
  <c r="I302" i="8" s="1"/>
  <c r="H216" i="8"/>
  <c r="I216" i="8" s="1"/>
  <c r="H248" i="8"/>
  <c r="I248" i="8" s="1"/>
  <c r="H296" i="8"/>
  <c r="I296" i="8" s="1"/>
  <c r="H176" i="8"/>
  <c r="I176" i="8" s="1"/>
  <c r="H186" i="8"/>
  <c r="I186" i="8" s="1"/>
  <c r="H178" i="8"/>
  <c r="I178" i="8" s="1"/>
  <c r="H206" i="8"/>
  <c r="I206" i="8" s="1"/>
  <c r="H222" i="8"/>
  <c r="I222" i="8" s="1"/>
  <c r="H246" i="8"/>
  <c r="I246" i="8" s="1"/>
  <c r="H278" i="8"/>
  <c r="I278" i="8" s="1"/>
  <c r="H232" i="8"/>
  <c r="I232" i="8" s="1"/>
  <c r="H280" i="8"/>
  <c r="I280" i="8" s="1"/>
  <c r="H188" i="8"/>
  <c r="I188" i="8" s="1"/>
  <c r="H308" i="8"/>
  <c r="I308" i="8" s="1"/>
  <c r="H314" i="8"/>
  <c r="I314" i="8" s="1"/>
  <c r="H198" i="8"/>
  <c r="I198" i="8" s="1"/>
  <c r="H214" i="8"/>
  <c r="I214" i="8" s="1"/>
  <c r="H238" i="8"/>
  <c r="I238" i="8" s="1"/>
  <c r="H270" i="8"/>
  <c r="I270" i="8" s="1"/>
  <c r="H180" i="8"/>
  <c r="I180" i="8" s="1"/>
  <c r="H224" i="8"/>
  <c r="I224" i="8" s="1"/>
  <c r="H272" i="8"/>
  <c r="I272" i="8" s="1"/>
  <c r="R169" i="8"/>
  <c r="S169" i="8" s="1"/>
  <c r="R177" i="8"/>
  <c r="S177" i="8" s="1"/>
  <c r="R183" i="8"/>
  <c r="S183" i="8" s="1"/>
  <c r="R190" i="8"/>
  <c r="S190" i="8" s="1"/>
  <c r="R196" i="8"/>
  <c r="S196" i="8" s="1"/>
  <c r="R203" i="8"/>
  <c r="S203" i="8" s="1"/>
  <c r="R210" i="8"/>
  <c r="S210" i="8" s="1"/>
  <c r="R216" i="8"/>
  <c r="S216" i="8" s="1"/>
  <c r="R223" i="8"/>
  <c r="S223" i="8" s="1"/>
  <c r="R230" i="8"/>
  <c r="S230" i="8" s="1"/>
  <c r="R237" i="8"/>
  <c r="S237" i="8" s="1"/>
  <c r="R244" i="8"/>
  <c r="S244" i="8" s="1"/>
  <c r="R262" i="8"/>
  <c r="S262" i="8" s="1"/>
  <c r="R270" i="8"/>
  <c r="S270" i="8" s="1"/>
  <c r="R277" i="8"/>
  <c r="S277" i="8" s="1"/>
  <c r="R291" i="8"/>
  <c r="S291" i="8" s="1"/>
  <c r="R297" i="8"/>
  <c r="S297" i="8" s="1"/>
  <c r="R304" i="8"/>
  <c r="S304" i="8" s="1"/>
  <c r="R310" i="8"/>
  <c r="S310" i="8" s="1"/>
  <c r="R172" i="8"/>
  <c r="S172" i="8" s="1"/>
  <c r="R178" i="8"/>
  <c r="S178" i="8" s="1"/>
  <c r="R184" i="8"/>
  <c r="S184" i="8" s="1"/>
  <c r="R197" i="8"/>
  <c r="S197" i="8" s="1"/>
  <c r="R204" i="8"/>
  <c r="S204" i="8" s="1"/>
  <c r="R211" i="8"/>
  <c r="S211" i="8" s="1"/>
  <c r="R217" i="8"/>
  <c r="S217" i="8" s="1"/>
  <c r="R238" i="8"/>
  <c r="S238" i="8" s="1"/>
  <c r="R245" i="8"/>
  <c r="S245" i="8" s="1"/>
  <c r="R251" i="8"/>
  <c r="S251" i="8" s="1"/>
  <c r="R256" i="8"/>
  <c r="S256" i="8" s="1"/>
  <c r="R271" i="8"/>
  <c r="S271" i="8" s="1"/>
  <c r="R278" i="8"/>
  <c r="S278" i="8" s="1"/>
  <c r="R285" i="8"/>
  <c r="S285" i="8" s="1"/>
  <c r="R292" i="8"/>
  <c r="S292" i="8" s="1"/>
  <c r="R298" i="8"/>
  <c r="S298" i="8" s="1"/>
  <c r="R311" i="8"/>
  <c r="S311" i="8" s="1"/>
  <c r="R263" i="8"/>
  <c r="S263" i="8" s="1"/>
  <c r="R174" i="8"/>
  <c r="S174" i="8" s="1"/>
  <c r="R179" i="8"/>
  <c r="S179" i="8" s="1"/>
  <c r="R186" i="8"/>
  <c r="S186" i="8" s="1"/>
  <c r="R206" i="8"/>
  <c r="S206" i="8" s="1"/>
  <c r="R213" i="8"/>
  <c r="S213" i="8" s="1"/>
  <c r="R225" i="8"/>
  <c r="S225" i="8" s="1"/>
  <c r="R232" i="8"/>
  <c r="S232" i="8" s="1"/>
  <c r="R258" i="8"/>
  <c r="S258" i="8" s="1"/>
  <c r="R265" i="8"/>
  <c r="S265" i="8" s="1"/>
  <c r="R273" i="8"/>
  <c r="S273" i="8" s="1"/>
  <c r="R280" i="8"/>
  <c r="S280" i="8" s="1"/>
  <c r="R287" i="8"/>
  <c r="S287" i="8" s="1"/>
  <c r="R293" i="8"/>
  <c r="S293" i="8" s="1"/>
  <c r="R300" i="8"/>
  <c r="S300" i="8" s="1"/>
  <c r="R306" i="8"/>
  <c r="S306" i="8" s="1"/>
  <c r="R181" i="8"/>
  <c r="S181" i="8" s="1"/>
  <c r="R187" i="8"/>
  <c r="S187" i="8" s="1"/>
  <c r="R193" i="8"/>
  <c r="S193" i="8" s="1"/>
  <c r="R200" i="8"/>
  <c r="S200" i="8" s="1"/>
  <c r="R227" i="8"/>
  <c r="S227" i="8" s="1"/>
  <c r="R241" i="8"/>
  <c r="S241" i="8" s="1"/>
  <c r="R254" i="8"/>
  <c r="S254" i="8" s="1"/>
  <c r="R267" i="8"/>
  <c r="S267" i="8" s="1"/>
  <c r="R301" i="8"/>
  <c r="S301" i="8" s="1"/>
  <c r="R314" i="8"/>
  <c r="S314" i="8" s="1"/>
  <c r="R180" i="8"/>
  <c r="S180" i="8" s="1"/>
  <c r="R192" i="8"/>
  <c r="S192" i="8" s="1"/>
  <c r="R199" i="8"/>
  <c r="S199" i="8" s="1"/>
  <c r="R207" i="8"/>
  <c r="S207" i="8" s="1"/>
  <c r="R214" i="8"/>
  <c r="S214" i="8" s="1"/>
  <c r="R219" i="8"/>
  <c r="S219" i="8" s="1"/>
  <c r="R226" i="8"/>
  <c r="S226" i="8" s="1"/>
  <c r="R233" i="8"/>
  <c r="S233" i="8" s="1"/>
  <c r="R240" i="8"/>
  <c r="S240" i="8" s="1"/>
  <c r="R247" i="8"/>
  <c r="S247" i="8" s="1"/>
  <c r="R253" i="8"/>
  <c r="S253" i="8" s="1"/>
  <c r="R266" i="8"/>
  <c r="S266" i="8" s="1"/>
  <c r="R274" i="8"/>
  <c r="S274" i="8" s="1"/>
  <c r="R281" i="8"/>
  <c r="S281" i="8" s="1"/>
  <c r="R288" i="8"/>
  <c r="S288" i="8" s="1"/>
  <c r="R294" i="8"/>
  <c r="S294" i="8" s="1"/>
  <c r="R307" i="8"/>
  <c r="S307" i="8" s="1"/>
  <c r="R313" i="8"/>
  <c r="S313" i="8" s="1"/>
  <c r="R175" i="8"/>
  <c r="S175" i="8" s="1"/>
  <c r="R220" i="8"/>
  <c r="S220" i="8" s="1"/>
  <c r="R234" i="8"/>
  <c r="S234" i="8" s="1"/>
  <c r="R248" i="8"/>
  <c r="S248" i="8" s="1"/>
  <c r="R259" i="8"/>
  <c r="S259" i="8" s="1"/>
  <c r="R275" i="8"/>
  <c r="S275" i="8" s="1"/>
  <c r="R282" i="8"/>
  <c r="S282" i="8" s="1"/>
  <c r="R295" i="8"/>
  <c r="S295" i="8" s="1"/>
  <c r="R308" i="8"/>
  <c r="S308" i="8" s="1"/>
  <c r="R188" i="8"/>
  <c r="S188" i="8" s="1"/>
  <c r="R205" i="8"/>
  <c r="S205" i="8" s="1"/>
  <c r="R222" i="8"/>
  <c r="S222" i="8" s="1"/>
  <c r="R242" i="8"/>
  <c r="S242" i="8" s="1"/>
  <c r="R257" i="8"/>
  <c r="S257" i="8" s="1"/>
  <c r="R296" i="8"/>
  <c r="S296" i="8" s="1"/>
  <c r="R312" i="8"/>
  <c r="S312" i="8" s="1"/>
  <c r="R255" i="8"/>
  <c r="S255" i="8" s="1"/>
  <c r="R173" i="8"/>
  <c r="S173" i="8" s="1"/>
  <c r="R189" i="8"/>
  <c r="S189" i="8" s="1"/>
  <c r="R208" i="8"/>
  <c r="S208" i="8" s="1"/>
  <c r="R224" i="8"/>
  <c r="S224" i="8" s="1"/>
  <c r="R243" i="8"/>
  <c r="S243" i="8" s="1"/>
  <c r="R260" i="8"/>
  <c r="S260" i="8" s="1"/>
  <c r="R279" i="8"/>
  <c r="S279" i="8" s="1"/>
  <c r="R315" i="8"/>
  <c r="S315" i="8" s="1"/>
  <c r="R218" i="8"/>
  <c r="S218" i="8" s="1"/>
  <c r="R276" i="8"/>
  <c r="S276" i="8" s="1"/>
  <c r="R191" i="8"/>
  <c r="S191" i="8" s="1"/>
  <c r="R209" i="8"/>
  <c r="S209" i="8" s="1"/>
  <c r="R228" i="8"/>
  <c r="S228" i="8" s="1"/>
  <c r="R246" i="8"/>
  <c r="S246" i="8" s="1"/>
  <c r="R261" i="8"/>
  <c r="S261" i="8" s="1"/>
  <c r="R283" i="8"/>
  <c r="S283" i="8" s="1"/>
  <c r="R299" i="8"/>
  <c r="S299" i="8" s="1"/>
  <c r="R185" i="8"/>
  <c r="S185" i="8" s="1"/>
  <c r="R176" i="8"/>
  <c r="S176" i="8" s="1"/>
  <c r="R194" i="8"/>
  <c r="S194" i="8" s="1"/>
  <c r="R212" i="8"/>
  <c r="S212" i="8" s="1"/>
  <c r="R229" i="8"/>
  <c r="S229" i="8" s="1"/>
  <c r="R249" i="8"/>
  <c r="S249" i="8" s="1"/>
  <c r="R264" i="8"/>
  <c r="S264" i="8" s="1"/>
  <c r="R284" i="8"/>
  <c r="S284" i="8" s="1"/>
  <c r="R302" i="8"/>
  <c r="S302" i="8" s="1"/>
  <c r="R236" i="8"/>
  <c r="S236" i="8" s="1"/>
  <c r="R202" i="8"/>
  <c r="S202" i="8" s="1"/>
  <c r="R195" i="8"/>
  <c r="S195" i="8" s="1"/>
  <c r="R215" i="8"/>
  <c r="S215" i="8" s="1"/>
  <c r="R231" i="8"/>
  <c r="S231" i="8" s="1"/>
  <c r="R250" i="8"/>
  <c r="S250" i="8" s="1"/>
  <c r="R268" i="8"/>
  <c r="S268" i="8" s="1"/>
  <c r="R286" i="8"/>
  <c r="S286" i="8" s="1"/>
  <c r="R303" i="8"/>
  <c r="S303" i="8" s="1"/>
  <c r="R201" i="8"/>
  <c r="S201" i="8" s="1"/>
  <c r="R290" i="8"/>
  <c r="S290" i="8" s="1"/>
  <c r="R239" i="8"/>
  <c r="S239" i="8" s="1"/>
  <c r="R309" i="8"/>
  <c r="S309" i="8" s="1"/>
  <c r="R182" i="8"/>
  <c r="S182" i="8" s="1"/>
  <c r="R198" i="8"/>
  <c r="S198" i="8" s="1"/>
  <c r="R235" i="8"/>
  <c r="S235" i="8" s="1"/>
  <c r="R252" i="8"/>
  <c r="S252" i="8" s="1"/>
  <c r="R269" i="8"/>
  <c r="S269" i="8" s="1"/>
  <c r="R289" i="8"/>
  <c r="S289" i="8" s="1"/>
  <c r="R305" i="8"/>
  <c r="S305" i="8" s="1"/>
  <c r="R272" i="8"/>
  <c r="S272" i="8" s="1"/>
  <c r="R221" i="8"/>
  <c r="S221" i="8" s="1"/>
  <c r="R126" i="8"/>
  <c r="S126" i="8" s="1"/>
  <c r="F20" i="8"/>
  <c r="G20" i="8" s="1"/>
  <c r="F174" i="8"/>
  <c r="G174" i="8" s="1"/>
  <c r="F176" i="8"/>
  <c r="G176" i="8" s="1"/>
  <c r="F178" i="8"/>
  <c r="G178" i="8" s="1"/>
  <c r="F180" i="8"/>
  <c r="G180" i="8" s="1"/>
  <c r="F182" i="8"/>
  <c r="G182" i="8" s="1"/>
  <c r="F184" i="8"/>
  <c r="G184" i="8" s="1"/>
  <c r="F186" i="8"/>
  <c r="G186" i="8" s="1"/>
  <c r="F188" i="8"/>
  <c r="G188" i="8" s="1"/>
  <c r="F190" i="8"/>
  <c r="G190" i="8" s="1"/>
  <c r="F192" i="8"/>
  <c r="G192" i="8" s="1"/>
  <c r="F194" i="8"/>
  <c r="G194" i="8" s="1"/>
  <c r="F196" i="8"/>
  <c r="G196" i="8" s="1"/>
  <c r="F198" i="8"/>
  <c r="G198" i="8" s="1"/>
  <c r="F200" i="8"/>
  <c r="G200" i="8" s="1"/>
  <c r="F202" i="8"/>
  <c r="G202" i="8" s="1"/>
  <c r="F204" i="8"/>
  <c r="G204" i="8" s="1"/>
  <c r="F206" i="8"/>
  <c r="G206" i="8" s="1"/>
  <c r="F208" i="8"/>
  <c r="G208" i="8" s="1"/>
  <c r="F210" i="8"/>
  <c r="G210" i="8" s="1"/>
  <c r="F212" i="8"/>
  <c r="G212" i="8" s="1"/>
  <c r="F214" i="8"/>
  <c r="G214" i="8" s="1"/>
  <c r="F216" i="8"/>
  <c r="G216" i="8" s="1"/>
  <c r="F218" i="8"/>
  <c r="G218" i="8" s="1"/>
  <c r="F220" i="8"/>
  <c r="G220" i="8" s="1"/>
  <c r="F222" i="8"/>
  <c r="G222" i="8" s="1"/>
  <c r="F224" i="8"/>
  <c r="G224" i="8" s="1"/>
  <c r="F226" i="8"/>
  <c r="G226" i="8" s="1"/>
  <c r="F228" i="8"/>
  <c r="G228" i="8" s="1"/>
  <c r="F230" i="8"/>
  <c r="G230" i="8" s="1"/>
  <c r="F232" i="8"/>
  <c r="G232" i="8" s="1"/>
  <c r="F234" i="8"/>
  <c r="G234" i="8" s="1"/>
  <c r="F236" i="8"/>
  <c r="G236" i="8" s="1"/>
  <c r="F238" i="8"/>
  <c r="G238" i="8" s="1"/>
  <c r="F240" i="8"/>
  <c r="G240" i="8" s="1"/>
  <c r="F242" i="8"/>
  <c r="G242" i="8" s="1"/>
  <c r="F244" i="8"/>
  <c r="G244" i="8" s="1"/>
  <c r="F246" i="8"/>
  <c r="G246" i="8" s="1"/>
  <c r="F248" i="8"/>
  <c r="G248" i="8" s="1"/>
  <c r="F250" i="8"/>
  <c r="G250" i="8" s="1"/>
  <c r="F252" i="8"/>
  <c r="G252" i="8" s="1"/>
  <c r="F254" i="8"/>
  <c r="G254" i="8" s="1"/>
  <c r="F172" i="8"/>
  <c r="G172" i="8" s="1"/>
  <c r="F173" i="8"/>
  <c r="G173" i="8" s="1"/>
  <c r="F175" i="8"/>
  <c r="G175" i="8" s="1"/>
  <c r="F177" i="8"/>
  <c r="G177" i="8" s="1"/>
  <c r="F179" i="8"/>
  <c r="G179" i="8" s="1"/>
  <c r="F181" i="8"/>
  <c r="G181" i="8" s="1"/>
  <c r="F183" i="8"/>
  <c r="G183" i="8" s="1"/>
  <c r="F185" i="8"/>
  <c r="G185" i="8" s="1"/>
  <c r="F187" i="8"/>
  <c r="G187" i="8" s="1"/>
  <c r="F189" i="8"/>
  <c r="G189" i="8" s="1"/>
  <c r="F191" i="8"/>
  <c r="G191" i="8" s="1"/>
  <c r="F193" i="8"/>
  <c r="G193" i="8" s="1"/>
  <c r="F195" i="8"/>
  <c r="G195" i="8" s="1"/>
  <c r="F197" i="8"/>
  <c r="G197" i="8" s="1"/>
  <c r="F199" i="8"/>
  <c r="G199" i="8" s="1"/>
  <c r="F201" i="8"/>
  <c r="G201" i="8" s="1"/>
  <c r="F203" i="8"/>
  <c r="G203" i="8" s="1"/>
  <c r="F205" i="8"/>
  <c r="G205" i="8" s="1"/>
  <c r="F207" i="8"/>
  <c r="G207" i="8" s="1"/>
  <c r="F209" i="8"/>
  <c r="G209" i="8" s="1"/>
  <c r="F211" i="8"/>
  <c r="G211" i="8" s="1"/>
  <c r="F213" i="8"/>
  <c r="G213" i="8" s="1"/>
  <c r="F215" i="8"/>
  <c r="G215" i="8" s="1"/>
  <c r="F217" i="8"/>
  <c r="G217" i="8" s="1"/>
  <c r="F219" i="8"/>
  <c r="G219" i="8" s="1"/>
  <c r="F221" i="8"/>
  <c r="G221" i="8" s="1"/>
  <c r="F223" i="8"/>
  <c r="G223" i="8" s="1"/>
  <c r="F225" i="8"/>
  <c r="G225" i="8" s="1"/>
  <c r="F227" i="8"/>
  <c r="G227" i="8" s="1"/>
  <c r="F229" i="8"/>
  <c r="G229" i="8" s="1"/>
  <c r="F231" i="8"/>
  <c r="G231" i="8" s="1"/>
  <c r="F233" i="8"/>
  <c r="G233" i="8" s="1"/>
  <c r="F235" i="8"/>
  <c r="G235" i="8" s="1"/>
  <c r="F237" i="8"/>
  <c r="G237" i="8" s="1"/>
  <c r="F239" i="8"/>
  <c r="G239" i="8" s="1"/>
  <c r="F241" i="8"/>
  <c r="G241" i="8" s="1"/>
  <c r="F243" i="8"/>
  <c r="G243" i="8" s="1"/>
  <c r="F245" i="8"/>
  <c r="G245" i="8" s="1"/>
  <c r="F247" i="8"/>
  <c r="G247" i="8" s="1"/>
  <c r="F249" i="8"/>
  <c r="G249" i="8" s="1"/>
  <c r="F251" i="8"/>
  <c r="G251" i="8" s="1"/>
  <c r="F253" i="8"/>
  <c r="G253" i="8" s="1"/>
  <c r="F255" i="8"/>
  <c r="G255" i="8" s="1"/>
  <c r="F257" i="8"/>
  <c r="G257" i="8" s="1"/>
  <c r="F259" i="8"/>
  <c r="G259" i="8" s="1"/>
  <c r="F265" i="8"/>
  <c r="G265" i="8" s="1"/>
  <c r="F274" i="8"/>
  <c r="G274" i="8" s="1"/>
  <c r="F281" i="8"/>
  <c r="G281" i="8" s="1"/>
  <c r="F290" i="8"/>
  <c r="G290" i="8" s="1"/>
  <c r="F270" i="8"/>
  <c r="G270" i="8" s="1"/>
  <c r="F286" i="8"/>
  <c r="G286" i="8" s="1"/>
  <c r="F295" i="8"/>
  <c r="G295" i="8" s="1"/>
  <c r="F299" i="8"/>
  <c r="G299" i="8" s="1"/>
  <c r="F303" i="8"/>
  <c r="G303" i="8" s="1"/>
  <c r="F307" i="8"/>
  <c r="G307" i="8" s="1"/>
  <c r="F311" i="8"/>
  <c r="G311" i="8" s="1"/>
  <c r="F315" i="8"/>
  <c r="G315" i="8" s="1"/>
  <c r="F256" i="8"/>
  <c r="G256" i="8" s="1"/>
  <c r="F268" i="8"/>
  <c r="G268" i="8" s="1"/>
  <c r="F266" i="8"/>
  <c r="G266" i="8" s="1"/>
  <c r="F289" i="8"/>
  <c r="G289" i="8" s="1"/>
  <c r="F258" i="8"/>
  <c r="G258" i="8" s="1"/>
  <c r="F263" i="8"/>
  <c r="G263" i="8" s="1"/>
  <c r="F272" i="8"/>
  <c r="G272" i="8" s="1"/>
  <c r="F279" i="8"/>
  <c r="G279" i="8" s="1"/>
  <c r="F288" i="8"/>
  <c r="G288" i="8" s="1"/>
  <c r="F261" i="8"/>
  <c r="G261" i="8" s="1"/>
  <c r="F277" i="8"/>
  <c r="G277" i="8" s="1"/>
  <c r="F293" i="8"/>
  <c r="G293" i="8" s="1"/>
  <c r="F297" i="8"/>
  <c r="G297" i="8" s="1"/>
  <c r="F301" i="8"/>
  <c r="G301" i="8" s="1"/>
  <c r="F305" i="8"/>
  <c r="G305" i="8" s="1"/>
  <c r="F309" i="8"/>
  <c r="G309" i="8" s="1"/>
  <c r="F313" i="8"/>
  <c r="G313" i="8" s="1"/>
  <c r="F275" i="8"/>
  <c r="G275" i="8" s="1"/>
  <c r="F284" i="8"/>
  <c r="G284" i="8" s="1"/>
  <c r="F291" i="8"/>
  <c r="G291" i="8" s="1"/>
  <c r="F282" i="8"/>
  <c r="G282" i="8" s="1"/>
  <c r="F264" i="8"/>
  <c r="G264" i="8" s="1"/>
  <c r="F271" i="8"/>
  <c r="G271" i="8" s="1"/>
  <c r="F280" i="8"/>
  <c r="G280" i="8" s="1"/>
  <c r="F287" i="8"/>
  <c r="G287" i="8" s="1"/>
  <c r="F262" i="8"/>
  <c r="G262" i="8" s="1"/>
  <c r="F269" i="8"/>
  <c r="G269" i="8" s="1"/>
  <c r="F278" i="8"/>
  <c r="G278" i="8" s="1"/>
  <c r="F285" i="8"/>
  <c r="G285" i="8" s="1"/>
  <c r="F294" i="8"/>
  <c r="G294" i="8" s="1"/>
  <c r="F296" i="8"/>
  <c r="G296" i="8" s="1"/>
  <c r="F298" i="8"/>
  <c r="G298" i="8" s="1"/>
  <c r="F300" i="8"/>
  <c r="G300" i="8" s="1"/>
  <c r="F302" i="8"/>
  <c r="G302" i="8" s="1"/>
  <c r="F304" i="8"/>
  <c r="G304" i="8" s="1"/>
  <c r="F306" i="8"/>
  <c r="G306" i="8" s="1"/>
  <c r="F308" i="8"/>
  <c r="G308" i="8" s="1"/>
  <c r="F310" i="8"/>
  <c r="G310" i="8" s="1"/>
  <c r="F312" i="8"/>
  <c r="G312" i="8" s="1"/>
  <c r="F314" i="8"/>
  <c r="G314" i="8" s="1"/>
  <c r="F260" i="8"/>
  <c r="G260" i="8" s="1"/>
  <c r="F267" i="8"/>
  <c r="G267" i="8" s="1"/>
  <c r="F276" i="8"/>
  <c r="G276" i="8" s="1"/>
  <c r="F283" i="8"/>
  <c r="G283" i="8" s="1"/>
  <c r="F292" i="8"/>
  <c r="G292" i="8" s="1"/>
  <c r="F273" i="8"/>
  <c r="G273" i="8" s="1"/>
  <c r="P149" i="8"/>
  <c r="Q149" i="8" s="1"/>
  <c r="P186" i="8"/>
  <c r="Q186" i="8" s="1"/>
  <c r="P189" i="8"/>
  <c r="Q189" i="8" s="1"/>
  <c r="P195" i="8"/>
  <c r="Q195" i="8" s="1"/>
  <c r="P206" i="8"/>
  <c r="Q206" i="8" s="1"/>
  <c r="P213" i="8"/>
  <c r="Q213" i="8" s="1"/>
  <c r="P216" i="8"/>
  <c r="Q216" i="8" s="1"/>
  <c r="P232" i="8"/>
  <c r="Q232" i="8" s="1"/>
  <c r="P250" i="8"/>
  <c r="Q250" i="8" s="1"/>
  <c r="P253" i="8"/>
  <c r="Q253" i="8" s="1"/>
  <c r="P259" i="8"/>
  <c r="Q259" i="8" s="1"/>
  <c r="P262" i="8"/>
  <c r="Q262" i="8" s="1"/>
  <c r="P265" i="8"/>
  <c r="Q265" i="8" s="1"/>
  <c r="P268" i="8"/>
  <c r="Q268" i="8" s="1"/>
  <c r="P279" i="8"/>
  <c r="Q279" i="8" s="1"/>
  <c r="P283" i="8"/>
  <c r="Q283" i="8" s="1"/>
  <c r="P296" i="8"/>
  <c r="Q296" i="8" s="1"/>
  <c r="P312" i="8"/>
  <c r="Q312" i="8" s="1"/>
  <c r="P174" i="8"/>
  <c r="Q174" i="8" s="1"/>
  <c r="P177" i="8"/>
  <c r="Q177" i="8" s="1"/>
  <c r="P180" i="8"/>
  <c r="Q180" i="8" s="1"/>
  <c r="P183" i="8"/>
  <c r="Q183" i="8" s="1"/>
  <c r="P192" i="8"/>
  <c r="Q192" i="8" s="1"/>
  <c r="P199" i="8"/>
  <c r="Q199" i="8" s="1"/>
  <c r="P219" i="8"/>
  <c r="Q219" i="8" s="1"/>
  <c r="P229" i="8"/>
  <c r="Q229" i="8" s="1"/>
  <c r="P236" i="8"/>
  <c r="Q236" i="8" s="1"/>
  <c r="P243" i="8"/>
  <c r="Q243" i="8" s="1"/>
  <c r="P256" i="8"/>
  <c r="Q256" i="8" s="1"/>
  <c r="P272" i="8"/>
  <c r="Q272" i="8" s="1"/>
  <c r="P276" i="8"/>
  <c r="Q276" i="8" s="1"/>
  <c r="P287" i="8"/>
  <c r="Q287" i="8" s="1"/>
  <c r="P290" i="8"/>
  <c r="Q290" i="8" s="1"/>
  <c r="P293" i="8"/>
  <c r="Q293" i="8" s="1"/>
  <c r="P303" i="8"/>
  <c r="Q303" i="8" s="1"/>
  <c r="P306" i="8"/>
  <c r="Q306" i="8" s="1"/>
  <c r="P309" i="8"/>
  <c r="Q309" i="8" s="1"/>
  <c r="P196" i="8"/>
  <c r="Q196" i="8" s="1"/>
  <c r="P203" i="8"/>
  <c r="Q203" i="8" s="1"/>
  <c r="P207" i="8"/>
  <c r="Q207" i="8" s="1"/>
  <c r="P210" i="8"/>
  <c r="Q210" i="8" s="1"/>
  <c r="P214" i="8"/>
  <c r="Q214" i="8" s="1"/>
  <c r="P217" i="8"/>
  <c r="Q217" i="8" s="1"/>
  <c r="P223" i="8"/>
  <c r="Q223" i="8" s="1"/>
  <c r="P226" i="8"/>
  <c r="Q226" i="8" s="1"/>
  <c r="P233" i="8"/>
  <c r="Q233" i="8" s="1"/>
  <c r="P240" i="8"/>
  <c r="Q240" i="8" s="1"/>
  <c r="P247" i="8"/>
  <c r="Q247" i="8" s="1"/>
  <c r="P254" i="8"/>
  <c r="Q254" i="8" s="1"/>
  <c r="P269" i="8"/>
  <c r="Q269" i="8" s="1"/>
  <c r="P280" i="8"/>
  <c r="Q280" i="8" s="1"/>
  <c r="P284" i="8"/>
  <c r="Q284" i="8" s="1"/>
  <c r="P300" i="8"/>
  <c r="Q300" i="8" s="1"/>
  <c r="P181" i="8"/>
  <c r="Q181" i="8" s="1"/>
  <c r="P184" i="8"/>
  <c r="Q184" i="8" s="1"/>
  <c r="P190" i="8"/>
  <c r="Q190" i="8" s="1"/>
  <c r="P193" i="8"/>
  <c r="Q193" i="8" s="1"/>
  <c r="P200" i="8"/>
  <c r="Q200" i="8" s="1"/>
  <c r="P220" i="8"/>
  <c r="Q220" i="8" s="1"/>
  <c r="P230" i="8"/>
  <c r="Q230" i="8" s="1"/>
  <c r="P237" i="8"/>
  <c r="Q237" i="8" s="1"/>
  <c r="P244" i="8"/>
  <c r="Q244" i="8" s="1"/>
  <c r="P251" i="8"/>
  <c r="Q251" i="8" s="1"/>
  <c r="P257" i="8"/>
  <c r="Q257" i="8" s="1"/>
  <c r="P260" i="8"/>
  <c r="Q260" i="8" s="1"/>
  <c r="P263" i="8"/>
  <c r="Q263" i="8" s="1"/>
  <c r="P266" i="8"/>
  <c r="Q266" i="8" s="1"/>
  <c r="P273" i="8"/>
  <c r="Q273" i="8" s="1"/>
  <c r="P291" i="8"/>
  <c r="Q291" i="8" s="1"/>
  <c r="P294" i="8"/>
  <c r="Q294" i="8" s="1"/>
  <c r="P297" i="8"/>
  <c r="Q297" i="8" s="1"/>
  <c r="P307" i="8"/>
  <c r="Q307" i="8" s="1"/>
  <c r="P310" i="8"/>
  <c r="Q310" i="8" s="1"/>
  <c r="P313" i="8"/>
  <c r="Q313" i="8" s="1"/>
  <c r="P172" i="8"/>
  <c r="Q172" i="8" s="1"/>
  <c r="P175" i="8"/>
  <c r="Q175" i="8" s="1"/>
  <c r="P178" i="8"/>
  <c r="Q178" i="8" s="1"/>
  <c r="P187" i="8"/>
  <c r="Q187" i="8" s="1"/>
  <c r="P197" i="8"/>
  <c r="Q197" i="8" s="1"/>
  <c r="P204" i="8"/>
  <c r="Q204" i="8" s="1"/>
  <c r="P211" i="8"/>
  <c r="Q211" i="8" s="1"/>
  <c r="P234" i="8"/>
  <c r="Q234" i="8" s="1"/>
  <c r="P241" i="8"/>
  <c r="Q241" i="8" s="1"/>
  <c r="P248" i="8"/>
  <c r="Q248" i="8" s="1"/>
  <c r="P277" i="8"/>
  <c r="Q277" i="8" s="1"/>
  <c r="P281" i="8"/>
  <c r="Q281" i="8" s="1"/>
  <c r="P288" i="8"/>
  <c r="Q288" i="8" s="1"/>
  <c r="P304" i="8"/>
  <c r="Q304" i="8" s="1"/>
  <c r="P185" i="8"/>
  <c r="Q185" i="8" s="1"/>
  <c r="P194" i="8"/>
  <c r="Q194" i="8" s="1"/>
  <c r="P205" i="8"/>
  <c r="Q205" i="8" s="1"/>
  <c r="P215" i="8"/>
  <c r="Q215" i="8" s="1"/>
  <c r="P228" i="8"/>
  <c r="Q228" i="8" s="1"/>
  <c r="P261" i="8"/>
  <c r="Q261" i="8" s="1"/>
  <c r="P301" i="8"/>
  <c r="Q301" i="8" s="1"/>
  <c r="P311" i="8"/>
  <c r="Q311" i="8" s="1"/>
  <c r="P315" i="8"/>
  <c r="Q315" i="8" s="1"/>
  <c r="P278" i="8"/>
  <c r="Q278" i="8" s="1"/>
  <c r="P298" i="8"/>
  <c r="Q298" i="8" s="1"/>
  <c r="P182" i="8"/>
  <c r="Q182" i="8" s="1"/>
  <c r="P191" i="8"/>
  <c r="Q191" i="8" s="1"/>
  <c r="P221" i="8"/>
  <c r="Q221" i="8" s="1"/>
  <c r="P225" i="8"/>
  <c r="Q225" i="8" s="1"/>
  <c r="P245" i="8"/>
  <c r="Q245" i="8" s="1"/>
  <c r="P289" i="8"/>
  <c r="Q289" i="8" s="1"/>
  <c r="P295" i="8"/>
  <c r="Q295" i="8" s="1"/>
  <c r="P224" i="8"/>
  <c r="Q224" i="8" s="1"/>
  <c r="P239" i="8"/>
  <c r="Q239" i="8" s="1"/>
  <c r="P267" i="8"/>
  <c r="Q267" i="8" s="1"/>
  <c r="P201" i="8"/>
  <c r="Q201" i="8" s="1"/>
  <c r="P249" i="8"/>
  <c r="Q249" i="8" s="1"/>
  <c r="P302" i="8"/>
  <c r="Q302" i="8" s="1"/>
  <c r="P173" i="8"/>
  <c r="Q173" i="8" s="1"/>
  <c r="P212" i="8"/>
  <c r="Q212" i="8" s="1"/>
  <c r="P235" i="8"/>
  <c r="Q235" i="8" s="1"/>
  <c r="P258" i="8"/>
  <c r="Q258" i="8" s="1"/>
  <c r="P274" i="8"/>
  <c r="Q274" i="8" s="1"/>
  <c r="P308" i="8"/>
  <c r="Q308" i="8" s="1"/>
  <c r="P202" i="8"/>
  <c r="Q202" i="8" s="1"/>
  <c r="P285" i="8"/>
  <c r="Q285" i="8" s="1"/>
  <c r="P299" i="8"/>
  <c r="Q299" i="8" s="1"/>
  <c r="P176" i="8"/>
  <c r="Q176" i="8" s="1"/>
  <c r="P198" i="8"/>
  <c r="Q198" i="8" s="1"/>
  <c r="P208" i="8"/>
  <c r="Q208" i="8" s="1"/>
  <c r="P218" i="8"/>
  <c r="Q218" i="8" s="1"/>
  <c r="P222" i="8"/>
  <c r="Q222" i="8" s="1"/>
  <c r="P231" i="8"/>
  <c r="Q231" i="8" s="1"/>
  <c r="P246" i="8"/>
  <c r="Q246" i="8" s="1"/>
  <c r="P255" i="8"/>
  <c r="Q255" i="8" s="1"/>
  <c r="P264" i="8"/>
  <c r="Q264" i="8" s="1"/>
  <c r="P270" i="8"/>
  <c r="Q270" i="8" s="1"/>
  <c r="P275" i="8"/>
  <c r="Q275" i="8" s="1"/>
  <c r="P188" i="8"/>
  <c r="Q188" i="8" s="1"/>
  <c r="P227" i="8"/>
  <c r="Q227" i="8" s="1"/>
  <c r="P286" i="8"/>
  <c r="Q286" i="8" s="1"/>
  <c r="P314" i="8"/>
  <c r="Q314" i="8" s="1"/>
  <c r="P179" i="8"/>
  <c r="Q179" i="8" s="1"/>
  <c r="P209" i="8"/>
  <c r="Q209" i="8" s="1"/>
  <c r="P238" i="8"/>
  <c r="Q238" i="8" s="1"/>
  <c r="P242" i="8"/>
  <c r="Q242" i="8" s="1"/>
  <c r="P252" i="8"/>
  <c r="Q252" i="8" s="1"/>
  <c r="P271" i="8"/>
  <c r="Q271" i="8" s="1"/>
  <c r="P282" i="8"/>
  <c r="Q282" i="8" s="1"/>
  <c r="P292" i="8"/>
  <c r="Q292" i="8" s="1"/>
  <c r="P305" i="8"/>
  <c r="Q305" i="8" s="1"/>
  <c r="N235" i="8"/>
  <c r="O235" i="8" s="1"/>
  <c r="N297" i="8"/>
  <c r="O297" i="8" s="1"/>
  <c r="N209" i="8"/>
  <c r="O209" i="8" s="1"/>
  <c r="N221" i="8"/>
  <c r="O221" i="8" s="1"/>
  <c r="N227" i="8"/>
  <c r="O227" i="8" s="1"/>
  <c r="N184" i="8"/>
  <c r="O184" i="8" s="1"/>
  <c r="N259" i="8"/>
  <c r="O259" i="8" s="1"/>
  <c r="N182" i="8"/>
  <c r="O182" i="8" s="1"/>
  <c r="N204" i="8"/>
  <c r="O204" i="8" s="1"/>
  <c r="N274" i="8"/>
  <c r="O274" i="8" s="1"/>
  <c r="N216" i="8"/>
  <c r="O216" i="8" s="1"/>
  <c r="N295" i="8"/>
  <c r="O295" i="8" s="1"/>
  <c r="N206" i="8"/>
  <c r="O206" i="8" s="1"/>
  <c r="N172" i="8"/>
  <c r="O172" i="8" s="1"/>
  <c r="N275" i="8"/>
  <c r="O275" i="8" s="1"/>
  <c r="N215" i="8"/>
  <c r="O215" i="8" s="1"/>
  <c r="N284" i="8"/>
  <c r="O284" i="8" s="1"/>
  <c r="N225" i="8"/>
  <c r="O225" i="8" s="1"/>
  <c r="N179" i="8"/>
  <c r="O179" i="8" s="1"/>
  <c r="N202" i="8"/>
  <c r="O202" i="8" s="1"/>
  <c r="N309" i="8"/>
  <c r="O309" i="8" s="1"/>
  <c r="N248" i="8"/>
  <c r="O248" i="8" s="1"/>
  <c r="N181" i="8"/>
  <c r="O181" i="8" s="1"/>
  <c r="N192" i="8"/>
  <c r="O192" i="8" s="1"/>
  <c r="N243" i="8"/>
  <c r="O243" i="8" s="1"/>
  <c r="D277" i="8"/>
  <c r="E277" i="8" s="1"/>
  <c r="D304" i="8"/>
  <c r="E304" i="8" s="1"/>
  <c r="D272" i="8"/>
  <c r="E272" i="8" s="1"/>
  <c r="D240" i="8"/>
  <c r="E240" i="8" s="1"/>
  <c r="D208" i="8"/>
  <c r="E208" i="8" s="1"/>
  <c r="D176" i="8"/>
  <c r="E176" i="8" s="1"/>
  <c r="D221" i="8"/>
  <c r="E221" i="8" s="1"/>
  <c r="D298" i="8"/>
  <c r="E298" i="8" s="1"/>
  <c r="D266" i="8"/>
  <c r="E266" i="8" s="1"/>
  <c r="D234" i="8"/>
  <c r="E234" i="8" s="1"/>
  <c r="D202" i="8"/>
  <c r="E202" i="8" s="1"/>
  <c r="D172" i="8"/>
  <c r="E172" i="8" s="1"/>
  <c r="D185" i="8"/>
  <c r="E185" i="8" s="1"/>
  <c r="D287" i="8"/>
  <c r="E287" i="8" s="1"/>
  <c r="D255" i="8"/>
  <c r="E255" i="8" s="1"/>
  <c r="D223" i="8"/>
  <c r="E223" i="8" s="1"/>
  <c r="D191" i="8"/>
  <c r="E191" i="8" s="1"/>
  <c r="D257" i="8"/>
  <c r="E257" i="8" s="1"/>
  <c r="N256" i="8"/>
  <c r="O256" i="8" s="1"/>
  <c r="N186" i="8"/>
  <c r="O186" i="8" s="1"/>
  <c r="N267" i="8"/>
  <c r="O267" i="8" s="1"/>
  <c r="N214" i="8"/>
  <c r="O214" i="8" s="1"/>
  <c r="N282" i="8"/>
  <c r="O282" i="8" s="1"/>
  <c r="N194" i="8"/>
  <c r="O194" i="8" s="1"/>
  <c r="N308" i="8"/>
  <c r="O308" i="8" s="1"/>
  <c r="N273" i="8"/>
  <c r="O273" i="8" s="1"/>
  <c r="N213" i="8"/>
  <c r="O213" i="8" s="1"/>
  <c r="N279" i="8"/>
  <c r="O279" i="8" s="1"/>
  <c r="N223" i="8"/>
  <c r="O223" i="8" s="1"/>
  <c r="N177" i="8"/>
  <c r="O177" i="8" s="1"/>
  <c r="N176" i="8"/>
  <c r="O176" i="8" s="1"/>
  <c r="N307" i="8"/>
  <c r="O307" i="8" s="1"/>
  <c r="N241" i="8"/>
  <c r="O241" i="8" s="1"/>
  <c r="N265" i="8"/>
  <c r="O265" i="8" s="1"/>
  <c r="N188" i="8"/>
  <c r="O188" i="8" s="1"/>
  <c r="N236" i="8"/>
  <c r="O236" i="8" s="1"/>
  <c r="N185" i="8"/>
  <c r="O185" i="8" s="1"/>
  <c r="D283" i="8"/>
  <c r="E283" i="8" s="1"/>
  <c r="D251" i="8"/>
  <c r="E251" i="8" s="1"/>
  <c r="D219" i="8"/>
  <c r="E219" i="8" s="1"/>
  <c r="D187" i="8"/>
  <c r="E187" i="8" s="1"/>
  <c r="D245" i="8"/>
  <c r="E245" i="8" s="1"/>
  <c r="N233" i="8"/>
  <c r="O233" i="8" s="1"/>
  <c r="N315" i="8"/>
  <c r="O315" i="8" s="1"/>
  <c r="N263" i="8"/>
  <c r="O263" i="8" s="1"/>
  <c r="N207" i="8"/>
  <c r="O207" i="8" s="1"/>
  <c r="N260" i="8"/>
  <c r="O260" i="8" s="1"/>
  <c r="N289" i="8"/>
  <c r="O289" i="8" s="1"/>
  <c r="N280" i="8"/>
  <c r="O280" i="8" s="1"/>
  <c r="N264" i="8"/>
  <c r="O264" i="8" s="1"/>
  <c r="N208" i="8"/>
  <c r="O208" i="8" s="1"/>
  <c r="N268" i="8"/>
  <c r="O268" i="8" s="1"/>
  <c r="N217" i="8"/>
  <c r="O217" i="8" s="1"/>
  <c r="N175" i="8"/>
  <c r="O175" i="8" s="1"/>
  <c r="N291" i="8"/>
  <c r="O291" i="8" s="1"/>
  <c r="N292" i="8"/>
  <c r="O292" i="8" s="1"/>
  <c r="N234" i="8"/>
  <c r="O234" i="8" s="1"/>
  <c r="N245" i="8"/>
  <c r="O245" i="8" s="1"/>
  <c r="N313" i="8"/>
  <c r="O313" i="8" s="1"/>
  <c r="N231" i="8"/>
  <c r="O231" i="8" s="1"/>
  <c r="D225" i="8"/>
  <c r="E225" i="8" s="1"/>
  <c r="D296" i="8"/>
  <c r="E296" i="8" s="1"/>
  <c r="D264" i="8"/>
  <c r="E264" i="8" s="1"/>
  <c r="D232" i="8"/>
  <c r="E232" i="8" s="1"/>
  <c r="D200" i="8"/>
  <c r="E200" i="8" s="1"/>
  <c r="D289" i="8"/>
  <c r="E289" i="8" s="1"/>
  <c r="D189" i="8"/>
  <c r="E189" i="8" s="1"/>
  <c r="D290" i="8"/>
  <c r="E290" i="8" s="1"/>
  <c r="D258" i="8"/>
  <c r="E258" i="8" s="1"/>
  <c r="D226" i="8"/>
  <c r="E226" i="8" s="1"/>
  <c r="D194" i="8"/>
  <c r="E194" i="8" s="1"/>
  <c r="D305" i="8"/>
  <c r="E305" i="8" s="1"/>
  <c r="D311" i="8"/>
  <c r="E311" i="8" s="1"/>
  <c r="D279" i="8"/>
  <c r="E279" i="8" s="1"/>
  <c r="D247" i="8"/>
  <c r="E247" i="8" s="1"/>
  <c r="D215" i="8"/>
  <c r="E215" i="8" s="1"/>
  <c r="D183" i="8"/>
  <c r="E183" i="8" s="1"/>
  <c r="D237" i="8"/>
  <c r="E237" i="8" s="1"/>
  <c r="N226" i="8"/>
  <c r="O226" i="8" s="1"/>
  <c r="N300" i="8"/>
  <c r="O300" i="8" s="1"/>
  <c r="N261" i="8"/>
  <c r="O261" i="8" s="1"/>
  <c r="N195" i="8"/>
  <c r="O195" i="8" s="1"/>
  <c r="N258" i="8"/>
  <c r="O258" i="8" s="1"/>
  <c r="N276" i="8"/>
  <c r="O276" i="8" s="1"/>
  <c r="N228" i="8"/>
  <c r="O228" i="8" s="1"/>
  <c r="N262" i="8"/>
  <c r="O262" i="8" s="1"/>
  <c r="N201" i="8"/>
  <c r="O201" i="8" s="1"/>
  <c r="N266" i="8"/>
  <c r="O266" i="8" s="1"/>
  <c r="N210" i="8"/>
  <c r="O210" i="8" s="1"/>
  <c r="N173" i="8"/>
  <c r="O173" i="8" s="1"/>
  <c r="N254" i="8"/>
  <c r="O254" i="8" s="1"/>
  <c r="N290" i="8"/>
  <c r="O290" i="8" s="1"/>
  <c r="N205" i="8"/>
  <c r="O205" i="8" s="1"/>
  <c r="N178" i="8"/>
  <c r="O178" i="8" s="1"/>
  <c r="N311" i="8"/>
  <c r="O311" i="8" s="1"/>
  <c r="N229" i="8"/>
  <c r="O229" i="8" s="1"/>
  <c r="N278" i="8"/>
  <c r="O278" i="8" s="1"/>
  <c r="N197" i="8"/>
  <c r="O197" i="8" s="1"/>
  <c r="D281" i="8"/>
  <c r="E281" i="8" s="1"/>
  <c r="D286" i="8"/>
  <c r="E286" i="8" s="1"/>
  <c r="D190" i="8"/>
  <c r="E190" i="8" s="1"/>
  <c r="D275" i="8"/>
  <c r="E275" i="8" s="1"/>
  <c r="D179" i="8"/>
  <c r="E179" i="8" s="1"/>
  <c r="N298" i="8"/>
  <c r="O298" i="8" s="1"/>
  <c r="N180" i="8"/>
  <c r="O180" i="8" s="1"/>
  <c r="N249" i="8"/>
  <c r="O249" i="8" s="1"/>
  <c r="N314" i="8"/>
  <c r="O314" i="8" s="1"/>
  <c r="N251" i="8"/>
  <c r="O251" i="8" s="1"/>
  <c r="N305" i="8"/>
  <c r="O305" i="8" s="1"/>
  <c r="N253" i="8"/>
  <c r="O253" i="8" s="1"/>
  <c r="N203" i="8"/>
  <c r="O203" i="8" s="1"/>
  <c r="N302" i="8"/>
  <c r="O302" i="8" s="1"/>
  <c r="N211" i="8"/>
  <c r="O211" i="8" s="1"/>
  <c r="N281" i="8"/>
  <c r="O281" i="8" s="1"/>
  <c r="N198" i="8"/>
  <c r="O198" i="8" s="1"/>
  <c r="N296" i="8"/>
  <c r="O296" i="8" s="1"/>
  <c r="N212" i="8"/>
  <c r="O212" i="8" s="1"/>
  <c r="N304" i="8"/>
  <c r="O304" i="8" s="1"/>
  <c r="N218" i="8"/>
  <c r="O218" i="8" s="1"/>
  <c r="N219" i="8"/>
  <c r="O219" i="8" s="1"/>
  <c r="N277" i="8"/>
  <c r="O277" i="8" s="1"/>
  <c r="N286" i="8"/>
  <c r="O286" i="8" s="1"/>
  <c r="N222" i="8"/>
  <c r="O222" i="8" s="1"/>
  <c r="N255" i="8"/>
  <c r="O255" i="8" s="1"/>
  <c r="D181" i="8"/>
  <c r="E181" i="8" s="1"/>
  <c r="D254" i="8"/>
  <c r="E254" i="8" s="1"/>
  <c r="D222" i="8"/>
  <c r="E222" i="8" s="1"/>
  <c r="D273" i="8"/>
  <c r="E273" i="8" s="1"/>
  <c r="D307" i="8"/>
  <c r="E307" i="8" s="1"/>
  <c r="D243" i="8"/>
  <c r="E243" i="8" s="1"/>
  <c r="D211" i="8"/>
  <c r="E211" i="8" s="1"/>
  <c r="D217" i="8"/>
  <c r="E217" i="8" s="1"/>
  <c r="N174" i="8"/>
  <c r="O174" i="8" s="1"/>
  <c r="N250" i="8"/>
  <c r="O250" i="8" s="1"/>
  <c r="N252" i="8"/>
  <c r="O252" i="8" s="1"/>
  <c r="N306" i="8"/>
  <c r="O306" i="8" s="1"/>
  <c r="D197" i="8"/>
  <c r="E197" i="8" s="1"/>
  <c r="D288" i="8"/>
  <c r="E288" i="8" s="1"/>
  <c r="D256" i="8"/>
  <c r="E256" i="8" s="1"/>
  <c r="D224" i="8"/>
  <c r="E224" i="8" s="1"/>
  <c r="D192" i="8"/>
  <c r="E192" i="8" s="1"/>
  <c r="D265" i="8"/>
  <c r="E265" i="8" s="1"/>
  <c r="D314" i="8"/>
  <c r="E314" i="8" s="1"/>
  <c r="D282" i="8"/>
  <c r="E282" i="8" s="1"/>
  <c r="D250" i="8"/>
  <c r="E250" i="8" s="1"/>
  <c r="D218" i="8"/>
  <c r="E218" i="8" s="1"/>
  <c r="D186" i="8"/>
  <c r="E186" i="8" s="1"/>
  <c r="D249" i="8"/>
  <c r="E249" i="8" s="1"/>
  <c r="D303" i="8"/>
  <c r="E303" i="8" s="1"/>
  <c r="D271" i="8"/>
  <c r="E271" i="8" s="1"/>
  <c r="D239" i="8"/>
  <c r="E239" i="8" s="1"/>
  <c r="D207" i="8"/>
  <c r="E207" i="8" s="1"/>
  <c r="D175" i="8"/>
  <c r="E175" i="8" s="1"/>
  <c r="N293" i="8"/>
  <c r="O293" i="8" s="1"/>
  <c r="N285" i="8"/>
  <c r="O285" i="8" s="1"/>
  <c r="N238" i="8"/>
  <c r="O238" i="8" s="1"/>
  <c r="N312" i="8"/>
  <c r="O312" i="8" s="1"/>
  <c r="N237" i="8"/>
  <c r="O237" i="8" s="1"/>
  <c r="N240" i="8"/>
  <c r="O240" i="8" s="1"/>
  <c r="N301" i="8"/>
  <c r="O301" i="8" s="1"/>
  <c r="N244" i="8"/>
  <c r="O244" i="8" s="1"/>
  <c r="N303" i="8"/>
  <c r="O303" i="8" s="1"/>
  <c r="N246" i="8"/>
  <c r="O246" i="8" s="1"/>
  <c r="N196" i="8"/>
  <c r="O196" i="8" s="1"/>
  <c r="N287" i="8"/>
  <c r="O287" i="8" s="1"/>
  <c r="N199" i="8"/>
  <c r="O199" i="8" s="1"/>
  <c r="N270" i="8"/>
  <c r="O270" i="8" s="1"/>
  <c r="N191" i="8"/>
  <c r="O191" i="8" s="1"/>
  <c r="N271" i="8"/>
  <c r="O271" i="8" s="1"/>
  <c r="N294" i="8"/>
  <c r="O294" i="8" s="1"/>
  <c r="N200" i="8"/>
  <c r="O200" i="8" s="1"/>
  <c r="N183" i="8"/>
  <c r="O183" i="8" s="1"/>
  <c r="N269" i="8"/>
  <c r="O269" i="8" s="1"/>
  <c r="N283" i="8"/>
  <c r="O283" i="8" s="1"/>
  <c r="N220" i="8"/>
  <c r="O220" i="8" s="1"/>
  <c r="N310" i="8"/>
  <c r="O310" i="8" s="1"/>
  <c r="N230" i="8"/>
  <c r="O230" i="8" s="1"/>
  <c r="N224" i="8"/>
  <c r="O224" i="8" s="1"/>
  <c r="N299" i="8"/>
  <c r="O299" i="8" s="1"/>
  <c r="N232" i="8"/>
  <c r="O232" i="8" s="1"/>
  <c r="N288" i="8"/>
  <c r="O288" i="8" s="1"/>
  <c r="N239" i="8"/>
  <c r="O239" i="8" s="1"/>
  <c r="N187" i="8"/>
  <c r="O187" i="8" s="1"/>
  <c r="N247" i="8"/>
  <c r="O247" i="8" s="1"/>
  <c r="N190" i="8"/>
  <c r="O190" i="8" s="1"/>
  <c r="N257" i="8"/>
  <c r="O257" i="8" s="1"/>
  <c r="N189" i="8"/>
  <c r="O189" i="8" s="1"/>
  <c r="N242" i="8"/>
  <c r="O242" i="8" s="1"/>
  <c r="N272" i="8"/>
  <c r="O272" i="8" s="1"/>
  <c r="N193" i="8"/>
  <c r="O193" i="8" s="1"/>
  <c r="R31" i="8"/>
  <c r="S31" i="8" s="1"/>
  <c r="R40" i="8"/>
  <c r="S40" i="8" s="1"/>
  <c r="R71" i="8"/>
  <c r="S71" i="8" s="1"/>
  <c r="R75" i="8"/>
  <c r="S75" i="8" s="1"/>
  <c r="R84" i="8"/>
  <c r="S84" i="8" s="1"/>
  <c r="R103" i="8"/>
  <c r="S103" i="8" s="1"/>
  <c r="R160" i="8"/>
  <c r="S160" i="8" s="1"/>
  <c r="R162" i="8"/>
  <c r="S162" i="8" s="1"/>
  <c r="R24" i="8"/>
  <c r="S24" i="8" s="1"/>
  <c r="R135" i="8"/>
  <c r="S135" i="8" s="1"/>
  <c r="H103" i="8"/>
  <c r="I103" i="8" s="1"/>
  <c r="P110" i="8"/>
  <c r="Q110" i="8" s="1"/>
  <c r="R17" i="8"/>
  <c r="S17" i="8" s="1"/>
  <c r="R47" i="8"/>
  <c r="S47" i="8" s="1"/>
  <c r="P78" i="8"/>
  <c r="Q78" i="8" s="1"/>
  <c r="P144" i="8"/>
  <c r="Q144" i="8" s="1"/>
  <c r="P37" i="8"/>
  <c r="Q37" i="8" s="1"/>
  <c r="P112" i="8"/>
  <c r="Q112" i="8" s="1"/>
  <c r="P44" i="8"/>
  <c r="Q44" i="8" s="1"/>
  <c r="P151" i="8"/>
  <c r="Q151" i="8" s="1"/>
  <c r="P129" i="8"/>
  <c r="Q129" i="8" s="1"/>
  <c r="P159" i="8"/>
  <c r="Q159" i="8" s="1"/>
  <c r="P80" i="8"/>
  <c r="Q80" i="8" s="1"/>
  <c r="P53" i="8"/>
  <c r="Q53" i="8" s="1"/>
  <c r="P93" i="8"/>
  <c r="Q93" i="8" s="1"/>
  <c r="P65" i="8"/>
  <c r="Q65" i="8" s="1"/>
  <c r="P134" i="8"/>
  <c r="Q134" i="8" s="1"/>
  <c r="P28" i="8"/>
  <c r="Q28" i="8" s="1"/>
  <c r="P137" i="8"/>
  <c r="Q137" i="8" s="1"/>
  <c r="S22" i="9"/>
  <c r="V22" i="9" s="1"/>
  <c r="W22" i="9" s="1"/>
  <c r="S18" i="9"/>
  <c r="V18" i="9" s="1"/>
  <c r="W18" i="9" s="1"/>
  <c r="S21" i="9"/>
  <c r="T21" i="9" s="1"/>
  <c r="U21" i="9" s="1"/>
  <c r="S30" i="9"/>
  <c r="T30" i="9" s="1"/>
  <c r="U30" i="9" s="1"/>
  <c r="S29" i="9"/>
  <c r="T29" i="9" s="1"/>
  <c r="U29" i="9" s="1"/>
  <c r="S14" i="9"/>
  <c r="V14" i="9" s="1"/>
  <c r="W14" i="9" s="1"/>
  <c r="S26" i="9"/>
  <c r="T26" i="9" s="1"/>
  <c r="U26" i="9" s="1"/>
  <c r="S20" i="9"/>
  <c r="V20" i="9" s="1"/>
  <c r="W20" i="9" s="1"/>
  <c r="S25" i="9"/>
  <c r="T25" i="9" s="1"/>
  <c r="U25" i="9" s="1"/>
  <c r="S28" i="9"/>
  <c r="V28" i="9" s="1"/>
  <c r="W28" i="9" s="1"/>
  <c r="S17" i="9"/>
  <c r="V17" i="9" s="1"/>
  <c r="W17" i="9" s="1"/>
  <c r="S27" i="9"/>
  <c r="V27" i="9" s="1"/>
  <c r="W27" i="9" s="1"/>
  <c r="S31" i="9"/>
  <c r="V31" i="9" s="1"/>
  <c r="W31" i="9" s="1"/>
  <c r="S19" i="9"/>
  <c r="T19" i="9" s="1"/>
  <c r="U19" i="9" s="1"/>
  <c r="S23" i="9"/>
  <c r="V23" i="9" s="1"/>
  <c r="W23" i="9" s="1"/>
  <c r="S32" i="9"/>
  <c r="T32" i="9" s="1"/>
  <c r="U32" i="9" s="1"/>
  <c r="S15" i="9"/>
  <c r="T15" i="9" s="1"/>
  <c r="U15" i="9" s="1"/>
  <c r="S24" i="9"/>
  <c r="V24" i="9" s="1"/>
  <c r="W24" i="9" s="1"/>
  <c r="S16" i="9"/>
  <c r="T16" i="9" s="1"/>
  <c r="U16" i="9" s="1"/>
  <c r="S13" i="9"/>
  <c r="V13" i="9" s="1"/>
  <c r="W13" i="9" s="1"/>
  <c r="G50" i="9"/>
  <c r="H50" i="9" s="1"/>
  <c r="I50" i="9" s="1"/>
  <c r="G93" i="9"/>
  <c r="J93" i="9" s="1"/>
  <c r="K93" i="9" s="1"/>
  <c r="G101" i="9"/>
  <c r="H101" i="9" s="1"/>
  <c r="I101" i="9" s="1"/>
  <c r="G86" i="9"/>
  <c r="H86" i="9" s="1"/>
  <c r="I86" i="9" s="1"/>
  <c r="G94" i="9"/>
  <c r="H94" i="9" s="1"/>
  <c r="I94" i="9" s="1"/>
  <c r="G102" i="9"/>
  <c r="H102" i="9" s="1"/>
  <c r="I102" i="9" s="1"/>
  <c r="G87" i="9"/>
  <c r="J87" i="9" s="1"/>
  <c r="K87" i="9" s="1"/>
  <c r="G95" i="9"/>
  <c r="J95" i="9" s="1"/>
  <c r="K95" i="9" s="1"/>
  <c r="G103" i="9"/>
  <c r="H103" i="9" s="1"/>
  <c r="I103" i="9" s="1"/>
  <c r="G88" i="9"/>
  <c r="H88" i="9" s="1"/>
  <c r="I88" i="9" s="1"/>
  <c r="G96" i="9"/>
  <c r="J96" i="9" s="1"/>
  <c r="K96" i="9" s="1"/>
  <c r="G104" i="9"/>
  <c r="J104" i="9" s="1"/>
  <c r="K104" i="9" s="1"/>
  <c r="G89" i="9"/>
  <c r="J89" i="9" s="1"/>
  <c r="K89" i="9" s="1"/>
  <c r="G97" i="9"/>
  <c r="H97" i="9" s="1"/>
  <c r="I97" i="9" s="1"/>
  <c r="G85" i="9"/>
  <c r="H85" i="9" s="1"/>
  <c r="I85" i="9" s="1"/>
  <c r="G90" i="9"/>
  <c r="H90" i="9" s="1"/>
  <c r="I90" i="9" s="1"/>
  <c r="G98" i="9"/>
  <c r="J98" i="9" s="1"/>
  <c r="K98" i="9" s="1"/>
  <c r="G91" i="9"/>
  <c r="H91" i="9" s="1"/>
  <c r="I91" i="9" s="1"/>
  <c r="G99" i="9"/>
  <c r="H99" i="9" s="1"/>
  <c r="I99" i="9" s="1"/>
  <c r="G92" i="9"/>
  <c r="J92" i="9" s="1"/>
  <c r="K92" i="9" s="1"/>
  <c r="G100" i="9"/>
  <c r="J100" i="9" s="1"/>
  <c r="K100" i="9" s="1"/>
  <c r="S86" i="9"/>
  <c r="V86" i="9" s="1"/>
  <c r="W86" i="9" s="1"/>
  <c r="S94" i="9"/>
  <c r="V94" i="9" s="1"/>
  <c r="W94" i="9" s="1"/>
  <c r="S102" i="9"/>
  <c r="V102" i="9" s="1"/>
  <c r="W102" i="9" s="1"/>
  <c r="S87" i="9"/>
  <c r="T87" i="9" s="1"/>
  <c r="U87" i="9" s="1"/>
  <c r="S95" i="9"/>
  <c r="V95" i="9" s="1"/>
  <c r="W95" i="9" s="1"/>
  <c r="S103" i="9"/>
  <c r="V103" i="9" s="1"/>
  <c r="W103" i="9" s="1"/>
  <c r="S88" i="9"/>
  <c r="T88" i="9" s="1"/>
  <c r="U88" i="9" s="1"/>
  <c r="S96" i="9"/>
  <c r="T96" i="9" s="1"/>
  <c r="U96" i="9" s="1"/>
  <c r="S104" i="9"/>
  <c r="T104" i="9" s="1"/>
  <c r="U104" i="9" s="1"/>
  <c r="S89" i="9"/>
  <c r="V89" i="9" s="1"/>
  <c r="W89" i="9" s="1"/>
  <c r="S97" i="9"/>
  <c r="V97" i="9" s="1"/>
  <c r="W97" i="9" s="1"/>
  <c r="S85" i="9"/>
  <c r="V85" i="9" s="1"/>
  <c r="W85" i="9" s="1"/>
  <c r="S90" i="9"/>
  <c r="T90" i="9" s="1"/>
  <c r="U90" i="9" s="1"/>
  <c r="S98" i="9"/>
  <c r="T98" i="9" s="1"/>
  <c r="U98" i="9" s="1"/>
  <c r="S91" i="9"/>
  <c r="T91" i="9" s="1"/>
  <c r="U91" i="9" s="1"/>
  <c r="S99" i="9"/>
  <c r="V99" i="9" s="1"/>
  <c r="W99" i="9" s="1"/>
  <c r="S92" i="9"/>
  <c r="V92" i="9" s="1"/>
  <c r="W92" i="9" s="1"/>
  <c r="S100" i="9"/>
  <c r="V100" i="9" s="1"/>
  <c r="W100" i="9" s="1"/>
  <c r="S93" i="9"/>
  <c r="V93" i="9" s="1"/>
  <c r="W93" i="9" s="1"/>
  <c r="S101" i="9"/>
  <c r="V101" i="9" s="1"/>
  <c r="W101" i="9" s="1"/>
  <c r="G49" i="9"/>
  <c r="H49" i="9" s="1"/>
  <c r="I49" i="9" s="1"/>
  <c r="G51" i="9"/>
  <c r="H51" i="9" s="1"/>
  <c r="I51" i="9" s="1"/>
  <c r="S54" i="9"/>
  <c r="T54" i="9" s="1"/>
  <c r="U54" i="9" s="1"/>
  <c r="S62" i="9"/>
  <c r="T62" i="9" s="1"/>
  <c r="U62" i="9" s="1"/>
  <c r="S55" i="9"/>
  <c r="V55" i="9" s="1"/>
  <c r="W55" i="9" s="1"/>
  <c r="S63" i="9"/>
  <c r="V63" i="9" s="1"/>
  <c r="W63" i="9" s="1"/>
  <c r="S56" i="9"/>
  <c r="V56" i="9" s="1"/>
  <c r="W56" i="9" s="1"/>
  <c r="S64" i="9"/>
  <c r="T64" i="9" s="1"/>
  <c r="U64" i="9" s="1"/>
  <c r="S57" i="9"/>
  <c r="T57" i="9" s="1"/>
  <c r="U57" i="9" s="1"/>
  <c r="S65" i="9"/>
  <c r="T65" i="9" s="1"/>
  <c r="U65" i="9" s="1"/>
  <c r="S50" i="9"/>
  <c r="T50" i="9" s="1"/>
  <c r="U50" i="9" s="1"/>
  <c r="S58" i="9"/>
  <c r="T58" i="9" s="1"/>
  <c r="U58" i="9" s="1"/>
  <c r="S66" i="9"/>
  <c r="T66" i="9" s="1"/>
  <c r="U66" i="9" s="1"/>
  <c r="S51" i="9"/>
  <c r="T51" i="9" s="1"/>
  <c r="U51" i="9" s="1"/>
  <c r="S59" i="9"/>
  <c r="V59" i="9" s="1"/>
  <c r="W59" i="9" s="1"/>
  <c r="S67" i="9"/>
  <c r="V67" i="9" s="1"/>
  <c r="W67" i="9" s="1"/>
  <c r="S52" i="9"/>
  <c r="T52" i="9" s="1"/>
  <c r="U52" i="9" s="1"/>
  <c r="S60" i="9"/>
  <c r="V60" i="9" s="1"/>
  <c r="W60" i="9" s="1"/>
  <c r="S68" i="9"/>
  <c r="V68" i="9" s="1"/>
  <c r="W68" i="9" s="1"/>
  <c r="S53" i="9"/>
  <c r="V53" i="9" s="1"/>
  <c r="W53" i="9" s="1"/>
  <c r="S61" i="9"/>
  <c r="T61" i="9" s="1"/>
  <c r="U61" i="9" s="1"/>
  <c r="S49" i="9"/>
  <c r="T49" i="9" s="1"/>
  <c r="U49" i="9" s="1"/>
  <c r="G52" i="9"/>
  <c r="J52" i="9" s="1"/>
  <c r="K52" i="9" s="1"/>
  <c r="G53" i="9"/>
  <c r="H53" i="9" s="1"/>
  <c r="I53" i="9" s="1"/>
  <c r="Q95" i="9"/>
  <c r="N34" i="8"/>
  <c r="O34" i="8" s="1"/>
  <c r="N59" i="8"/>
  <c r="O59" i="8" s="1"/>
  <c r="N100" i="8"/>
  <c r="O100" i="8" s="1"/>
  <c r="N39" i="8"/>
  <c r="O39" i="8" s="1"/>
  <c r="N89" i="8"/>
  <c r="O89" i="8" s="1"/>
  <c r="N41" i="8"/>
  <c r="O41" i="8" s="1"/>
  <c r="N102" i="8"/>
  <c r="O102" i="8" s="1"/>
  <c r="N133" i="8"/>
  <c r="O133" i="8" s="1"/>
  <c r="N57" i="8"/>
  <c r="O57" i="8" s="1"/>
  <c r="N68" i="8"/>
  <c r="O68" i="8" s="1"/>
  <c r="N121" i="8"/>
  <c r="O121" i="8" s="1"/>
  <c r="N18" i="8"/>
  <c r="O18" i="8" s="1"/>
  <c r="N50" i="8"/>
  <c r="O50" i="8" s="1"/>
  <c r="N83" i="8"/>
  <c r="O83" i="8" s="1"/>
  <c r="N136" i="8"/>
  <c r="O136" i="8" s="1"/>
  <c r="N48" i="8"/>
  <c r="O48" i="8" s="1"/>
  <c r="N72" i="8"/>
  <c r="O72" i="8" s="1"/>
  <c r="N123" i="8"/>
  <c r="O123" i="8" s="1"/>
  <c r="N85" i="8"/>
  <c r="O85" i="8" s="1"/>
  <c r="N117" i="8"/>
  <c r="O117" i="8" s="1"/>
  <c r="N155" i="8"/>
  <c r="O155" i="8" s="1"/>
  <c r="N25" i="8"/>
  <c r="O25" i="8" s="1"/>
  <c r="N119" i="8"/>
  <c r="O119" i="8" s="1"/>
  <c r="N91" i="8"/>
  <c r="O91" i="8" s="1"/>
  <c r="N32" i="8"/>
  <c r="O32" i="8" s="1"/>
  <c r="F89" i="8"/>
  <c r="G89" i="8" s="1"/>
  <c r="F161" i="8"/>
  <c r="G161" i="8" s="1"/>
  <c r="F22" i="8"/>
  <c r="G22" i="8" s="1"/>
  <c r="F19" i="8"/>
  <c r="G19" i="8" s="1"/>
  <c r="F61" i="8"/>
  <c r="G61" i="8" s="1"/>
  <c r="F90" i="8"/>
  <c r="G90" i="8" s="1"/>
  <c r="F108" i="8"/>
  <c r="G108" i="8" s="1"/>
  <c r="F81" i="8"/>
  <c r="G81" i="8" s="1"/>
  <c r="F163" i="8"/>
  <c r="G163" i="8" s="1"/>
  <c r="F86" i="8"/>
  <c r="G86" i="8" s="1"/>
  <c r="F37" i="8"/>
  <c r="G37" i="8" s="1"/>
  <c r="F16" i="8"/>
  <c r="G16" i="8" s="1"/>
  <c r="F78" i="8"/>
  <c r="G78" i="8" s="1"/>
  <c r="F44" i="8"/>
  <c r="G44" i="8" s="1"/>
  <c r="F150" i="8"/>
  <c r="G150" i="8" s="1"/>
  <c r="F56" i="8"/>
  <c r="G56" i="8" s="1"/>
  <c r="F116" i="8"/>
  <c r="G116" i="8" s="1"/>
  <c r="F106" i="8"/>
  <c r="G106" i="8" s="1"/>
  <c r="F27" i="8"/>
  <c r="G27" i="8" s="1"/>
  <c r="F101" i="8"/>
  <c r="G101" i="8" s="1"/>
  <c r="F52" i="8"/>
  <c r="G52" i="8" s="1"/>
  <c r="F166" i="8"/>
  <c r="G166" i="8" s="1"/>
  <c r="F18" i="8"/>
  <c r="G18" i="8" s="1"/>
  <c r="F168" i="8"/>
  <c r="G168" i="8" s="1"/>
  <c r="F124" i="8"/>
  <c r="G124" i="8" s="1"/>
  <c r="F97" i="8"/>
  <c r="G97" i="8" s="1"/>
  <c r="F75" i="8"/>
  <c r="G75" i="8" s="1"/>
  <c r="F132" i="8"/>
  <c r="G132" i="8" s="1"/>
  <c r="F113" i="8"/>
  <c r="G113" i="8" s="1"/>
  <c r="F42" i="8"/>
  <c r="G42" i="8" s="1"/>
  <c r="F55" i="8"/>
  <c r="G55" i="8" s="1"/>
  <c r="F140" i="8"/>
  <c r="G140" i="8" s="1"/>
  <c r="F46" i="8"/>
  <c r="G46" i="8" s="1"/>
  <c r="F110" i="8"/>
  <c r="G110" i="8" s="1"/>
  <c r="F33" i="8"/>
  <c r="G33" i="8" s="1"/>
  <c r="F121" i="8"/>
  <c r="G121" i="8" s="1"/>
  <c r="F83" i="8"/>
  <c r="G83" i="8" s="1"/>
  <c r="F85" i="8"/>
  <c r="G85" i="8" s="1"/>
  <c r="F50" i="8"/>
  <c r="G50" i="8" s="1"/>
  <c r="F138" i="8"/>
  <c r="G138" i="8" s="1"/>
  <c r="F123" i="8"/>
  <c r="G123" i="8" s="1"/>
  <c r="F157" i="8"/>
  <c r="G157" i="8" s="1"/>
  <c r="F87" i="8"/>
  <c r="G87" i="8" s="1"/>
  <c r="F59" i="8"/>
  <c r="G59" i="8" s="1"/>
  <c r="F30" i="8"/>
  <c r="G30" i="8" s="1"/>
  <c r="F35" i="8"/>
  <c r="G35" i="8" s="1"/>
  <c r="F26" i="8"/>
  <c r="G26" i="8" s="1"/>
  <c r="F114" i="8"/>
  <c r="G114" i="8" s="1"/>
  <c r="F109" i="8"/>
  <c r="G109" i="8" s="1"/>
  <c r="F31" i="8"/>
  <c r="G31" i="8" s="1"/>
  <c r="F102" i="8"/>
  <c r="G102" i="8" s="1"/>
  <c r="F69" i="8"/>
  <c r="G69" i="8" s="1"/>
  <c r="F91" i="8"/>
  <c r="G91" i="8" s="1"/>
  <c r="F76" i="8"/>
  <c r="G76" i="8" s="1"/>
  <c r="F84" i="8"/>
  <c r="G84" i="8" s="1"/>
  <c r="F148" i="8"/>
  <c r="G148" i="8" s="1"/>
  <c r="F54" i="8"/>
  <c r="G54" i="8" s="1"/>
  <c r="F118" i="8"/>
  <c r="G118" i="8" s="1"/>
  <c r="F49" i="8"/>
  <c r="G49" i="8" s="1"/>
  <c r="F137" i="8"/>
  <c r="G137" i="8" s="1"/>
  <c r="F99" i="8"/>
  <c r="G99" i="8" s="1"/>
  <c r="F117" i="8"/>
  <c r="G117" i="8" s="1"/>
  <c r="F66" i="8"/>
  <c r="G66" i="8" s="1"/>
  <c r="F146" i="8"/>
  <c r="G146" i="8" s="1"/>
  <c r="F155" i="8"/>
  <c r="G155" i="8" s="1"/>
  <c r="F112" i="8"/>
  <c r="G112" i="8" s="1"/>
  <c r="F119" i="8"/>
  <c r="G119" i="8" s="1"/>
  <c r="F152" i="8"/>
  <c r="G152" i="8" s="1"/>
  <c r="F60" i="8"/>
  <c r="G60" i="8" s="1"/>
  <c r="F94" i="8"/>
  <c r="G94" i="8" s="1"/>
  <c r="F53" i="8"/>
  <c r="G53" i="8" s="1"/>
  <c r="F68" i="8"/>
  <c r="G68" i="8" s="1"/>
  <c r="F38" i="8"/>
  <c r="G38" i="8" s="1"/>
  <c r="F67" i="8"/>
  <c r="G67" i="8" s="1"/>
  <c r="F141" i="8"/>
  <c r="G141" i="8" s="1"/>
  <c r="F28" i="8"/>
  <c r="G28" i="8" s="1"/>
  <c r="F92" i="8"/>
  <c r="G92" i="8" s="1"/>
  <c r="F156" i="8"/>
  <c r="G156" i="8" s="1"/>
  <c r="F62" i="8"/>
  <c r="G62" i="8" s="1"/>
  <c r="F126" i="8"/>
  <c r="G126" i="8" s="1"/>
  <c r="F57" i="8"/>
  <c r="G57" i="8" s="1"/>
  <c r="F145" i="8"/>
  <c r="G145" i="8" s="1"/>
  <c r="F115" i="8"/>
  <c r="G115" i="8" s="1"/>
  <c r="F133" i="8"/>
  <c r="G133" i="8" s="1"/>
  <c r="F74" i="8"/>
  <c r="G74" i="8" s="1"/>
  <c r="F154" i="8"/>
  <c r="G154" i="8" s="1"/>
  <c r="F171" i="8"/>
  <c r="G171" i="8" s="1"/>
  <c r="F151" i="8"/>
  <c r="G151" i="8" s="1"/>
  <c r="F17" i="8"/>
  <c r="G17" i="8" s="1"/>
  <c r="F25" i="8"/>
  <c r="G25" i="8" s="1"/>
  <c r="F130" i="8"/>
  <c r="G130" i="8" s="1"/>
  <c r="F36" i="8"/>
  <c r="G36" i="8" s="1"/>
  <c r="F100" i="8"/>
  <c r="G100" i="8" s="1"/>
  <c r="F164" i="8"/>
  <c r="G164" i="8" s="1"/>
  <c r="F70" i="8"/>
  <c r="G70" i="8" s="1"/>
  <c r="F142" i="8"/>
  <c r="G142" i="8" s="1"/>
  <c r="F73" i="8"/>
  <c r="G73" i="8" s="1"/>
  <c r="F153" i="8"/>
  <c r="G153" i="8" s="1"/>
  <c r="F147" i="8"/>
  <c r="G147" i="8" s="1"/>
  <c r="F165" i="8"/>
  <c r="G165" i="8" s="1"/>
  <c r="F82" i="8"/>
  <c r="G82" i="8" s="1"/>
  <c r="F170" i="8"/>
  <c r="G170" i="8" s="1"/>
  <c r="F45" i="8"/>
  <c r="G45" i="8" s="1"/>
  <c r="F24" i="8"/>
  <c r="G24" i="8" s="1"/>
  <c r="F63" i="8"/>
  <c r="G63" i="8" s="1"/>
  <c r="G12" i="7"/>
  <c r="F12" i="7"/>
  <c r="G11" i="7"/>
  <c r="F11" i="7"/>
  <c r="E11" i="7"/>
  <c r="P46" i="8"/>
  <c r="Q46" i="8" s="1"/>
  <c r="P155" i="8"/>
  <c r="Q155" i="8" s="1"/>
  <c r="N19" i="8"/>
  <c r="O19" i="8" s="1"/>
  <c r="N51" i="8"/>
  <c r="O51" i="8" s="1"/>
  <c r="N35" i="8"/>
  <c r="O35" i="8" s="1"/>
  <c r="N44" i="8"/>
  <c r="O44" i="8" s="1"/>
  <c r="N110" i="8"/>
  <c r="O110" i="8" s="1"/>
  <c r="N63" i="8"/>
  <c r="O63" i="8" s="1"/>
  <c r="N78" i="8"/>
  <c r="O78" i="8" s="1"/>
  <c r="N95" i="8"/>
  <c r="O95" i="8" s="1"/>
  <c r="N112" i="8"/>
  <c r="O112" i="8" s="1"/>
  <c r="N142" i="8"/>
  <c r="O142" i="8" s="1"/>
  <c r="N82" i="8"/>
  <c r="O82" i="8" s="1"/>
  <c r="N161" i="8"/>
  <c r="O161" i="8" s="1"/>
  <c r="N28" i="8"/>
  <c r="O28" i="8" s="1"/>
  <c r="N163" i="8"/>
  <c r="O163" i="8" s="1"/>
  <c r="N127" i="8"/>
  <c r="O127" i="8" s="1"/>
  <c r="N114" i="8"/>
  <c r="O114" i="8" s="1"/>
  <c r="N137" i="8"/>
  <c r="O137" i="8" s="1"/>
  <c r="N151" i="8"/>
  <c r="O151" i="8" s="1"/>
  <c r="N80" i="8"/>
  <c r="O80" i="8" s="1"/>
  <c r="N62" i="8"/>
  <c r="O62" i="8" s="1"/>
  <c r="P83" i="8"/>
  <c r="Q83" i="8" s="1"/>
  <c r="N126" i="8"/>
  <c r="O126" i="8" s="1"/>
  <c r="P166" i="8"/>
  <c r="Q166" i="8" s="1"/>
  <c r="N54" i="8"/>
  <c r="O54" i="8" s="1"/>
  <c r="P79" i="8"/>
  <c r="Q79" i="8" s="1"/>
  <c r="N109" i="8"/>
  <c r="O109" i="8" s="1"/>
  <c r="P136" i="8"/>
  <c r="Q136" i="8" s="1"/>
  <c r="N160" i="8"/>
  <c r="O160" i="8" s="1"/>
  <c r="N47" i="8"/>
  <c r="O47" i="8" s="1"/>
  <c r="N92" i="8"/>
  <c r="O92" i="8" s="1"/>
  <c r="P113" i="8"/>
  <c r="Q113" i="8" s="1"/>
  <c r="N135" i="8"/>
  <c r="O135" i="8" s="1"/>
  <c r="N156" i="8"/>
  <c r="O156" i="8" s="1"/>
  <c r="N42" i="8"/>
  <c r="O42" i="8" s="1"/>
  <c r="P60" i="8"/>
  <c r="Q60" i="8" s="1"/>
  <c r="N149" i="8"/>
  <c r="O149" i="8" s="1"/>
  <c r="P171" i="8"/>
  <c r="Q171" i="8" s="1"/>
  <c r="N37" i="8"/>
  <c r="O37" i="8" s="1"/>
  <c r="P63" i="8"/>
  <c r="Q63" i="8" s="1"/>
  <c r="N93" i="8"/>
  <c r="O93" i="8" s="1"/>
  <c r="P118" i="8"/>
  <c r="Q118" i="8" s="1"/>
  <c r="P142" i="8"/>
  <c r="Q142" i="8" s="1"/>
  <c r="P163" i="8"/>
  <c r="Q163" i="8" s="1"/>
  <c r="P157" i="8"/>
  <c r="Q157" i="8" s="1"/>
  <c r="N20" i="8"/>
  <c r="O20" i="8" s="1"/>
  <c r="P41" i="8"/>
  <c r="Q41" i="8" s="1"/>
  <c r="N64" i="8"/>
  <c r="O64" i="8" s="1"/>
  <c r="P85" i="8"/>
  <c r="Q85" i="8" s="1"/>
  <c r="N128" i="8"/>
  <c r="O128" i="8" s="1"/>
  <c r="P148" i="8"/>
  <c r="Q148" i="8" s="1"/>
  <c r="P168" i="8"/>
  <c r="Q168" i="8" s="1"/>
  <c r="P34" i="8"/>
  <c r="Q34" i="8" s="1"/>
  <c r="N81" i="8"/>
  <c r="O81" i="8" s="1"/>
  <c r="P111" i="8"/>
  <c r="Q111" i="8" s="1"/>
  <c r="P162" i="8"/>
  <c r="Q162" i="8" s="1"/>
  <c r="P29" i="8"/>
  <c r="Q29" i="8" s="1"/>
  <c r="N73" i="8"/>
  <c r="O73" i="8" s="1"/>
  <c r="P94" i="8"/>
  <c r="Q94" i="8" s="1"/>
  <c r="N138" i="8"/>
  <c r="O138" i="8" s="1"/>
  <c r="P158" i="8"/>
  <c r="Q158" i="8" s="1"/>
  <c r="P22" i="8"/>
  <c r="Q22" i="8" s="1"/>
  <c r="P19" i="8"/>
  <c r="Q19" i="8" s="1"/>
  <c r="N65" i="8"/>
  <c r="O65" i="8" s="1"/>
  <c r="P95" i="8"/>
  <c r="Q95" i="8" s="1"/>
  <c r="N125" i="8"/>
  <c r="O125" i="8" s="1"/>
  <c r="N144" i="8"/>
  <c r="O144" i="8" s="1"/>
  <c r="P165" i="8"/>
  <c r="Q165" i="8" s="1"/>
  <c r="F158" i="8"/>
  <c r="G158" i="8" s="1"/>
  <c r="F65" i="8"/>
  <c r="G65" i="8" s="1"/>
  <c r="F129" i="8"/>
  <c r="G129" i="8" s="1"/>
  <c r="F51" i="8"/>
  <c r="G51" i="8" s="1"/>
  <c r="F21" i="8"/>
  <c r="G21" i="8" s="1"/>
  <c r="F149" i="8"/>
  <c r="G149" i="8" s="1"/>
  <c r="F58" i="8"/>
  <c r="G58" i="8" s="1"/>
  <c r="F122" i="8"/>
  <c r="G122" i="8" s="1"/>
  <c r="F43" i="8"/>
  <c r="G43" i="8" s="1"/>
  <c r="F29" i="8"/>
  <c r="G29" i="8" s="1"/>
  <c r="F80" i="8"/>
  <c r="G80" i="8" s="1"/>
  <c r="F95" i="8"/>
  <c r="G95" i="8" s="1"/>
  <c r="F47" i="8"/>
  <c r="G47" i="8" s="1"/>
  <c r="P61" i="8"/>
  <c r="Q61" i="8" s="1"/>
  <c r="N104" i="8"/>
  <c r="O104" i="8" s="1"/>
  <c r="P125" i="8"/>
  <c r="Q125" i="8" s="1"/>
  <c r="N146" i="8"/>
  <c r="O146" i="8" s="1"/>
  <c r="N170" i="8"/>
  <c r="O170" i="8" s="1"/>
  <c r="P30" i="8"/>
  <c r="Q30" i="8" s="1"/>
  <c r="N70" i="8"/>
  <c r="O70" i="8" s="1"/>
  <c r="N87" i="8"/>
  <c r="O87" i="8" s="1"/>
  <c r="P104" i="8"/>
  <c r="Q104" i="8" s="1"/>
  <c r="P121" i="8"/>
  <c r="Q121" i="8" s="1"/>
  <c r="N141" i="8"/>
  <c r="O141" i="8" s="1"/>
  <c r="N43" i="8"/>
  <c r="O43" i="8" s="1"/>
  <c r="N66" i="8"/>
  <c r="O66" i="8" s="1"/>
  <c r="P87" i="8"/>
  <c r="Q87" i="8" s="1"/>
  <c r="N130" i="8"/>
  <c r="O130" i="8" s="1"/>
  <c r="N150" i="8"/>
  <c r="O150" i="8" s="1"/>
  <c r="N16" i="8"/>
  <c r="O16" i="8" s="1"/>
  <c r="N38" i="8"/>
  <c r="O38" i="8" s="1"/>
  <c r="N58" i="8"/>
  <c r="O58" i="8" s="1"/>
  <c r="N113" i="8"/>
  <c r="O113" i="8" s="1"/>
  <c r="P141" i="8"/>
  <c r="Q141" i="8" s="1"/>
  <c r="P164" i="8"/>
  <c r="Q164" i="8" s="1"/>
  <c r="N31" i="8"/>
  <c r="O31" i="8" s="1"/>
  <c r="P52" i="8"/>
  <c r="Q52" i="8" s="1"/>
  <c r="N75" i="8"/>
  <c r="O75" i="8" s="1"/>
  <c r="P96" i="8"/>
  <c r="Q96" i="8" s="1"/>
  <c r="P160" i="8"/>
  <c r="Q160" i="8" s="1"/>
  <c r="N26" i="8"/>
  <c r="O26" i="8" s="1"/>
  <c r="P47" i="8"/>
  <c r="Q47" i="8" s="1"/>
  <c r="N99" i="8"/>
  <c r="O99" i="8" s="1"/>
  <c r="N116" i="8"/>
  <c r="O116" i="8" s="1"/>
  <c r="P154" i="8"/>
  <c r="Q154" i="8" s="1"/>
  <c r="N21" i="8"/>
  <c r="O21" i="8" s="1"/>
  <c r="P42" i="8"/>
  <c r="Q42" i="8" s="1"/>
  <c r="N97" i="8"/>
  <c r="O97" i="8" s="1"/>
  <c r="P127" i="8"/>
  <c r="Q127" i="8" s="1"/>
  <c r="R147" i="8"/>
  <c r="S147" i="8" s="1"/>
  <c r="R167" i="8"/>
  <c r="S167" i="8" s="1"/>
  <c r="P55" i="8"/>
  <c r="Q55" i="8" s="1"/>
  <c r="P72" i="8"/>
  <c r="Q72" i="8" s="1"/>
  <c r="P89" i="8"/>
  <c r="Q89" i="8" s="1"/>
  <c r="P106" i="8"/>
  <c r="Q106" i="8" s="1"/>
  <c r="P123" i="8"/>
  <c r="Q123" i="8" s="1"/>
  <c r="P25" i="8"/>
  <c r="Q25" i="8" s="1"/>
  <c r="P68" i="8"/>
  <c r="Q68" i="8" s="1"/>
  <c r="N111" i="8"/>
  <c r="O111" i="8" s="1"/>
  <c r="P18" i="8"/>
  <c r="Q18" i="8" s="1"/>
  <c r="N90" i="8"/>
  <c r="O90" i="8" s="1"/>
  <c r="N145" i="8"/>
  <c r="O145" i="8" s="1"/>
  <c r="N56" i="8"/>
  <c r="O56" i="8" s="1"/>
  <c r="P77" i="8"/>
  <c r="Q77" i="8" s="1"/>
  <c r="N120" i="8"/>
  <c r="O120" i="8" s="1"/>
  <c r="P143" i="8"/>
  <c r="Q143" i="8" s="1"/>
  <c r="N49" i="8"/>
  <c r="O49" i="8" s="1"/>
  <c r="N67" i="8"/>
  <c r="O67" i="8" s="1"/>
  <c r="N84" i="8"/>
  <c r="O84" i="8" s="1"/>
  <c r="N101" i="8"/>
  <c r="O101" i="8" s="1"/>
  <c r="N118" i="8"/>
  <c r="O118" i="8" s="1"/>
  <c r="P156" i="8"/>
  <c r="Q156" i="8" s="1"/>
  <c r="N46" i="8"/>
  <c r="O46" i="8" s="1"/>
  <c r="N74" i="8"/>
  <c r="O74" i="8" s="1"/>
  <c r="N129" i="8"/>
  <c r="O129" i="8" s="1"/>
  <c r="P40" i="8"/>
  <c r="Q40" i="8" s="1"/>
  <c r="P24" i="8"/>
  <c r="Q24" i="8" s="1"/>
  <c r="P49" i="8"/>
  <c r="Q49" i="8" s="1"/>
  <c r="P33" i="8"/>
  <c r="Q33" i="8" s="1"/>
  <c r="P17" i="8"/>
  <c r="Q17" i="8" s="1"/>
  <c r="P169" i="8"/>
  <c r="Q169" i="8" s="1"/>
  <c r="P140" i="8"/>
  <c r="Q140" i="8" s="1"/>
  <c r="P99" i="8"/>
  <c r="Q99" i="8" s="1"/>
  <c r="P116" i="8"/>
  <c r="Q116" i="8" s="1"/>
  <c r="P132" i="8"/>
  <c r="Q132" i="8" s="1"/>
  <c r="P67" i="8"/>
  <c r="Q67" i="8" s="1"/>
  <c r="P84" i="8"/>
  <c r="Q84" i="8" s="1"/>
  <c r="P101" i="8"/>
  <c r="Q101" i="8" s="1"/>
  <c r="P147" i="8"/>
  <c r="Q147" i="8" s="1"/>
  <c r="P69" i="8"/>
  <c r="Q69" i="8" s="1"/>
  <c r="P103" i="8"/>
  <c r="Q103" i="8" s="1"/>
  <c r="P135" i="8"/>
  <c r="Q135" i="8" s="1"/>
  <c r="P71" i="8"/>
  <c r="Q71" i="8" s="1"/>
  <c r="P167" i="8"/>
  <c r="Q167" i="8" s="1"/>
  <c r="P57" i="8"/>
  <c r="Q57" i="8" s="1"/>
  <c r="P74" i="8"/>
  <c r="Q74" i="8" s="1"/>
  <c r="P91" i="8"/>
  <c r="Q91" i="8" s="1"/>
  <c r="P108" i="8"/>
  <c r="Q108" i="8" s="1"/>
  <c r="P146" i="8"/>
  <c r="Q146" i="8" s="1"/>
  <c r="N166" i="8"/>
  <c r="O166" i="8" s="1"/>
  <c r="N27" i="8"/>
  <c r="O27" i="8" s="1"/>
  <c r="P48" i="8"/>
  <c r="Q48" i="8" s="1"/>
  <c r="N94" i="8"/>
  <c r="O94" i="8" s="1"/>
  <c r="P115" i="8"/>
  <c r="Q115" i="8" s="1"/>
  <c r="N22" i="8"/>
  <c r="O22" i="8" s="1"/>
  <c r="P43" i="8"/>
  <c r="Q43" i="8" s="1"/>
  <c r="P66" i="8"/>
  <c r="Q66" i="8" s="1"/>
  <c r="N122" i="8"/>
  <c r="O122" i="8" s="1"/>
  <c r="P36" i="8"/>
  <c r="Q36" i="8" s="1"/>
  <c r="N60" i="8"/>
  <c r="O60" i="8" s="1"/>
  <c r="P81" i="8"/>
  <c r="Q81" i="8" s="1"/>
  <c r="N124" i="8"/>
  <c r="O124" i="8" s="1"/>
  <c r="N147" i="8"/>
  <c r="O147" i="8" s="1"/>
  <c r="P31" i="8"/>
  <c r="Q31" i="8" s="1"/>
  <c r="N69" i="8"/>
  <c r="O69" i="8" s="1"/>
  <c r="N86" i="8"/>
  <c r="O86" i="8" s="1"/>
  <c r="N103" i="8"/>
  <c r="O103" i="8" s="1"/>
  <c r="P120" i="8"/>
  <c r="Q120" i="8" s="1"/>
  <c r="P138" i="8"/>
  <c r="Q138" i="8" s="1"/>
  <c r="P26" i="8"/>
  <c r="Q26" i="8" s="1"/>
  <c r="N106" i="8"/>
  <c r="O106" i="8" s="1"/>
  <c r="N131" i="8"/>
  <c r="O131" i="8" s="1"/>
  <c r="N153" i="8"/>
  <c r="O153" i="8" s="1"/>
  <c r="R38" i="8"/>
  <c r="S38" i="8" s="1"/>
  <c r="R29" i="8"/>
  <c r="S29" i="8" s="1"/>
  <c r="R22" i="8"/>
  <c r="S22" i="8" s="1"/>
  <c r="R45" i="8"/>
  <c r="S45" i="8" s="1"/>
  <c r="R56" i="8"/>
  <c r="S56" i="8" s="1"/>
  <c r="R73" i="8"/>
  <c r="S73" i="8" s="1"/>
  <c r="R90" i="8"/>
  <c r="S90" i="8" s="1"/>
  <c r="R124" i="8"/>
  <c r="S124" i="8" s="1"/>
  <c r="R152" i="8"/>
  <c r="S152" i="8" s="1"/>
  <c r="R58" i="8"/>
  <c r="S58" i="8" s="1"/>
  <c r="R92" i="8"/>
  <c r="S92" i="8" s="1"/>
  <c r="R171" i="8"/>
  <c r="S171" i="8" s="1"/>
  <c r="R60" i="8"/>
  <c r="S60" i="8" s="1"/>
  <c r="R156" i="8"/>
  <c r="S156" i="8" s="1"/>
  <c r="R145" i="8"/>
  <c r="S145" i="8" s="1"/>
  <c r="R120" i="8"/>
  <c r="S120" i="8" s="1"/>
  <c r="R158" i="8"/>
  <c r="S158" i="8" s="1"/>
  <c r="R54" i="8"/>
  <c r="S54" i="8" s="1"/>
  <c r="R88" i="8"/>
  <c r="S88" i="8" s="1"/>
  <c r="R105" i="8"/>
  <c r="S105" i="8" s="1"/>
  <c r="R122" i="8"/>
  <c r="S122" i="8" s="1"/>
  <c r="P39" i="8"/>
  <c r="Q39" i="8" s="1"/>
  <c r="P59" i="8"/>
  <c r="Q59" i="8" s="1"/>
  <c r="P76" i="8"/>
  <c r="Q76" i="8" s="1"/>
  <c r="N148" i="8"/>
  <c r="O148" i="8" s="1"/>
  <c r="N168" i="8"/>
  <c r="O168" i="8" s="1"/>
  <c r="N52" i="8"/>
  <c r="O52" i="8" s="1"/>
  <c r="N96" i="8"/>
  <c r="O96" i="8" s="1"/>
  <c r="P117" i="8"/>
  <c r="Q117" i="8" s="1"/>
  <c r="N45" i="8"/>
  <c r="O45" i="8" s="1"/>
  <c r="P98" i="8"/>
  <c r="Q98" i="8" s="1"/>
  <c r="P150" i="8"/>
  <c r="Q150" i="8" s="1"/>
  <c r="N40" i="8"/>
  <c r="O40" i="8" s="1"/>
  <c r="P62" i="8"/>
  <c r="Q62" i="8" s="1"/>
  <c r="N105" i="8"/>
  <c r="O105" i="8" s="1"/>
  <c r="P126" i="8"/>
  <c r="Q126" i="8" s="1"/>
  <c r="N169" i="8"/>
  <c r="O169" i="8" s="1"/>
  <c r="N33" i="8"/>
  <c r="O33" i="8" s="1"/>
  <c r="P54" i="8"/>
  <c r="Q54" i="8" s="1"/>
  <c r="N71" i="8"/>
  <c r="O71" i="8" s="1"/>
  <c r="P88" i="8"/>
  <c r="Q88" i="8" s="1"/>
  <c r="P105" i="8"/>
  <c r="Q105" i="8" s="1"/>
  <c r="P122" i="8"/>
  <c r="Q122" i="8" s="1"/>
  <c r="N140" i="8"/>
  <c r="O140" i="8" s="1"/>
  <c r="N30" i="8"/>
  <c r="O30" i="8" s="1"/>
  <c r="P51" i="8"/>
  <c r="Q51" i="8" s="1"/>
  <c r="P82" i="8"/>
  <c r="Q82" i="8" s="1"/>
  <c r="R107" i="8"/>
  <c r="S107" i="8" s="1"/>
  <c r="N134" i="8"/>
  <c r="O134" i="8" s="1"/>
  <c r="R154" i="8"/>
  <c r="S154" i="8" s="1"/>
  <c r="N23" i="8"/>
  <c r="O23" i="8" s="1"/>
  <c r="P170" i="8"/>
  <c r="Q170" i="8" s="1"/>
  <c r="P32" i="8"/>
  <c r="Q32" i="8" s="1"/>
  <c r="N98" i="8"/>
  <c r="O98" i="8" s="1"/>
  <c r="P119" i="8"/>
  <c r="Q119" i="8" s="1"/>
  <c r="P139" i="8"/>
  <c r="Q139" i="8" s="1"/>
  <c r="N162" i="8"/>
  <c r="O162" i="8" s="1"/>
  <c r="P27" i="8"/>
  <c r="Q27" i="8" s="1"/>
  <c r="P70" i="8"/>
  <c r="Q70" i="8" s="1"/>
  <c r="P130" i="8"/>
  <c r="Q130" i="8" s="1"/>
  <c r="N152" i="8"/>
  <c r="O152" i="8" s="1"/>
  <c r="P20" i="8"/>
  <c r="Q20" i="8" s="1"/>
  <c r="P64" i="8"/>
  <c r="Q64" i="8" s="1"/>
  <c r="N107" i="8"/>
  <c r="O107" i="8" s="1"/>
  <c r="P128" i="8"/>
  <c r="Q128" i="8" s="1"/>
  <c r="P152" i="8"/>
  <c r="Q152" i="8" s="1"/>
  <c r="N171" i="8"/>
  <c r="O171" i="8" s="1"/>
  <c r="P56" i="8"/>
  <c r="Q56" i="8" s="1"/>
  <c r="P73" i="8"/>
  <c r="Q73" i="8" s="1"/>
  <c r="P90" i="8"/>
  <c r="Q90" i="8" s="1"/>
  <c r="P107" i="8"/>
  <c r="Q107" i="8" s="1"/>
  <c r="P124" i="8"/>
  <c r="Q124" i="8" s="1"/>
  <c r="N165" i="8"/>
  <c r="O165" i="8" s="1"/>
  <c r="N53" i="8"/>
  <c r="O53" i="8" s="1"/>
  <c r="P114" i="8"/>
  <c r="Q114" i="8" s="1"/>
  <c r="N157" i="8"/>
  <c r="O157" i="8" s="1"/>
  <c r="F134" i="8"/>
  <c r="G134" i="8" s="1"/>
  <c r="F41" i="8"/>
  <c r="G41" i="8" s="1"/>
  <c r="F105" i="8"/>
  <c r="G105" i="8" s="1"/>
  <c r="F169" i="8"/>
  <c r="G169" i="8" s="1"/>
  <c r="F131" i="8"/>
  <c r="G131" i="8" s="1"/>
  <c r="F93" i="8"/>
  <c r="G93" i="8" s="1"/>
  <c r="F34" i="8"/>
  <c r="G34" i="8" s="1"/>
  <c r="F98" i="8"/>
  <c r="G98" i="8" s="1"/>
  <c r="F162" i="8"/>
  <c r="G162" i="8" s="1"/>
  <c r="F139" i="8"/>
  <c r="G139" i="8" s="1"/>
  <c r="F125" i="8"/>
  <c r="G125" i="8" s="1"/>
  <c r="F120" i="8"/>
  <c r="G120" i="8" s="1"/>
  <c r="F88" i="8"/>
  <c r="G88" i="8" s="1"/>
  <c r="N55" i="8"/>
  <c r="O55" i="8" s="1"/>
  <c r="N76" i="8"/>
  <c r="O76" i="8" s="1"/>
  <c r="P97" i="8"/>
  <c r="Q97" i="8" s="1"/>
  <c r="N139" i="8"/>
  <c r="O139" i="8" s="1"/>
  <c r="P161" i="8"/>
  <c r="Q161" i="8" s="1"/>
  <c r="P23" i="8"/>
  <c r="Q23" i="8" s="1"/>
  <c r="N115" i="8"/>
  <c r="O115" i="8" s="1"/>
  <c r="P131" i="8"/>
  <c r="Q131" i="8" s="1"/>
  <c r="P153" i="8"/>
  <c r="Q153" i="8" s="1"/>
  <c r="P16" i="8"/>
  <c r="Q16" i="8" s="1"/>
  <c r="N36" i="8"/>
  <c r="O36" i="8" s="1"/>
  <c r="N79" i="8"/>
  <c r="O79" i="8" s="1"/>
  <c r="P100" i="8"/>
  <c r="Q100" i="8" s="1"/>
  <c r="N143" i="8"/>
  <c r="O143" i="8" s="1"/>
  <c r="N164" i="8"/>
  <c r="O164" i="8" s="1"/>
  <c r="N29" i="8"/>
  <c r="O29" i="8" s="1"/>
  <c r="P50" i="8"/>
  <c r="Q50" i="8" s="1"/>
  <c r="N77" i="8"/>
  <c r="O77" i="8" s="1"/>
  <c r="P102" i="8"/>
  <c r="Q102" i="8" s="1"/>
  <c r="P133" i="8"/>
  <c r="Q133" i="8" s="1"/>
  <c r="N158" i="8"/>
  <c r="O158" i="8" s="1"/>
  <c r="N24" i="8"/>
  <c r="O24" i="8" s="1"/>
  <c r="P45" i="8"/>
  <c r="Q45" i="8" s="1"/>
  <c r="N88" i="8"/>
  <c r="O88" i="8" s="1"/>
  <c r="P109" i="8"/>
  <c r="Q109" i="8" s="1"/>
  <c r="N132" i="8"/>
  <c r="O132" i="8" s="1"/>
  <c r="N154" i="8"/>
  <c r="O154" i="8" s="1"/>
  <c r="N17" i="8"/>
  <c r="O17" i="8" s="1"/>
  <c r="P38" i="8"/>
  <c r="Q38" i="8" s="1"/>
  <c r="P58" i="8"/>
  <c r="Q58" i="8" s="1"/>
  <c r="P75" i="8"/>
  <c r="Q75" i="8" s="1"/>
  <c r="P92" i="8"/>
  <c r="Q92" i="8" s="1"/>
  <c r="P145" i="8"/>
  <c r="Q145" i="8" s="1"/>
  <c r="N167" i="8"/>
  <c r="O167" i="8" s="1"/>
  <c r="P35" i="8"/>
  <c r="Q35" i="8" s="1"/>
  <c r="N61" i="8"/>
  <c r="O61" i="8" s="1"/>
  <c r="P86" i="8"/>
  <c r="Q86" i="8" s="1"/>
  <c r="R116" i="8"/>
  <c r="S116" i="8" s="1"/>
  <c r="R138" i="8"/>
  <c r="S138" i="8" s="1"/>
  <c r="N159" i="8"/>
  <c r="O159" i="8" s="1"/>
  <c r="P21" i="8"/>
  <c r="Q21" i="8" s="1"/>
  <c r="E88" i="9"/>
  <c r="Q15" i="9"/>
  <c r="Q16" i="9"/>
  <c r="F79" i="8"/>
  <c r="G79" i="8" s="1"/>
  <c r="F143" i="8"/>
  <c r="G143" i="8" s="1"/>
  <c r="F32" i="8"/>
  <c r="G32" i="8" s="1"/>
  <c r="F64" i="8"/>
  <c r="G64" i="8" s="1"/>
  <c r="F160" i="8"/>
  <c r="G160" i="8" s="1"/>
  <c r="F39" i="8"/>
  <c r="G39" i="8" s="1"/>
  <c r="F167" i="8"/>
  <c r="G167" i="8" s="1"/>
  <c r="H24" i="8"/>
  <c r="I24" i="8" s="1"/>
  <c r="H34" i="8"/>
  <c r="I34" i="8" s="1"/>
  <c r="F71" i="8"/>
  <c r="G71" i="8" s="1"/>
  <c r="H78" i="8"/>
  <c r="I78" i="8" s="1"/>
  <c r="F103" i="8"/>
  <c r="G103" i="8" s="1"/>
  <c r="F135" i="8"/>
  <c r="G135" i="8" s="1"/>
  <c r="F107" i="8"/>
  <c r="G107" i="8" s="1"/>
  <c r="F77" i="8"/>
  <c r="G77" i="8" s="1"/>
  <c r="F144" i="8"/>
  <c r="G144" i="8" s="1"/>
  <c r="F111" i="8"/>
  <c r="G111" i="8" s="1"/>
  <c r="F127" i="8"/>
  <c r="G127" i="8" s="1"/>
  <c r="F96" i="8"/>
  <c r="G96" i="8" s="1"/>
  <c r="F40" i="8"/>
  <c r="G40" i="8" s="1"/>
  <c r="F23" i="8"/>
  <c r="G23" i="8" s="1"/>
  <c r="F159" i="8"/>
  <c r="G159" i="8" s="1"/>
  <c r="F128" i="8"/>
  <c r="G128" i="8" s="1"/>
  <c r="F136" i="8"/>
  <c r="G136" i="8" s="1"/>
  <c r="F72" i="8"/>
  <c r="G72" i="8" s="1"/>
  <c r="F104" i="8"/>
  <c r="G104" i="8" s="1"/>
  <c r="H152" i="8"/>
  <c r="I152" i="8" s="1"/>
  <c r="H98" i="8"/>
  <c r="I98" i="8" s="1"/>
  <c r="H142" i="8"/>
  <c r="I142" i="8" s="1"/>
  <c r="H162" i="8"/>
  <c r="I162" i="8" s="1"/>
  <c r="H81" i="8"/>
  <c r="I81" i="8" s="1"/>
  <c r="H67" i="8"/>
  <c r="I67" i="8" s="1"/>
  <c r="H145" i="8"/>
  <c r="I145" i="8" s="1"/>
  <c r="H131" i="8"/>
  <c r="I131" i="8" s="1"/>
  <c r="H39" i="8"/>
  <c r="I39" i="8" s="1"/>
  <c r="F48" i="8"/>
  <c r="G48" i="8" s="1"/>
  <c r="H69" i="8"/>
  <c r="I69" i="8" s="1"/>
  <c r="H25" i="8"/>
  <c r="I25" i="8" s="1"/>
  <c r="H153" i="8"/>
  <c r="I153" i="8" s="1"/>
  <c r="H18" i="8"/>
  <c r="I18" i="8" s="1"/>
  <c r="H22" i="8"/>
  <c r="I22" i="8" s="1"/>
  <c r="H150" i="8"/>
  <c r="I150" i="8" s="1"/>
  <c r="H40" i="8"/>
  <c r="I40" i="8" s="1"/>
  <c r="H167" i="8"/>
  <c r="I167" i="8" s="1"/>
  <c r="H156" i="8"/>
  <c r="I156" i="8" s="1"/>
  <c r="H89" i="8"/>
  <c r="I89" i="8" s="1"/>
  <c r="H42" i="8"/>
  <c r="I42" i="8" s="1"/>
  <c r="H106" i="8"/>
  <c r="I106" i="8" s="1"/>
  <c r="H75" i="8"/>
  <c r="I75" i="8" s="1"/>
  <c r="H139" i="8"/>
  <c r="I139" i="8" s="1"/>
  <c r="H86" i="8"/>
  <c r="I86" i="8" s="1"/>
  <c r="H168" i="8"/>
  <c r="I168" i="8" s="1"/>
  <c r="H47" i="8"/>
  <c r="I47" i="8" s="1"/>
  <c r="H111" i="8"/>
  <c r="I111" i="8" s="1"/>
  <c r="H96" i="8"/>
  <c r="I96" i="8" s="1"/>
  <c r="H53" i="8"/>
  <c r="I53" i="8" s="1"/>
  <c r="H29" i="8"/>
  <c r="I29" i="8" s="1"/>
  <c r="H101" i="8"/>
  <c r="I101" i="8" s="1"/>
  <c r="H44" i="8"/>
  <c r="I44" i="8" s="1"/>
  <c r="H33" i="8"/>
  <c r="I33" i="8" s="1"/>
  <c r="H97" i="8"/>
  <c r="I97" i="8" s="1"/>
  <c r="H161" i="8"/>
  <c r="I161" i="8" s="1"/>
  <c r="H50" i="8"/>
  <c r="I50" i="8" s="1"/>
  <c r="H114" i="8"/>
  <c r="I114" i="8" s="1"/>
  <c r="H19" i="8"/>
  <c r="I19" i="8" s="1"/>
  <c r="H83" i="8"/>
  <c r="I83" i="8" s="1"/>
  <c r="H147" i="8"/>
  <c r="I147" i="8" s="1"/>
  <c r="H30" i="8"/>
  <c r="I30" i="8" s="1"/>
  <c r="H94" i="8"/>
  <c r="I94" i="8" s="1"/>
  <c r="H158" i="8"/>
  <c r="I158" i="8" s="1"/>
  <c r="H56" i="8"/>
  <c r="I56" i="8" s="1"/>
  <c r="H55" i="8"/>
  <c r="I55" i="8" s="1"/>
  <c r="H119" i="8"/>
  <c r="I119" i="8" s="1"/>
  <c r="H112" i="8"/>
  <c r="I112" i="8" s="1"/>
  <c r="H85" i="8"/>
  <c r="I85" i="8" s="1"/>
  <c r="H93" i="8"/>
  <c r="I93" i="8" s="1"/>
  <c r="H133" i="8"/>
  <c r="I133" i="8" s="1"/>
  <c r="H76" i="8"/>
  <c r="I76" i="8" s="1"/>
  <c r="H80" i="8"/>
  <c r="I80" i="8" s="1"/>
  <c r="H122" i="8"/>
  <c r="I122" i="8" s="1"/>
  <c r="H102" i="8"/>
  <c r="I102" i="8" s="1"/>
  <c r="H166" i="8"/>
  <c r="I166" i="8" s="1"/>
  <c r="H63" i="8"/>
  <c r="I63" i="8" s="1"/>
  <c r="H125" i="8"/>
  <c r="I125" i="8" s="1"/>
  <c r="H108" i="8"/>
  <c r="I108" i="8" s="1"/>
  <c r="H49" i="8"/>
  <c r="I49" i="8" s="1"/>
  <c r="H130" i="8"/>
  <c r="I130" i="8" s="1"/>
  <c r="H110" i="8"/>
  <c r="I110" i="8" s="1"/>
  <c r="H71" i="8"/>
  <c r="I71" i="8" s="1"/>
  <c r="H157" i="8"/>
  <c r="I157" i="8" s="1"/>
  <c r="H28" i="8"/>
  <c r="I28" i="8" s="1"/>
  <c r="H140" i="8"/>
  <c r="I140" i="8" s="1"/>
  <c r="H57" i="8"/>
  <c r="I57" i="8" s="1"/>
  <c r="H121" i="8"/>
  <c r="I121" i="8" s="1"/>
  <c r="H74" i="8"/>
  <c r="I74" i="8" s="1"/>
  <c r="H138" i="8"/>
  <c r="I138" i="8" s="1"/>
  <c r="H43" i="8"/>
  <c r="I43" i="8" s="1"/>
  <c r="H107" i="8"/>
  <c r="I107" i="8" s="1"/>
  <c r="H171" i="8"/>
  <c r="I171" i="8" s="1"/>
  <c r="H54" i="8"/>
  <c r="I54" i="8" s="1"/>
  <c r="H118" i="8"/>
  <c r="I118" i="8" s="1"/>
  <c r="H104" i="8"/>
  <c r="I104" i="8" s="1"/>
  <c r="H79" i="8"/>
  <c r="I79" i="8" s="1"/>
  <c r="H143" i="8"/>
  <c r="I143" i="8" s="1"/>
  <c r="H32" i="8"/>
  <c r="I32" i="8" s="1"/>
  <c r="H160" i="8"/>
  <c r="I160" i="8" s="1"/>
  <c r="H60" i="8"/>
  <c r="I60" i="8" s="1"/>
  <c r="H17" i="8"/>
  <c r="I17" i="8" s="1"/>
  <c r="H36" i="8"/>
  <c r="I36" i="8" s="1"/>
  <c r="H100" i="8"/>
  <c r="I100" i="8" s="1"/>
  <c r="H164" i="8"/>
  <c r="I164" i="8" s="1"/>
  <c r="H52" i="8"/>
  <c r="I52" i="8" s="1"/>
  <c r="H116" i="8"/>
  <c r="I116" i="8" s="1"/>
  <c r="H68" i="8"/>
  <c r="I68" i="8" s="1"/>
  <c r="H132" i="8"/>
  <c r="I132" i="8" s="1"/>
  <c r="H20" i="8"/>
  <c r="I20" i="8" s="1"/>
  <c r="H84" i="8"/>
  <c r="I84" i="8" s="1"/>
  <c r="H148" i="8"/>
  <c r="I148" i="8" s="1"/>
  <c r="H45" i="8"/>
  <c r="I45" i="8" s="1"/>
  <c r="H77" i="8"/>
  <c r="I77" i="8" s="1"/>
  <c r="H109" i="8"/>
  <c r="I109" i="8" s="1"/>
  <c r="H141" i="8"/>
  <c r="I141" i="8" s="1"/>
  <c r="H16" i="8"/>
  <c r="I16" i="8" s="1"/>
  <c r="H105" i="8"/>
  <c r="I105" i="8" s="1"/>
  <c r="H169" i="8"/>
  <c r="I169" i="8" s="1"/>
  <c r="H58" i="8"/>
  <c r="I58" i="8" s="1"/>
  <c r="H27" i="8"/>
  <c r="I27" i="8" s="1"/>
  <c r="H155" i="8"/>
  <c r="I155" i="8" s="1"/>
  <c r="H38" i="8"/>
  <c r="I38" i="8" s="1"/>
  <c r="H127" i="8"/>
  <c r="I127" i="8" s="1"/>
  <c r="H128" i="8"/>
  <c r="I128" i="8" s="1"/>
  <c r="H117" i="8"/>
  <c r="I117" i="8" s="1"/>
  <c r="H113" i="8"/>
  <c r="I113" i="8" s="1"/>
  <c r="H35" i="8"/>
  <c r="I35" i="8" s="1"/>
  <c r="H163" i="8"/>
  <c r="I163" i="8" s="1"/>
  <c r="H46" i="8"/>
  <c r="I46" i="8" s="1"/>
  <c r="H65" i="8"/>
  <c r="I65" i="8" s="1"/>
  <c r="H129" i="8"/>
  <c r="I129" i="8" s="1"/>
  <c r="H82" i="8"/>
  <c r="I82" i="8" s="1"/>
  <c r="H146" i="8"/>
  <c r="I146" i="8" s="1"/>
  <c r="H51" i="8"/>
  <c r="I51" i="8" s="1"/>
  <c r="H115" i="8"/>
  <c r="I115" i="8" s="1"/>
  <c r="H62" i="8"/>
  <c r="I62" i="8" s="1"/>
  <c r="H126" i="8"/>
  <c r="I126" i="8" s="1"/>
  <c r="H120" i="8"/>
  <c r="I120" i="8" s="1"/>
  <c r="H23" i="8"/>
  <c r="I23" i="8" s="1"/>
  <c r="H87" i="8"/>
  <c r="I87" i="8" s="1"/>
  <c r="H151" i="8"/>
  <c r="I151" i="8" s="1"/>
  <c r="H48" i="8"/>
  <c r="I48" i="8" s="1"/>
  <c r="H92" i="8"/>
  <c r="I92" i="8" s="1"/>
  <c r="H61" i="8"/>
  <c r="I61" i="8" s="1"/>
  <c r="H41" i="8"/>
  <c r="I41" i="8" s="1"/>
  <c r="H91" i="8"/>
  <c r="I91" i="8" s="1"/>
  <c r="H72" i="8"/>
  <c r="I72" i="8" s="1"/>
  <c r="H165" i="8"/>
  <c r="I165" i="8" s="1"/>
  <c r="H66" i="8"/>
  <c r="I66" i="8" s="1"/>
  <c r="H99" i="8"/>
  <c r="I99" i="8" s="1"/>
  <c r="H88" i="8"/>
  <c r="I88" i="8" s="1"/>
  <c r="H135" i="8"/>
  <c r="I135" i="8" s="1"/>
  <c r="H144" i="8"/>
  <c r="I144" i="8" s="1"/>
  <c r="H149" i="8"/>
  <c r="I149" i="8" s="1"/>
  <c r="H73" i="8"/>
  <c r="I73" i="8" s="1"/>
  <c r="H137" i="8"/>
  <c r="I137" i="8" s="1"/>
  <c r="H26" i="8"/>
  <c r="I26" i="8" s="1"/>
  <c r="H90" i="8"/>
  <c r="I90" i="8" s="1"/>
  <c r="H154" i="8"/>
  <c r="I154" i="8" s="1"/>
  <c r="H59" i="8"/>
  <c r="I59" i="8" s="1"/>
  <c r="H123" i="8"/>
  <c r="I123" i="8" s="1"/>
  <c r="H70" i="8"/>
  <c r="I70" i="8" s="1"/>
  <c r="H134" i="8"/>
  <c r="I134" i="8" s="1"/>
  <c r="H136" i="8"/>
  <c r="I136" i="8" s="1"/>
  <c r="H31" i="8"/>
  <c r="I31" i="8" s="1"/>
  <c r="H95" i="8"/>
  <c r="I95" i="8" s="1"/>
  <c r="H159" i="8"/>
  <c r="I159" i="8" s="1"/>
  <c r="H64" i="8"/>
  <c r="I64" i="8" s="1"/>
  <c r="H124" i="8"/>
  <c r="I124" i="8" s="1"/>
  <c r="H37" i="8"/>
  <c r="I37" i="8" s="1"/>
  <c r="H21" i="8"/>
  <c r="I21" i="8" s="1"/>
  <c r="C13" i="7"/>
  <c r="D13" i="7" s="1"/>
  <c r="F37" i="9"/>
  <c r="G16" i="9"/>
  <c r="D17" i="8"/>
  <c r="E17" i="8" s="1"/>
  <c r="E12" i="7"/>
  <c r="C16" i="5"/>
  <c r="P11" i="8" l="1"/>
  <c r="U104" i="5" s="1"/>
  <c r="F11" i="8"/>
  <c r="C104" i="5" s="1"/>
  <c r="O11" i="8"/>
  <c r="U65" i="5" s="1"/>
  <c r="E11" i="8"/>
  <c r="C65" i="5" s="1"/>
  <c r="N11" i="8"/>
  <c r="U26" i="5" s="1"/>
  <c r="T18" i="9"/>
  <c r="U18" i="9" s="1"/>
  <c r="T24" i="9"/>
  <c r="U24" i="9" s="1"/>
  <c r="T22" i="9"/>
  <c r="U22" i="9" s="1"/>
  <c r="T28" i="9"/>
  <c r="U28" i="9" s="1"/>
  <c r="V15" i="9"/>
  <c r="W15" i="9" s="1"/>
  <c r="V30" i="9"/>
  <c r="W30" i="9" s="1"/>
  <c r="T17" i="9"/>
  <c r="U17" i="9" s="1"/>
  <c r="T27" i="9"/>
  <c r="U27" i="9" s="1"/>
  <c r="V90" i="9"/>
  <c r="W90" i="9" s="1"/>
  <c r="V16" i="9"/>
  <c r="W16" i="9" s="1"/>
  <c r="V91" i="9"/>
  <c r="W91" i="9" s="1"/>
  <c r="V25" i="9"/>
  <c r="W25" i="9" s="1"/>
  <c r="V29" i="9"/>
  <c r="W29" i="9" s="1"/>
  <c r="V21" i="9"/>
  <c r="W21" i="9" s="1"/>
  <c r="V19" i="9"/>
  <c r="W19" i="9" s="1"/>
  <c r="V98" i="9"/>
  <c r="W98" i="9" s="1"/>
  <c r="J50" i="9"/>
  <c r="K50" i="9" s="1"/>
  <c r="T99" i="9"/>
  <c r="U99" i="9" s="1"/>
  <c r="H93" i="9"/>
  <c r="I93" i="9" s="1"/>
  <c r="J88" i="9"/>
  <c r="K88" i="9" s="1"/>
  <c r="V26" i="9"/>
  <c r="W26" i="9" s="1"/>
  <c r="T23" i="9"/>
  <c r="U23" i="9" s="1"/>
  <c r="T14" i="9"/>
  <c r="U14" i="9" s="1"/>
  <c r="T94" i="9"/>
  <c r="U94" i="9" s="1"/>
  <c r="T13" i="9"/>
  <c r="U13" i="9" s="1"/>
  <c r="T31" i="9"/>
  <c r="U31" i="9" s="1"/>
  <c r="J91" i="9"/>
  <c r="K91" i="9" s="1"/>
  <c r="H89" i="9"/>
  <c r="I89" i="9" s="1"/>
  <c r="T20" i="9"/>
  <c r="U20" i="9" s="1"/>
  <c r="V32" i="9"/>
  <c r="W32" i="9" s="1"/>
  <c r="H95" i="9"/>
  <c r="I95" i="9" s="1"/>
  <c r="J101" i="9"/>
  <c r="K101" i="9" s="1"/>
  <c r="J99" i="9"/>
  <c r="K99" i="9" s="1"/>
  <c r="V88" i="9"/>
  <c r="W88" i="9" s="1"/>
  <c r="V49" i="9"/>
  <c r="W49" i="9" s="1"/>
  <c r="H92" i="9"/>
  <c r="I92" i="9" s="1"/>
  <c r="J86" i="9"/>
  <c r="K86" i="9" s="1"/>
  <c r="T56" i="9"/>
  <c r="U56" i="9" s="1"/>
  <c r="T103" i="9"/>
  <c r="U103" i="9" s="1"/>
  <c r="T100" i="9"/>
  <c r="U100" i="9" s="1"/>
  <c r="H104" i="9"/>
  <c r="I104" i="9" s="1"/>
  <c r="J49" i="9"/>
  <c r="K49" i="9" s="1"/>
  <c r="H96" i="9"/>
  <c r="I96" i="9" s="1"/>
  <c r="T97" i="9"/>
  <c r="U97" i="9" s="1"/>
  <c r="V51" i="9"/>
  <c r="W51" i="9" s="1"/>
  <c r="T89" i="9"/>
  <c r="U89" i="9" s="1"/>
  <c r="J90" i="9"/>
  <c r="K90" i="9" s="1"/>
  <c r="V66" i="9"/>
  <c r="W66" i="9" s="1"/>
  <c r="V65" i="9"/>
  <c r="W65" i="9" s="1"/>
  <c r="T85" i="9"/>
  <c r="U85" i="9" s="1"/>
  <c r="J94" i="9"/>
  <c r="K94" i="9" s="1"/>
  <c r="V61" i="9"/>
  <c r="W61" i="9" s="1"/>
  <c r="T60" i="9"/>
  <c r="U60" i="9" s="1"/>
  <c r="H87" i="9"/>
  <c r="I87" i="9" s="1"/>
  <c r="T67" i="9"/>
  <c r="U67" i="9" s="1"/>
  <c r="T95" i="9"/>
  <c r="U95" i="9" s="1"/>
  <c r="T68" i="9"/>
  <c r="U68" i="9" s="1"/>
  <c r="T63" i="9"/>
  <c r="U63" i="9" s="1"/>
  <c r="T59" i="9"/>
  <c r="U59" i="9" s="1"/>
  <c r="T101" i="9"/>
  <c r="U101" i="9" s="1"/>
  <c r="H100" i="9"/>
  <c r="I100" i="9" s="1"/>
  <c r="T55" i="9"/>
  <c r="U55" i="9" s="1"/>
  <c r="T93" i="9"/>
  <c r="U93" i="9" s="1"/>
  <c r="J85" i="9"/>
  <c r="K85" i="9" s="1"/>
  <c r="T53" i="9"/>
  <c r="U53" i="9" s="1"/>
  <c r="V104" i="9"/>
  <c r="W104" i="9" s="1"/>
  <c r="V87" i="9"/>
  <c r="W87" i="9" s="1"/>
  <c r="H98" i="9"/>
  <c r="I98" i="9" s="1"/>
  <c r="J103" i="9"/>
  <c r="K103" i="9" s="1"/>
  <c r="V62" i="9"/>
  <c r="W62" i="9" s="1"/>
  <c r="V54" i="9"/>
  <c r="W54" i="9" s="1"/>
  <c r="V57" i="9"/>
  <c r="W57" i="9" s="1"/>
  <c r="V96" i="9"/>
  <c r="W96" i="9" s="1"/>
  <c r="T102" i="9"/>
  <c r="U102" i="9" s="1"/>
  <c r="V52" i="9"/>
  <c r="W52" i="9" s="1"/>
  <c r="T86" i="9"/>
  <c r="U86" i="9" s="1"/>
  <c r="V58" i="9"/>
  <c r="W58" i="9" s="1"/>
  <c r="T92" i="9"/>
  <c r="U92" i="9" s="1"/>
  <c r="J51" i="9"/>
  <c r="K51" i="9" s="1"/>
  <c r="H52" i="9"/>
  <c r="I52" i="9" s="1"/>
  <c r="V64" i="9"/>
  <c r="W64" i="9" s="1"/>
  <c r="J53" i="9"/>
  <c r="K53" i="9" s="1"/>
  <c r="V50" i="9"/>
  <c r="W50" i="9" s="1"/>
  <c r="J102" i="9"/>
  <c r="K102" i="9" s="1"/>
  <c r="J97" i="9"/>
  <c r="K97" i="9" s="1"/>
  <c r="Q96" i="9"/>
  <c r="E13" i="7"/>
  <c r="G13" i="7"/>
  <c r="F13" i="7"/>
  <c r="E89" i="9"/>
  <c r="G54" i="9"/>
  <c r="J54" i="9" s="1"/>
  <c r="K54" i="9" s="1"/>
  <c r="Q17" i="9"/>
  <c r="C14" i="7"/>
  <c r="D161" i="8"/>
  <c r="E161" i="8" s="1"/>
  <c r="D33" i="8"/>
  <c r="E33" i="8" s="1"/>
  <c r="D108" i="8"/>
  <c r="E108" i="8" s="1"/>
  <c r="D97" i="8"/>
  <c r="E97" i="8" s="1"/>
  <c r="D132" i="8"/>
  <c r="E132" i="8" s="1"/>
  <c r="D93" i="8"/>
  <c r="E93" i="8" s="1"/>
  <c r="D101" i="8"/>
  <c r="E101" i="8" s="1"/>
  <c r="D78" i="8"/>
  <c r="E78" i="8" s="1"/>
  <c r="D59" i="8"/>
  <c r="E59" i="8" s="1"/>
  <c r="D151" i="8"/>
  <c r="E151" i="8" s="1"/>
  <c r="D57" i="8"/>
  <c r="E57" i="8" s="1"/>
  <c r="D98" i="8"/>
  <c r="E98" i="8" s="1"/>
  <c r="D46" i="8"/>
  <c r="E46" i="8" s="1"/>
  <c r="D106" i="8"/>
  <c r="E106" i="8" s="1"/>
  <c r="D91" i="8"/>
  <c r="E91" i="8" s="1"/>
  <c r="D32" i="8"/>
  <c r="E32" i="8" s="1"/>
  <c r="D107" i="8"/>
  <c r="E107" i="8" s="1"/>
  <c r="D164" i="8"/>
  <c r="E164" i="8" s="1"/>
  <c r="D64" i="8"/>
  <c r="E64" i="8" s="1"/>
  <c r="D105" i="8"/>
  <c r="E105" i="8" s="1"/>
  <c r="D162" i="8"/>
  <c r="E162" i="8" s="1"/>
  <c r="D155" i="8"/>
  <c r="E155" i="8" s="1"/>
  <c r="D16" i="8"/>
  <c r="E16" i="8" s="1"/>
  <c r="D157" i="8"/>
  <c r="E157" i="8" s="1"/>
  <c r="D110" i="8"/>
  <c r="E110" i="8" s="1"/>
  <c r="D72" i="8"/>
  <c r="E72" i="8" s="1"/>
  <c r="D130" i="8"/>
  <c r="E130" i="8" s="1"/>
  <c r="D86" i="8"/>
  <c r="E86" i="8" s="1"/>
  <c r="D137" i="8"/>
  <c r="E137" i="8" s="1"/>
  <c r="D96" i="8"/>
  <c r="E96" i="8" s="1"/>
  <c r="D36" i="8"/>
  <c r="E36" i="8" s="1"/>
  <c r="D165" i="8"/>
  <c r="E165" i="8" s="1"/>
  <c r="D44" i="8"/>
  <c r="E44" i="8" s="1"/>
  <c r="D170" i="8"/>
  <c r="E170" i="8" s="1"/>
  <c r="D87" i="8"/>
  <c r="E87" i="8" s="1"/>
  <c r="D142" i="8"/>
  <c r="E142" i="8" s="1"/>
  <c r="D42" i="8"/>
  <c r="E42" i="8" s="1"/>
  <c r="D19" i="8"/>
  <c r="E19" i="8" s="1"/>
  <c r="D68" i="8"/>
  <c r="E68" i="8" s="1"/>
  <c r="D37" i="8"/>
  <c r="E37" i="8" s="1"/>
  <c r="D159" i="8"/>
  <c r="E159" i="8" s="1"/>
  <c r="D23" i="8"/>
  <c r="E23" i="8" s="1"/>
  <c r="D136" i="8"/>
  <c r="E136" i="8" s="1"/>
  <c r="D125" i="8"/>
  <c r="E125" i="8" s="1"/>
  <c r="D34" i="8"/>
  <c r="E34" i="8" s="1"/>
  <c r="D115" i="8"/>
  <c r="E115" i="8" s="1"/>
  <c r="D29" i="8"/>
  <c r="E29" i="8" s="1"/>
  <c r="D79" i="8"/>
  <c r="E79" i="8" s="1"/>
  <c r="D150" i="8"/>
  <c r="E150" i="8" s="1"/>
  <c r="D128" i="8"/>
  <c r="E128" i="8" s="1"/>
  <c r="D25" i="8"/>
  <c r="E25" i="8" s="1"/>
  <c r="D66" i="8"/>
  <c r="E66" i="8" s="1"/>
  <c r="D27" i="8"/>
  <c r="E27" i="8" s="1"/>
  <c r="D100" i="8"/>
  <c r="E100" i="8" s="1"/>
  <c r="D61" i="8"/>
  <c r="E61" i="8" s="1"/>
  <c r="D22" i="8"/>
  <c r="E22" i="8" s="1"/>
  <c r="D127" i="8"/>
  <c r="E127" i="8" s="1"/>
  <c r="D160" i="8"/>
  <c r="E160" i="8" s="1"/>
  <c r="D41" i="8"/>
  <c r="E41" i="8" s="1"/>
  <c r="D113" i="8"/>
  <c r="E113" i="8" s="1"/>
  <c r="D50" i="8"/>
  <c r="D35" i="8"/>
  <c r="E35" i="8" s="1"/>
  <c r="D43" i="8"/>
  <c r="E43" i="8" s="1"/>
  <c r="D123" i="8"/>
  <c r="E123" i="8" s="1"/>
  <c r="D52" i="8"/>
  <c r="E52" i="8" s="1"/>
  <c r="D116" i="8"/>
  <c r="E116" i="8" s="1"/>
  <c r="D39" i="8"/>
  <c r="E39" i="8" s="1"/>
  <c r="D45" i="8"/>
  <c r="E45" i="8" s="1"/>
  <c r="D109" i="8"/>
  <c r="E109" i="8" s="1"/>
  <c r="D31" i="8"/>
  <c r="E31" i="8" s="1"/>
  <c r="D30" i="8"/>
  <c r="E30" i="8" s="1"/>
  <c r="D94" i="8"/>
  <c r="E94" i="8" s="1"/>
  <c r="D158" i="8"/>
  <c r="E158" i="8" s="1"/>
  <c r="D167" i="8"/>
  <c r="E167" i="8" s="1"/>
  <c r="D80" i="8"/>
  <c r="E80" i="8" s="1"/>
  <c r="D144" i="8"/>
  <c r="E144" i="8" s="1"/>
  <c r="D18" i="8"/>
  <c r="E18" i="8" s="1"/>
  <c r="D49" i="8"/>
  <c r="E49" i="8" s="1"/>
  <c r="D129" i="8"/>
  <c r="E129" i="8" s="1"/>
  <c r="D58" i="8"/>
  <c r="E58" i="8" s="1"/>
  <c r="D122" i="8"/>
  <c r="E122" i="8" s="1"/>
  <c r="D99" i="8"/>
  <c r="E99" i="8" s="1"/>
  <c r="D51" i="8"/>
  <c r="E51" i="8" s="1"/>
  <c r="D139" i="8"/>
  <c r="E139" i="8" s="1"/>
  <c r="D60" i="8"/>
  <c r="E60" i="8" s="1"/>
  <c r="D124" i="8"/>
  <c r="E124" i="8" s="1"/>
  <c r="D63" i="8"/>
  <c r="E63" i="8" s="1"/>
  <c r="D53" i="8"/>
  <c r="E53" i="8" s="1"/>
  <c r="D117" i="8"/>
  <c r="E117" i="8" s="1"/>
  <c r="D55" i="8"/>
  <c r="E55" i="8" s="1"/>
  <c r="D38" i="8"/>
  <c r="E38" i="8" s="1"/>
  <c r="D102" i="8"/>
  <c r="E102" i="8" s="1"/>
  <c r="D166" i="8"/>
  <c r="E166" i="8" s="1"/>
  <c r="D24" i="8"/>
  <c r="E24" i="8" s="1"/>
  <c r="D88" i="8"/>
  <c r="E88" i="8" s="1"/>
  <c r="D152" i="8"/>
  <c r="E152" i="8" s="1"/>
  <c r="D153" i="8"/>
  <c r="E153" i="8" s="1"/>
  <c r="D131" i="8"/>
  <c r="E131" i="8" s="1"/>
  <c r="D111" i="8"/>
  <c r="E111" i="8" s="1"/>
  <c r="D168" i="8"/>
  <c r="E168" i="8" s="1"/>
  <c r="D65" i="8"/>
  <c r="E65" i="8" s="1"/>
  <c r="D74" i="8"/>
  <c r="E74" i="8" s="1"/>
  <c r="D67" i="8"/>
  <c r="E67" i="8" s="1"/>
  <c r="D171" i="8"/>
  <c r="E171" i="8" s="1"/>
  <c r="D76" i="8"/>
  <c r="E76" i="8" s="1"/>
  <c r="D140" i="8"/>
  <c r="E140" i="8" s="1"/>
  <c r="D69" i="8"/>
  <c r="E69" i="8" s="1"/>
  <c r="D133" i="8"/>
  <c r="E133" i="8" s="1"/>
  <c r="D103" i="8"/>
  <c r="E103" i="8" s="1"/>
  <c r="D54" i="8"/>
  <c r="E54" i="8" s="1"/>
  <c r="D118" i="8"/>
  <c r="E118" i="8" s="1"/>
  <c r="D47" i="8"/>
  <c r="E47" i="8" s="1"/>
  <c r="D40" i="8"/>
  <c r="E40" i="8" s="1"/>
  <c r="D73" i="8"/>
  <c r="E73" i="8" s="1"/>
  <c r="D169" i="8"/>
  <c r="E169" i="8" s="1"/>
  <c r="D82" i="8"/>
  <c r="E82" i="8" s="1"/>
  <c r="D146" i="8"/>
  <c r="E146" i="8" s="1"/>
  <c r="D147" i="8"/>
  <c r="E147" i="8" s="1"/>
  <c r="D75" i="8"/>
  <c r="E75" i="8" s="1"/>
  <c r="D20" i="8"/>
  <c r="E20" i="8" s="1"/>
  <c r="D84" i="8"/>
  <c r="E84" i="8" s="1"/>
  <c r="D148" i="8"/>
  <c r="E148" i="8" s="1"/>
  <c r="D143" i="8"/>
  <c r="E143" i="8" s="1"/>
  <c r="D77" i="8"/>
  <c r="E77" i="8" s="1"/>
  <c r="D141" i="8"/>
  <c r="E141" i="8" s="1"/>
  <c r="D119" i="8"/>
  <c r="E119" i="8" s="1"/>
  <c r="D62" i="8"/>
  <c r="E62" i="8" s="1"/>
  <c r="D126" i="8"/>
  <c r="E126" i="8" s="1"/>
  <c r="D71" i="8"/>
  <c r="E71" i="8" s="1"/>
  <c r="D48" i="8"/>
  <c r="E48" i="8" s="1"/>
  <c r="D112" i="8"/>
  <c r="E112" i="8" s="1"/>
  <c r="D121" i="8"/>
  <c r="E121" i="8" s="1"/>
  <c r="D138" i="8"/>
  <c r="E138" i="8" s="1"/>
  <c r="D104" i="8"/>
  <c r="E104" i="8" s="1"/>
  <c r="D89" i="8"/>
  <c r="D26" i="8"/>
  <c r="E26" i="8" s="1"/>
  <c r="D90" i="8"/>
  <c r="E90" i="8" s="1"/>
  <c r="D154" i="8"/>
  <c r="E154" i="8" s="1"/>
  <c r="D163" i="8"/>
  <c r="E163" i="8" s="1"/>
  <c r="D83" i="8"/>
  <c r="E83" i="8" s="1"/>
  <c r="D28" i="8"/>
  <c r="E28" i="8" s="1"/>
  <c r="D92" i="8"/>
  <c r="E92" i="8" s="1"/>
  <c r="D156" i="8"/>
  <c r="E156" i="8" s="1"/>
  <c r="D21" i="8"/>
  <c r="E21" i="8" s="1"/>
  <c r="D85" i="8"/>
  <c r="E85" i="8" s="1"/>
  <c r="D149" i="8"/>
  <c r="E149" i="8" s="1"/>
  <c r="D135" i="8"/>
  <c r="E135" i="8" s="1"/>
  <c r="D70" i="8"/>
  <c r="E70" i="8" s="1"/>
  <c r="D134" i="8"/>
  <c r="E134" i="8" s="1"/>
  <c r="D95" i="8"/>
  <c r="E95" i="8" s="1"/>
  <c r="D56" i="8"/>
  <c r="E56" i="8" s="1"/>
  <c r="D120" i="8"/>
  <c r="E120" i="8" s="1"/>
  <c r="D145" i="8"/>
  <c r="E145" i="8" s="1"/>
  <c r="D114" i="8"/>
  <c r="E114" i="8" s="1"/>
  <c r="G28" i="9"/>
  <c r="G24" i="9"/>
  <c r="G13" i="9"/>
  <c r="G26" i="9"/>
  <c r="G32" i="9"/>
  <c r="G30" i="9"/>
  <c r="G15" i="9"/>
  <c r="G25" i="9"/>
  <c r="G19" i="9"/>
  <c r="G14" i="9"/>
  <c r="G20" i="9"/>
  <c r="G18" i="9"/>
  <c r="G29" i="9"/>
  <c r="G23" i="9"/>
  <c r="G27" i="9"/>
  <c r="G21" i="9"/>
  <c r="G17" i="9"/>
  <c r="G31" i="9"/>
  <c r="E37" i="9"/>
  <c r="G22" i="9"/>
  <c r="C23" i="9"/>
  <c r="D81" i="8"/>
  <c r="E81" i="8" s="1"/>
  <c r="H54" i="9" l="1"/>
  <c r="I54" i="9" s="1"/>
  <c r="W35" i="9"/>
  <c r="U35" i="9"/>
  <c r="W107" i="9"/>
  <c r="I107" i="9"/>
  <c r="K107" i="9"/>
  <c r="U107" i="9"/>
  <c r="W71" i="9"/>
  <c r="U71" i="9"/>
  <c r="Q97" i="9"/>
  <c r="E50" i="8"/>
  <c r="E89" i="8"/>
  <c r="E90" i="9"/>
  <c r="G55" i="9"/>
  <c r="Q18" i="9"/>
  <c r="D14" i="7"/>
  <c r="C15" i="7"/>
  <c r="J13" i="9"/>
  <c r="K13" i="9" s="1"/>
  <c r="J18" i="9"/>
  <c r="K18" i="9" s="1"/>
  <c r="J23" i="9"/>
  <c r="K23" i="9" s="1"/>
  <c r="H27" i="9"/>
  <c r="I27" i="9" s="1"/>
  <c r="J20" i="9"/>
  <c r="K20" i="9" s="1"/>
  <c r="J21" i="9"/>
  <c r="K21" i="9" s="1"/>
  <c r="H14" i="9"/>
  <c r="I14" i="9" s="1"/>
  <c r="H24" i="9"/>
  <c r="I24" i="9" s="1"/>
  <c r="H30" i="9"/>
  <c r="I30" i="9" s="1"/>
  <c r="J14" i="9"/>
  <c r="K14" i="9" s="1"/>
  <c r="J28" i="9"/>
  <c r="K28" i="9" s="1"/>
  <c r="H21" i="9"/>
  <c r="I21" i="9" s="1"/>
  <c r="H28" i="9"/>
  <c r="I28" i="9" s="1"/>
  <c r="H23" i="9"/>
  <c r="I23" i="9" s="1"/>
  <c r="J24" i="9"/>
  <c r="K24" i="9" s="1"/>
  <c r="J32" i="9"/>
  <c r="K32" i="9" s="1"/>
  <c r="H17" i="9"/>
  <c r="I17" i="9" s="1"/>
  <c r="H13" i="9"/>
  <c r="I13" i="9" s="1"/>
  <c r="J25" i="9"/>
  <c r="K25" i="9" s="1"/>
  <c r="H18" i="9"/>
  <c r="I18" i="9" s="1"/>
  <c r="J22" i="9"/>
  <c r="K22" i="9" s="1"/>
  <c r="J17" i="9"/>
  <c r="K17" i="9" s="1"/>
  <c r="J27" i="9"/>
  <c r="K27" i="9" s="1"/>
  <c r="H22" i="9"/>
  <c r="I22" i="9" s="1"/>
  <c r="H16" i="9"/>
  <c r="I16" i="9" s="1"/>
  <c r="H25" i="9"/>
  <c r="I25" i="9" s="1"/>
  <c r="H26" i="9"/>
  <c r="I26" i="9" s="1"/>
  <c r="H15" i="9"/>
  <c r="I15" i="9" s="1"/>
  <c r="H19" i="9"/>
  <c r="I19" i="9" s="1"/>
  <c r="J26" i="9"/>
  <c r="K26" i="9" s="1"/>
  <c r="J19" i="9"/>
  <c r="K19" i="9" s="1"/>
  <c r="H32" i="9"/>
  <c r="I32" i="9" s="1"/>
  <c r="J30" i="9"/>
  <c r="K30" i="9" s="1"/>
  <c r="J31" i="9"/>
  <c r="K31" i="9" s="1"/>
  <c r="H20" i="9"/>
  <c r="I20" i="9" s="1"/>
  <c r="H29" i="9"/>
  <c r="I29" i="9" s="1"/>
  <c r="J29" i="9"/>
  <c r="K29" i="9" s="1"/>
  <c r="H31" i="9"/>
  <c r="I31" i="9" s="1"/>
  <c r="J16" i="9"/>
  <c r="K16" i="9" s="1"/>
  <c r="J15" i="9"/>
  <c r="K15" i="9" s="1"/>
  <c r="D11" i="8" l="1"/>
  <c r="C26" i="5" s="1"/>
  <c r="H55" i="9"/>
  <c r="I55" i="9" s="1"/>
  <c r="J55" i="9"/>
  <c r="K55" i="9" s="1"/>
  <c r="V109" i="9"/>
  <c r="U112" i="5" s="1"/>
  <c r="V73" i="9"/>
  <c r="U73" i="5" s="1"/>
  <c r="Q98" i="9"/>
  <c r="E14" i="7"/>
  <c r="G14" i="7"/>
  <c r="F14" i="7"/>
  <c r="E91" i="9"/>
  <c r="G56" i="9"/>
  <c r="Q19" i="9"/>
  <c r="D15" i="7"/>
  <c r="C16" i="7"/>
  <c r="K35" i="9"/>
  <c r="I35" i="9"/>
  <c r="H56" i="9" l="1"/>
  <c r="I56" i="9" s="1"/>
  <c r="J56" i="9"/>
  <c r="K56" i="9" s="1"/>
  <c r="Q99" i="9"/>
  <c r="V37" i="9"/>
  <c r="U34" i="5" s="1"/>
  <c r="E15" i="7"/>
  <c r="G15" i="7"/>
  <c r="F15" i="7"/>
  <c r="E92" i="9"/>
  <c r="G57" i="9"/>
  <c r="Q20" i="9"/>
  <c r="C17" i="7"/>
  <c r="D16" i="7"/>
  <c r="J37" i="9"/>
  <c r="C34" i="5" s="1"/>
  <c r="J57" i="9" l="1"/>
  <c r="K57" i="9" s="1"/>
  <c r="H57" i="9"/>
  <c r="I57" i="9" s="1"/>
  <c r="Q100" i="9"/>
  <c r="E16" i="7"/>
  <c r="G16" i="7"/>
  <c r="F16" i="7"/>
  <c r="E93" i="9"/>
  <c r="G58" i="9"/>
  <c r="Q21" i="9"/>
  <c r="C18" i="7"/>
  <c r="D17" i="7"/>
  <c r="J58" i="9" l="1"/>
  <c r="K58" i="9" s="1"/>
  <c r="H58" i="9"/>
  <c r="I58" i="9" s="1"/>
  <c r="Q101" i="9"/>
  <c r="E17" i="7"/>
  <c r="G17" i="7"/>
  <c r="F17" i="7"/>
  <c r="E94" i="9"/>
  <c r="G59" i="9"/>
  <c r="Q22" i="9"/>
  <c r="D18" i="7"/>
  <c r="C19" i="7"/>
  <c r="J59" i="9" l="1"/>
  <c r="K59" i="9" s="1"/>
  <c r="H59" i="9"/>
  <c r="I59" i="9" s="1"/>
  <c r="Q102" i="9"/>
  <c r="E18" i="7"/>
  <c r="G18" i="7"/>
  <c r="F18" i="7"/>
  <c r="E95" i="9"/>
  <c r="G60" i="9"/>
  <c r="Q23" i="9"/>
  <c r="D19" i="7"/>
  <c r="C20" i="7"/>
  <c r="J60" i="9" l="1"/>
  <c r="K60" i="9" s="1"/>
  <c r="H60" i="9"/>
  <c r="I60" i="9" s="1"/>
  <c r="Q103" i="9"/>
  <c r="E19" i="7"/>
  <c r="G19" i="7"/>
  <c r="F19" i="7"/>
  <c r="E96" i="9"/>
  <c r="G61" i="9"/>
  <c r="Q24" i="9"/>
  <c r="C21" i="7"/>
  <c r="D20" i="7"/>
  <c r="J61" i="9" l="1"/>
  <c r="K61" i="9" s="1"/>
  <c r="H61" i="9"/>
  <c r="I61" i="9" s="1"/>
  <c r="Q104" i="9"/>
  <c r="E20" i="7"/>
  <c r="G20" i="7"/>
  <c r="F20" i="7"/>
  <c r="E97" i="9"/>
  <c r="G62" i="9"/>
  <c r="Q25" i="9"/>
  <c r="D21" i="7"/>
  <c r="C22" i="7"/>
  <c r="J62" i="9" l="1"/>
  <c r="K62" i="9" s="1"/>
  <c r="H62" i="9"/>
  <c r="I62" i="9" s="1"/>
  <c r="E21" i="7"/>
  <c r="G21" i="7"/>
  <c r="F21" i="7"/>
  <c r="E98" i="9"/>
  <c r="G63" i="9"/>
  <c r="Q26" i="9"/>
  <c r="C23" i="7"/>
  <c r="D22" i="7"/>
  <c r="H63" i="9" l="1"/>
  <c r="I63" i="9" s="1"/>
  <c r="J63" i="9"/>
  <c r="K63" i="9" s="1"/>
  <c r="E22" i="7"/>
  <c r="G22" i="7"/>
  <c r="F22" i="7"/>
  <c r="E99" i="9"/>
  <c r="G64" i="9"/>
  <c r="Q27" i="9"/>
  <c r="D23" i="7"/>
  <c r="C24" i="7"/>
  <c r="J64" i="9" l="1"/>
  <c r="K64" i="9" s="1"/>
  <c r="H64" i="9"/>
  <c r="I64" i="9" s="1"/>
  <c r="E23" i="7"/>
  <c r="G23" i="7"/>
  <c r="F23" i="7"/>
  <c r="E100" i="9"/>
  <c r="G65" i="9"/>
  <c r="Q28" i="9"/>
  <c r="D24" i="7"/>
  <c r="C25" i="7"/>
  <c r="H65" i="9" l="1"/>
  <c r="I65" i="9" s="1"/>
  <c r="J65" i="9"/>
  <c r="K65" i="9" s="1"/>
  <c r="E24" i="7"/>
  <c r="G24" i="7"/>
  <c r="F24" i="7"/>
  <c r="E101" i="9"/>
  <c r="G66" i="9"/>
  <c r="Q29" i="9"/>
  <c r="D25" i="7"/>
  <c r="C26" i="7"/>
  <c r="J66" i="9" l="1"/>
  <c r="K66" i="9" s="1"/>
  <c r="H66" i="9"/>
  <c r="I66" i="9" s="1"/>
  <c r="E25" i="7"/>
  <c r="G25" i="7"/>
  <c r="F25" i="7"/>
  <c r="E102" i="9"/>
  <c r="G67" i="9"/>
  <c r="Q30" i="9"/>
  <c r="C27" i="7"/>
  <c r="D26" i="7"/>
  <c r="H67" i="9" l="1"/>
  <c r="I67" i="9" s="1"/>
  <c r="J67" i="9"/>
  <c r="K67" i="9" s="1"/>
  <c r="E26" i="7"/>
  <c r="G26" i="7"/>
  <c r="F26" i="7"/>
  <c r="E103" i="9"/>
  <c r="G68" i="9"/>
  <c r="Q31" i="9"/>
  <c r="D27" i="7"/>
  <c r="C28" i="7"/>
  <c r="J68" i="9" l="1"/>
  <c r="K68" i="9" s="1"/>
  <c r="K71" i="9" s="1"/>
  <c r="H68" i="9"/>
  <c r="I68" i="9" s="1"/>
  <c r="I71" i="9" s="1"/>
  <c r="E27" i="7"/>
  <c r="G27" i="7"/>
  <c r="F27" i="7"/>
  <c r="E104" i="9"/>
  <c r="Q32" i="9"/>
  <c r="C29" i="7"/>
  <c r="D28" i="7"/>
  <c r="J73" i="9" l="1"/>
  <c r="C73" i="5" s="1"/>
  <c r="E28" i="7"/>
  <c r="G28" i="7"/>
  <c r="F28" i="7"/>
  <c r="D29" i="7"/>
  <c r="C30" i="7"/>
  <c r="J109" i="9" l="1"/>
  <c r="C112" i="5" s="1"/>
  <c r="E29" i="7"/>
  <c r="G29" i="7"/>
  <c r="F29" i="7"/>
  <c r="D30" i="7"/>
  <c r="C31" i="7"/>
  <c r="E30" i="7" l="1"/>
  <c r="G30" i="7"/>
  <c r="F30" i="7"/>
  <c r="D31" i="7"/>
  <c r="C32" i="7"/>
  <c r="E31" i="7" l="1"/>
  <c r="G31" i="7"/>
  <c r="F31" i="7"/>
  <c r="D32" i="7"/>
  <c r="C33" i="7"/>
  <c r="E32" i="7" l="1"/>
  <c r="G32" i="7"/>
  <c r="F32" i="7"/>
  <c r="D33" i="7"/>
  <c r="C34" i="7"/>
  <c r="E33" i="7" l="1"/>
  <c r="G33" i="7"/>
  <c r="F33" i="7"/>
  <c r="D34" i="7"/>
  <c r="C35" i="7"/>
  <c r="E34" i="7" l="1"/>
  <c r="G34" i="7"/>
  <c r="F34" i="7"/>
  <c r="D35" i="7"/>
  <c r="C36" i="7"/>
  <c r="E35" i="7" l="1"/>
  <c r="G35" i="7"/>
  <c r="F35" i="7"/>
  <c r="C37" i="7"/>
  <c r="D36" i="7"/>
  <c r="E36" i="7" l="1"/>
  <c r="G36" i="7"/>
  <c r="F36" i="7"/>
  <c r="D37" i="7"/>
  <c r="C38" i="7"/>
  <c r="E37" i="7" l="1"/>
  <c r="G37" i="7"/>
  <c r="F37" i="7"/>
  <c r="D38" i="7"/>
  <c r="C39" i="7"/>
  <c r="E38" i="7" l="1"/>
  <c r="G38" i="7"/>
  <c r="F38" i="7"/>
  <c r="D39" i="7"/>
  <c r="C40" i="7"/>
  <c r="E39" i="7" l="1"/>
  <c r="G39" i="7"/>
  <c r="F39" i="7"/>
  <c r="D40" i="7"/>
  <c r="C41" i="7"/>
  <c r="E40" i="7" l="1"/>
  <c r="G40" i="7"/>
  <c r="F40" i="7"/>
  <c r="D41" i="7"/>
  <c r="C42" i="7"/>
  <c r="E41" i="7" l="1"/>
  <c r="K13" i="7" s="1"/>
  <c r="G41" i="7"/>
  <c r="K15" i="7" s="1"/>
  <c r="F41" i="7"/>
  <c r="K14" i="7" s="1"/>
  <c r="V66" i="5" s="1"/>
  <c r="C43" i="7"/>
  <c r="D42" i="7"/>
  <c r="K20" i="7" l="1"/>
  <c r="D105" i="5"/>
  <c r="V105" i="5"/>
  <c r="K18" i="7"/>
  <c r="V27" i="5"/>
  <c r="K19" i="7"/>
  <c r="D66" i="5"/>
  <c r="D27" i="5"/>
  <c r="E42" i="7"/>
  <c r="G42" i="7"/>
  <c r="F42" i="7"/>
  <c r="D43" i="7"/>
  <c r="C44" i="7"/>
  <c r="V106" i="5" l="1"/>
  <c r="V108" i="5" s="1"/>
  <c r="V111" i="5" s="1"/>
  <c r="V114" i="5" s="1"/>
  <c r="V118" i="5" s="1"/>
  <c r="D106" i="5"/>
  <c r="D108" i="5" s="1"/>
  <c r="D111" i="5" s="1"/>
  <c r="D114" i="5" s="1"/>
  <c r="D118" i="5" s="1"/>
  <c r="D67" i="5"/>
  <c r="D69" i="5" s="1"/>
  <c r="D72" i="5" s="1"/>
  <c r="V67" i="5"/>
  <c r="V69" i="5" s="1"/>
  <c r="V72" i="5" s="1"/>
  <c r="V75" i="5" s="1"/>
  <c r="V79" i="5" s="1"/>
  <c r="D28" i="5"/>
  <c r="D30" i="5" s="1"/>
  <c r="V28" i="5"/>
  <c r="V30" i="5" s="1"/>
  <c r="V33" i="5" s="1"/>
  <c r="V36" i="5" s="1"/>
  <c r="V40" i="5" s="1"/>
  <c r="E43" i="7"/>
  <c r="G43" i="7"/>
  <c r="F43" i="7"/>
  <c r="D44" i="7"/>
  <c r="C45" i="7"/>
  <c r="D75" i="5" l="1"/>
  <c r="D79" i="5" s="1"/>
  <c r="E44" i="7"/>
  <c r="G44" i="7"/>
  <c r="F44" i="7"/>
  <c r="D45" i="7"/>
  <c r="C46" i="7"/>
  <c r="E45" i="7" l="1"/>
  <c r="G45" i="7"/>
  <c r="F45" i="7"/>
  <c r="D46" i="7"/>
  <c r="C47" i="7"/>
  <c r="E46" i="7" l="1"/>
  <c r="G46" i="7"/>
  <c r="F46" i="7"/>
  <c r="D47" i="7"/>
  <c r="C48" i="7"/>
  <c r="E47" i="7" l="1"/>
  <c r="G47" i="7"/>
  <c r="F47" i="7"/>
  <c r="C49" i="7"/>
  <c r="D48" i="7"/>
  <c r="E48" i="7" l="1"/>
  <c r="G48" i="7"/>
  <c r="F48" i="7"/>
  <c r="D49" i="7"/>
  <c r="C50" i="7"/>
  <c r="E49" i="7" l="1"/>
  <c r="G49" i="7"/>
  <c r="F49" i="7"/>
  <c r="D50" i="7"/>
  <c r="C51" i="7"/>
  <c r="E50" i="7" l="1"/>
  <c r="G50" i="7"/>
  <c r="F50" i="7"/>
  <c r="D51" i="7"/>
  <c r="C52" i="7"/>
  <c r="E51" i="7" l="1"/>
  <c r="G51" i="7"/>
  <c r="F51" i="7"/>
  <c r="C53" i="7"/>
  <c r="D52" i="7"/>
  <c r="E52" i="7" l="1"/>
  <c r="G52" i="7"/>
  <c r="F52" i="7"/>
  <c r="D53" i="7"/>
  <c r="C54" i="7"/>
  <c r="E53" i="7" l="1"/>
  <c r="G53" i="7"/>
  <c r="F53" i="7"/>
  <c r="C55" i="7"/>
  <c r="D54" i="7"/>
  <c r="E54" i="7" l="1"/>
  <c r="G54" i="7"/>
  <c r="F54" i="7"/>
  <c r="D55" i="7"/>
  <c r="C56" i="7"/>
  <c r="E55" i="7" l="1"/>
  <c r="G55" i="7"/>
  <c r="F55" i="7"/>
  <c r="D56" i="7"/>
  <c r="C57" i="7"/>
  <c r="E56" i="7" l="1"/>
  <c r="G56" i="7"/>
  <c r="F56" i="7"/>
  <c r="D57" i="7"/>
  <c r="C58" i="7"/>
  <c r="E57" i="7" l="1"/>
  <c r="G57" i="7"/>
  <c r="F57" i="7"/>
  <c r="C59" i="7"/>
  <c r="D58" i="7"/>
  <c r="E58" i="7" l="1"/>
  <c r="G58" i="7"/>
  <c r="F58" i="7"/>
  <c r="C60" i="7"/>
  <c r="D59" i="7"/>
  <c r="E59" i="7" l="1"/>
  <c r="G59" i="7"/>
  <c r="F59" i="7"/>
  <c r="D60" i="7"/>
  <c r="C61" i="7"/>
  <c r="E60" i="7" l="1"/>
  <c r="G60" i="7"/>
  <c r="F60" i="7"/>
  <c r="D61" i="7"/>
  <c r="C62" i="7"/>
  <c r="D33" i="5"/>
  <c r="E61" i="7" l="1"/>
  <c r="G61" i="7"/>
  <c r="F61" i="7"/>
  <c r="D62" i="7"/>
  <c r="C63" i="7"/>
  <c r="D36" i="5"/>
  <c r="D40" i="5" s="1"/>
  <c r="E62" i="7" l="1"/>
  <c r="G62" i="7"/>
  <c r="F62" i="7"/>
  <c r="C64" i="7"/>
  <c r="D63" i="7"/>
  <c r="E63" i="7" l="1"/>
  <c r="G63" i="7"/>
  <c r="F63" i="7"/>
  <c r="D64" i="7"/>
  <c r="C65" i="7"/>
  <c r="E64" i="7" l="1"/>
  <c r="G64" i="7"/>
  <c r="F64" i="7"/>
  <c r="D65" i="7"/>
  <c r="C66" i="7"/>
  <c r="E65" i="7" l="1"/>
  <c r="G65" i="7"/>
  <c r="F65" i="7"/>
  <c r="C67" i="7"/>
  <c r="D66" i="7"/>
  <c r="E66" i="7" l="1"/>
  <c r="G66" i="7"/>
  <c r="F66" i="7"/>
  <c r="D67" i="7"/>
  <c r="C68" i="7"/>
  <c r="E67" i="7" l="1"/>
  <c r="G67" i="7"/>
  <c r="F67" i="7"/>
  <c r="D68" i="7"/>
  <c r="C69" i="7"/>
  <c r="E68" i="7" l="1"/>
  <c r="G68" i="7"/>
  <c r="F68" i="7"/>
  <c r="D69" i="7"/>
  <c r="C70" i="7"/>
  <c r="E69" i="7" l="1"/>
  <c r="L13" i="7" s="1"/>
  <c r="G69" i="7"/>
  <c r="L15" i="7" s="1"/>
  <c r="F69" i="7"/>
  <c r="L14" i="7" s="1"/>
  <c r="W66" i="5" s="1"/>
  <c r="C71" i="7"/>
  <c r="D70" i="7"/>
  <c r="L20" i="7" l="1"/>
  <c r="W105" i="5"/>
  <c r="E105" i="5"/>
  <c r="L18" i="7"/>
  <c r="W27" i="5"/>
  <c r="L19" i="7"/>
  <c r="E66" i="5"/>
  <c r="E27" i="5"/>
  <c r="E70" i="7"/>
  <c r="G70" i="7"/>
  <c r="F70" i="7"/>
  <c r="D71" i="7"/>
  <c r="C72" i="7"/>
  <c r="E106" i="5" l="1"/>
  <c r="E108" i="5" s="1"/>
  <c r="E111" i="5" s="1"/>
  <c r="E114" i="5" s="1"/>
  <c r="E118" i="5" s="1"/>
  <c r="W106" i="5"/>
  <c r="W108" i="5" s="1"/>
  <c r="W111" i="5" s="1"/>
  <c r="W114" i="5" s="1"/>
  <c r="W118" i="5" s="1"/>
  <c r="E67" i="5"/>
  <c r="E69" i="5" s="1"/>
  <c r="E72" i="5" s="1"/>
  <c r="W67" i="5"/>
  <c r="W69" i="5" s="1"/>
  <c r="W72" i="5" s="1"/>
  <c r="W75" i="5" s="1"/>
  <c r="W79" i="5" s="1"/>
  <c r="E28" i="5"/>
  <c r="E30" i="5" s="1"/>
  <c r="E33" i="5" s="1"/>
  <c r="E36" i="5" s="1"/>
  <c r="E40" i="5" s="1"/>
  <c r="W28" i="5"/>
  <c r="W30" i="5" s="1"/>
  <c r="W33" i="5" s="1"/>
  <c r="W36" i="5" s="1"/>
  <c r="W40" i="5" s="1"/>
  <c r="E71" i="7"/>
  <c r="G71" i="7"/>
  <c r="F71" i="7"/>
  <c r="D72" i="7"/>
  <c r="C73" i="7"/>
  <c r="E75" i="5" l="1"/>
  <c r="E79" i="5" s="1"/>
  <c r="E72" i="7"/>
  <c r="G72" i="7"/>
  <c r="F72" i="7"/>
  <c r="D73" i="7"/>
  <c r="C74" i="7"/>
  <c r="E73" i="7" l="1"/>
  <c r="G73" i="7"/>
  <c r="F73" i="7"/>
  <c r="C75" i="7"/>
  <c r="D74" i="7"/>
  <c r="E74" i="7" l="1"/>
  <c r="G74" i="7"/>
  <c r="F74" i="7"/>
  <c r="D75" i="7"/>
  <c r="C76" i="7"/>
  <c r="E75" i="7" l="1"/>
  <c r="G75" i="7"/>
  <c r="F75" i="7"/>
  <c r="D76" i="7"/>
  <c r="C77" i="7"/>
  <c r="E76" i="7" l="1"/>
  <c r="G76" i="7"/>
  <c r="F76" i="7"/>
  <c r="C78" i="7"/>
  <c r="D77" i="7"/>
  <c r="E77" i="7" l="1"/>
  <c r="G77" i="7"/>
  <c r="F77" i="7"/>
  <c r="D78" i="7"/>
  <c r="C79" i="7"/>
  <c r="E78" i="7" l="1"/>
  <c r="G78" i="7"/>
  <c r="F78" i="7"/>
  <c r="D79" i="7"/>
  <c r="C80" i="7"/>
  <c r="E79" i="7" l="1"/>
  <c r="G79" i="7"/>
  <c r="F79" i="7"/>
  <c r="D80" i="7"/>
  <c r="C81" i="7"/>
  <c r="E80" i="7" l="1"/>
  <c r="G80" i="7"/>
  <c r="F80" i="7"/>
  <c r="D81" i="7"/>
  <c r="C82" i="7"/>
  <c r="E81" i="7" l="1"/>
  <c r="G81" i="7"/>
  <c r="F81" i="7"/>
  <c r="D82" i="7"/>
  <c r="C83" i="7"/>
  <c r="E82" i="7" l="1"/>
  <c r="G82" i="7"/>
  <c r="F82" i="7"/>
  <c r="D83" i="7"/>
  <c r="C84" i="7"/>
  <c r="E83" i="7" l="1"/>
  <c r="G83" i="7"/>
  <c r="F83" i="7"/>
  <c r="D84" i="7"/>
  <c r="C85" i="7"/>
  <c r="E84" i="7" l="1"/>
  <c r="G84" i="7"/>
  <c r="F84" i="7"/>
  <c r="D85" i="7"/>
  <c r="C86" i="7"/>
  <c r="E85" i="7" l="1"/>
  <c r="G85" i="7"/>
  <c r="F85" i="7"/>
  <c r="D86" i="7"/>
  <c r="C87" i="7"/>
  <c r="E86" i="7" l="1"/>
  <c r="G86" i="7"/>
  <c r="F86" i="7"/>
  <c r="D87" i="7"/>
  <c r="C88" i="7"/>
  <c r="E87" i="7" l="1"/>
  <c r="G87" i="7"/>
  <c r="F87" i="7"/>
  <c r="D88" i="7"/>
  <c r="C89" i="7"/>
  <c r="E88" i="7" l="1"/>
  <c r="G88" i="7"/>
  <c r="F88" i="7"/>
  <c r="C90" i="7"/>
  <c r="D89" i="7"/>
  <c r="E89" i="7" l="1"/>
  <c r="G89" i="7"/>
  <c r="F89" i="7"/>
  <c r="D90" i="7"/>
  <c r="C91" i="7"/>
  <c r="E90" i="7" l="1"/>
  <c r="G90" i="7"/>
  <c r="F90" i="7"/>
  <c r="D91" i="7"/>
  <c r="C92" i="7"/>
  <c r="E91" i="7" l="1"/>
  <c r="G91" i="7"/>
  <c r="F91" i="7"/>
  <c r="D92" i="7"/>
  <c r="C93" i="7"/>
  <c r="E92" i="7" l="1"/>
  <c r="G92" i="7"/>
  <c r="F92" i="7"/>
  <c r="D93" i="7"/>
  <c r="C94" i="7"/>
  <c r="E93" i="7" l="1"/>
  <c r="G93" i="7"/>
  <c r="F93" i="7"/>
  <c r="D94" i="7"/>
  <c r="C95" i="7"/>
  <c r="E94" i="7" l="1"/>
  <c r="G94" i="7"/>
  <c r="F94" i="7"/>
  <c r="D95" i="7"/>
  <c r="C96" i="7"/>
  <c r="E95" i="7" l="1"/>
  <c r="G95" i="7"/>
  <c r="F95" i="7"/>
  <c r="C97" i="7"/>
  <c r="D96" i="7"/>
  <c r="E96" i="7" l="1"/>
  <c r="G96" i="7"/>
  <c r="F96" i="7"/>
  <c r="D97" i="7"/>
  <c r="C98" i="7"/>
  <c r="E97" i="7" l="1"/>
  <c r="G97" i="7"/>
  <c r="F97" i="7"/>
  <c r="D98" i="7"/>
  <c r="C99" i="7"/>
  <c r="E98" i="7" l="1"/>
  <c r="G98" i="7"/>
  <c r="F98" i="7"/>
  <c r="D99" i="7"/>
  <c r="C100" i="7"/>
  <c r="E99" i="7" l="1"/>
  <c r="G99" i="7"/>
  <c r="F99" i="7"/>
  <c r="C101" i="7"/>
  <c r="D100" i="7"/>
  <c r="E100" i="7" l="1"/>
  <c r="M13" i="7" s="1"/>
  <c r="F27" i="5" s="1"/>
  <c r="G100" i="7"/>
  <c r="M15" i="7" s="1"/>
  <c r="F100" i="7"/>
  <c r="M14" i="7" s="1"/>
  <c r="X66" i="5" s="1"/>
  <c r="C102" i="7"/>
  <c r="D101" i="7"/>
  <c r="M20" i="7" l="1"/>
  <c r="X105" i="5"/>
  <c r="F105" i="5"/>
  <c r="M18" i="7"/>
  <c r="X27" i="5"/>
  <c r="M19" i="7"/>
  <c r="F66" i="5"/>
  <c r="E101" i="7"/>
  <c r="G101" i="7"/>
  <c r="F101" i="7"/>
  <c r="D102" i="7"/>
  <c r="C103" i="7"/>
  <c r="X106" i="5" l="1"/>
  <c r="X108" i="5" s="1"/>
  <c r="X111" i="5" s="1"/>
  <c r="X114" i="5" s="1"/>
  <c r="X118" i="5" s="1"/>
  <c r="F106" i="5"/>
  <c r="F108" i="5" s="1"/>
  <c r="F111" i="5" s="1"/>
  <c r="F114" i="5" s="1"/>
  <c r="F118" i="5" s="1"/>
  <c r="F67" i="5"/>
  <c r="F69" i="5" s="1"/>
  <c r="F72" i="5" s="1"/>
  <c r="X67" i="5"/>
  <c r="X69" i="5" s="1"/>
  <c r="X72" i="5" s="1"/>
  <c r="X75" i="5" s="1"/>
  <c r="X79" i="5" s="1"/>
  <c r="F28" i="5"/>
  <c r="F30" i="5" s="1"/>
  <c r="F33" i="5" s="1"/>
  <c r="F36" i="5" s="1"/>
  <c r="F40" i="5" s="1"/>
  <c r="X28" i="5"/>
  <c r="X30" i="5" s="1"/>
  <c r="X33" i="5" s="1"/>
  <c r="X36" i="5" s="1"/>
  <c r="X40" i="5" s="1"/>
  <c r="E102" i="7"/>
  <c r="G102" i="7"/>
  <c r="F102" i="7"/>
  <c r="D103" i="7"/>
  <c r="C104" i="7"/>
  <c r="F75" i="5" l="1"/>
  <c r="F79" i="5" s="1"/>
  <c r="E103" i="7"/>
  <c r="G103" i="7"/>
  <c r="F103" i="7"/>
  <c r="D104" i="7"/>
  <c r="C105" i="7"/>
  <c r="E104" i="7" l="1"/>
  <c r="G104" i="7"/>
  <c r="F104" i="7"/>
  <c r="C106" i="7"/>
  <c r="D105" i="7"/>
  <c r="E105" i="7" l="1"/>
  <c r="G105" i="7"/>
  <c r="F105" i="7"/>
  <c r="D106" i="7"/>
  <c r="C107" i="7"/>
  <c r="E106" i="7" l="1"/>
  <c r="G106" i="7"/>
  <c r="F106" i="7"/>
  <c r="D107" i="7"/>
  <c r="C108" i="7"/>
  <c r="E107" i="7" l="1"/>
  <c r="G107" i="7"/>
  <c r="F107" i="7"/>
  <c r="C109" i="7"/>
  <c r="D108" i="7"/>
  <c r="E108" i="7" l="1"/>
  <c r="G108" i="7"/>
  <c r="F108" i="7"/>
  <c r="C110" i="7"/>
  <c r="D109" i="7"/>
  <c r="E109" i="7" l="1"/>
  <c r="G109" i="7"/>
  <c r="F109" i="7"/>
  <c r="D110" i="7"/>
  <c r="C111" i="7"/>
  <c r="E110" i="7" l="1"/>
  <c r="G110" i="7"/>
  <c r="F110" i="7"/>
  <c r="D111" i="7"/>
  <c r="C112" i="7"/>
  <c r="E111" i="7" l="1"/>
  <c r="G111" i="7"/>
  <c r="F111" i="7"/>
  <c r="D112" i="7"/>
  <c r="C113" i="7"/>
  <c r="E112" i="7" l="1"/>
  <c r="G112" i="7"/>
  <c r="F112" i="7"/>
  <c r="D113" i="7"/>
  <c r="C114" i="7"/>
  <c r="E113" i="7" l="1"/>
  <c r="G113" i="7"/>
  <c r="F113" i="7"/>
  <c r="D114" i="7"/>
  <c r="C115" i="7"/>
  <c r="E114" i="7" l="1"/>
  <c r="G114" i="7"/>
  <c r="F114" i="7"/>
  <c r="D115" i="7"/>
  <c r="C116" i="7"/>
  <c r="E115" i="7" l="1"/>
  <c r="G115" i="7"/>
  <c r="F115" i="7"/>
  <c r="C117" i="7"/>
  <c r="D116" i="7"/>
  <c r="E116" i="7" l="1"/>
  <c r="G116" i="7"/>
  <c r="F116" i="7"/>
  <c r="C118" i="7"/>
  <c r="D117" i="7"/>
  <c r="E117" i="7" l="1"/>
  <c r="G117" i="7"/>
  <c r="F117" i="7"/>
  <c r="D118" i="7"/>
  <c r="C119" i="7"/>
  <c r="E118" i="7" l="1"/>
  <c r="G118" i="7"/>
  <c r="F118" i="7"/>
  <c r="C120" i="7"/>
  <c r="D119" i="7"/>
  <c r="E119" i="7" l="1"/>
  <c r="G119" i="7"/>
  <c r="F119" i="7"/>
  <c r="C121" i="7"/>
  <c r="D120" i="7"/>
  <c r="E120" i="7" l="1"/>
  <c r="G120" i="7"/>
  <c r="F120" i="7"/>
  <c r="D121" i="7"/>
  <c r="C122" i="7"/>
  <c r="E121" i="7" l="1"/>
  <c r="G121" i="7"/>
  <c r="F121" i="7"/>
  <c r="D122" i="7"/>
  <c r="C123" i="7"/>
  <c r="E122" i="7" l="1"/>
  <c r="G122" i="7"/>
  <c r="F122" i="7"/>
  <c r="D123" i="7"/>
  <c r="C124" i="7"/>
  <c r="E123" i="7" l="1"/>
  <c r="G123" i="7"/>
  <c r="F123" i="7"/>
  <c r="D124" i="7"/>
  <c r="C125" i="7"/>
  <c r="E124" i="7" l="1"/>
  <c r="G124" i="7"/>
  <c r="F124" i="7"/>
  <c r="C126" i="7"/>
  <c r="D125" i="7"/>
  <c r="E125" i="7" l="1"/>
  <c r="G125" i="7"/>
  <c r="F125" i="7"/>
  <c r="C127" i="7"/>
  <c r="D126" i="7"/>
  <c r="E126" i="7" l="1"/>
  <c r="G126" i="7"/>
  <c r="F126" i="7"/>
  <c r="D127" i="7"/>
  <c r="C128" i="7"/>
  <c r="E127" i="7" l="1"/>
  <c r="G127" i="7"/>
  <c r="F127" i="7"/>
  <c r="D128" i="7"/>
  <c r="C129" i="7"/>
  <c r="E128" i="7" l="1"/>
  <c r="G128" i="7"/>
  <c r="F128" i="7"/>
  <c r="D129" i="7"/>
  <c r="C130" i="7"/>
  <c r="E129" i="7" l="1"/>
  <c r="G129" i="7"/>
  <c r="F129" i="7"/>
  <c r="D130" i="7"/>
  <c r="C131" i="7"/>
  <c r="E130" i="7" l="1"/>
  <c r="N13" i="7" s="1"/>
  <c r="G27" i="5" s="1"/>
  <c r="G130" i="7"/>
  <c r="N15" i="7" s="1"/>
  <c r="F130" i="7"/>
  <c r="N14" i="7" s="1"/>
  <c r="Y66" i="5" s="1"/>
  <c r="D131" i="7"/>
  <c r="C132" i="7"/>
  <c r="N20" i="7" l="1"/>
  <c r="G105" i="5"/>
  <c r="Y105" i="5"/>
  <c r="N18" i="7"/>
  <c r="Y27" i="5"/>
  <c r="N19" i="7"/>
  <c r="G66" i="5"/>
  <c r="E131" i="7"/>
  <c r="G131" i="7"/>
  <c r="F131" i="7"/>
  <c r="D132" i="7"/>
  <c r="C133" i="7"/>
  <c r="Y106" i="5" l="1"/>
  <c r="Y108" i="5" s="1"/>
  <c r="Y111" i="5" s="1"/>
  <c r="Y114" i="5" s="1"/>
  <c r="Y116" i="5" s="1"/>
  <c r="G106" i="5"/>
  <c r="G108" i="5" s="1"/>
  <c r="G111" i="5" s="1"/>
  <c r="G114" i="5" s="1"/>
  <c r="G118" i="5" s="1"/>
  <c r="Q118" i="5" s="1"/>
  <c r="G44" i="4" s="1"/>
  <c r="G67" i="5"/>
  <c r="G69" i="5" s="1"/>
  <c r="G72" i="5" s="1"/>
  <c r="Y67" i="5"/>
  <c r="Y69" i="5" s="1"/>
  <c r="Y72" i="5" s="1"/>
  <c r="Y75" i="5" s="1"/>
  <c r="Y77" i="5" s="1"/>
  <c r="G28" i="5"/>
  <c r="G30" i="5" s="1"/>
  <c r="G33" i="5" s="1"/>
  <c r="G36" i="5" s="1"/>
  <c r="G40" i="5" s="1"/>
  <c r="Q40" i="5" s="1"/>
  <c r="Y28" i="5"/>
  <c r="Y30" i="5" s="1"/>
  <c r="Y33" i="5" s="1"/>
  <c r="Y36" i="5" s="1"/>
  <c r="Y38" i="5" s="1"/>
  <c r="E132" i="7"/>
  <c r="G132" i="7"/>
  <c r="F132" i="7"/>
  <c r="C134" i="7"/>
  <c r="D133" i="7"/>
  <c r="E44" i="4" l="1"/>
  <c r="E53" i="4" s="1"/>
  <c r="B144" i="16" s="1"/>
  <c r="G53" i="4"/>
  <c r="D144" i="16" s="1"/>
  <c r="D139" i="16"/>
  <c r="G75" i="5"/>
  <c r="E133" i="7"/>
  <c r="G133" i="7"/>
  <c r="F133" i="7"/>
  <c r="D134" i="7"/>
  <c r="C135" i="7"/>
  <c r="B139" i="16" l="1"/>
  <c r="G79" i="5"/>
  <c r="Q79" i="5" s="1"/>
  <c r="F44" i="4" s="1"/>
  <c r="E134" i="7"/>
  <c r="G134" i="7"/>
  <c r="F134" i="7"/>
  <c r="D135" i="7"/>
  <c r="C136" i="7"/>
  <c r="F53" i="4" l="1"/>
  <c r="E135" i="7"/>
  <c r="G135" i="7"/>
  <c r="F135" i="7"/>
  <c r="D136" i="7"/>
  <c r="C137" i="7"/>
  <c r="H44" i="4" l="1"/>
  <c r="C139" i="16"/>
  <c r="H53" i="4"/>
  <c r="C144" i="16"/>
  <c r="E136" i="7"/>
  <c r="G136" i="7"/>
  <c r="F136" i="7"/>
  <c r="D137" i="7"/>
  <c r="C138" i="7"/>
  <c r="E137" i="7" l="1"/>
  <c r="G137" i="7"/>
  <c r="F137" i="7"/>
  <c r="D138" i="7"/>
  <c r="C139" i="7"/>
  <c r="E138" i="7" l="1"/>
  <c r="G138" i="7"/>
  <c r="F138" i="7"/>
  <c r="D139" i="7"/>
  <c r="C140" i="7"/>
  <c r="E139" i="7" l="1"/>
  <c r="G139" i="7"/>
  <c r="F139" i="7"/>
  <c r="D140" i="7"/>
  <c r="C141" i="7"/>
  <c r="E140" i="7" l="1"/>
  <c r="G140" i="7"/>
  <c r="F140" i="7"/>
  <c r="D141" i="7"/>
  <c r="C142" i="7"/>
  <c r="E141" i="7" l="1"/>
  <c r="G141" i="7"/>
  <c r="F141" i="7"/>
  <c r="D142" i="7"/>
  <c r="C143" i="7"/>
  <c r="E142" i="7" l="1"/>
  <c r="G142" i="7"/>
  <c r="F142" i="7"/>
  <c r="D143" i="7"/>
  <c r="C144" i="7"/>
  <c r="E143" i="7" l="1"/>
  <c r="G143" i="7"/>
  <c r="F143" i="7"/>
  <c r="C145" i="7"/>
  <c r="D144" i="7"/>
  <c r="E144" i="7" l="1"/>
  <c r="G144" i="7"/>
  <c r="F144" i="7"/>
  <c r="D145" i="7"/>
  <c r="C146" i="7"/>
  <c r="E145" i="7" l="1"/>
  <c r="G145" i="7"/>
  <c r="F145" i="7"/>
  <c r="D146" i="7"/>
  <c r="C147" i="7"/>
  <c r="E146" i="7" l="1"/>
  <c r="G146" i="7"/>
  <c r="F146" i="7"/>
  <c r="D147" i="7"/>
  <c r="C148" i="7"/>
  <c r="E147" i="7" l="1"/>
  <c r="G147" i="7"/>
  <c r="F147" i="7"/>
  <c r="D148" i="7"/>
  <c r="C149" i="7"/>
  <c r="E148" i="7" l="1"/>
  <c r="G148" i="7"/>
  <c r="F148" i="7"/>
  <c r="D149" i="7"/>
  <c r="C150" i="7"/>
  <c r="E149" i="7" l="1"/>
  <c r="G149" i="7"/>
  <c r="F149" i="7"/>
  <c r="D150" i="7"/>
  <c r="C151" i="7"/>
  <c r="E150" i="7" l="1"/>
  <c r="G150" i="7"/>
  <c r="F150" i="7"/>
  <c r="D151" i="7"/>
  <c r="C152" i="7"/>
  <c r="E151" i="7" l="1"/>
  <c r="G151" i="7"/>
  <c r="F151" i="7"/>
  <c r="C153" i="7"/>
  <c r="D152" i="7"/>
  <c r="E152" i="7" l="1"/>
  <c r="G152" i="7"/>
  <c r="F152" i="7"/>
  <c r="D153" i="7"/>
  <c r="C154" i="7"/>
  <c r="E153" i="7" l="1"/>
  <c r="G153" i="7"/>
  <c r="F153" i="7"/>
  <c r="D154" i="7"/>
  <c r="C155" i="7"/>
  <c r="E154" i="7" l="1"/>
  <c r="G154" i="7"/>
  <c r="F154" i="7"/>
  <c r="D155" i="7"/>
  <c r="C156" i="7"/>
  <c r="E155" i="7" l="1"/>
  <c r="G155" i="7"/>
  <c r="F155" i="7"/>
  <c r="C157" i="7"/>
  <c r="D156" i="7"/>
  <c r="E156" i="7" l="1"/>
  <c r="G156" i="7"/>
  <c r="F156" i="7"/>
  <c r="D157" i="7"/>
  <c r="C158" i="7"/>
  <c r="E157" i="7" l="1"/>
  <c r="G157" i="7"/>
  <c r="F157" i="7"/>
  <c r="D158" i="7"/>
  <c r="C159" i="7"/>
  <c r="E158" i="7" l="1"/>
  <c r="G158" i="7"/>
  <c r="F158" i="7"/>
  <c r="D159" i="7"/>
  <c r="C160" i="7"/>
  <c r="E159" i="7" l="1"/>
  <c r="G159" i="7"/>
  <c r="F159" i="7"/>
  <c r="D160" i="7"/>
  <c r="C161" i="7"/>
  <c r="E160" i="7" l="1"/>
  <c r="G160" i="7"/>
  <c r="F160" i="7"/>
  <c r="D161" i="7"/>
  <c r="C162" i="7"/>
  <c r="E161" i="7" l="1"/>
  <c r="O13" i="7" s="1"/>
  <c r="G161" i="7"/>
  <c r="O15" i="7" s="1"/>
  <c r="F161" i="7"/>
  <c r="O14" i="7" s="1"/>
  <c r="Z66" i="5" s="1"/>
  <c r="C163" i="7"/>
  <c r="D162" i="7"/>
  <c r="O20" i="7" l="1"/>
  <c r="H105" i="5"/>
  <c r="Z105" i="5"/>
  <c r="O18" i="7"/>
  <c r="Z27" i="5"/>
  <c r="O19" i="7"/>
  <c r="H66" i="5"/>
  <c r="H27" i="5"/>
  <c r="E162" i="7"/>
  <c r="G162" i="7"/>
  <c r="F162" i="7"/>
  <c r="D163" i="7"/>
  <c r="C164" i="7"/>
  <c r="Z106" i="5" l="1"/>
  <c r="Z108" i="5" s="1"/>
  <c r="Z111" i="5" s="1"/>
  <c r="Z114" i="5" s="1"/>
  <c r="Z116" i="5" s="1"/>
  <c r="H106" i="5"/>
  <c r="H108" i="5" s="1"/>
  <c r="H111" i="5" s="1"/>
  <c r="H114" i="5" s="1"/>
  <c r="H116" i="5" s="1"/>
  <c r="H67" i="5"/>
  <c r="H69" i="5" s="1"/>
  <c r="H72" i="5" s="1"/>
  <c r="Z67" i="5"/>
  <c r="Z69" i="5" s="1"/>
  <c r="Z72" i="5" s="1"/>
  <c r="Z75" i="5" s="1"/>
  <c r="Z77" i="5" s="1"/>
  <c r="H28" i="5"/>
  <c r="H30" i="5" s="1"/>
  <c r="H33" i="5" s="1"/>
  <c r="H36" i="5" s="1"/>
  <c r="H38" i="5" s="1"/>
  <c r="Z28" i="5"/>
  <c r="Z30" i="5" s="1"/>
  <c r="Z33" i="5" s="1"/>
  <c r="Z36" i="5" s="1"/>
  <c r="Z38" i="5" s="1"/>
  <c r="E163" i="7"/>
  <c r="G163" i="7"/>
  <c r="F163" i="7"/>
  <c r="C165" i="7"/>
  <c r="D164" i="7"/>
  <c r="H75" i="5" l="1"/>
  <c r="H77" i="5" s="1"/>
  <c r="E164" i="7"/>
  <c r="G164" i="7"/>
  <c r="F164" i="7"/>
  <c r="C166" i="7"/>
  <c r="D165" i="7"/>
  <c r="E165" i="7" l="1"/>
  <c r="G165" i="7"/>
  <c r="F165" i="7"/>
  <c r="D166" i="7"/>
  <c r="C167" i="7"/>
  <c r="E166" i="7" l="1"/>
  <c r="G166" i="7"/>
  <c r="F166" i="7"/>
  <c r="D167" i="7"/>
  <c r="C168" i="7"/>
  <c r="E167" i="7" l="1"/>
  <c r="G167" i="7"/>
  <c r="F167" i="7"/>
  <c r="D168" i="7"/>
  <c r="C169" i="7"/>
  <c r="E168" i="7" l="1"/>
  <c r="G168" i="7"/>
  <c r="F168" i="7"/>
  <c r="C170" i="7"/>
  <c r="D169" i="7"/>
  <c r="E169" i="7" l="1"/>
  <c r="G169" i="7"/>
  <c r="F169" i="7"/>
  <c r="D170" i="7"/>
  <c r="C171" i="7"/>
  <c r="E170" i="7" l="1"/>
  <c r="G170" i="7"/>
  <c r="F170" i="7"/>
  <c r="C172" i="7"/>
  <c r="D171" i="7"/>
  <c r="E171" i="7" l="1"/>
  <c r="G171" i="7"/>
  <c r="F171" i="7"/>
  <c r="C173" i="7"/>
  <c r="D172" i="7"/>
  <c r="E172" i="7" l="1"/>
  <c r="G172" i="7"/>
  <c r="F172" i="7"/>
  <c r="D173" i="7"/>
  <c r="C174" i="7"/>
  <c r="E173" i="7" l="1"/>
  <c r="G173" i="7"/>
  <c r="F173" i="7"/>
  <c r="C175" i="7"/>
  <c r="D174" i="7"/>
  <c r="E174" i="7" l="1"/>
  <c r="G174" i="7"/>
  <c r="F174" i="7"/>
  <c r="D175" i="7"/>
  <c r="C176" i="7"/>
  <c r="E175" i="7" l="1"/>
  <c r="G175" i="7"/>
  <c r="F175" i="7"/>
  <c r="C177" i="7"/>
  <c r="D176" i="7"/>
  <c r="E176" i="7" l="1"/>
  <c r="G176" i="7"/>
  <c r="F176" i="7"/>
  <c r="C178" i="7"/>
  <c r="D177" i="7"/>
  <c r="E177" i="7" l="1"/>
  <c r="G177" i="7"/>
  <c r="F177" i="7"/>
  <c r="D178" i="7"/>
  <c r="C179" i="7"/>
  <c r="E178" i="7" l="1"/>
  <c r="G178" i="7"/>
  <c r="F178" i="7"/>
  <c r="D179" i="7"/>
  <c r="C180" i="7"/>
  <c r="E179" i="7" l="1"/>
  <c r="G179" i="7"/>
  <c r="F179" i="7"/>
  <c r="D180" i="7"/>
  <c r="C181" i="7"/>
  <c r="E180" i="7" l="1"/>
  <c r="G180" i="7"/>
  <c r="F180" i="7"/>
  <c r="D181" i="7"/>
  <c r="C182" i="7"/>
  <c r="E181" i="7" l="1"/>
  <c r="G181" i="7"/>
  <c r="F181" i="7"/>
  <c r="D182" i="7"/>
  <c r="C183" i="7"/>
  <c r="E182" i="7" l="1"/>
  <c r="G182" i="7"/>
  <c r="F182" i="7"/>
  <c r="D183" i="7"/>
  <c r="C184" i="7"/>
  <c r="E183" i="7" l="1"/>
  <c r="G183" i="7"/>
  <c r="F183" i="7"/>
  <c r="D184" i="7"/>
  <c r="C185" i="7"/>
  <c r="E184" i="7" l="1"/>
  <c r="G184" i="7"/>
  <c r="F184" i="7"/>
  <c r="C186" i="7"/>
  <c r="D185" i="7"/>
  <c r="E185" i="7" l="1"/>
  <c r="G185" i="7"/>
  <c r="F185" i="7"/>
  <c r="D186" i="7"/>
  <c r="C187" i="7"/>
  <c r="E186" i="7" l="1"/>
  <c r="G186" i="7"/>
  <c r="F186" i="7"/>
  <c r="C188" i="7"/>
  <c r="D187" i="7"/>
  <c r="E187" i="7" l="1"/>
  <c r="G187" i="7"/>
  <c r="F187" i="7"/>
  <c r="D188" i="7"/>
  <c r="C189" i="7"/>
  <c r="E188" i="7" l="1"/>
  <c r="G188" i="7"/>
  <c r="F188" i="7"/>
  <c r="C190" i="7"/>
  <c r="D189" i="7"/>
  <c r="E189" i="7" l="1"/>
  <c r="G189" i="7"/>
  <c r="F189" i="7"/>
  <c r="D190" i="7"/>
  <c r="C191" i="7"/>
  <c r="E190" i="7" l="1"/>
  <c r="G190" i="7"/>
  <c r="F190" i="7"/>
  <c r="D191" i="7"/>
  <c r="C192" i="7"/>
  <c r="E191" i="7" l="1"/>
  <c r="P13" i="7" s="1"/>
  <c r="I27" i="5" s="1"/>
  <c r="G191" i="7"/>
  <c r="P15" i="7" s="1"/>
  <c r="F191" i="7"/>
  <c r="P14" i="7" s="1"/>
  <c r="AA66" i="5" s="1"/>
  <c r="D192" i="7"/>
  <c r="C193" i="7"/>
  <c r="P20" i="7" l="1"/>
  <c r="I105" i="5"/>
  <c r="AA105" i="5"/>
  <c r="P18" i="7"/>
  <c r="AA27" i="5"/>
  <c r="P19" i="7"/>
  <c r="I66" i="5"/>
  <c r="E192" i="7"/>
  <c r="G192" i="7"/>
  <c r="F192" i="7"/>
  <c r="D193" i="7"/>
  <c r="C194" i="7"/>
  <c r="AA106" i="5" l="1"/>
  <c r="AA108" i="5" s="1"/>
  <c r="AA111" i="5" s="1"/>
  <c r="AA114" i="5" s="1"/>
  <c r="AA116" i="5" s="1"/>
  <c r="I106" i="5"/>
  <c r="I108" i="5" s="1"/>
  <c r="I111" i="5" s="1"/>
  <c r="I114" i="5" s="1"/>
  <c r="I116" i="5" s="1"/>
  <c r="I67" i="5"/>
  <c r="I69" i="5" s="1"/>
  <c r="I72" i="5" s="1"/>
  <c r="AA67" i="5"/>
  <c r="AA69" i="5" s="1"/>
  <c r="AA72" i="5" s="1"/>
  <c r="AA75" i="5" s="1"/>
  <c r="AA77" i="5" s="1"/>
  <c r="I28" i="5"/>
  <c r="I30" i="5" s="1"/>
  <c r="I33" i="5" s="1"/>
  <c r="I36" i="5" s="1"/>
  <c r="I38" i="5" s="1"/>
  <c r="AA28" i="5"/>
  <c r="AA30" i="5" s="1"/>
  <c r="AA33" i="5" s="1"/>
  <c r="AA36" i="5" s="1"/>
  <c r="AA38" i="5" s="1"/>
  <c r="E193" i="7"/>
  <c r="G193" i="7"/>
  <c r="F193" i="7"/>
  <c r="D194" i="7"/>
  <c r="C195" i="7"/>
  <c r="I75" i="5" l="1"/>
  <c r="I77" i="5" s="1"/>
  <c r="E194" i="7"/>
  <c r="G194" i="7"/>
  <c r="F194" i="7"/>
  <c r="D195" i="7"/>
  <c r="C196" i="7"/>
  <c r="E195" i="7" l="1"/>
  <c r="G195" i="7"/>
  <c r="F195" i="7"/>
  <c r="D196" i="7"/>
  <c r="C197" i="7"/>
  <c r="E196" i="7" l="1"/>
  <c r="G196" i="7"/>
  <c r="F196" i="7"/>
  <c r="D197" i="7"/>
  <c r="C198" i="7"/>
  <c r="E197" i="7" l="1"/>
  <c r="G197" i="7"/>
  <c r="F197" i="7"/>
  <c r="D198" i="7"/>
  <c r="C199" i="7"/>
  <c r="E198" i="7" l="1"/>
  <c r="G198" i="7"/>
  <c r="F198" i="7"/>
  <c r="D199" i="7"/>
  <c r="C200" i="7"/>
  <c r="E199" i="7" l="1"/>
  <c r="G199" i="7"/>
  <c r="F199" i="7"/>
  <c r="C201" i="7"/>
  <c r="D200" i="7"/>
  <c r="E200" i="7" l="1"/>
  <c r="G200" i="7"/>
  <c r="F200" i="7"/>
  <c r="D201" i="7"/>
  <c r="C202" i="7"/>
  <c r="E201" i="7" l="1"/>
  <c r="G201" i="7"/>
  <c r="F201" i="7"/>
  <c r="D202" i="7"/>
  <c r="C203" i="7"/>
  <c r="E202" i="7" l="1"/>
  <c r="G202" i="7"/>
  <c r="F202" i="7"/>
  <c r="D203" i="7"/>
  <c r="C204" i="7"/>
  <c r="E203" i="7" l="1"/>
  <c r="G203" i="7"/>
  <c r="F203" i="7"/>
  <c r="D204" i="7"/>
  <c r="C205" i="7"/>
  <c r="E204" i="7" l="1"/>
  <c r="G204" i="7"/>
  <c r="F204" i="7"/>
  <c r="D205" i="7"/>
  <c r="C206" i="7"/>
  <c r="E205" i="7" l="1"/>
  <c r="G205" i="7"/>
  <c r="F205" i="7"/>
  <c r="C207" i="7"/>
  <c r="D206" i="7"/>
  <c r="E206" i="7" l="1"/>
  <c r="G206" i="7"/>
  <c r="F206" i="7"/>
  <c r="D207" i="7"/>
  <c r="C208" i="7"/>
  <c r="E207" i="7" l="1"/>
  <c r="G207" i="7"/>
  <c r="F207" i="7"/>
  <c r="D208" i="7"/>
  <c r="C209" i="7"/>
  <c r="E208" i="7" l="1"/>
  <c r="G208" i="7"/>
  <c r="F208" i="7"/>
  <c r="C210" i="7"/>
  <c r="D209" i="7"/>
  <c r="E209" i="7" l="1"/>
  <c r="G209" i="7"/>
  <c r="F209" i="7"/>
  <c r="C211" i="7"/>
  <c r="D210" i="7"/>
  <c r="E210" i="7" l="1"/>
  <c r="G210" i="7"/>
  <c r="F210" i="7"/>
  <c r="C212" i="7"/>
  <c r="D211" i="7"/>
  <c r="E211" i="7" l="1"/>
  <c r="G211" i="7"/>
  <c r="F211" i="7"/>
  <c r="D212" i="7"/>
  <c r="C213" i="7"/>
  <c r="E212" i="7" l="1"/>
  <c r="G212" i="7"/>
  <c r="F212" i="7"/>
  <c r="C214" i="7"/>
  <c r="D213" i="7"/>
  <c r="E213" i="7" l="1"/>
  <c r="G213" i="7"/>
  <c r="F213" i="7"/>
  <c r="C215" i="7"/>
  <c r="D214" i="7"/>
  <c r="E214" i="7" l="1"/>
  <c r="G214" i="7"/>
  <c r="F214" i="7"/>
  <c r="C216" i="7"/>
  <c r="D215" i="7"/>
  <c r="E215" i="7" l="1"/>
  <c r="G215" i="7"/>
  <c r="F215" i="7"/>
  <c r="C217" i="7"/>
  <c r="D216" i="7"/>
  <c r="E216" i="7" l="1"/>
  <c r="G216" i="7"/>
  <c r="F216" i="7"/>
  <c r="C218" i="7"/>
  <c r="D217" i="7"/>
  <c r="E217" i="7" l="1"/>
  <c r="G217" i="7"/>
  <c r="F217" i="7"/>
  <c r="D218" i="7"/>
  <c r="C219" i="7"/>
  <c r="E218" i="7" l="1"/>
  <c r="G218" i="7"/>
  <c r="F218" i="7"/>
  <c r="D219" i="7"/>
  <c r="C220" i="7"/>
  <c r="E219" i="7" l="1"/>
  <c r="G219" i="7"/>
  <c r="F219" i="7"/>
  <c r="C221" i="7"/>
  <c r="D220" i="7"/>
  <c r="E220" i="7" l="1"/>
  <c r="G220" i="7"/>
  <c r="F220" i="7"/>
  <c r="C222" i="7"/>
  <c r="D221" i="7"/>
  <c r="E221" i="7" l="1"/>
  <c r="G221" i="7"/>
  <c r="F221" i="7"/>
  <c r="D222" i="7"/>
  <c r="C223" i="7"/>
  <c r="E222" i="7" l="1"/>
  <c r="Q13" i="7" s="1"/>
  <c r="G222" i="7"/>
  <c r="Q15" i="7" s="1"/>
  <c r="F222" i="7"/>
  <c r="Q14" i="7" s="1"/>
  <c r="AB66" i="5" s="1"/>
  <c r="D223" i="7"/>
  <c r="C224" i="7"/>
  <c r="Q20" i="7" l="1"/>
  <c r="AB105" i="5"/>
  <c r="J105" i="5"/>
  <c r="Q18" i="7"/>
  <c r="AB27" i="5"/>
  <c r="Q19" i="7"/>
  <c r="J66" i="5"/>
  <c r="J27" i="5"/>
  <c r="E223" i="7"/>
  <c r="G223" i="7"/>
  <c r="F223" i="7"/>
  <c r="C225" i="7"/>
  <c r="D224" i="7"/>
  <c r="AB106" i="5" l="1"/>
  <c r="AB108" i="5" s="1"/>
  <c r="AB111" i="5" s="1"/>
  <c r="AB114" i="5" s="1"/>
  <c r="AB116" i="5" s="1"/>
  <c r="J106" i="5"/>
  <c r="J108" i="5" s="1"/>
  <c r="J111" i="5" s="1"/>
  <c r="J114" i="5" s="1"/>
  <c r="J116" i="5" s="1"/>
  <c r="Q116" i="5" s="1"/>
  <c r="G41" i="4" s="1"/>
  <c r="J67" i="5"/>
  <c r="J69" i="5" s="1"/>
  <c r="J72" i="5" s="1"/>
  <c r="AB67" i="5"/>
  <c r="AB69" i="5" s="1"/>
  <c r="AB72" i="5" s="1"/>
  <c r="AB75" i="5" s="1"/>
  <c r="AB77" i="5" s="1"/>
  <c r="J28" i="5"/>
  <c r="J30" i="5" s="1"/>
  <c r="J33" i="5" s="1"/>
  <c r="J36" i="5" s="1"/>
  <c r="J38" i="5" s="1"/>
  <c r="Q38" i="5" s="1"/>
  <c r="AB28" i="5"/>
  <c r="AB30" i="5" s="1"/>
  <c r="AB33" i="5" s="1"/>
  <c r="AB36" i="5" s="1"/>
  <c r="AB38" i="5" s="1"/>
  <c r="E224" i="7"/>
  <c r="G224" i="7"/>
  <c r="F224" i="7"/>
  <c r="D225" i="7"/>
  <c r="C226" i="7"/>
  <c r="E41" i="4" l="1"/>
  <c r="E50" i="4" s="1"/>
  <c r="B142" i="16" s="1"/>
  <c r="D137" i="16"/>
  <c r="G50" i="4"/>
  <c r="J75" i="5"/>
  <c r="E225" i="7"/>
  <c r="G225" i="7"/>
  <c r="F225" i="7"/>
  <c r="D226" i="7"/>
  <c r="C227" i="7"/>
  <c r="B137" i="16" l="1"/>
  <c r="D142" i="16"/>
  <c r="J77" i="5"/>
  <c r="Q77" i="5" s="1"/>
  <c r="F41" i="4" s="1"/>
  <c r="E226" i="7"/>
  <c r="G226" i="7"/>
  <c r="F226" i="7"/>
  <c r="D227" i="7"/>
  <c r="C228" i="7"/>
  <c r="F50" i="4" l="1"/>
  <c r="E227" i="7"/>
  <c r="G227" i="7"/>
  <c r="F227" i="7"/>
  <c r="C229" i="7"/>
  <c r="D228" i="7"/>
  <c r="H41" i="4" l="1"/>
  <c r="C137" i="16"/>
  <c r="H50" i="4"/>
  <c r="C142" i="16"/>
  <c r="E228" i="7"/>
  <c r="G228" i="7"/>
  <c r="F228" i="7"/>
  <c r="D229" i="7"/>
  <c r="C230" i="7"/>
  <c r="E229" i="7" l="1"/>
  <c r="G229" i="7"/>
  <c r="F229" i="7"/>
  <c r="C231" i="7"/>
  <c r="D230" i="7"/>
  <c r="E230" i="7" l="1"/>
  <c r="G230" i="7"/>
  <c r="F230" i="7"/>
  <c r="D231" i="7"/>
  <c r="C232" i="7"/>
  <c r="E231" i="7" l="1"/>
  <c r="G231" i="7"/>
  <c r="F231" i="7"/>
  <c r="D232" i="7"/>
  <c r="C233" i="7"/>
  <c r="E232" i="7" l="1"/>
  <c r="G232" i="7"/>
  <c r="F232" i="7"/>
  <c r="D233" i="7"/>
  <c r="C234" i="7"/>
  <c r="E233" i="7" l="1"/>
  <c r="G233" i="7"/>
  <c r="F233" i="7"/>
  <c r="C235" i="7"/>
  <c r="D234" i="7"/>
  <c r="E234" i="7" l="1"/>
  <c r="G234" i="7"/>
  <c r="F234" i="7"/>
  <c r="D235" i="7"/>
  <c r="C236" i="7"/>
  <c r="E235" i="7" l="1"/>
  <c r="G235" i="7"/>
  <c r="F235" i="7"/>
  <c r="D236" i="7"/>
  <c r="C237" i="7"/>
  <c r="E236" i="7" l="1"/>
  <c r="G236" i="7"/>
  <c r="F236" i="7"/>
  <c r="C238" i="7"/>
  <c r="D237" i="7"/>
  <c r="E237" i="7" l="1"/>
  <c r="G237" i="7"/>
  <c r="F237" i="7"/>
  <c r="C239" i="7"/>
  <c r="D238" i="7"/>
  <c r="E238" i="7" l="1"/>
  <c r="G238" i="7"/>
  <c r="F238" i="7"/>
  <c r="C240" i="7"/>
  <c r="D239" i="7"/>
  <c r="E239" i="7" l="1"/>
  <c r="G239" i="7"/>
  <c r="F239" i="7"/>
  <c r="C241" i="7"/>
  <c r="D240" i="7"/>
  <c r="E240" i="7" l="1"/>
  <c r="G240" i="7"/>
  <c r="F240" i="7"/>
  <c r="D241" i="7"/>
  <c r="C242" i="7"/>
  <c r="E241" i="7" l="1"/>
  <c r="G241" i="7"/>
  <c r="F241" i="7"/>
  <c r="D242" i="7"/>
  <c r="C243" i="7"/>
  <c r="E242" i="7" l="1"/>
  <c r="G242" i="7"/>
  <c r="F242" i="7"/>
  <c r="C244" i="7"/>
  <c r="D243" i="7"/>
  <c r="E243" i="7" l="1"/>
  <c r="G243" i="7"/>
  <c r="F243" i="7"/>
  <c r="D244" i="7"/>
  <c r="C245" i="7"/>
  <c r="E244" i="7" l="1"/>
  <c r="G244" i="7"/>
  <c r="F244" i="7"/>
  <c r="D245" i="7"/>
  <c r="C246" i="7"/>
  <c r="E245" i="7" l="1"/>
  <c r="G245" i="7"/>
  <c r="F245" i="7"/>
  <c r="D246" i="7"/>
  <c r="C247" i="7"/>
  <c r="E246" i="7" l="1"/>
  <c r="G246" i="7"/>
  <c r="F246" i="7"/>
  <c r="C248" i="7"/>
  <c r="D247" i="7"/>
  <c r="E247" i="7" l="1"/>
  <c r="G247" i="7"/>
  <c r="F247" i="7"/>
  <c r="D248" i="7"/>
  <c r="C249" i="7"/>
  <c r="E248" i="7" l="1"/>
  <c r="G248" i="7"/>
  <c r="F248" i="7"/>
  <c r="D249" i="7"/>
  <c r="C250" i="7"/>
  <c r="E249" i="7" l="1"/>
  <c r="G249" i="7"/>
  <c r="F249" i="7"/>
  <c r="C251" i="7"/>
  <c r="D250" i="7"/>
  <c r="E250" i="7" l="1"/>
  <c r="G250" i="7"/>
  <c r="F250" i="7"/>
  <c r="C252" i="7"/>
  <c r="D251" i="7"/>
  <c r="E251" i="7" l="1"/>
  <c r="G251" i="7"/>
  <c r="F251" i="7"/>
  <c r="C253" i="7"/>
  <c r="D252" i="7"/>
  <c r="E252" i="7" l="1"/>
  <c r="G252" i="7"/>
  <c r="F252" i="7"/>
  <c r="D253" i="7"/>
  <c r="C254" i="7"/>
  <c r="E253" i="7" l="1"/>
  <c r="R13" i="7" s="1"/>
  <c r="G253" i="7"/>
  <c r="R15" i="7" s="1"/>
  <c r="F253" i="7"/>
  <c r="R14" i="7" s="1"/>
  <c r="AC66" i="5" s="1"/>
  <c r="D254" i="7"/>
  <c r="C255" i="7"/>
  <c r="R20" i="7" l="1"/>
  <c r="AC105" i="5"/>
  <c r="K105" i="5"/>
  <c r="R18" i="7"/>
  <c r="AC28" i="5" s="1"/>
  <c r="AC27" i="5"/>
  <c r="R19" i="7"/>
  <c r="K66" i="5"/>
  <c r="E254" i="7"/>
  <c r="G254" i="7"/>
  <c r="F254" i="7"/>
  <c r="K27" i="5"/>
  <c r="K28" i="5"/>
  <c r="D255" i="7"/>
  <c r="C256" i="7"/>
  <c r="K106" i="5" l="1"/>
  <c r="K108" i="5" s="1"/>
  <c r="K111" i="5" s="1"/>
  <c r="K114" i="5" s="1"/>
  <c r="K117" i="5" s="1"/>
  <c r="AC106" i="5"/>
  <c r="AC108" i="5" s="1"/>
  <c r="AC111" i="5" s="1"/>
  <c r="AC114" i="5" s="1"/>
  <c r="AC116" i="5" s="1"/>
  <c r="AI116" i="5" s="1"/>
  <c r="L41" i="4" s="1"/>
  <c r="K67" i="5"/>
  <c r="K69" i="5" s="1"/>
  <c r="K72" i="5" s="1"/>
  <c r="AC67" i="5"/>
  <c r="AC69" i="5" s="1"/>
  <c r="AC72" i="5" s="1"/>
  <c r="AC75" i="5" s="1"/>
  <c r="AC77" i="5" s="1"/>
  <c r="AI77" i="5" s="1"/>
  <c r="AC30" i="5"/>
  <c r="AC33" i="5" s="1"/>
  <c r="AC36" i="5" s="1"/>
  <c r="AC38" i="5" s="1"/>
  <c r="AI38" i="5" s="1"/>
  <c r="J41" i="4" s="1"/>
  <c r="E255" i="7"/>
  <c r="G255" i="7"/>
  <c r="F255" i="7"/>
  <c r="K30" i="5"/>
  <c r="K33" i="5" s="1"/>
  <c r="K36" i="5" s="1"/>
  <c r="K39" i="5" s="1"/>
  <c r="C257" i="7"/>
  <c r="D256" i="7"/>
  <c r="K41" i="4" l="1"/>
  <c r="K50" i="4" s="1"/>
  <c r="C166" i="16" s="1"/>
  <c r="D161" i="16"/>
  <c r="L50" i="4"/>
  <c r="B161" i="16"/>
  <c r="J50" i="4"/>
  <c r="B166" i="16" s="1"/>
  <c r="K75" i="5"/>
  <c r="K78" i="5" s="1"/>
  <c r="E256" i="7"/>
  <c r="G256" i="7"/>
  <c r="F256" i="7"/>
  <c r="C258" i="7"/>
  <c r="D257" i="7"/>
  <c r="M41" i="4" l="1"/>
  <c r="C161" i="16"/>
  <c r="D166" i="16"/>
  <c r="M50" i="4"/>
  <c r="E257" i="7"/>
  <c r="G257" i="7"/>
  <c r="F257" i="7"/>
  <c r="C259" i="7"/>
  <c r="D258" i="7"/>
  <c r="E258" i="7" l="1"/>
  <c r="G258" i="7"/>
  <c r="F258" i="7"/>
  <c r="C260" i="7"/>
  <c r="D259" i="7"/>
  <c r="E259" i="7" l="1"/>
  <c r="G259" i="7"/>
  <c r="F259" i="7"/>
  <c r="C261" i="7"/>
  <c r="D260" i="7"/>
  <c r="E260" i="7" l="1"/>
  <c r="G260" i="7"/>
  <c r="F260" i="7"/>
  <c r="C262" i="7"/>
  <c r="D261" i="7"/>
  <c r="E261" i="7" l="1"/>
  <c r="G261" i="7"/>
  <c r="F261" i="7"/>
  <c r="D262" i="7"/>
  <c r="C263" i="7"/>
  <c r="E262" i="7" l="1"/>
  <c r="G262" i="7"/>
  <c r="F262" i="7"/>
  <c r="C264" i="7"/>
  <c r="D263" i="7"/>
  <c r="E263" i="7" l="1"/>
  <c r="G263" i="7"/>
  <c r="F263" i="7"/>
  <c r="C265" i="7"/>
  <c r="D264" i="7"/>
  <c r="E264" i="7" l="1"/>
  <c r="G264" i="7"/>
  <c r="F264" i="7"/>
  <c r="D265" i="7"/>
  <c r="C266" i="7"/>
  <c r="E265" i="7" l="1"/>
  <c r="G265" i="7"/>
  <c r="F265" i="7"/>
  <c r="D266" i="7"/>
  <c r="C267" i="7"/>
  <c r="E266" i="7" l="1"/>
  <c r="G266" i="7"/>
  <c r="F266" i="7"/>
  <c r="D267" i="7"/>
  <c r="C268" i="7"/>
  <c r="E267" i="7" l="1"/>
  <c r="G267" i="7"/>
  <c r="F267" i="7"/>
  <c r="C269" i="7"/>
  <c r="D268" i="7"/>
  <c r="E268" i="7" l="1"/>
  <c r="G268" i="7"/>
  <c r="F268" i="7"/>
  <c r="C270" i="7"/>
  <c r="D269" i="7"/>
  <c r="E269" i="7" l="1"/>
  <c r="G269" i="7"/>
  <c r="F269" i="7"/>
  <c r="D270" i="7"/>
  <c r="C271" i="7"/>
  <c r="E270" i="7" l="1"/>
  <c r="G270" i="7"/>
  <c r="F270" i="7"/>
  <c r="D271" i="7"/>
  <c r="C272" i="7"/>
  <c r="E271" i="7" l="1"/>
  <c r="G271" i="7"/>
  <c r="F271" i="7"/>
  <c r="D272" i="7"/>
  <c r="C273" i="7"/>
  <c r="E272" i="7" l="1"/>
  <c r="G272" i="7"/>
  <c r="F272" i="7"/>
  <c r="D273" i="7"/>
  <c r="C274" i="7"/>
  <c r="E273" i="7" l="1"/>
  <c r="G273" i="7"/>
  <c r="F273" i="7"/>
  <c r="D274" i="7"/>
  <c r="C275" i="7"/>
  <c r="E274" i="7" l="1"/>
  <c r="G274" i="7"/>
  <c r="F274" i="7"/>
  <c r="D275" i="7"/>
  <c r="C276" i="7"/>
  <c r="E275" i="7" l="1"/>
  <c r="G275" i="7"/>
  <c r="F275" i="7"/>
  <c r="C277" i="7"/>
  <c r="D276" i="7"/>
  <c r="E276" i="7" l="1"/>
  <c r="G276" i="7"/>
  <c r="F276" i="7"/>
  <c r="C278" i="7"/>
  <c r="D277" i="7"/>
  <c r="E277" i="7" l="1"/>
  <c r="G277" i="7"/>
  <c r="F277" i="7"/>
  <c r="D278" i="7"/>
  <c r="C279" i="7"/>
  <c r="E278" i="7" l="1"/>
  <c r="G278" i="7"/>
  <c r="F278" i="7"/>
  <c r="D279" i="7"/>
  <c r="C280" i="7"/>
  <c r="E279" i="7" l="1"/>
  <c r="G279" i="7"/>
  <c r="F279" i="7"/>
  <c r="D280" i="7"/>
  <c r="C281" i="7"/>
  <c r="E280" i="7" l="1"/>
  <c r="G280" i="7"/>
  <c r="F280" i="7"/>
  <c r="D281" i="7"/>
  <c r="C282" i="7"/>
  <c r="E281" i="7" l="1"/>
  <c r="G281" i="7"/>
  <c r="F281" i="7"/>
  <c r="D282" i="7"/>
  <c r="C283" i="7"/>
  <c r="E282" i="7" l="1"/>
  <c r="G282" i="7"/>
  <c r="F282" i="7"/>
  <c r="D283" i="7"/>
  <c r="C284" i="7"/>
  <c r="E283" i="7" l="1"/>
  <c r="S13" i="7" s="1"/>
  <c r="G283" i="7"/>
  <c r="S15" i="7" s="1"/>
  <c r="F283" i="7"/>
  <c r="S14" i="7" s="1"/>
  <c r="AD66" i="5" s="1"/>
  <c r="D284" i="7"/>
  <c r="C285" i="7"/>
  <c r="S20" i="7" l="1"/>
  <c r="AD105" i="5"/>
  <c r="L105" i="5"/>
  <c r="S18" i="7"/>
  <c r="AD27" i="5"/>
  <c r="S19" i="7"/>
  <c r="L66" i="5"/>
  <c r="L27" i="5"/>
  <c r="E284" i="7"/>
  <c r="G284" i="7"/>
  <c r="F284" i="7"/>
  <c r="C286" i="7"/>
  <c r="D285" i="7"/>
  <c r="L106" i="5" l="1"/>
  <c r="L108" i="5" s="1"/>
  <c r="L111" i="5" s="1"/>
  <c r="L114" i="5" s="1"/>
  <c r="L117" i="5" s="1"/>
  <c r="AD106" i="5"/>
  <c r="AD108" i="5" s="1"/>
  <c r="AD111" i="5" s="1"/>
  <c r="AD114" i="5" s="1"/>
  <c r="AD117" i="5" s="1"/>
  <c r="L67" i="5"/>
  <c r="L69" i="5" s="1"/>
  <c r="L72" i="5" s="1"/>
  <c r="AD67" i="5"/>
  <c r="AD69" i="5" s="1"/>
  <c r="AD72" i="5" s="1"/>
  <c r="AD75" i="5" s="1"/>
  <c r="AD78" i="5" s="1"/>
  <c r="L28" i="5"/>
  <c r="L30" i="5" s="1"/>
  <c r="L33" i="5" s="1"/>
  <c r="L36" i="5" s="1"/>
  <c r="L39" i="5" s="1"/>
  <c r="AD28" i="5"/>
  <c r="AD30" i="5" s="1"/>
  <c r="AD33" i="5" s="1"/>
  <c r="AD36" i="5" s="1"/>
  <c r="AD39" i="5" s="1"/>
  <c r="E285" i="7"/>
  <c r="G285" i="7"/>
  <c r="F285" i="7"/>
  <c r="D286" i="7"/>
  <c r="C287" i="7"/>
  <c r="L75" i="5" l="1"/>
  <c r="L78" i="5" s="1"/>
  <c r="E286" i="7"/>
  <c r="G286" i="7"/>
  <c r="F286" i="7"/>
  <c r="D287" i="7"/>
  <c r="C288" i="7"/>
  <c r="E287" i="7" l="1"/>
  <c r="G287" i="7"/>
  <c r="F287" i="7"/>
  <c r="C289" i="7"/>
  <c r="D288" i="7"/>
  <c r="E288" i="7" l="1"/>
  <c r="G288" i="7"/>
  <c r="F288" i="7"/>
  <c r="C290" i="7"/>
  <c r="D289" i="7"/>
  <c r="E289" i="7" l="1"/>
  <c r="G289" i="7"/>
  <c r="F289" i="7"/>
  <c r="D290" i="7"/>
  <c r="C291" i="7"/>
  <c r="E290" i="7" l="1"/>
  <c r="G290" i="7"/>
  <c r="F290" i="7"/>
  <c r="C292" i="7"/>
  <c r="D291" i="7"/>
  <c r="E291" i="7" l="1"/>
  <c r="G291" i="7"/>
  <c r="F291" i="7"/>
  <c r="C293" i="7"/>
  <c r="D292" i="7"/>
  <c r="E292" i="7" l="1"/>
  <c r="G292" i="7"/>
  <c r="F292" i="7"/>
  <c r="D293" i="7"/>
  <c r="C294" i="7"/>
  <c r="E293" i="7" l="1"/>
  <c r="G293" i="7"/>
  <c r="F293" i="7"/>
  <c r="D294" i="7"/>
  <c r="C295" i="7"/>
  <c r="E294" i="7" l="1"/>
  <c r="G294" i="7"/>
  <c r="F294" i="7"/>
  <c r="D295" i="7"/>
  <c r="C296" i="7"/>
  <c r="E295" i="7" l="1"/>
  <c r="G295" i="7"/>
  <c r="F295" i="7"/>
  <c r="C297" i="7"/>
  <c r="D296" i="7"/>
  <c r="E296" i="7" l="1"/>
  <c r="G296" i="7"/>
  <c r="F296" i="7"/>
  <c r="D297" i="7"/>
  <c r="C298" i="7"/>
  <c r="E297" i="7" l="1"/>
  <c r="G297" i="7"/>
  <c r="F297" i="7"/>
  <c r="C299" i="7"/>
  <c r="D298" i="7"/>
  <c r="E298" i="7" l="1"/>
  <c r="G298" i="7"/>
  <c r="F298" i="7"/>
  <c r="D299" i="7"/>
  <c r="C300" i="7"/>
  <c r="E299" i="7" l="1"/>
  <c r="G299" i="7"/>
  <c r="F299" i="7"/>
  <c r="C301" i="7"/>
  <c r="D300" i="7"/>
  <c r="E300" i="7" l="1"/>
  <c r="G300" i="7"/>
  <c r="F300" i="7"/>
  <c r="C302" i="7"/>
  <c r="D301" i="7"/>
  <c r="E301" i="7" l="1"/>
  <c r="G301" i="7"/>
  <c r="F301" i="7"/>
  <c r="C303" i="7"/>
  <c r="D302" i="7"/>
  <c r="E302" i="7" l="1"/>
  <c r="G302" i="7"/>
  <c r="F302" i="7"/>
  <c r="C304" i="7"/>
  <c r="D303" i="7"/>
  <c r="E303" i="7" l="1"/>
  <c r="G303" i="7"/>
  <c r="F303" i="7"/>
  <c r="C305" i="7"/>
  <c r="D304" i="7"/>
  <c r="E304" i="7" l="1"/>
  <c r="G304" i="7"/>
  <c r="F304" i="7"/>
  <c r="D305" i="7"/>
  <c r="C306" i="7"/>
  <c r="E305" i="7" l="1"/>
  <c r="G305" i="7"/>
  <c r="F305" i="7"/>
  <c r="C307" i="7"/>
  <c r="D306" i="7"/>
  <c r="E306" i="7" l="1"/>
  <c r="G306" i="7"/>
  <c r="F306" i="7"/>
  <c r="D307" i="7"/>
  <c r="C308" i="7"/>
  <c r="E307" i="7" l="1"/>
  <c r="G307" i="7"/>
  <c r="F307" i="7"/>
  <c r="C309" i="7"/>
  <c r="D308" i="7"/>
  <c r="E308" i="7" l="1"/>
  <c r="G308" i="7"/>
  <c r="F308" i="7"/>
  <c r="D309" i="7"/>
  <c r="C310" i="7"/>
  <c r="E309" i="7" l="1"/>
  <c r="G309" i="7"/>
  <c r="F309" i="7"/>
  <c r="C311" i="7"/>
  <c r="D310" i="7"/>
  <c r="E310" i="7" l="1"/>
  <c r="G310" i="7"/>
  <c r="F310" i="7"/>
  <c r="D311" i="7"/>
  <c r="C312" i="7"/>
  <c r="E311" i="7" l="1"/>
  <c r="G311" i="7"/>
  <c r="F311" i="7"/>
  <c r="C313" i="7"/>
  <c r="D312" i="7"/>
  <c r="E312" i="7" l="1"/>
  <c r="G312" i="7"/>
  <c r="F312" i="7"/>
  <c r="D313" i="7"/>
  <c r="C314" i="7"/>
  <c r="E313" i="7" l="1"/>
  <c r="G313" i="7"/>
  <c r="F313" i="7"/>
  <c r="C315" i="7"/>
  <c r="D314" i="7"/>
  <c r="E314" i="7" l="1"/>
  <c r="T13" i="7" s="1"/>
  <c r="M27" i="5" s="1"/>
  <c r="G314" i="7"/>
  <c r="T15" i="7" s="1"/>
  <c r="F314" i="7"/>
  <c r="T14" i="7" s="1"/>
  <c r="AE66" i="5" s="1"/>
  <c r="D315" i="7"/>
  <c r="C316" i="7"/>
  <c r="T20" i="7" l="1"/>
  <c r="AE105" i="5"/>
  <c r="M105" i="5"/>
  <c r="T18" i="7"/>
  <c r="AE27" i="5"/>
  <c r="T19" i="7"/>
  <c r="M66" i="5"/>
  <c r="E315" i="7"/>
  <c r="G315" i="7"/>
  <c r="F315" i="7"/>
  <c r="C317" i="7"/>
  <c r="D316" i="7"/>
  <c r="M106" i="5" l="1"/>
  <c r="M108" i="5" s="1"/>
  <c r="M111" i="5" s="1"/>
  <c r="M114" i="5" s="1"/>
  <c r="M117" i="5" s="1"/>
  <c r="AE106" i="5"/>
  <c r="AE108" i="5" s="1"/>
  <c r="AE111" i="5" s="1"/>
  <c r="AE114" i="5" s="1"/>
  <c r="AE117" i="5" s="1"/>
  <c r="M67" i="5"/>
  <c r="M69" i="5" s="1"/>
  <c r="M72" i="5" s="1"/>
  <c r="AE67" i="5"/>
  <c r="AE69" i="5" s="1"/>
  <c r="AE72" i="5" s="1"/>
  <c r="AE75" i="5" s="1"/>
  <c r="AE78" i="5" s="1"/>
  <c r="M28" i="5"/>
  <c r="M30" i="5" s="1"/>
  <c r="M33" i="5" s="1"/>
  <c r="M36" i="5" s="1"/>
  <c r="M39" i="5" s="1"/>
  <c r="AE28" i="5"/>
  <c r="AE30" i="5" s="1"/>
  <c r="AE33" i="5" s="1"/>
  <c r="AE36" i="5" s="1"/>
  <c r="AE39" i="5" s="1"/>
  <c r="E316" i="7"/>
  <c r="G316" i="7"/>
  <c r="F316" i="7"/>
  <c r="C318" i="7"/>
  <c r="D317" i="7"/>
  <c r="M75" i="5" l="1"/>
  <c r="M78" i="5" s="1"/>
  <c r="E317" i="7"/>
  <c r="G317" i="7"/>
  <c r="F317" i="7"/>
  <c r="C319" i="7"/>
  <c r="D318" i="7"/>
  <c r="E318" i="7" l="1"/>
  <c r="G318" i="7"/>
  <c r="F318" i="7"/>
  <c r="C320" i="7"/>
  <c r="D319" i="7"/>
  <c r="E319" i="7" l="1"/>
  <c r="G319" i="7"/>
  <c r="F319" i="7"/>
  <c r="D320" i="7"/>
  <c r="C321" i="7"/>
  <c r="E320" i="7" l="1"/>
  <c r="G320" i="7"/>
  <c r="F320" i="7"/>
  <c r="D321" i="7"/>
  <c r="C322" i="7"/>
  <c r="E321" i="7" l="1"/>
  <c r="G321" i="7"/>
  <c r="F321" i="7"/>
  <c r="C323" i="7"/>
  <c r="D322" i="7"/>
  <c r="E322" i="7" l="1"/>
  <c r="G322" i="7"/>
  <c r="F322" i="7"/>
  <c r="C324" i="7"/>
  <c r="D323" i="7"/>
  <c r="E323" i="7" l="1"/>
  <c r="G323" i="7"/>
  <c r="F323" i="7"/>
  <c r="C325" i="7"/>
  <c r="D324" i="7"/>
  <c r="E324" i="7" l="1"/>
  <c r="G324" i="7"/>
  <c r="F324" i="7"/>
  <c r="D325" i="7"/>
  <c r="C326" i="7"/>
  <c r="E325" i="7" l="1"/>
  <c r="G325" i="7"/>
  <c r="F325" i="7"/>
  <c r="C327" i="7"/>
  <c r="D326" i="7"/>
  <c r="E326" i="7" l="1"/>
  <c r="G326" i="7"/>
  <c r="F326" i="7"/>
  <c r="D327" i="7"/>
  <c r="C328" i="7"/>
  <c r="E327" i="7" l="1"/>
  <c r="G327" i="7"/>
  <c r="F327" i="7"/>
  <c r="C329" i="7"/>
  <c r="D328" i="7"/>
  <c r="E328" i="7" l="1"/>
  <c r="G328" i="7"/>
  <c r="F328" i="7"/>
  <c r="D329" i="7"/>
  <c r="C330" i="7"/>
  <c r="E329" i="7" l="1"/>
  <c r="G329" i="7"/>
  <c r="F329" i="7"/>
  <c r="C331" i="7"/>
  <c r="D330" i="7"/>
  <c r="E330" i="7" l="1"/>
  <c r="G330" i="7"/>
  <c r="F330" i="7"/>
  <c r="D331" i="7"/>
  <c r="C332" i="7"/>
  <c r="E331" i="7" l="1"/>
  <c r="G331" i="7"/>
  <c r="F331" i="7"/>
  <c r="D332" i="7"/>
  <c r="C333" i="7"/>
  <c r="E332" i="7" l="1"/>
  <c r="G332" i="7"/>
  <c r="F332" i="7"/>
  <c r="C334" i="7"/>
  <c r="D333" i="7"/>
  <c r="E333" i="7" l="1"/>
  <c r="G333" i="7"/>
  <c r="F333" i="7"/>
  <c r="C335" i="7"/>
  <c r="D334" i="7"/>
  <c r="E334" i="7" l="1"/>
  <c r="G334" i="7"/>
  <c r="F334" i="7"/>
  <c r="C336" i="7"/>
  <c r="D335" i="7"/>
  <c r="E335" i="7" l="1"/>
  <c r="G335" i="7"/>
  <c r="F335" i="7"/>
  <c r="D336" i="7"/>
  <c r="C337" i="7"/>
  <c r="E336" i="7" l="1"/>
  <c r="G336" i="7"/>
  <c r="F336" i="7"/>
  <c r="D337" i="7"/>
  <c r="C338" i="7"/>
  <c r="E337" i="7" l="1"/>
  <c r="G337" i="7"/>
  <c r="F337" i="7"/>
  <c r="C339" i="7"/>
  <c r="D338" i="7"/>
  <c r="E338" i="7" l="1"/>
  <c r="G338" i="7"/>
  <c r="F338" i="7"/>
  <c r="C340" i="7"/>
  <c r="D339" i="7"/>
  <c r="E339" i="7" l="1"/>
  <c r="G339" i="7"/>
  <c r="F339" i="7"/>
  <c r="C341" i="7"/>
  <c r="D340" i="7"/>
  <c r="E340" i="7" l="1"/>
  <c r="G340" i="7"/>
  <c r="F340" i="7"/>
  <c r="D341" i="7"/>
  <c r="C342" i="7"/>
  <c r="E341" i="7" l="1"/>
  <c r="G341" i="7"/>
  <c r="F341" i="7"/>
  <c r="C343" i="7"/>
  <c r="D342" i="7"/>
  <c r="E342" i="7" l="1"/>
  <c r="G342" i="7"/>
  <c r="F342" i="7"/>
  <c r="C344" i="7"/>
  <c r="D343" i="7"/>
  <c r="E343" i="7" l="1"/>
  <c r="G343" i="7"/>
  <c r="F343" i="7"/>
  <c r="C345" i="7"/>
  <c r="D344" i="7"/>
  <c r="E344" i="7" l="1"/>
  <c r="U13" i="7" s="1"/>
  <c r="G344" i="7"/>
  <c r="U15" i="7" s="1"/>
  <c r="F344" i="7"/>
  <c r="U14" i="7" s="1"/>
  <c r="AF66" i="5" s="1"/>
  <c r="C346" i="7"/>
  <c r="D345" i="7"/>
  <c r="U20" i="7" l="1"/>
  <c r="N105" i="5"/>
  <c r="AF105" i="5"/>
  <c r="U18" i="7"/>
  <c r="AF27" i="5"/>
  <c r="U19" i="7"/>
  <c r="N66" i="5"/>
  <c r="N27" i="5"/>
  <c r="E345" i="7"/>
  <c r="G345" i="7"/>
  <c r="F345" i="7"/>
  <c r="C347" i="7"/>
  <c r="D346" i="7"/>
  <c r="AF106" i="5" l="1"/>
  <c r="AF108" i="5" s="1"/>
  <c r="AF111" i="5" s="1"/>
  <c r="AF114" i="5" s="1"/>
  <c r="AF117" i="5" s="1"/>
  <c r="AI117" i="5" s="1"/>
  <c r="L43" i="4" s="1"/>
  <c r="N106" i="5"/>
  <c r="N108" i="5" s="1"/>
  <c r="N111" i="5" s="1"/>
  <c r="N114" i="5" s="1"/>
  <c r="N117" i="5" s="1"/>
  <c r="N67" i="5"/>
  <c r="N69" i="5" s="1"/>
  <c r="N72" i="5" s="1"/>
  <c r="AF67" i="5"/>
  <c r="AF69" i="5" s="1"/>
  <c r="AF72" i="5" s="1"/>
  <c r="AF75" i="5" s="1"/>
  <c r="AF78" i="5" s="1"/>
  <c r="AI78" i="5" s="1"/>
  <c r="N28" i="5"/>
  <c r="N30" i="5" s="1"/>
  <c r="N33" i="5" s="1"/>
  <c r="N36" i="5" s="1"/>
  <c r="N39" i="5" s="1"/>
  <c r="AF28" i="5"/>
  <c r="AF30" i="5" s="1"/>
  <c r="AF33" i="5" s="1"/>
  <c r="AF36" i="5" s="1"/>
  <c r="AF39" i="5" s="1"/>
  <c r="AI39" i="5" s="1"/>
  <c r="J43" i="4" s="1"/>
  <c r="E346" i="7"/>
  <c r="G346" i="7"/>
  <c r="F346" i="7"/>
  <c r="C348" i="7"/>
  <c r="D347" i="7"/>
  <c r="K43" i="4" l="1"/>
  <c r="K52" i="4" s="1"/>
  <c r="C167" i="16" s="1"/>
  <c r="L52" i="4"/>
  <c r="D162" i="16"/>
  <c r="B162" i="16"/>
  <c r="J52" i="4"/>
  <c r="N75" i="5"/>
  <c r="N78" i="5" s="1"/>
  <c r="E347" i="7"/>
  <c r="G347" i="7"/>
  <c r="F347" i="7"/>
  <c r="C349" i="7"/>
  <c r="D348" i="7"/>
  <c r="M43" i="4" l="1"/>
  <c r="C162" i="16"/>
  <c r="D167" i="16"/>
  <c r="B167" i="16"/>
  <c r="M52" i="4"/>
  <c r="E348" i="7"/>
  <c r="G348" i="7"/>
  <c r="F348" i="7"/>
  <c r="C350" i="7"/>
  <c r="D349" i="7"/>
  <c r="E349" i="7" l="1"/>
  <c r="G349" i="7"/>
  <c r="F349" i="7"/>
  <c r="C351" i="7"/>
  <c r="D350" i="7"/>
  <c r="E350" i="7" l="1"/>
  <c r="G350" i="7"/>
  <c r="F350" i="7"/>
  <c r="C352" i="7"/>
  <c r="D351" i="7"/>
  <c r="E351" i="7" l="1"/>
  <c r="G351" i="7"/>
  <c r="F351" i="7"/>
  <c r="C353" i="7"/>
  <c r="D352" i="7"/>
  <c r="E352" i="7" l="1"/>
  <c r="G352" i="7"/>
  <c r="F352" i="7"/>
  <c r="D353" i="7"/>
  <c r="C354" i="7"/>
  <c r="E353" i="7" l="1"/>
  <c r="G353" i="7"/>
  <c r="F353" i="7"/>
  <c r="C355" i="7"/>
  <c r="D354" i="7"/>
  <c r="E354" i="7" l="1"/>
  <c r="G354" i="7"/>
  <c r="F354" i="7"/>
  <c r="C356" i="7"/>
  <c r="D355" i="7"/>
  <c r="E355" i="7" l="1"/>
  <c r="G355" i="7"/>
  <c r="F355" i="7"/>
  <c r="C357" i="7"/>
  <c r="D356" i="7"/>
  <c r="E356" i="7" l="1"/>
  <c r="G356" i="7"/>
  <c r="F356" i="7"/>
  <c r="D357" i="7"/>
  <c r="C358" i="7"/>
  <c r="E357" i="7" l="1"/>
  <c r="G357" i="7"/>
  <c r="F357" i="7"/>
  <c r="C359" i="7"/>
  <c r="D358" i="7"/>
  <c r="E358" i="7" l="1"/>
  <c r="G358" i="7"/>
  <c r="F358" i="7"/>
  <c r="D359" i="7"/>
  <c r="C360" i="7"/>
  <c r="E359" i="7" l="1"/>
  <c r="G359" i="7"/>
  <c r="F359" i="7"/>
  <c r="C361" i="7"/>
  <c r="D360" i="7"/>
  <c r="E360" i="7" l="1"/>
  <c r="G360" i="7"/>
  <c r="F360" i="7"/>
  <c r="D361" i="7"/>
  <c r="C362" i="7"/>
  <c r="E361" i="7" l="1"/>
  <c r="G361" i="7"/>
  <c r="F361" i="7"/>
  <c r="C363" i="7"/>
  <c r="D362" i="7"/>
  <c r="E362" i="7" l="1"/>
  <c r="G362" i="7"/>
  <c r="F362" i="7"/>
  <c r="D363" i="7"/>
  <c r="C364" i="7"/>
  <c r="E363" i="7" l="1"/>
  <c r="G363" i="7"/>
  <c r="F363" i="7"/>
  <c r="C365" i="7"/>
  <c r="D364" i="7"/>
  <c r="E364" i="7" l="1"/>
  <c r="G364" i="7"/>
  <c r="F364" i="7"/>
  <c r="C366" i="7"/>
  <c r="D365" i="7"/>
  <c r="E365" i="7" l="1"/>
  <c r="G365" i="7"/>
  <c r="F365" i="7"/>
  <c r="C367" i="7"/>
  <c r="D366" i="7"/>
  <c r="E366" i="7" l="1"/>
  <c r="G366" i="7"/>
  <c r="F366" i="7"/>
  <c r="D367" i="7"/>
  <c r="C368" i="7"/>
  <c r="E367" i="7" l="1"/>
  <c r="G367" i="7"/>
  <c r="F367" i="7"/>
  <c r="D368" i="7"/>
  <c r="C369" i="7"/>
  <c r="E368" i="7" l="1"/>
  <c r="G368" i="7"/>
  <c r="F368" i="7"/>
  <c r="D369" i="7"/>
  <c r="C370" i="7"/>
  <c r="E369" i="7" l="1"/>
  <c r="G369" i="7"/>
  <c r="F369" i="7"/>
  <c r="C371" i="7"/>
  <c r="D370" i="7"/>
  <c r="E370" i="7" l="1"/>
  <c r="G370" i="7"/>
  <c r="F370" i="7"/>
  <c r="D371" i="7"/>
  <c r="C372" i="7"/>
  <c r="E371" i="7" l="1"/>
  <c r="G371" i="7"/>
  <c r="F371" i="7"/>
  <c r="C373" i="7"/>
  <c r="D372" i="7"/>
  <c r="E372" i="7" l="1"/>
  <c r="G372" i="7"/>
  <c r="F372" i="7"/>
  <c r="D373" i="7"/>
  <c r="C374" i="7"/>
  <c r="E373" i="7" l="1"/>
  <c r="G373" i="7"/>
  <c r="F373" i="7"/>
  <c r="C375" i="7"/>
  <c r="D375" i="7" s="1"/>
  <c r="D374" i="7"/>
  <c r="E375" i="7" l="1"/>
  <c r="G375" i="7"/>
  <c r="F375" i="7"/>
  <c r="E374" i="7"/>
  <c r="G374" i="7"/>
  <c r="F374" i="7"/>
  <c r="V14" i="7" l="1"/>
  <c r="AG66" i="5" s="1"/>
  <c r="V15" i="7"/>
  <c r="V13" i="7"/>
  <c r="V20" i="7" l="1"/>
  <c r="O105" i="5"/>
  <c r="AG105" i="5"/>
  <c r="V18" i="7"/>
  <c r="AG27" i="5"/>
  <c r="V19" i="7"/>
  <c r="O66" i="5"/>
  <c r="O27" i="5"/>
  <c r="AG106" i="5" l="1"/>
  <c r="AG108" i="5" s="1"/>
  <c r="AG111" i="5" s="1"/>
  <c r="AG114" i="5" s="1"/>
  <c r="AG118" i="5" s="1"/>
  <c r="AI118" i="5" s="1"/>
  <c r="L44" i="4" s="1"/>
  <c r="O106" i="5"/>
  <c r="O108" i="5" s="1"/>
  <c r="O111" i="5" s="1"/>
  <c r="O114" i="5" s="1"/>
  <c r="O117" i="5" s="1"/>
  <c r="Q117" i="5" s="1"/>
  <c r="G43" i="4" s="1"/>
  <c r="O67" i="5"/>
  <c r="O69" i="5" s="1"/>
  <c r="O72" i="5" s="1"/>
  <c r="AG67" i="5"/>
  <c r="AG69" i="5" s="1"/>
  <c r="AG72" i="5" s="1"/>
  <c r="AG75" i="5" s="1"/>
  <c r="AG79" i="5" s="1"/>
  <c r="AI79" i="5" s="1"/>
  <c r="K44" i="4" s="1"/>
  <c r="O28" i="5"/>
  <c r="O30" i="5" s="1"/>
  <c r="O33" i="5" s="1"/>
  <c r="O36" i="5" s="1"/>
  <c r="O39" i="5" s="1"/>
  <c r="Q39" i="5" s="1"/>
  <c r="AG28" i="5"/>
  <c r="AG30" i="5" s="1"/>
  <c r="AG33" i="5" s="1"/>
  <c r="AG36" i="5" s="1"/>
  <c r="AG40" i="5" s="1"/>
  <c r="AI40" i="5" s="1"/>
  <c r="J44" i="4" s="1"/>
  <c r="E43" i="4" l="1"/>
  <c r="E52" i="4" s="1"/>
  <c r="B143" i="16" s="1"/>
  <c r="G52" i="4"/>
  <c r="D138" i="16"/>
  <c r="G46" i="4"/>
  <c r="G8" i="4" s="1"/>
  <c r="L53" i="4"/>
  <c r="D163" i="16"/>
  <c r="L46" i="4"/>
  <c r="L8" i="4" s="1"/>
  <c r="B163" i="16"/>
  <c r="J53" i="4"/>
  <c r="C163" i="16"/>
  <c r="K53" i="4"/>
  <c r="K46" i="4"/>
  <c r="J46" i="4"/>
  <c r="J8" i="4" s="1"/>
  <c r="M44" i="4"/>
  <c r="M46" i="4" s="1"/>
  <c r="O75" i="5"/>
  <c r="E46" i="4" l="1"/>
  <c r="E8" i="4" s="1"/>
  <c r="B123" i="16" s="1"/>
  <c r="B138" i="16"/>
  <c r="C164" i="16"/>
  <c r="K8" i="4"/>
  <c r="C147" i="16" s="1"/>
  <c r="D168" i="16"/>
  <c r="L55" i="4"/>
  <c r="L10" i="4" s="1"/>
  <c r="D140" i="16"/>
  <c r="D123" i="16"/>
  <c r="D147" i="16"/>
  <c r="D164" i="16"/>
  <c r="D143" i="16"/>
  <c r="G55" i="4"/>
  <c r="G10" i="4" s="1"/>
  <c r="B168" i="16"/>
  <c r="J55" i="4"/>
  <c r="E55" i="4"/>
  <c r="K55" i="4"/>
  <c r="K10" i="4" s="1"/>
  <c r="C168" i="16"/>
  <c r="B147" i="16"/>
  <c r="B164" i="16"/>
  <c r="O78" i="5"/>
  <c r="Q78" i="5" s="1"/>
  <c r="F43" i="4" s="1"/>
  <c r="M53" i="4"/>
  <c r="M55" i="4" s="1"/>
  <c r="M10" i="4" s="1"/>
  <c r="B140" i="16" l="1"/>
  <c r="B169" i="16"/>
  <c r="J10" i="4"/>
  <c r="B145" i="16"/>
  <c r="E10" i="4"/>
  <c r="D145" i="16"/>
  <c r="D169" i="16"/>
  <c r="C169" i="16"/>
  <c r="F52" i="4"/>
  <c r="M8" i="4"/>
  <c r="L13" i="4" l="1"/>
  <c r="D149" i="16" s="1"/>
  <c r="D148" i="16"/>
  <c r="D124" i="16"/>
  <c r="G13" i="4"/>
  <c r="D125" i="16" s="1"/>
  <c r="B148" i="16"/>
  <c r="J13" i="4"/>
  <c r="B149" i="16" s="1"/>
  <c r="H43" i="4"/>
  <c r="F46" i="4"/>
  <c r="C138" i="16"/>
  <c r="H52" i="4"/>
  <c r="H55" i="4" s="1"/>
  <c r="H10" i="4" s="1"/>
  <c r="C143" i="16"/>
  <c r="F55" i="4"/>
  <c r="F10" i="4" s="1"/>
  <c r="C140" i="16" l="1"/>
  <c r="F8" i="4"/>
  <c r="C123" i="16" s="1"/>
  <c r="C145" i="16"/>
  <c r="H46" i="4"/>
  <c r="B124" i="16"/>
  <c r="M13" i="4"/>
  <c r="H8" i="4" l="1"/>
  <c r="E13" i="4"/>
  <c r="B125" i="16" s="1"/>
  <c r="K13" i="4"/>
  <c r="C149" i="16" s="1"/>
  <c r="C148" i="16"/>
  <c r="H13" i="4" l="1"/>
  <c r="F13" i="4" l="1"/>
  <c r="C125" i="16" s="1"/>
  <c r="C124" i="16"/>
</calcChain>
</file>

<file path=xl/sharedStrings.xml><?xml version="1.0" encoding="utf-8"?>
<sst xmlns="http://schemas.openxmlformats.org/spreadsheetml/2006/main" count="1445" uniqueCount="748">
  <si>
    <t>January</t>
  </si>
  <si>
    <t>February</t>
  </si>
  <si>
    <t>March</t>
  </si>
  <si>
    <t>April</t>
  </si>
  <si>
    <t>May</t>
  </si>
  <si>
    <t>June</t>
  </si>
  <si>
    <t>July</t>
  </si>
  <si>
    <t>August</t>
  </si>
  <si>
    <t>September</t>
  </si>
  <si>
    <t>October</t>
  </si>
  <si>
    <t>November</t>
  </si>
  <si>
    <t>December</t>
  </si>
  <si>
    <t>Razorbill</t>
  </si>
  <si>
    <t>Gannet</t>
  </si>
  <si>
    <t>Guillemot</t>
  </si>
  <si>
    <t>Puffin</t>
  </si>
  <si>
    <t>Kittiwake</t>
  </si>
  <si>
    <t>Collision inputs</t>
  </si>
  <si>
    <t>Species</t>
  </si>
  <si>
    <t>Reference population size</t>
  </si>
  <si>
    <t>Bird avoidance rate</t>
  </si>
  <si>
    <t>Number of turbines</t>
  </si>
  <si>
    <t>Breeding</t>
  </si>
  <si>
    <t>Average length (m)</t>
  </si>
  <si>
    <t>Average wingspan (m)</t>
  </si>
  <si>
    <t>Average flight speed (m/s)</t>
  </si>
  <si>
    <t>Flight type</t>
  </si>
  <si>
    <t>Wind farm parameters</t>
  </si>
  <si>
    <t>Bird parameters</t>
  </si>
  <si>
    <t>Maximum blade width (m)</t>
  </si>
  <si>
    <t>Diameter range</t>
  </si>
  <si>
    <t>Total</t>
  </si>
  <si>
    <t>Bird displacement rate as a proportion</t>
  </si>
  <si>
    <t>Windfarm data:</t>
  </si>
  <si>
    <t>Jan</t>
  </si>
  <si>
    <t>Feb</t>
  </si>
  <si>
    <t>Oct</t>
  </si>
  <si>
    <t>Nov</t>
  </si>
  <si>
    <t>Dec</t>
  </si>
  <si>
    <t>Proportion of time operational</t>
  </si>
  <si>
    <t>Stage A - flight activity</t>
  </si>
  <si>
    <t>Proportion at rotor height</t>
  </si>
  <si>
    <t>Total daylight hours per month</t>
  </si>
  <si>
    <t>Total night hours per month</t>
  </si>
  <si>
    <t>Flux factor</t>
  </si>
  <si>
    <t xml:space="preserve">Potential bird transits through rotors </t>
  </si>
  <si>
    <t>Collision risk for single rotor transit</t>
  </si>
  <si>
    <t>Flapping</t>
  </si>
  <si>
    <t>0 - 1</t>
  </si>
  <si>
    <t>1 - 2</t>
  </si>
  <si>
    <t>2 - 3</t>
  </si>
  <si>
    <t>3 - 4</t>
  </si>
  <si>
    <t>4 - 5</t>
  </si>
  <si>
    <t>5 - 6</t>
  </si>
  <si>
    <t>6 - 7</t>
  </si>
  <si>
    <t>7 - 8</t>
  </si>
  <si>
    <t>8 - 9</t>
  </si>
  <si>
    <t>9 - 10</t>
  </si>
  <si>
    <t>10 - 11</t>
  </si>
  <si>
    <t>11 - 12</t>
  </si>
  <si>
    <t>12 - 13</t>
  </si>
  <si>
    <t>13 - 14</t>
  </si>
  <si>
    <t>14 - 15</t>
  </si>
  <si>
    <t>15 - 16</t>
  </si>
  <si>
    <t>16 - 17</t>
  </si>
  <si>
    <t>17 - 18</t>
  </si>
  <si>
    <t>18 - 19</t>
  </si>
  <si>
    <t>19 - 20</t>
  </si>
  <si>
    <t>20 - 21</t>
  </si>
  <si>
    <t>21 - 22</t>
  </si>
  <si>
    <t>22 - 23</t>
  </si>
  <si>
    <t>23 - 24</t>
  </si>
  <si>
    <t>24 - 25</t>
  </si>
  <si>
    <t>25 - 26</t>
  </si>
  <si>
    <t>26 - 27</t>
  </si>
  <si>
    <t>27 - 28</t>
  </si>
  <si>
    <t>28 - 29</t>
  </si>
  <si>
    <t>29 - 30</t>
  </si>
  <si>
    <t>30 - 31</t>
  </si>
  <si>
    <t>31 - 32</t>
  </si>
  <si>
    <t>32 - 33</t>
  </si>
  <si>
    <t>33 - 34</t>
  </si>
  <si>
    <t>34 - 35</t>
  </si>
  <si>
    <t>35 - 36</t>
  </si>
  <si>
    <t>36 - 37</t>
  </si>
  <si>
    <t>37 - 38</t>
  </si>
  <si>
    <t>38 - 39</t>
  </si>
  <si>
    <t>39 - 40</t>
  </si>
  <si>
    <t>40 - 41</t>
  </si>
  <si>
    <t>41 - 42</t>
  </si>
  <si>
    <t>42 - 43</t>
  </si>
  <si>
    <t>43 - 44</t>
  </si>
  <si>
    <t>44 - 45</t>
  </si>
  <si>
    <t>45 - 46</t>
  </si>
  <si>
    <t>46 - 47</t>
  </si>
  <si>
    <t>47 - 48</t>
  </si>
  <si>
    <t>48 - 49</t>
  </si>
  <si>
    <t>49 - 50</t>
  </si>
  <si>
    <t>50 - 51</t>
  </si>
  <si>
    <t>51 - 52</t>
  </si>
  <si>
    <t>52 - 53</t>
  </si>
  <si>
    <t>53 - 54</t>
  </si>
  <si>
    <t>54 - 55</t>
  </si>
  <si>
    <t>55 - 56</t>
  </si>
  <si>
    <t>56 - 57</t>
  </si>
  <si>
    <t>57 - 58</t>
  </si>
  <si>
    <t>58 - 59</t>
  </si>
  <si>
    <t>59 - 60</t>
  </si>
  <si>
    <t>60 - 61</t>
  </si>
  <si>
    <t>61 - 62</t>
  </si>
  <si>
    <t>62 - 63</t>
  </si>
  <si>
    <t>63 - 64</t>
  </si>
  <si>
    <t>64 - 65</t>
  </si>
  <si>
    <t>65 - 66</t>
  </si>
  <si>
    <t>66 - 67</t>
  </si>
  <si>
    <t>67 - 68</t>
  </si>
  <si>
    <t>68 - 69</t>
  </si>
  <si>
    <t>69 - 70</t>
  </si>
  <si>
    <t>70 - 71</t>
  </si>
  <si>
    <t>71 - 72</t>
  </si>
  <si>
    <t>72 - 73</t>
  </si>
  <si>
    <t>73 - 74</t>
  </si>
  <si>
    <t>74 - 75</t>
  </si>
  <si>
    <t>75 - 76</t>
  </si>
  <si>
    <t>76 - 77</t>
  </si>
  <si>
    <t>77 - 78</t>
  </si>
  <si>
    <t>78 - 79</t>
  </si>
  <si>
    <t>79 - 80</t>
  </si>
  <si>
    <t>80 - 81</t>
  </si>
  <si>
    <t>81 - 82</t>
  </si>
  <si>
    <t>82 - 83</t>
  </si>
  <si>
    <t>83 - 84</t>
  </si>
  <si>
    <t>84 - 85</t>
  </si>
  <si>
    <t>85 - 86</t>
  </si>
  <si>
    <t>86 - 87</t>
  </si>
  <si>
    <t>87 - 88</t>
  </si>
  <si>
    <t>88 - 89</t>
  </si>
  <si>
    <t>89 - 90</t>
  </si>
  <si>
    <t>90 - 91</t>
  </si>
  <si>
    <t>91 - 92</t>
  </si>
  <si>
    <t>92 - 93</t>
  </si>
  <si>
    <t>93 - 94</t>
  </si>
  <si>
    <t>94 - 95</t>
  </si>
  <si>
    <t>95 - 96</t>
  </si>
  <si>
    <t>96 - 97</t>
  </si>
  <si>
    <t>97 - 98</t>
  </si>
  <si>
    <t>98 - 99</t>
  </si>
  <si>
    <t>99 - 100</t>
  </si>
  <si>
    <t>100 - 101</t>
  </si>
  <si>
    <t>101 - 102</t>
  </si>
  <si>
    <t>102 - 103</t>
  </si>
  <si>
    <t>103 - 104</t>
  </si>
  <si>
    <t>104 - 105</t>
  </si>
  <si>
    <t>105 - 106</t>
  </si>
  <si>
    <t>106 - 107</t>
  </si>
  <si>
    <t>107 - 108</t>
  </si>
  <si>
    <t>108 - 109</t>
  </si>
  <si>
    <t>109 - 110</t>
  </si>
  <si>
    <t>110 - 111</t>
  </si>
  <si>
    <t>111 - 112</t>
  </si>
  <si>
    <t>112 - 113</t>
  </si>
  <si>
    <t>113 - 114</t>
  </si>
  <si>
    <t>114 - 115</t>
  </si>
  <si>
    <t>115 - 116</t>
  </si>
  <si>
    <t>116 - 117</t>
  </si>
  <si>
    <t>117 - 118</t>
  </si>
  <si>
    <t>118 - 119</t>
  </si>
  <si>
    <t>119 - 120</t>
  </si>
  <si>
    <t>120 - 121</t>
  </si>
  <si>
    <t>121 - 122</t>
  </si>
  <si>
    <t>122 - 123</t>
  </si>
  <si>
    <t>123 - 124</t>
  </si>
  <si>
    <t>124 - 125</t>
  </si>
  <si>
    <t>125 - 126</t>
  </si>
  <si>
    <t>126 - 127</t>
  </si>
  <si>
    <t>127 - 128</t>
  </si>
  <si>
    <t>128 - 129</t>
  </si>
  <si>
    <t>129 - 130</t>
  </si>
  <si>
    <t>130 - 131</t>
  </si>
  <si>
    <t>131 - 132</t>
  </si>
  <si>
    <t>132 - 133</t>
  </si>
  <si>
    <t>133 - 134</t>
  </si>
  <si>
    <t>134 - 135</t>
  </si>
  <si>
    <t>135 - 136</t>
  </si>
  <si>
    <t>136 - 137</t>
  </si>
  <si>
    <t>137 - 138</t>
  </si>
  <si>
    <t>138 - 139</t>
  </si>
  <si>
    <t>139 - 140</t>
  </si>
  <si>
    <t>140 - 141</t>
  </si>
  <si>
    <t>141 - 142</t>
  </si>
  <si>
    <t>142 - 143</t>
  </si>
  <si>
    <t>143 - 144</t>
  </si>
  <si>
    <t>144 - 145</t>
  </si>
  <si>
    <t>145 - 146</t>
  </si>
  <si>
    <t>146 - 147</t>
  </si>
  <si>
    <t>147 - 148</t>
  </si>
  <si>
    <t>148 - 149</t>
  </si>
  <si>
    <t>149 - 150</t>
  </si>
  <si>
    <t>150 - 151</t>
  </si>
  <si>
    <t>151 - 152</t>
  </si>
  <si>
    <t>152 - 153</t>
  </si>
  <si>
    <t>153 - 154</t>
  </si>
  <si>
    <t>154 - 155</t>
  </si>
  <si>
    <t>155 - 156</t>
  </si>
  <si>
    <t>Proportion in each height band</t>
  </si>
  <si>
    <t>Monthly available total hours</t>
  </si>
  <si>
    <t>Monthly available nocturnal hours</t>
  </si>
  <si>
    <t>Sept</t>
  </si>
  <si>
    <t>Monthly available daylight hours</t>
  </si>
  <si>
    <t>Daylength</t>
  </si>
  <si>
    <t>P</t>
  </si>
  <si>
    <t>Included?</t>
  </si>
  <si>
    <t>Proportion at risk</t>
  </si>
  <si>
    <t>Calculation of alpha and p(collision) as a function of radius</t>
  </si>
  <si>
    <t>Upwind:</t>
  </si>
  <si>
    <t>Downwind:</t>
  </si>
  <si>
    <t>r/R</t>
  </si>
  <si>
    <t>c/C</t>
  </si>
  <si>
    <t>a</t>
  </si>
  <si>
    <t>collide</t>
  </si>
  <si>
    <t>radius</t>
  </si>
  <si>
    <t>chord</t>
  </si>
  <si>
    <t>alpha</t>
  </si>
  <si>
    <t>length</t>
  </si>
  <si>
    <t>p(collision)</t>
  </si>
  <si>
    <t>Species name</t>
  </si>
  <si>
    <t>F: flapping (0) or gliding (+1)</t>
  </si>
  <si>
    <t>Proportion of flights upwind</t>
  </si>
  <si>
    <t>Integration interval</t>
  </si>
  <si>
    <t>Overall p(collision) integrated over disk</t>
  </si>
  <si>
    <t>Upwind</t>
  </si>
  <si>
    <t>Downwind</t>
  </si>
  <si>
    <t xml:space="preserve">   Proportion   upwind: downwind</t>
  </si>
  <si>
    <t>Average</t>
  </si>
  <si>
    <t>Number of blades</t>
  </si>
  <si>
    <t>Rotation speed (rpm)</t>
  </si>
  <si>
    <t>Option 2 - Band model using birds at flight height</t>
  </si>
  <si>
    <t>Collision</t>
  </si>
  <si>
    <t>Post-breeding migration</t>
  </si>
  <si>
    <t>Return migration</t>
  </si>
  <si>
    <t xml:space="preserve">This tool is designed to provide an order of magnitude prediction of seabird mortalities from offshore wind energy developments based on user-defined parameters. </t>
  </si>
  <si>
    <t>Tool function</t>
  </si>
  <si>
    <t>Tool use</t>
  </si>
  <si>
    <t>Small</t>
  </si>
  <si>
    <t>Selected turbine size</t>
  </si>
  <si>
    <t>Results</t>
  </si>
  <si>
    <t>Apportioned impacts</t>
  </si>
  <si>
    <r>
      <t>Monthly mean densities of birds in flight (birds per km</t>
    </r>
    <r>
      <rPr>
        <vertAlign val="superscript"/>
        <sz val="11"/>
        <color theme="1"/>
        <rFont val="Arial"/>
        <family val="2"/>
      </rPr>
      <t>2</t>
    </r>
    <r>
      <rPr>
        <sz val="11"/>
        <color theme="1"/>
        <rFont val="Arial"/>
        <family val="2"/>
      </rPr>
      <t>)</t>
    </r>
  </si>
  <si>
    <t>Average pitch (°)</t>
  </si>
  <si>
    <r>
      <t xml:space="preserve">Mean peak seasonal </t>
    </r>
    <r>
      <rPr>
        <b/>
        <sz val="11"/>
        <color theme="1"/>
        <rFont val="Arial"/>
        <family val="2"/>
      </rPr>
      <t xml:space="preserve">densities </t>
    </r>
    <r>
      <rPr>
        <sz val="11"/>
        <color theme="1"/>
        <rFont val="Arial"/>
        <family val="2"/>
      </rPr>
      <t>of birds in flight and on sea combined (km</t>
    </r>
    <r>
      <rPr>
        <vertAlign val="superscript"/>
        <sz val="11"/>
        <color theme="1"/>
        <rFont val="Arial"/>
        <family val="2"/>
      </rPr>
      <t>2</t>
    </r>
    <r>
      <rPr>
        <sz val="11"/>
        <color theme="1"/>
        <rFont val="Arial"/>
        <family val="2"/>
      </rPr>
      <t>)</t>
    </r>
  </si>
  <si>
    <t>Size</t>
  </si>
  <si>
    <t>Medium</t>
  </si>
  <si>
    <t>Large</t>
  </si>
  <si>
    <t>250+</t>
  </si>
  <si>
    <t>Welcome to the Ornithological Cumulative Assessment Model (OCcAM)!</t>
  </si>
  <si>
    <t>Distributional response inputs</t>
  </si>
  <si>
    <t>PS 1</t>
  </si>
  <si>
    <t>Exclude impacts to juveniles from the comparison</t>
  </si>
  <si>
    <t>Exclude impacts to sabbatical birds from the comparison</t>
  </si>
  <si>
    <t>Options</t>
  </si>
  <si>
    <t>Population and apportioning parameters</t>
  </si>
  <si>
    <t>Bird displacement mortality rate - breeding</t>
  </si>
  <si>
    <t xml:space="preserve">       Breeding</t>
  </si>
  <si>
    <t xml:space="preserve">       Non-breeding</t>
  </si>
  <si>
    <t xml:space="preserve">       Post-breeding migration</t>
  </si>
  <si>
    <t xml:space="preserve">       Return migration</t>
  </si>
  <si>
    <t>Parameter set 1</t>
  </si>
  <si>
    <t>Parameter set 2</t>
  </si>
  <si>
    <t>Parameter set 3</t>
  </si>
  <si>
    <t>PS 2</t>
  </si>
  <si>
    <t>PS 3</t>
  </si>
  <si>
    <t>User inputs - populations and apportioning</t>
  </si>
  <si>
    <t>User inputs - bird impact parameters</t>
  </si>
  <si>
    <r>
      <t xml:space="preserve">Table 1: Selected default turbine parameters - this table auto-completes with pre-defined turbine parameters depending on turbine diameter. (See </t>
    </r>
    <r>
      <rPr>
        <b/>
        <sz val="11"/>
        <color theme="1" tint="0.14999847407452621"/>
        <rFont val="Arial"/>
        <family val="2"/>
      </rPr>
      <t xml:space="preserve">Default parameters </t>
    </r>
    <r>
      <rPr>
        <sz val="11"/>
        <color theme="1" tint="0.14999847407452621"/>
        <rFont val="Arial"/>
        <family val="2"/>
      </rPr>
      <t>tab for more information)</t>
    </r>
  </si>
  <si>
    <t>Height above sea level (m)</t>
  </si>
  <si>
    <t>Proportion downtime - maintenance</t>
  </si>
  <si>
    <t>Latitude PS1</t>
  </si>
  <si>
    <t>Latitude PS3</t>
  </si>
  <si>
    <t>Latitude PS2</t>
  </si>
  <si>
    <t>Date</t>
  </si>
  <si>
    <t>Day number</t>
  </si>
  <si>
    <t>Month</t>
  </si>
  <si>
    <t>Season</t>
  </si>
  <si>
    <t>PS1</t>
  </si>
  <si>
    <t>PS2</t>
  </si>
  <si>
    <t>PS3</t>
  </si>
  <si>
    <t>Lower bound of height band (m)</t>
  </si>
  <si>
    <t>Minimum rotor-swept height (m)</t>
  </si>
  <si>
    <t>Maximum rotor-swept height (m)</t>
  </si>
  <si>
    <t>Total proportion of birds at risk</t>
  </si>
  <si>
    <t>Proportion of birds in band</t>
  </si>
  <si>
    <r>
      <t xml:space="preserve">Bird aspect ratio:  </t>
    </r>
    <r>
      <rPr>
        <sz val="11"/>
        <rFont val="Symbol"/>
        <family val="1"/>
        <charset val="2"/>
      </rPr>
      <t>b</t>
    </r>
  </si>
  <si>
    <t>Rotor radius (m)</t>
  </si>
  <si>
    <t>Bird speed (m/s)</t>
  </si>
  <si>
    <t>Bird length (m)</t>
  </si>
  <si>
    <t>Wingspan (m)</t>
  </si>
  <si>
    <t>Rotation period (s)</t>
  </si>
  <si>
    <t>Kittiwake - PS 1</t>
  </si>
  <si>
    <t>Gannet - PS 1</t>
  </si>
  <si>
    <t>Kittiwake - PS 2</t>
  </si>
  <si>
    <t>Kittiwake - PS 3</t>
  </si>
  <si>
    <t>Bird details</t>
  </si>
  <si>
    <t>Flight speed (m/s)</t>
  </si>
  <si>
    <t>Nocturnal activity factor</t>
  </si>
  <si>
    <t>Latitude (degrees)</t>
  </si>
  <si>
    <t>Rotor radius(m)</t>
  </si>
  <si>
    <t>Minimum height of rotor (air gap) (m)</t>
  </si>
  <si>
    <r>
      <t>Total rotor frontal area (m</t>
    </r>
    <r>
      <rPr>
        <vertAlign val="superscript"/>
        <sz val="11"/>
        <rFont val="Arial"/>
        <family val="2"/>
      </rPr>
      <t>2</t>
    </r>
    <r>
      <rPr>
        <sz val="11"/>
        <rFont val="Arial"/>
        <family val="2"/>
      </rPr>
      <t>)</t>
    </r>
  </si>
  <si>
    <r>
      <t>Daytime areal bird density (birds/m</t>
    </r>
    <r>
      <rPr>
        <vertAlign val="superscript"/>
        <sz val="11"/>
        <rFont val="Arial"/>
        <family val="2"/>
      </rPr>
      <t>2</t>
    </r>
    <r>
      <rPr>
        <sz val="11"/>
        <rFont val="Arial"/>
        <family val="2"/>
      </rPr>
      <t>)</t>
    </r>
  </si>
  <si>
    <t>Collisions for entire windfarm, allowing for non-op time, assuming no avoidance (birds/month)</t>
  </si>
  <si>
    <t>Collisions with avoidance -  breeding (birds/month)</t>
  </si>
  <si>
    <t>Collisions with avoidance -  post-breeding migration  (birds/month)</t>
  </si>
  <si>
    <t>Collisions with avoidance -  return migration (birds/month)</t>
  </si>
  <si>
    <t>Kittiwake - PS1</t>
  </si>
  <si>
    <t>Gannet - PS1</t>
  </si>
  <si>
    <r>
      <t xml:space="preserve">The tool is designed to be </t>
    </r>
    <r>
      <rPr>
        <b/>
        <sz val="12"/>
        <color rgb="FF4B2582"/>
        <rFont val="Arial"/>
        <family val="2"/>
      </rPr>
      <t>easy to use</t>
    </r>
    <r>
      <rPr>
        <sz val="12"/>
        <color theme="1"/>
        <rFont val="Arial"/>
        <family val="2"/>
      </rPr>
      <t xml:space="preserve"> and </t>
    </r>
    <r>
      <rPr>
        <b/>
        <sz val="12"/>
        <color rgb="FF4B2582"/>
        <rFont val="Arial"/>
        <family val="2"/>
      </rPr>
      <t>transparent</t>
    </r>
    <r>
      <rPr>
        <sz val="12"/>
        <color theme="1"/>
        <rFont val="Arial"/>
        <family val="2"/>
      </rPr>
      <t xml:space="preserve">. The user need only complete the inputs on the three </t>
    </r>
    <r>
      <rPr>
        <b/>
        <sz val="12"/>
        <color rgb="FF4B2582"/>
        <rFont val="Arial"/>
        <family val="2"/>
      </rPr>
      <t xml:space="preserve">User input </t>
    </r>
    <r>
      <rPr>
        <sz val="12"/>
        <color theme="1"/>
        <rFont val="Arial"/>
        <family val="2"/>
      </rPr>
      <t xml:space="preserve">tabs and the results will be displayed in the </t>
    </r>
    <r>
      <rPr>
        <b/>
        <sz val="12"/>
        <color rgb="FF4B2582"/>
        <rFont val="Arial"/>
        <family val="2"/>
      </rPr>
      <t>Results</t>
    </r>
    <r>
      <rPr>
        <sz val="12"/>
        <color rgb="FF4B2582"/>
        <rFont val="Arial"/>
        <family val="2"/>
      </rPr>
      <t xml:space="preserve"> </t>
    </r>
    <r>
      <rPr>
        <sz val="12"/>
        <color theme="1"/>
        <rFont val="Arial"/>
        <family val="2"/>
      </rPr>
      <t>tab.</t>
    </r>
  </si>
  <si>
    <r>
      <t xml:space="preserve">Rotor diameter (m)                                       </t>
    </r>
    <r>
      <rPr>
        <b/>
        <sz val="11"/>
        <color rgb="FF00975B"/>
        <rFont val="Arial"/>
        <family val="2"/>
      </rPr>
      <t xml:space="preserve">  </t>
    </r>
    <r>
      <rPr>
        <b/>
        <sz val="12"/>
        <color rgb="FF00975B"/>
        <rFont val="Arial"/>
        <family val="2"/>
      </rPr>
      <t>ⓘ</t>
    </r>
  </si>
  <si>
    <t>Bird displacement mortality rate - non-breeding and migration periods</t>
  </si>
  <si>
    <t>Combined</t>
  </si>
  <si>
    <t xml:space="preserve">Guillemot, razorbill and puffin are assumed not to be susceptible to collision mortality due to their low flight height. </t>
  </si>
  <si>
    <t>Percentage of population impacted</t>
  </si>
  <si>
    <t>Kittiwake - PS2</t>
  </si>
  <si>
    <t>Kittiwake - PS3</t>
  </si>
  <si>
    <t>Gannet - PS2</t>
  </si>
  <si>
    <t>Gannet - PS3</t>
  </si>
  <si>
    <t>Include macro-avoidance (displacement rate) for gannet</t>
  </si>
  <si>
    <t>Bird avoidance rate (micro- and meso- and macro-avoidance)</t>
  </si>
  <si>
    <t>Gannet - PS 2</t>
  </si>
  <si>
    <t>Gannet - PS 3</t>
  </si>
  <si>
    <r>
      <t xml:space="preserve">Latitude of region centroid                              </t>
    </r>
    <r>
      <rPr>
        <b/>
        <sz val="12"/>
        <color rgb="FF00975B"/>
        <rFont val="Arial"/>
        <family val="2"/>
      </rPr>
      <t>ⓘ</t>
    </r>
  </si>
  <si>
    <r>
      <t>Total area of windfarm footprints (km</t>
    </r>
    <r>
      <rPr>
        <vertAlign val="superscript"/>
        <sz val="11"/>
        <color theme="1"/>
        <rFont val="Arial"/>
        <family val="2"/>
      </rPr>
      <t>2</t>
    </r>
    <r>
      <rPr>
        <sz val="11"/>
        <color theme="1"/>
        <rFont val="Arial"/>
        <family val="2"/>
      </rPr>
      <t xml:space="preserve">)         </t>
    </r>
    <r>
      <rPr>
        <b/>
        <sz val="12"/>
        <color rgb="FF00975B"/>
        <rFont val="Arial"/>
        <family val="2"/>
      </rPr>
      <t>ⓘ</t>
    </r>
  </si>
  <si>
    <r>
      <t xml:space="preserve">Mean peak seasonal </t>
    </r>
    <r>
      <rPr>
        <b/>
        <sz val="11"/>
        <color theme="1"/>
        <rFont val="Arial"/>
        <family val="2"/>
      </rPr>
      <t xml:space="preserve">densities </t>
    </r>
    <r>
      <rPr>
        <sz val="11"/>
        <color theme="1"/>
        <rFont val="Arial"/>
        <family val="2"/>
      </rPr>
      <t>of birds in flight and on sea combined (km</t>
    </r>
    <r>
      <rPr>
        <vertAlign val="superscript"/>
        <sz val="11"/>
        <color theme="1"/>
        <rFont val="Arial"/>
        <family val="2"/>
      </rPr>
      <t>2</t>
    </r>
    <r>
      <rPr>
        <sz val="11"/>
        <color theme="1"/>
        <rFont val="Arial"/>
        <family val="2"/>
      </rPr>
      <t xml:space="preserve">) </t>
    </r>
    <r>
      <rPr>
        <b/>
        <sz val="12"/>
        <color rgb="FF00975B"/>
        <rFont val="Arial"/>
        <family val="2"/>
      </rPr>
      <t>ⓘ</t>
    </r>
  </si>
  <si>
    <r>
      <t xml:space="preserve">Include macro-avoidance (displacement rate) for gannet                              </t>
    </r>
    <r>
      <rPr>
        <b/>
        <sz val="12"/>
        <color rgb="FF00975B"/>
        <rFont val="Arial"/>
        <family val="2"/>
      </rPr>
      <t>ⓘ</t>
    </r>
  </si>
  <si>
    <r>
      <rPr>
        <b/>
        <sz val="12"/>
        <color rgb="FF4B2582"/>
        <rFont val="Arial"/>
        <family val="2"/>
      </rPr>
      <t>Collisions</t>
    </r>
    <r>
      <rPr>
        <sz val="12"/>
        <color theme="1"/>
        <rFont val="Arial"/>
        <family val="2"/>
      </rPr>
      <t xml:space="preserve"> with wind turbines are calculated based on the deterministic Band Collision Risk Model (Band 2012)</t>
    </r>
    <r>
      <rPr>
        <b/>
        <vertAlign val="superscript"/>
        <sz val="12"/>
        <color rgb="FF00975B"/>
        <rFont val="Arial"/>
        <family val="2"/>
      </rPr>
      <t>ⓘ</t>
    </r>
    <r>
      <rPr>
        <sz val="12"/>
        <color theme="1"/>
        <rFont val="Arial"/>
        <family val="2"/>
      </rPr>
      <t>.</t>
    </r>
  </si>
  <si>
    <r>
      <t xml:space="preserve">Mortalities associated with </t>
    </r>
    <r>
      <rPr>
        <b/>
        <sz val="12"/>
        <color rgb="FF4B2582"/>
        <rFont val="Arial"/>
        <family val="2"/>
      </rPr>
      <t>distributional responses</t>
    </r>
    <r>
      <rPr>
        <sz val="12"/>
        <color theme="1"/>
        <rFont val="Arial"/>
        <family val="2"/>
      </rPr>
      <t xml:space="preserve"> to wind farms are calculated using the displacement matrix approach (SNCBs, 2022)</t>
    </r>
    <r>
      <rPr>
        <b/>
        <vertAlign val="superscript"/>
        <sz val="12"/>
        <color rgb="FF00975B"/>
        <rFont val="Arial"/>
        <family val="2"/>
      </rPr>
      <t>ⓘ</t>
    </r>
    <r>
      <rPr>
        <sz val="12"/>
        <color theme="1"/>
        <rFont val="Arial"/>
        <family val="2"/>
      </rPr>
      <t>.</t>
    </r>
  </si>
  <si>
    <r>
      <t xml:space="preserve">Tabs for collision modelling are based on the spreadsheet produced by Band (2012) and daylength calculations are based on Forsyth </t>
    </r>
    <r>
      <rPr>
        <i/>
        <sz val="12"/>
        <color theme="1"/>
        <rFont val="Arial"/>
        <family val="2"/>
      </rPr>
      <t>et al.</t>
    </r>
    <r>
      <rPr>
        <sz val="12"/>
        <color theme="1"/>
        <rFont val="Arial"/>
        <family val="2"/>
      </rPr>
      <t>, 1995</t>
    </r>
    <r>
      <rPr>
        <b/>
        <vertAlign val="superscript"/>
        <sz val="12"/>
        <color rgb="FF00975B"/>
        <rFont val="Arial"/>
        <family val="2"/>
      </rPr>
      <t>ⓘ</t>
    </r>
    <r>
      <rPr>
        <sz val="12"/>
        <color theme="1"/>
        <rFont val="Arial"/>
        <family val="2"/>
      </rPr>
      <t xml:space="preserve">. </t>
    </r>
  </si>
  <si>
    <r>
      <t>The tool follows the current EIA/HRA assessment process currently applied in the UK (NatureScot, 2023)</t>
    </r>
    <r>
      <rPr>
        <b/>
        <vertAlign val="superscript"/>
        <sz val="12"/>
        <color rgb="FF00975B"/>
        <rFont val="Arial"/>
        <family val="2"/>
      </rPr>
      <t>ⓘ</t>
    </r>
    <r>
      <rPr>
        <sz val="12"/>
        <color theme="1"/>
        <rFont val="Arial"/>
        <family val="2"/>
      </rPr>
      <t>.</t>
    </r>
  </si>
  <si>
    <r>
      <t xml:space="preserve">Parameter sets additive or alternative            </t>
    </r>
    <r>
      <rPr>
        <b/>
        <sz val="12"/>
        <color rgb="FF00975B"/>
        <rFont val="Arial"/>
        <family val="2"/>
      </rPr>
      <t>ⓘ</t>
    </r>
  </si>
  <si>
    <r>
      <t xml:space="preserve">Number of parameter sets (PS)            </t>
    </r>
    <r>
      <rPr>
        <sz val="9"/>
        <color theme="1"/>
        <rFont val="Arial"/>
        <family val="2"/>
      </rPr>
      <t xml:space="preserve">   </t>
    </r>
    <r>
      <rPr>
        <sz val="11"/>
        <color theme="1"/>
        <rFont val="Arial"/>
        <family val="2"/>
      </rPr>
      <t xml:space="preserve">       </t>
    </r>
    <r>
      <rPr>
        <b/>
        <sz val="12"/>
        <color rgb="FF00975B"/>
        <rFont val="Arial"/>
        <family val="2"/>
      </rPr>
      <t>ⓘ</t>
    </r>
  </si>
  <si>
    <r>
      <t xml:space="preserve">Air gap (m)                                                     </t>
    </r>
    <r>
      <rPr>
        <b/>
        <sz val="12"/>
        <color rgb="FF00975B"/>
        <rFont val="Arial"/>
        <family val="2"/>
      </rPr>
      <t>ⓘ</t>
    </r>
  </si>
  <si>
    <r>
      <t xml:space="preserve">Proportion of the population adult   </t>
    </r>
    <r>
      <rPr>
        <b/>
        <sz val="12"/>
        <color rgb="FF00975B"/>
        <rFont val="Arial"/>
        <family val="2"/>
      </rPr>
      <t>ⓘ</t>
    </r>
  </si>
  <si>
    <t>References</t>
  </si>
  <si>
    <r>
      <t xml:space="preserve">Sabbatical rate                            </t>
    </r>
    <r>
      <rPr>
        <sz val="12"/>
        <color theme="1"/>
        <rFont val="Arial"/>
        <family val="2"/>
      </rPr>
      <t xml:space="preserve"> </t>
    </r>
    <r>
      <rPr>
        <sz val="11"/>
        <color theme="1"/>
        <rFont val="Arial"/>
        <family val="2"/>
      </rPr>
      <t xml:space="preserve">   </t>
    </r>
    <r>
      <rPr>
        <b/>
        <sz val="12"/>
        <color rgb="FF00975B"/>
        <rFont val="Arial"/>
        <family val="2"/>
      </rPr>
      <t>ⓘ</t>
    </r>
  </si>
  <si>
    <r>
      <t xml:space="preserve">Proportion operational - wind availability  </t>
    </r>
    <r>
      <rPr>
        <b/>
        <sz val="12"/>
        <color rgb="FF00975B"/>
        <rFont val="Arial"/>
        <family val="2"/>
      </rPr>
      <t>ⓘ</t>
    </r>
  </si>
  <si>
    <r>
      <t>Biometric parameters</t>
    </r>
    <r>
      <rPr>
        <sz val="11"/>
        <color theme="1"/>
        <rFont val="Arial"/>
        <family val="2"/>
      </rPr>
      <t xml:space="preserve">   </t>
    </r>
    <r>
      <rPr>
        <b/>
        <sz val="12"/>
        <color rgb="FF00975B"/>
        <rFont val="Arial"/>
        <family val="2"/>
      </rPr>
      <t>ⓘ</t>
    </r>
  </si>
  <si>
    <r>
      <t>Bird flight height distributions</t>
    </r>
    <r>
      <rPr>
        <sz val="11"/>
        <color theme="1"/>
        <rFont val="Arial"/>
        <family val="2"/>
      </rPr>
      <t xml:space="preserve">   </t>
    </r>
    <r>
      <rPr>
        <b/>
        <sz val="12"/>
        <color rgb="FF00975B"/>
        <rFont val="Arial"/>
        <family val="2"/>
      </rPr>
      <t>ⓘ</t>
    </r>
  </si>
  <si>
    <r>
      <t>Seasonal definitions</t>
    </r>
    <r>
      <rPr>
        <sz val="11"/>
        <color theme="1"/>
        <rFont val="Arial"/>
        <family val="2"/>
      </rPr>
      <t xml:space="preserve">   </t>
    </r>
    <r>
      <rPr>
        <b/>
        <sz val="12"/>
        <color rgb="FF00975B"/>
        <rFont val="Arial"/>
        <family val="2"/>
      </rPr>
      <t>ⓘ</t>
    </r>
  </si>
  <si>
    <t>• Caneco, B., Humphries, G., Cook, A., and Masden, E. (2022) Estimating bird collisions at offshore windfarms with stochLAB URL:https://hidef-aerial-surveying.github.io/stochLAB/</t>
  </si>
  <si>
    <t>• Furness, R.W. (2015), Non-breeding season populations of seabirds in UK waters; Population sizes for Biologically Defined Minimum Population Scales (BDMPS), Natural England Commissioned Reports, Number 164.</t>
  </si>
  <si>
    <t>• Horswill, C. and Robinson, R.A. (2015), Review of seabird demographic rates and density dependence, JNCC Report No: 552, Joint Nature Conservation Committee, Peterborough.</t>
  </si>
  <si>
    <t>• Johnston, A., Cook, A.S., Wright, L.J., Humphreys, E.M. and Burton, N.H. (2014) Modelling flight heights of marine birds to more accurately assess collision risk with offshore wind turbines. Journal of Applied Ecology 51, 31-41.</t>
  </si>
  <si>
    <t>• NatureScot (2023)  Guidance Note 7: Guidance to support Offshore Wind Applications: Marine Ornithology - Advice for assessing collision risk of marine birds. Available at: https://www.nature.scot/doc/guidance-note-7-guidance-support-offshore-wind-applications-marine-ornithology-advice-assessing#6.+Avoidance+rates</t>
  </si>
  <si>
    <t>• SSE Renewables (2022), Berwick Bank Wind Farm offshore environmental impact assessment. Appendix 11.6: Ornithology population viability analysis technical report, https://berwickbank-eia.com/documents-offshore.html</t>
  </si>
  <si>
    <t>&lt;220</t>
  </si>
  <si>
    <t>220 - 250</t>
  </si>
  <si>
    <t>Diameter (m)</t>
  </si>
  <si>
    <r>
      <t>Wind turbine specifications</t>
    </r>
    <r>
      <rPr>
        <sz val="11"/>
        <color theme="1"/>
        <rFont val="Arial"/>
        <family val="2"/>
      </rPr>
      <t xml:space="preserve">  </t>
    </r>
    <r>
      <rPr>
        <b/>
        <sz val="12"/>
        <color rgb="FF00975B"/>
        <rFont val="Arial"/>
        <family val="2"/>
      </rPr>
      <t>ⓘ</t>
    </r>
  </si>
  <si>
    <r>
      <t xml:space="preserve">Proportion of birds at collision height     </t>
    </r>
    <r>
      <rPr>
        <b/>
        <sz val="18"/>
        <color rgb="FF00975B"/>
        <rFont val="Arial"/>
        <family val="2"/>
      </rPr>
      <t>ⓘ</t>
    </r>
  </si>
  <si>
    <r>
      <t xml:space="preserve">Hours of daylight      </t>
    </r>
    <r>
      <rPr>
        <b/>
        <sz val="18"/>
        <color rgb="FF00975B"/>
        <rFont val="Arial"/>
        <family val="2"/>
      </rPr>
      <t>ⓘ</t>
    </r>
  </si>
  <si>
    <r>
      <t xml:space="preserve">Single transit collision risk       </t>
    </r>
    <r>
      <rPr>
        <b/>
        <sz val="18"/>
        <color rgb="FF00975B"/>
        <rFont val="Arial"/>
        <family val="2"/>
      </rPr>
      <t>ⓘ</t>
    </r>
  </si>
  <si>
    <r>
      <t xml:space="preserve">Overall collision risk        </t>
    </r>
    <r>
      <rPr>
        <b/>
        <sz val="18"/>
        <color rgb="FF00975B"/>
        <rFont val="Arial"/>
        <family val="2"/>
      </rPr>
      <t>ⓘ</t>
    </r>
  </si>
  <si>
    <t>Tool version</t>
  </si>
  <si>
    <t>Latitude of region centroid</t>
  </si>
  <si>
    <t>Air gap (m)</t>
  </si>
  <si>
    <t>Rotor diameter  (m)</t>
  </si>
  <si>
    <t>Total area of wind farm footprint</t>
  </si>
  <si>
    <t>Include macro-avoidance for gannet</t>
  </si>
  <si>
    <t>Kittiwake avoidance</t>
  </si>
  <si>
    <t>Gannet avoidance prior to  correction</t>
  </si>
  <si>
    <t>Gannet avoidance following  correction</t>
  </si>
  <si>
    <t>INPUT PARAMETERS</t>
  </si>
  <si>
    <t>RESULTS</t>
  </si>
  <si>
    <t>Kittiwake total impacts</t>
  </si>
  <si>
    <t>Kittiwake percentage of population impacted</t>
  </si>
  <si>
    <r>
      <t xml:space="preserve">Fatalities can then be apportioned to a reference population. Depending on the nature of the reference population used, the tool has functionality to allow scaling of predicted mortalities to reflect only adult birds, to exclude sabbatical birds, and to input an </t>
    </r>
    <r>
      <rPr>
        <b/>
        <sz val="12"/>
        <color rgb="FF4B2582"/>
        <rFont val="Arial"/>
        <family val="2"/>
      </rPr>
      <t>apportionment</t>
    </r>
    <r>
      <rPr>
        <sz val="12"/>
        <color theme="1"/>
        <rFont val="Arial"/>
        <family val="2"/>
      </rPr>
      <t xml:space="preserve"> ratio representing the relative contribution of the reference population to the total population at risk of mortality. </t>
    </r>
  </si>
  <si>
    <t>PS1 rationale</t>
  </si>
  <si>
    <t>PS2 rationale</t>
  </si>
  <si>
    <t>PS3 rationale</t>
  </si>
  <si>
    <r>
      <t xml:space="preserve">Other parameters used in the modelling are indicated in the </t>
    </r>
    <r>
      <rPr>
        <b/>
        <sz val="12"/>
        <color rgb="FF4B2582"/>
        <rFont val="Arial"/>
        <family val="2"/>
      </rPr>
      <t xml:space="preserve">Default parameters </t>
    </r>
    <r>
      <rPr>
        <sz val="12"/>
        <color theme="1"/>
        <rFont val="Arial"/>
        <family val="2"/>
      </rPr>
      <t xml:space="preserve">tab and all other tabs carry out calculations required to derive the predictions. All cells that do not need to be edited are locked, but the formulae used are visible and sheets can be unlocked by clicking on view - unprotect sheet. </t>
    </r>
  </si>
  <si>
    <t xml:space="preserve">  </t>
  </si>
  <si>
    <t>Gannet collision risk densities - Jan</t>
  </si>
  <si>
    <t>Gannet collision risk densities - Feb</t>
  </si>
  <si>
    <t>Gannet collision risk densities - Mar</t>
  </si>
  <si>
    <t>Gannet collision risk densities - Apr</t>
  </si>
  <si>
    <t>Gannet collision risk densities - May</t>
  </si>
  <si>
    <t>Gannet collision risk densities - Jun</t>
  </si>
  <si>
    <t>Gannet collision risk densities - Jul</t>
  </si>
  <si>
    <t>Gannet collision risk densities - Aug</t>
  </si>
  <si>
    <t>Gannet collision risk densities - Sep</t>
  </si>
  <si>
    <t>Gannet collision risk densities - Oct</t>
  </si>
  <si>
    <t>Gannet collision risk densities - Nov</t>
  </si>
  <si>
    <t>Gannet collision risk densities - Dec</t>
  </si>
  <si>
    <t>Include distributional response for kittiwake</t>
  </si>
  <si>
    <t>Gannet displacement rate</t>
  </si>
  <si>
    <t>Gannet displacement mortality rate - Breeding</t>
  </si>
  <si>
    <t>Gannet displacement mortality rate - Migration periods</t>
  </si>
  <si>
    <t>Kittiwake displacement rate</t>
  </si>
  <si>
    <t>Kittiwake displacement mortality rate - Breeding</t>
  </si>
  <si>
    <t>Kittiwake displacement mortality rate - Migration periods</t>
  </si>
  <si>
    <t>Guillemot displacement rate</t>
  </si>
  <si>
    <t>Guillemot displacement mortality rate - Breeding</t>
  </si>
  <si>
    <t>Razorbill displacement rate</t>
  </si>
  <si>
    <t>Razorbill displacement mortality rate - Breeding</t>
  </si>
  <si>
    <t>Puffin displacement rate</t>
  </si>
  <si>
    <t>Puffin displacement mortality rate - Breeding</t>
  </si>
  <si>
    <t>Guillemot displacement mortality rate - Non-breeding</t>
  </si>
  <si>
    <t>Razorbill displacement mortality rate - Non-breeding and migration periods</t>
  </si>
  <si>
    <t>Puffin displacement mortality rate - Non-breeding</t>
  </si>
  <si>
    <t>Compare mortalities against a reference population</t>
  </si>
  <si>
    <t>Total mortalities impact populations other than the reference population</t>
  </si>
  <si>
    <t>Reference population size  - gannet</t>
  </si>
  <si>
    <t>Reference population size  - kittiwake</t>
  </si>
  <si>
    <t>Reference population size  - guillemot</t>
  </si>
  <si>
    <t>Reference population size  - razorbill</t>
  </si>
  <si>
    <t>Reference population size  - puffin</t>
  </si>
  <si>
    <t>Ratio of reference population to total population - kittiwake breeding</t>
  </si>
  <si>
    <t>Ratio of reference population to total population - kittiwake post-breeding migration</t>
  </si>
  <si>
    <t>Ratio of reference population to total population - kittiwake return migration</t>
  </si>
  <si>
    <t>Ratio of reference population to total population - gannet breeding</t>
  </si>
  <si>
    <t>Ratio of reference population to total population - gannet post-breeding migration</t>
  </si>
  <si>
    <t>Ratio of reference population to total population - gannet return migration</t>
  </si>
  <si>
    <t>Ratio of reference population to total population - guillemot breeding</t>
  </si>
  <si>
    <t>Ratio of reference population to total population - guillemot non-breeding</t>
  </si>
  <si>
    <t>Ratio of reference population to total population - razorbill breeding</t>
  </si>
  <si>
    <t>Ratio of reference population to total population - puffin breeding</t>
  </si>
  <si>
    <t>Ratio of reference population to total population - razorbill non-breeding</t>
  </si>
  <si>
    <t>Ratio of reference population to total population - razorbill post-breeding migration</t>
  </si>
  <si>
    <t>Ratio of reference population to total population - razorbill return migration</t>
  </si>
  <si>
    <t>Ratio of reference population to total population - puffin non-breeding</t>
  </si>
  <si>
    <t>Kittiwake nocturnal activity as a proportion of daylight hours</t>
  </si>
  <si>
    <t>Gannet nocturnal activity as a proportion of daylight hours</t>
  </si>
  <si>
    <t>Kittiwake collision risk densities - Jan</t>
  </si>
  <si>
    <t>Kittiwake collision risk densities - Feb</t>
  </si>
  <si>
    <t>Kittiwake collision risk densities - Mar</t>
  </si>
  <si>
    <t>Kittiwake collision risk densities - Apr</t>
  </si>
  <si>
    <t>Kittiwake collision risk densities - May</t>
  </si>
  <si>
    <t>Kittiwake collision risk densities - Jun</t>
  </si>
  <si>
    <t>Kittiwake collision risk densities - Jul</t>
  </si>
  <si>
    <t>Kittiwake collision risk densities - Aug</t>
  </si>
  <si>
    <t>Kittiwake collision risk densities - Sep</t>
  </si>
  <si>
    <t>Kittiwake collision risk densities - Oct</t>
  </si>
  <si>
    <t>Kittiwake collision risk densities - Nov</t>
  </si>
  <si>
    <t>Kittiwake collision risk densities - Dec</t>
  </si>
  <si>
    <t>Kittiwake impacts apportioned to ref  pop</t>
  </si>
  <si>
    <t>Gannet total impacts</t>
  </si>
  <si>
    <t>Gannet impacts apportioned to ref  pop</t>
  </si>
  <si>
    <t>Gannet percentage of population impacted</t>
  </si>
  <si>
    <t>Guillemot total impacts</t>
  </si>
  <si>
    <t>Guillemot impacts apportioned to ref  pop</t>
  </si>
  <si>
    <t>Guillemot percentage of population impacted</t>
  </si>
  <si>
    <t>Kittiwake collision mortality - breeding</t>
  </si>
  <si>
    <t>Kittiwake collision mortality - post-breeding</t>
  </si>
  <si>
    <t>Kittiwake collision mortality - return migration</t>
  </si>
  <si>
    <t>Kittiwake collision mortality - TOTAL</t>
  </si>
  <si>
    <t>Kittiwake apportioned collision mortality - breeding</t>
  </si>
  <si>
    <t>Kittiwake apportioned collision mortality - post-breeding</t>
  </si>
  <si>
    <t>Kittiwake apportioned collision mortality - return migration</t>
  </si>
  <si>
    <t>Gannet collision mortality - breeding</t>
  </si>
  <si>
    <t>Gannet collision mortality - post-breeding</t>
  </si>
  <si>
    <t>Gannet collision mortality - return migration</t>
  </si>
  <si>
    <t>Gannet collision mortality - TOTAL</t>
  </si>
  <si>
    <t>Gannet apportioned collision mortality - breeding</t>
  </si>
  <si>
    <t>Gannet apportioned collision mortality - post-breeding</t>
  </si>
  <si>
    <t>Gannet apportioned collision mortality - return migration</t>
  </si>
  <si>
    <t>Kittiwake distributional response densities - Breeding</t>
  </si>
  <si>
    <t>Kittiwake distributional response densities - Post-breeding migration</t>
  </si>
  <si>
    <t>Kittiwake distributional response densities - Return migration</t>
  </si>
  <si>
    <t>Gannet distributional response densities - Breeding</t>
  </si>
  <si>
    <t>Gannet distributional response densities - Post-breeding migration</t>
  </si>
  <si>
    <t>Gannet distributional response densities - Return migration</t>
  </si>
  <si>
    <t>Guillemot distributional response densities - Breeding</t>
  </si>
  <si>
    <t>Guillemot distributional response densities - Non-breeding</t>
  </si>
  <si>
    <t>Razorbill distributional response densities - Breeding</t>
  </si>
  <si>
    <t>Razorbill distributional response densities - Non-breeding</t>
  </si>
  <si>
    <t>Razorbill distributional response densities - Post-breeding migration</t>
  </si>
  <si>
    <t>Razorbill distributional response densities - Return migration</t>
  </si>
  <si>
    <t>Puffin distributional response densities - Breeding</t>
  </si>
  <si>
    <t>Puffin distributional response densities - Non-breeding</t>
  </si>
  <si>
    <t>Kittiwake distributional response mortality - breeding</t>
  </si>
  <si>
    <t>Kittiwake distributional response mortality - post-breeding</t>
  </si>
  <si>
    <t>Kittiwake distributional response mortality - return migration</t>
  </si>
  <si>
    <t>Kittiwake distributional response mortality - TOTAL</t>
  </si>
  <si>
    <t>Kittiwake apportioned distributional response mortality - breeding</t>
  </si>
  <si>
    <t>Kittiwake apportioned distributional response mortality - post-breeding</t>
  </si>
  <si>
    <t>Kittiwake apportioned distributional response mortality - return migration</t>
  </si>
  <si>
    <t>Gannet distributional response mortality - breeding</t>
  </si>
  <si>
    <t>Gannet distributional response mortality - post-breeding</t>
  </si>
  <si>
    <t>Gannet distributional response mortality - return migration</t>
  </si>
  <si>
    <t>Gannet distributional response mortality - TOTAL</t>
  </si>
  <si>
    <t>Gannet apportioned distributional response mortality - breeding</t>
  </si>
  <si>
    <t>Gannet apportioned distributional response mortality - post-breeding</t>
  </si>
  <si>
    <t>Gannet apportioned distributional response mortality - return migration</t>
  </si>
  <si>
    <t>Guillemot distributional response mortality - breeding</t>
  </si>
  <si>
    <t>Guillemot distributional response mortality - TOTAL</t>
  </si>
  <si>
    <t>Guillemot apportioned distributional response mortality - breeding</t>
  </si>
  <si>
    <t>Guillemot distributional response mortality - non-breeding</t>
  </si>
  <si>
    <t>Guillemot apportioned distributional response mortality - non-breeding</t>
  </si>
  <si>
    <t>Razorbill total impacts</t>
  </si>
  <si>
    <t>Razorbill impacts apportioned to ref  pop</t>
  </si>
  <si>
    <t>Razorbill percentage of population impacted</t>
  </si>
  <si>
    <t>Razorbill distributional response mortality - breeding</t>
  </si>
  <si>
    <t>Razorbill distributional response mortality - post-breeding</t>
  </si>
  <si>
    <t>Razorbill distributional response mortality - return migration</t>
  </si>
  <si>
    <t>Razorbill distributional response mortality - TOTAL</t>
  </si>
  <si>
    <t>Razorbill apportioned distributional response mortality - breeding</t>
  </si>
  <si>
    <t>Razorbill apportioned distributional response mortality - post-breeding</t>
  </si>
  <si>
    <t>Razorbill apportioned distributional response mortality - return migration</t>
  </si>
  <si>
    <t>Razorbill distributional response mortality - non-breeding</t>
  </si>
  <si>
    <t>Razorbill apportioned distributional response mortality - non-breeding</t>
  </si>
  <si>
    <t>Puffin total impacts</t>
  </si>
  <si>
    <t>Puffin impacts apportioned to ref  pop</t>
  </si>
  <si>
    <t>Puffin percentage of population impacted</t>
  </si>
  <si>
    <t>Puffin distributional response mortality - breeding</t>
  </si>
  <si>
    <t>Puffin distributional response mortality - non-breeding</t>
  </si>
  <si>
    <t>Puffin distributional response mortality - TOTAL</t>
  </si>
  <si>
    <t>Puffin apportioned distributional response mortality - breeding</t>
  </si>
  <si>
    <t>Puffin apportioned distributional response mortality - non-breeding</t>
  </si>
  <si>
    <r>
      <t xml:space="preserve">An additional </t>
    </r>
    <r>
      <rPr>
        <b/>
        <sz val="12"/>
        <color rgb="FF4B2582"/>
        <rFont val="Arial"/>
        <family val="2"/>
      </rPr>
      <t xml:space="preserve">Run log and assumptions </t>
    </r>
    <r>
      <rPr>
        <sz val="12"/>
        <color theme="1"/>
        <rFont val="Arial"/>
        <family val="2"/>
      </rPr>
      <t xml:space="preserve">tab provides user-inputs and results in a long format that can be copied out to allow easy comparison among runs. There is also space  to record the rationale and assumptions underlying the user inputs. </t>
    </r>
  </si>
  <si>
    <r>
      <t xml:space="preserve">Bird avoidance rate (micro- and meso- and macro-avoidance)                   </t>
    </r>
    <r>
      <rPr>
        <b/>
        <sz val="12"/>
        <color rgb="FF00B050"/>
        <rFont val="Arial"/>
        <family val="2"/>
      </rPr>
      <t>ⓘ</t>
    </r>
  </si>
  <si>
    <r>
      <t>Monthly mean densities of birds in flight (birds per km</t>
    </r>
    <r>
      <rPr>
        <vertAlign val="superscript"/>
        <sz val="11"/>
        <color theme="1"/>
        <rFont val="Arial"/>
        <family val="2"/>
      </rPr>
      <t>2</t>
    </r>
    <r>
      <rPr>
        <sz val="11"/>
        <color theme="1"/>
        <rFont val="Arial"/>
        <family val="2"/>
      </rPr>
      <t xml:space="preserve">)                               </t>
    </r>
    <r>
      <rPr>
        <b/>
        <sz val="12"/>
        <color rgb="FF00975B"/>
        <rFont val="Arial"/>
        <family val="2"/>
      </rPr>
      <t>ⓘ</t>
    </r>
  </si>
  <si>
    <r>
      <t xml:space="preserve">Bird avoidance rate (micro- and meso-avoidance)                                      </t>
    </r>
    <r>
      <rPr>
        <b/>
        <sz val="12"/>
        <color rgb="FF00B050"/>
        <rFont val="Arial"/>
        <family val="2"/>
      </rPr>
      <t>ⓘ</t>
    </r>
  </si>
  <si>
    <t>Bird nocturnal activity as a proportion of nocturnal hours</t>
  </si>
  <si>
    <r>
      <t xml:space="preserve">Bird nocturnal activity as a proportion of nocturnal hours                        </t>
    </r>
    <r>
      <rPr>
        <sz val="18"/>
        <color theme="1"/>
        <rFont val="Arial"/>
        <family val="2"/>
      </rPr>
      <t xml:space="preserve"> </t>
    </r>
    <r>
      <rPr>
        <sz val="11"/>
        <color theme="1"/>
        <rFont val="Arial"/>
        <family val="2"/>
      </rPr>
      <t xml:space="preserve">   </t>
    </r>
    <r>
      <rPr>
        <b/>
        <sz val="12"/>
        <color rgb="FF00B050"/>
        <rFont val="Arial"/>
        <family val="2"/>
      </rPr>
      <t>ⓘ</t>
    </r>
  </si>
  <si>
    <r>
      <t xml:space="preserve">Include distributional response for kittiwake                                                 </t>
    </r>
    <r>
      <rPr>
        <b/>
        <sz val="12"/>
        <color rgb="FF00B050"/>
        <rFont val="Arial"/>
        <family val="2"/>
      </rPr>
      <t>ⓘ</t>
    </r>
  </si>
  <si>
    <r>
      <t xml:space="preserve">Bird displacement rate as a proportion                                                       </t>
    </r>
    <r>
      <rPr>
        <b/>
        <sz val="12"/>
        <color rgb="FF00B050"/>
        <rFont val="Arial"/>
        <family val="2"/>
      </rPr>
      <t>ⓘ</t>
    </r>
  </si>
  <si>
    <r>
      <t xml:space="preserve">Calculations based on Forsythe </t>
    </r>
    <r>
      <rPr>
        <b/>
        <sz val="10"/>
        <rFont val="Arial"/>
        <family val="2"/>
      </rPr>
      <t>et al., 1995), as implemented in Band et al., 2012.</t>
    </r>
    <r>
      <rPr>
        <b/>
        <sz val="12"/>
        <color rgb="FF00B050"/>
        <rFont val="Arial"/>
        <family val="2"/>
      </rPr>
      <t xml:space="preserve">       ⓘ</t>
    </r>
  </si>
  <si>
    <t>Breeding - correction to be applied for adult ratio</t>
  </si>
  <si>
    <t>Non-breeding - correction to be applied for adult ratio</t>
  </si>
  <si>
    <t>Non-breeding - correction to be applied for sabbatical birds</t>
  </si>
  <si>
    <t>Post-breeding migration - correction to be applied for adult ratio</t>
  </si>
  <si>
    <t>Post-breeding migration - correction to be applied for sabbatical birds</t>
  </si>
  <si>
    <t>Return migration - correction to be applied for adult ratio</t>
  </si>
  <si>
    <t>Return migration - correction to be applied for sabbatical birds</t>
  </si>
  <si>
    <t>Breeding - correction to be applied for sabbatical birds (1 - sabbatical rate)</t>
  </si>
  <si>
    <t>Total impacts - collision and distributional response</t>
  </si>
  <si>
    <t>Distributional responses</t>
  </si>
  <si>
    <t>Total mortalities from developments</t>
  </si>
  <si>
    <t>Total mortalities apportioned to reference population</t>
  </si>
  <si>
    <t>Post-breeding migration season mortalities</t>
  </si>
  <si>
    <t>Breeding season mortalities</t>
  </si>
  <si>
    <t>Non-breeding season mortalities</t>
  </si>
  <si>
    <t>Return migration mortalities</t>
  </si>
  <si>
    <r>
      <t xml:space="preserve">Exclude impacts to sabbatical birds from the comparison                  </t>
    </r>
    <r>
      <rPr>
        <sz val="9"/>
        <color theme="1"/>
        <rFont val="Arial"/>
        <family val="2"/>
      </rPr>
      <t xml:space="preserve">  </t>
    </r>
    <r>
      <rPr>
        <sz val="11"/>
        <color theme="1"/>
        <rFont val="Arial"/>
        <family val="2"/>
      </rPr>
      <t xml:space="preserve">             </t>
    </r>
    <r>
      <rPr>
        <b/>
        <sz val="12"/>
        <color rgb="FF00975B"/>
        <rFont val="Arial"/>
        <family val="2"/>
      </rPr>
      <t>ⓘ</t>
    </r>
  </si>
  <si>
    <r>
      <t xml:space="preserve">Exclude impacts to juveniles from the comparison            </t>
    </r>
    <r>
      <rPr>
        <sz val="12"/>
        <color theme="1"/>
        <rFont val="Arial"/>
        <family val="2"/>
      </rPr>
      <t xml:space="preserve">  </t>
    </r>
    <r>
      <rPr>
        <sz val="11"/>
        <color theme="1"/>
        <rFont val="Arial"/>
        <family val="2"/>
      </rPr>
      <t xml:space="preserve">                              </t>
    </r>
    <r>
      <rPr>
        <b/>
        <sz val="12"/>
        <color rgb="FF00975B"/>
        <rFont val="Arial"/>
        <family val="2"/>
      </rPr>
      <t>ⓘ</t>
    </r>
  </si>
  <si>
    <r>
      <t xml:space="preserve">Compare mortalities against a reference population                             </t>
    </r>
    <r>
      <rPr>
        <sz val="9"/>
        <color theme="1"/>
        <rFont val="Arial"/>
        <family val="2"/>
      </rPr>
      <t xml:space="preserve">  </t>
    </r>
    <r>
      <rPr>
        <sz val="11"/>
        <color theme="1"/>
        <rFont val="Arial"/>
        <family val="2"/>
      </rPr>
      <t xml:space="preserve">          </t>
    </r>
    <r>
      <rPr>
        <b/>
        <sz val="12"/>
        <color rgb="FF00975B"/>
        <rFont val="Arial"/>
        <family val="2"/>
      </rPr>
      <t>ⓘ</t>
    </r>
  </si>
  <si>
    <t xml:space="preserve">Exclude impacts to sabbatical birds from the comparison </t>
  </si>
  <si>
    <r>
      <t xml:space="preserve">Reference population size                                                                      </t>
    </r>
    <r>
      <rPr>
        <sz val="10"/>
        <color theme="1"/>
        <rFont val="Arial"/>
        <family val="2"/>
      </rPr>
      <t xml:space="preserve">            </t>
    </r>
    <r>
      <rPr>
        <b/>
        <sz val="12"/>
        <color rgb="FF00975B"/>
        <rFont val="Arial"/>
        <family val="2"/>
      </rPr>
      <t>ⓘ</t>
    </r>
  </si>
  <si>
    <r>
      <t xml:space="preserve">Breeding - correction to be applied for adult ratio                                              </t>
    </r>
    <r>
      <rPr>
        <b/>
        <sz val="12"/>
        <color rgb="FF00975B"/>
        <rFont val="Arial"/>
        <family val="2"/>
      </rPr>
      <t>ⓘ</t>
    </r>
  </si>
  <si>
    <r>
      <t xml:space="preserve">Breeding - correction to be applied for sabbatical birds (1 - sabbatical rate)     </t>
    </r>
    <r>
      <rPr>
        <b/>
        <sz val="12"/>
        <color rgb="FF00975B"/>
        <rFont val="Arial"/>
        <family val="2"/>
      </rPr>
      <t>ⓘ</t>
    </r>
  </si>
  <si>
    <t>Total apportioned distributional response mortalities</t>
  </si>
  <si>
    <t>Total distributional response mortalities</t>
  </si>
  <si>
    <t>Total collision mortalities</t>
  </si>
  <si>
    <t>Total apportioned collision mortalities</t>
  </si>
  <si>
    <t>Non-breeding - ratio of reference population to impacted population</t>
  </si>
  <si>
    <t>Post-breeding migration - ratio of reference population to impacted population</t>
  </si>
  <si>
    <t>Return migration - ratio of reference population to impacted population</t>
  </si>
  <si>
    <t>Breeding - ratio of reference population to impacted population</t>
  </si>
  <si>
    <r>
      <t xml:space="preserve">Breeding - ratio of reference population to impacted population                       </t>
    </r>
    <r>
      <rPr>
        <b/>
        <sz val="12"/>
        <color rgb="FF00975B"/>
        <rFont val="Arial"/>
        <family val="2"/>
      </rPr>
      <t>ⓘ</t>
    </r>
  </si>
  <si>
    <t>Correction to be applied for adult ratio - kittiwake breeding</t>
  </si>
  <si>
    <t>Correction to be  applied for sabbatical  birds - kittiwake breeding</t>
  </si>
  <si>
    <t>Correction to be applied for adult ratio - kittiwake post-breeding migration</t>
  </si>
  <si>
    <t>Correction to be  applied for sabbatical  birds - kittiwake post-breeding  migration</t>
  </si>
  <si>
    <t>Correction to be applied for adult ratio - kittiwake return migration</t>
  </si>
  <si>
    <t>Correction to be  applied for sabbatical  birds - kittiwake return migration</t>
  </si>
  <si>
    <t>Correction to be applied for adult ratio - gannet breeding</t>
  </si>
  <si>
    <t>Correction to be  applied for sabbatical  birds - gannet breeding</t>
  </si>
  <si>
    <t>Correction to be applied for adult ratio - gannet post-breeding migration</t>
  </si>
  <si>
    <t>Correction to be  applied for sabbatical  birds - gannet post-breeding  migration</t>
  </si>
  <si>
    <t>Correction to be applied for adult ratio - gannet return migration</t>
  </si>
  <si>
    <t>Correction to be  applied for sabbatical  birds - gannet return migration</t>
  </si>
  <si>
    <t>Correction to be applied for adult ratio - guillemot breeding</t>
  </si>
  <si>
    <t>Correction to be  applied for sabbatical  birds - guillemot breeding</t>
  </si>
  <si>
    <t>Correction to be applied for adult ratio - guillemot non-breeding</t>
  </si>
  <si>
    <t xml:space="preserve">Correction to be  applied for sabbatical  birds - guillemot non-breeding </t>
  </si>
  <si>
    <t>Correction to be applied for adult ratio - razorbill breeding</t>
  </si>
  <si>
    <t>Correction to be  applied for sabbatical  birds - razorbill breeding</t>
  </si>
  <si>
    <t>Correction to be applied for adult ratio - razorbill post-breeding migration</t>
  </si>
  <si>
    <t>Correction to be  applied for sabbatical  birds - razorbill post-breeding  migration</t>
  </si>
  <si>
    <t>Correction to be applied for adult ratio - razorbill return migration</t>
  </si>
  <si>
    <t>Correction to be  applied for sabbatical  birds - razorbill return migration</t>
  </si>
  <si>
    <t>Correction to be applied for adult ratio - razorbill non-breeding</t>
  </si>
  <si>
    <t xml:space="preserve">Correction to be  applied for sabbatical  birds - razorbill non-breeding </t>
  </si>
  <si>
    <t>Correction to be applied for adult ratio - puffin breeding</t>
  </si>
  <si>
    <t>Correction to be  applied for sabbatical  birds - puffin breeding</t>
  </si>
  <si>
    <t>Correction to be applied for adult ratio - puffin non-breeding</t>
  </si>
  <si>
    <t xml:space="preserve">Correction to be  applied for sabbatical  birds - puffin non-breeding </t>
  </si>
  <si>
    <t>Kittiwake apportioned distributional response mortality - TOTAL</t>
  </si>
  <si>
    <t>Kittiwake apportioned collision mortality - TOTAL</t>
  </si>
  <si>
    <t>Gannet apportioned distributional response mortality - TOTAL</t>
  </si>
  <si>
    <t>Gannet apportioned collision mortality - TOTAL</t>
  </si>
  <si>
    <t>Guillemot apportioned distributional response mortality - TOTAL</t>
  </si>
  <si>
    <t>Razorbill apportioned distributional response mortality - TOTAL</t>
  </si>
  <si>
    <t>Value</t>
  </si>
  <si>
    <t>General run parameters</t>
  </si>
  <si>
    <t>User inputs - run and wind farm parameters</t>
  </si>
  <si>
    <t>Exclude impacts to birds from other populations</t>
  </si>
  <si>
    <r>
      <t xml:space="preserve">Bird displacement mortality rate - breeding                              </t>
    </r>
    <r>
      <rPr>
        <sz val="10"/>
        <color theme="1"/>
        <rFont val="Arial"/>
        <family val="2"/>
      </rPr>
      <t xml:space="preserve">        </t>
    </r>
    <r>
      <rPr>
        <sz val="11"/>
        <color theme="1"/>
        <rFont val="Arial"/>
        <family val="2"/>
      </rPr>
      <t xml:space="preserve">      </t>
    </r>
    <r>
      <rPr>
        <sz val="11.5"/>
        <color theme="1"/>
        <rFont val="Arial"/>
        <family val="2"/>
      </rPr>
      <t xml:space="preserve">     </t>
    </r>
    <r>
      <rPr>
        <b/>
        <sz val="12"/>
        <color rgb="FF00B050"/>
        <rFont val="Arial"/>
        <family val="2"/>
      </rPr>
      <t>ⓘ</t>
    </r>
  </si>
  <si>
    <r>
      <t xml:space="preserve">Exclude impacts to birds from other populations                                               </t>
    </r>
    <r>
      <rPr>
        <b/>
        <sz val="12"/>
        <color rgb="FF00975B"/>
        <rFont val="Arial"/>
        <family val="2"/>
      </rPr>
      <t>ⓘ</t>
    </r>
  </si>
  <si>
    <t>Fixed species flight height distributions in the Default parameters tab.</t>
  </si>
  <si>
    <t>Updates from OCcAM v2.0</t>
  </si>
  <si>
    <t>Acknowledgements</t>
  </si>
  <si>
    <t>156 - 157</t>
  </si>
  <si>
    <t>157 - 158</t>
  </si>
  <si>
    <t>158 - 159</t>
  </si>
  <si>
    <t>159 - 160</t>
  </si>
  <si>
    <t>160 - 161</t>
  </si>
  <si>
    <t>161 - 162</t>
  </si>
  <si>
    <t>162 - 163</t>
  </si>
  <si>
    <t>163 - 164</t>
  </si>
  <si>
    <t>164 - 165</t>
  </si>
  <si>
    <t>165 - 166</t>
  </si>
  <si>
    <t>166 - 167</t>
  </si>
  <si>
    <t>167 - 168</t>
  </si>
  <si>
    <t>168 - 169</t>
  </si>
  <si>
    <t>169 - 170</t>
  </si>
  <si>
    <t>170 - 171</t>
  </si>
  <si>
    <t>171 - 172</t>
  </si>
  <si>
    <t>172 - 173</t>
  </si>
  <si>
    <t>173 - 174</t>
  </si>
  <si>
    <t>174 - 175</t>
  </si>
  <si>
    <t>175 - 176</t>
  </si>
  <si>
    <t>176 - 177</t>
  </si>
  <si>
    <t>177 - 178</t>
  </si>
  <si>
    <t>178 - 179</t>
  </si>
  <si>
    <t>179 - 180</t>
  </si>
  <si>
    <t>180 - 181</t>
  </si>
  <si>
    <t>181 - 182</t>
  </si>
  <si>
    <t>182 - 183</t>
  </si>
  <si>
    <t>183 - 184</t>
  </si>
  <si>
    <t>184 - 185</t>
  </si>
  <si>
    <t>185 - 186</t>
  </si>
  <si>
    <t>186 - 187</t>
  </si>
  <si>
    <t>187 - 188</t>
  </si>
  <si>
    <t>188 - 189</t>
  </si>
  <si>
    <t>189 - 190</t>
  </si>
  <si>
    <t>190 - 191</t>
  </si>
  <si>
    <t>191 - 192</t>
  </si>
  <si>
    <t>192 - 193</t>
  </si>
  <si>
    <t>193 - 194</t>
  </si>
  <si>
    <t>194 - 195</t>
  </si>
  <si>
    <t>195 - 196</t>
  </si>
  <si>
    <t>196 - 197</t>
  </si>
  <si>
    <t>197 - 198</t>
  </si>
  <si>
    <t>198 - 199</t>
  </si>
  <si>
    <t>199 - 200</t>
  </si>
  <si>
    <t>200 - 201</t>
  </si>
  <si>
    <t>201 - 202</t>
  </si>
  <si>
    <t>202 - 203</t>
  </si>
  <si>
    <t>203 - 204</t>
  </si>
  <si>
    <t>204 - 205</t>
  </si>
  <si>
    <t>205 - 206</t>
  </si>
  <si>
    <t>206 - 207</t>
  </si>
  <si>
    <t>207 - 208</t>
  </si>
  <si>
    <t>208 - 209</t>
  </si>
  <si>
    <t>209 - 210</t>
  </si>
  <si>
    <t>210 - 211</t>
  </si>
  <si>
    <t>211 - 212</t>
  </si>
  <si>
    <t>212 - 213</t>
  </si>
  <si>
    <t>213 - 214</t>
  </si>
  <si>
    <t>214 - 215</t>
  </si>
  <si>
    <t>215 - 216</t>
  </si>
  <si>
    <t>216 - 217</t>
  </si>
  <si>
    <t>217 - 218</t>
  </si>
  <si>
    <t>218 - 219</t>
  </si>
  <si>
    <t>219 - 220</t>
  </si>
  <si>
    <t>220 - 221</t>
  </si>
  <si>
    <t>221 - 222</t>
  </si>
  <si>
    <t>222 - 223</t>
  </si>
  <si>
    <t>223 - 224</t>
  </si>
  <si>
    <t>224 - 225</t>
  </si>
  <si>
    <t>225 - 226</t>
  </si>
  <si>
    <t>226 - 227</t>
  </si>
  <si>
    <t>227 - 228</t>
  </si>
  <si>
    <t>228 - 229</t>
  </si>
  <si>
    <t>229 - 230</t>
  </si>
  <si>
    <t>230 - 231</t>
  </si>
  <si>
    <t>231 - 232</t>
  </si>
  <si>
    <t>232 - 233</t>
  </si>
  <si>
    <t>233 - 234</t>
  </si>
  <si>
    <t>234 - 235</t>
  </si>
  <si>
    <t>235 - 236</t>
  </si>
  <si>
    <t>236 - 237</t>
  </si>
  <si>
    <t>237 - 238</t>
  </si>
  <si>
    <t>238 - 239</t>
  </si>
  <si>
    <t>239 - 240</t>
  </si>
  <si>
    <t>240 - 241</t>
  </si>
  <si>
    <t>241 - 242</t>
  </si>
  <si>
    <t>242 - 243</t>
  </si>
  <si>
    <t>243 - 244</t>
  </si>
  <si>
    <t>244 - 245</t>
  </si>
  <si>
    <t>245 - 246</t>
  </si>
  <si>
    <t>246 - 247</t>
  </si>
  <si>
    <t>247 - 248</t>
  </si>
  <si>
    <t>248 - 249</t>
  </si>
  <si>
    <t>249 - 250</t>
  </si>
  <si>
    <t>250 - 251</t>
  </si>
  <si>
    <t>251 - 252</t>
  </si>
  <si>
    <t>252 - 253</t>
  </si>
  <si>
    <t>253 - 254</t>
  </si>
  <si>
    <t>254 - 255</t>
  </si>
  <si>
    <t>255 - 256</t>
  </si>
  <si>
    <t>256 - 257</t>
  </si>
  <si>
    <t>257 - 258</t>
  </si>
  <si>
    <t>258 - 259</t>
  </si>
  <si>
    <t>259 - 260</t>
  </si>
  <si>
    <t>260 - 261</t>
  </si>
  <si>
    <t>261 - 262</t>
  </si>
  <si>
    <t>262 - 263</t>
  </si>
  <si>
    <t>263 - 264</t>
  </si>
  <si>
    <t>264 - 265</t>
  </si>
  <si>
    <t>265 - 266</t>
  </si>
  <si>
    <t>266 - 267</t>
  </si>
  <si>
    <t>267 - 268</t>
  </si>
  <si>
    <t>268 - 269</t>
  </si>
  <si>
    <t>269 - 270</t>
  </si>
  <si>
    <t>270 - 271</t>
  </si>
  <si>
    <t>271 - 272</t>
  </si>
  <si>
    <t>272 - 273</t>
  </si>
  <si>
    <t>273 - 274</t>
  </si>
  <si>
    <t>274 - 275</t>
  </si>
  <si>
    <t>275 - 276</t>
  </si>
  <si>
    <t>276 - 277</t>
  </si>
  <si>
    <t>277 - 278</t>
  </si>
  <si>
    <t>278 - 279</t>
  </si>
  <si>
    <t>279 - 280</t>
  </si>
  <si>
    <t>280 - 281</t>
  </si>
  <si>
    <t>281 - 282</t>
  </si>
  <si>
    <t>282 - 283</t>
  </si>
  <si>
    <t>283 - 284</t>
  </si>
  <si>
    <t>284 - 285</t>
  </si>
  <si>
    <t>285 - 286</t>
  </si>
  <si>
    <t>286 - 287</t>
  </si>
  <si>
    <t>287 - 288</t>
  </si>
  <si>
    <t>288 - 289</t>
  </si>
  <si>
    <t>289 - 290</t>
  </si>
  <si>
    <t>290 - 291</t>
  </si>
  <si>
    <t>291 - 292</t>
  </si>
  <si>
    <t>292 - 293</t>
  </si>
  <si>
    <t>293 - 294</t>
  </si>
  <si>
    <t>294 - 295</t>
  </si>
  <si>
    <t>295 - 296</t>
  </si>
  <si>
    <t>296 - 297</t>
  </si>
  <si>
    <t>297 - 298</t>
  </si>
  <si>
    <t>298 - 299</t>
  </si>
  <si>
    <t>299 - 300</t>
  </si>
  <si>
    <t>Linked flight heights in Proportion at collision height tab to the Default parameters tab.</t>
  </si>
  <si>
    <t>Fixed bug in average pitch</t>
  </si>
  <si>
    <t>OCcAM 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</si>
</sst>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
    <numFmt numFmtId="166" formatCode=";;;"/>
    <numFmt numFmtId="167" formatCode="0.000"/>
    <numFmt numFmtId="168" formatCode="0.0000"/>
    <numFmt numFmtId="169" formatCode="0.000%"/>
    <numFmt numFmtId="170" formatCode="0.00000"/>
    <numFmt numFmtId="171" formatCode="0.000000"/>
  </numFmts>
  <fonts count="61" x14ac:knownFonts="1">
    <font>
      <sz val="11"/>
      <color theme="1"/>
      <name val="Aptos Narrow"/>
      <family val="2"/>
      <scheme val="minor"/>
    </font>
    <font>
      <sz val="8"/>
      <name val="Aptos Narrow"/>
      <family val="2"/>
      <scheme val="minor"/>
    </font>
    <font>
      <sz val="10"/>
      <name val="Arial"/>
      <family val="2"/>
    </font>
    <font>
      <b/>
      <sz val="65"/>
      <color rgb="FF4B2582"/>
      <name val="Arial"/>
      <family val="2"/>
    </font>
    <font>
      <sz val="11"/>
      <color theme="1"/>
      <name val="Arial"/>
      <family val="2"/>
    </font>
    <font>
      <b/>
      <sz val="72"/>
      <color rgb="FF00975B"/>
      <name val="Arial"/>
      <family val="2"/>
    </font>
    <font>
      <b/>
      <sz val="16"/>
      <color rgb="FF00975B"/>
      <name val="Arial"/>
      <family val="2"/>
    </font>
    <font>
      <sz val="12"/>
      <color theme="1"/>
      <name val="Arial"/>
      <family val="2"/>
    </font>
    <font>
      <b/>
      <sz val="14"/>
      <color rgb="FF00975B"/>
      <name val="Arial"/>
      <family val="2"/>
    </font>
    <font>
      <b/>
      <sz val="12"/>
      <color rgb="FF4B2582"/>
      <name val="Arial"/>
      <family val="2"/>
    </font>
    <font>
      <sz val="12"/>
      <color rgb="FF4B2582"/>
      <name val="Arial"/>
      <family val="2"/>
    </font>
    <font>
      <b/>
      <sz val="36"/>
      <color rgb="FF4B2582"/>
      <name val="Arial"/>
      <family val="2"/>
    </font>
    <font>
      <b/>
      <sz val="11"/>
      <color theme="1"/>
      <name val="Arial"/>
      <family val="2"/>
    </font>
    <font>
      <vertAlign val="superscript"/>
      <sz val="11"/>
      <color theme="1"/>
      <name val="Arial"/>
      <family val="2"/>
    </font>
    <font>
      <b/>
      <sz val="12"/>
      <color rgb="FF00975B"/>
      <name val="Arial"/>
      <family val="2"/>
    </font>
    <font>
      <b/>
      <sz val="11"/>
      <name val="Arial"/>
      <family val="2"/>
    </font>
    <font>
      <b/>
      <sz val="11"/>
      <color rgb="FF00975B"/>
      <name val="Arial"/>
      <family val="2"/>
    </font>
    <font>
      <sz val="11"/>
      <name val="Arial"/>
      <family val="2"/>
    </font>
    <font>
      <b/>
      <sz val="26"/>
      <color rgb="FF00975B"/>
      <name val="Arial"/>
      <family val="2"/>
    </font>
    <font>
      <b/>
      <sz val="36"/>
      <color rgb="FF00975B"/>
      <name val="Arial"/>
      <family val="2"/>
    </font>
    <font>
      <b/>
      <sz val="16"/>
      <color theme="1"/>
      <name val="Arial"/>
      <family val="2"/>
    </font>
    <font>
      <b/>
      <sz val="26"/>
      <color theme="0" tint="-0.499984740745262"/>
      <name val="Arial"/>
      <family val="2"/>
    </font>
    <font>
      <b/>
      <sz val="36"/>
      <color theme="0" tint="-0.499984740745262"/>
      <name val="Arial"/>
      <family val="2"/>
    </font>
    <font>
      <sz val="11"/>
      <color theme="1" tint="0.14999847407452621"/>
      <name val="Arial"/>
      <family val="2"/>
    </font>
    <font>
      <b/>
      <sz val="11"/>
      <color theme="1" tint="0.14999847407452621"/>
      <name val="Arial"/>
      <family val="2"/>
    </font>
    <font>
      <u/>
      <sz val="11"/>
      <color theme="1"/>
      <name val="Arial"/>
      <family val="2"/>
    </font>
    <font>
      <sz val="11"/>
      <color rgb="FFFF0000"/>
      <name val="Arial"/>
      <family val="2"/>
    </font>
    <font>
      <sz val="11"/>
      <color rgb="FF000000"/>
      <name val="Arial"/>
      <family val="2"/>
    </font>
    <font>
      <b/>
      <sz val="14"/>
      <color theme="1"/>
      <name val="Arial"/>
      <family val="2"/>
    </font>
    <font>
      <sz val="11"/>
      <name val="Symbol"/>
      <family val="1"/>
      <charset val="2"/>
    </font>
    <font>
      <sz val="11"/>
      <color indexed="8"/>
      <name val="Arial"/>
      <family val="2"/>
    </font>
    <font>
      <vertAlign val="superscript"/>
      <sz val="11"/>
      <name val="Arial"/>
      <family val="2"/>
    </font>
    <font>
      <sz val="10"/>
      <color theme="1"/>
      <name val="Arial"/>
      <family val="2"/>
    </font>
    <font>
      <i/>
      <sz val="12"/>
      <color theme="1"/>
      <name val="Arial"/>
      <family val="2"/>
    </font>
    <font>
      <b/>
      <vertAlign val="superscript"/>
      <sz val="12"/>
      <color rgb="FF00975B"/>
      <name val="Arial"/>
      <family val="2"/>
    </font>
    <font>
      <b/>
      <sz val="10"/>
      <color theme="1"/>
      <name val="Arial"/>
      <family val="2"/>
    </font>
    <font>
      <b/>
      <sz val="10"/>
      <name val="Arial"/>
      <family val="2"/>
    </font>
    <font>
      <sz val="9"/>
      <color theme="1"/>
      <name val="Arial"/>
      <family val="2"/>
    </font>
    <font>
      <b/>
      <sz val="18"/>
      <color rgb="FF00975B"/>
      <name val="Arial"/>
      <family val="2"/>
    </font>
    <font>
      <b/>
      <sz val="11"/>
      <color theme="1"/>
      <name val="Aptos Narrow"/>
      <family val="2"/>
      <scheme val="minor"/>
    </font>
    <font>
      <sz val="11"/>
      <color theme="1"/>
      <name val="Aptos Narrow"/>
      <family val="2"/>
      <scheme val="minor"/>
    </font>
    <font>
      <sz val="10"/>
      <name val="Arial"/>
      <family val="2"/>
    </font>
    <font>
      <b/>
      <sz val="12"/>
      <color rgb="FF00B050"/>
      <name val="Arial"/>
      <family val="2"/>
    </font>
    <font>
      <sz val="18"/>
      <color theme="1"/>
      <name val="Arial"/>
      <family val="2"/>
    </font>
    <font>
      <sz val="11.5"/>
      <color theme="1"/>
      <name val="Arial"/>
      <family val="2"/>
    </font>
    <font>
      <sz val="11"/>
      <color rgb="FF373636"/>
      <name val="Arial"/>
      <family val="2"/>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sz val="11"/>
      <color theme="0"/>
      <name val="Aptos Narrow"/>
      <family val="2"/>
      <scheme val="minor"/>
    </font>
    <font>
      <b/>
      <sz val="18"/>
      <color theme="3"/>
      <name val="Aptos Display"/>
      <family val="2"/>
      <scheme val="major"/>
    </font>
    <font>
      <sz val="11"/>
      <color rgb="FF9C6500"/>
      <name val="Aptos Narrow"/>
      <family val="2"/>
      <scheme val="minor"/>
    </font>
  </fonts>
  <fills count="3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975B"/>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975B"/>
      </right>
      <top/>
      <bottom/>
      <diagonal/>
    </border>
    <border>
      <left/>
      <right/>
      <top/>
      <bottom style="thin">
        <color rgb="FF00975B"/>
      </bottom>
      <diagonal/>
    </border>
    <border>
      <left style="thin">
        <color rgb="FF00975B"/>
      </left>
      <right/>
      <top/>
      <bottom/>
      <diagonal/>
    </border>
    <border>
      <left/>
      <right/>
      <top/>
      <bottom style="thick">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41" fillId="0" borderId="0"/>
    <xf numFmtId="0" fontId="40" fillId="0" borderId="0"/>
    <xf numFmtId="0" fontId="46" fillId="0" borderId="15" applyNumberFormat="0" applyFill="0" applyAlignment="0" applyProtection="0"/>
    <xf numFmtId="0" fontId="47" fillId="0" borderId="16" applyNumberFormat="0" applyFill="0" applyAlignment="0" applyProtection="0"/>
    <xf numFmtId="0" fontId="48" fillId="0" borderId="17" applyNumberFormat="0" applyFill="0" applyAlignment="0" applyProtection="0"/>
    <xf numFmtId="0" fontId="48" fillId="0" borderId="0" applyNumberFormat="0" applyFill="0" applyBorder="0" applyAlignment="0" applyProtection="0"/>
    <xf numFmtId="0" fontId="49" fillId="5" borderId="0" applyNumberFormat="0" applyBorder="0" applyAlignment="0" applyProtection="0"/>
    <xf numFmtId="0" fontId="50" fillId="6" borderId="0" applyNumberFormat="0" applyBorder="0" applyAlignment="0" applyProtection="0"/>
    <xf numFmtId="0" fontId="51" fillId="8" borderId="18" applyNumberFormat="0" applyAlignment="0" applyProtection="0"/>
    <xf numFmtId="0" fontId="52" fillId="9" borderId="19" applyNumberFormat="0" applyAlignment="0" applyProtection="0"/>
    <xf numFmtId="0" fontId="53" fillId="9" borderId="18" applyNumberFormat="0" applyAlignment="0" applyProtection="0"/>
    <xf numFmtId="0" fontId="54" fillId="0" borderId="20" applyNumberFormat="0" applyFill="0" applyAlignment="0" applyProtection="0"/>
    <xf numFmtId="0" fontId="55" fillId="10" borderId="21" applyNumberFormat="0" applyAlignment="0" applyProtection="0"/>
    <xf numFmtId="0" fontId="56" fillId="0" borderId="0" applyNumberFormat="0" applyFill="0" applyBorder="0" applyAlignment="0" applyProtection="0"/>
    <xf numFmtId="0" fontId="40" fillId="11" borderId="22" applyNumberFormat="0" applyFont="0" applyAlignment="0" applyProtection="0"/>
    <xf numFmtId="0" fontId="57" fillId="0" borderId="0" applyNumberFormat="0" applyFill="0" applyBorder="0" applyAlignment="0" applyProtection="0"/>
    <xf numFmtId="0" fontId="39" fillId="0" borderId="23" applyNumberFormat="0" applyFill="0" applyAlignment="0" applyProtection="0"/>
    <xf numFmtId="0" fontId="58"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58"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58"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58"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58"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58" fillId="32" borderId="0" applyNumberFormat="0" applyBorder="0" applyAlignment="0" applyProtection="0"/>
    <xf numFmtId="0" fontId="40" fillId="33" borderId="0" applyNumberFormat="0" applyBorder="0" applyAlignment="0" applyProtection="0"/>
    <xf numFmtId="0" fontId="40" fillId="34" borderId="0" applyNumberFormat="0" applyBorder="0" applyAlignment="0" applyProtection="0"/>
    <xf numFmtId="0" fontId="58" fillId="15" borderId="0" applyNumberFormat="0" applyBorder="0" applyAlignment="0" applyProtection="0"/>
    <xf numFmtId="0" fontId="58" fillId="19" borderId="0" applyNumberFormat="0" applyBorder="0" applyAlignment="0" applyProtection="0"/>
    <xf numFmtId="0" fontId="58" fillId="23" borderId="0" applyNumberFormat="0" applyBorder="0" applyAlignment="0" applyProtection="0"/>
    <xf numFmtId="0" fontId="58" fillId="27" borderId="0" applyNumberFormat="0" applyBorder="0" applyAlignment="0" applyProtection="0"/>
    <xf numFmtId="0" fontId="58" fillId="31" borderId="0" applyNumberFormat="0" applyBorder="0" applyAlignment="0" applyProtection="0"/>
    <xf numFmtId="0" fontId="58" fillId="35" borderId="0" applyNumberFormat="0" applyBorder="0" applyAlignment="0" applyProtection="0"/>
    <xf numFmtId="0" fontId="60" fillId="7" borderId="0" applyNumberFormat="0" applyBorder="0" applyAlignment="0" applyProtection="0"/>
    <xf numFmtId="0" fontId="59" fillId="0" borderId="0" applyNumberFormat="0" applyFill="0" applyBorder="0" applyAlignment="0" applyProtection="0"/>
  </cellStyleXfs>
  <cellXfs count="171">
    <xf numFmtId="0" fontId="0" fillId="0" borderId="0" xfId="0"/>
    <xf numFmtId="0" fontId="3" fillId="2" borderId="0" xfId="0" applyFont="1" applyFill="1" applyAlignment="1">
      <alignment horizontal="center" vertical="center"/>
    </xf>
    <xf numFmtId="0" fontId="4" fillId="2" borderId="0" xfId="0" applyFont="1" applyFill="1"/>
    <xf numFmtId="0" fontId="5" fillId="2" borderId="0" xfId="0" applyFont="1" applyFill="1" applyAlignment="1">
      <alignment horizontal="center" vertical="center"/>
    </xf>
    <xf numFmtId="0" fontId="6" fillId="2" borderId="0" xfId="0" applyFont="1" applyFill="1"/>
    <xf numFmtId="0" fontId="7" fillId="2" borderId="0" xfId="0" applyFont="1" applyFill="1"/>
    <xf numFmtId="0" fontId="8" fillId="2" borderId="0" xfId="0" applyFont="1" applyFill="1"/>
    <xf numFmtId="0" fontId="7" fillId="2" borderId="0" xfId="0" applyFont="1" applyFill="1" applyAlignment="1">
      <alignment wrapText="1"/>
    </xf>
    <xf numFmtId="0" fontId="4" fillId="3" borderId="0" xfId="0" applyFont="1" applyFill="1"/>
    <xf numFmtId="0" fontId="4" fillId="0" borderId="1" xfId="0" applyFont="1" applyBorder="1" applyAlignment="1" applyProtection="1">
      <alignment horizontal="center"/>
      <protection locked="0"/>
    </xf>
    <xf numFmtId="0" fontId="4" fillId="3" borderId="0" xfId="0" applyFont="1" applyFill="1" applyAlignment="1">
      <alignment horizontal="center"/>
    </xf>
    <xf numFmtId="0" fontId="4" fillId="4" borderId="1" xfId="0" applyFont="1" applyFill="1" applyBorder="1" applyAlignment="1">
      <alignment horizontal="center"/>
    </xf>
    <xf numFmtId="0" fontId="4" fillId="3" borderId="0" xfId="0" applyFont="1" applyFill="1" applyAlignment="1">
      <alignment horizontal="center" vertical="center"/>
    </xf>
    <xf numFmtId="16" fontId="17" fillId="3" borderId="0" xfId="1" applyNumberFormat="1" applyFont="1" applyFill="1"/>
    <xf numFmtId="0" fontId="17" fillId="3" borderId="0" xfId="1" applyFont="1" applyFill="1"/>
    <xf numFmtId="0" fontId="15" fillId="3" borderId="0" xfId="1" applyFont="1" applyFill="1"/>
    <xf numFmtId="0" fontId="17" fillId="3" borderId="0" xfId="1" applyFont="1" applyFill="1" applyAlignment="1">
      <alignment horizontal="right"/>
    </xf>
    <xf numFmtId="16" fontId="17" fillId="3" borderId="0" xfId="1" applyNumberFormat="1" applyFont="1" applyFill="1" applyAlignment="1">
      <alignment horizontal="right"/>
    </xf>
    <xf numFmtId="2" fontId="4" fillId="4" borderId="1" xfId="0" applyNumberFormat="1" applyFont="1" applyFill="1" applyBorder="1" applyAlignment="1">
      <alignment horizontal="center"/>
    </xf>
    <xf numFmtId="0" fontId="20" fillId="3" borderId="0" xfId="0" applyFont="1" applyFill="1"/>
    <xf numFmtId="0" fontId="25" fillId="3" borderId="0" xfId="0" applyFont="1" applyFill="1"/>
    <xf numFmtId="0" fontId="26" fillId="3" borderId="0" xfId="0" applyFont="1" applyFill="1"/>
    <xf numFmtId="10" fontId="27" fillId="3" borderId="0" xfId="0" applyNumberFormat="1" applyFont="1" applyFill="1" applyAlignment="1">
      <alignment horizontal="right" vertical="center" wrapText="1"/>
    </xf>
    <xf numFmtId="10" fontId="17" fillId="3" borderId="0" xfId="0" applyNumberFormat="1" applyFont="1" applyFill="1" applyAlignment="1">
      <alignment horizontal="right" vertical="center" wrapText="1"/>
    </xf>
    <xf numFmtId="0" fontId="4" fillId="3" borderId="0" xfId="0" applyFont="1" applyFill="1" applyAlignment="1">
      <alignment horizontal="left" vertical="center"/>
    </xf>
    <xf numFmtId="0" fontId="4" fillId="3" borderId="0" xfId="0" applyFont="1" applyFill="1" applyAlignment="1">
      <alignment horizontal="left"/>
    </xf>
    <xf numFmtId="168" fontId="4" fillId="4" borderId="1" xfId="0" applyNumberFormat="1" applyFont="1" applyFill="1" applyBorder="1" applyAlignment="1">
      <alignment horizontal="center"/>
    </xf>
    <xf numFmtId="164" fontId="4" fillId="4" borderId="1" xfId="0" applyNumberFormat="1" applyFont="1" applyFill="1" applyBorder="1" applyAlignment="1">
      <alignment horizontal="center"/>
    </xf>
    <xf numFmtId="16" fontId="4" fillId="4" borderId="1" xfId="0" applyNumberFormat="1" applyFont="1" applyFill="1" applyBorder="1" applyAlignment="1">
      <alignment horizontal="center"/>
    </xf>
    <xf numFmtId="0" fontId="17" fillId="3" borderId="0" xfId="1" applyFont="1" applyFill="1" applyAlignment="1">
      <alignment horizontal="center" vertical="center"/>
    </xf>
    <xf numFmtId="0" fontId="4" fillId="3" borderId="10" xfId="0" applyFont="1" applyFill="1" applyBorder="1" applyAlignment="1">
      <alignment horizontal="center" vertical="center" wrapText="1"/>
    </xf>
    <xf numFmtId="0" fontId="28" fillId="3" borderId="0" xfId="0" applyFont="1" applyFill="1"/>
    <xf numFmtId="0" fontId="4" fillId="3" borderId="9" xfId="0" applyFont="1" applyFill="1" applyBorder="1" applyAlignment="1">
      <alignment horizontal="center" vertical="center"/>
    </xf>
    <xf numFmtId="168" fontId="12" fillId="4" borderId="1" xfId="0" applyNumberFormat="1" applyFont="1" applyFill="1" applyBorder="1" applyAlignment="1">
      <alignment horizontal="center"/>
    </xf>
    <xf numFmtId="9" fontId="17" fillId="3" borderId="0" xfId="1" applyNumberFormat="1" applyFont="1" applyFill="1"/>
    <xf numFmtId="165" fontId="17" fillId="3" borderId="0" xfId="1" applyNumberFormat="1" applyFont="1" applyFill="1"/>
    <xf numFmtId="0" fontId="17" fillId="3" borderId="11" xfId="1" applyFont="1" applyFill="1" applyBorder="1"/>
    <xf numFmtId="0" fontId="17" fillId="3" borderId="12" xfId="1" applyFont="1" applyFill="1" applyBorder="1"/>
    <xf numFmtId="0" fontId="17" fillId="3" borderId="7" xfId="1" applyFont="1" applyFill="1" applyBorder="1"/>
    <xf numFmtId="1" fontId="17" fillId="3" borderId="0" xfId="1" applyNumberFormat="1" applyFont="1" applyFill="1"/>
    <xf numFmtId="0" fontId="17" fillId="3" borderId="0" xfId="1" applyFont="1" applyFill="1" applyAlignment="1">
      <alignment wrapText="1"/>
    </xf>
    <xf numFmtId="0" fontId="17" fillId="3" borderId="0" xfId="1" applyFont="1" applyFill="1" applyAlignment="1">
      <alignment horizontal="left"/>
    </xf>
    <xf numFmtId="0" fontId="17" fillId="3" borderId="0" xfId="1" applyFont="1" applyFill="1" applyAlignment="1">
      <alignment horizontal="center" vertical="center" wrapText="1"/>
    </xf>
    <xf numFmtId="0" fontId="15" fillId="3" borderId="0" xfId="1" applyFont="1" applyFill="1" applyAlignment="1">
      <alignment horizontal="center"/>
    </xf>
    <xf numFmtId="9" fontId="17" fillId="3" borderId="0" xfId="1" applyNumberFormat="1" applyFont="1" applyFill="1" applyAlignment="1">
      <alignment horizontal="center" vertical="center"/>
    </xf>
    <xf numFmtId="1" fontId="17" fillId="3" borderId="0" xfId="1" applyNumberFormat="1" applyFont="1" applyFill="1" applyAlignment="1">
      <alignment horizontal="center" vertical="center"/>
    </xf>
    <xf numFmtId="0" fontId="4" fillId="4" borderId="1" xfId="0" applyFont="1" applyFill="1" applyBorder="1" applyAlignment="1">
      <alignment horizontal="center" wrapText="1"/>
    </xf>
    <xf numFmtId="10" fontId="4" fillId="4" borderId="1" xfId="0" applyNumberFormat="1" applyFont="1" applyFill="1" applyBorder="1" applyAlignment="1">
      <alignment horizontal="center" wrapText="1"/>
    </xf>
    <xf numFmtId="2" fontId="4" fillId="4" borderId="1"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1" xfId="0" applyNumberFormat="1" applyFont="1" applyFill="1" applyBorder="1" applyAlignment="1">
      <alignment horizontal="center" vertical="center" wrapText="1"/>
    </xf>
    <xf numFmtId="2" fontId="12" fillId="4" borderId="1" xfId="0" applyNumberFormat="1" applyFont="1" applyFill="1" applyBorder="1" applyAlignment="1">
      <alignment horizontal="center" wrapText="1"/>
    </xf>
    <xf numFmtId="0" fontId="17" fillId="3" borderId="13" xfId="1" applyFont="1" applyFill="1" applyBorder="1"/>
    <xf numFmtId="0" fontId="15" fillId="3" borderId="11" xfId="1" applyFont="1" applyFill="1" applyBorder="1" applyAlignment="1">
      <alignment horizontal="center"/>
    </xf>
    <xf numFmtId="0" fontId="15" fillId="3" borderId="13" xfId="1" applyFont="1" applyFill="1" applyBorder="1" applyAlignment="1">
      <alignment horizontal="center"/>
    </xf>
    <xf numFmtId="0" fontId="4" fillId="3" borderId="11" xfId="0" applyFont="1" applyFill="1" applyBorder="1"/>
    <xf numFmtId="0" fontId="4" fillId="3" borderId="13" xfId="0" applyFont="1" applyFill="1" applyBorder="1"/>
    <xf numFmtId="0" fontId="4" fillId="3" borderId="11" xfId="0" applyFont="1" applyFill="1" applyBorder="1" applyAlignment="1">
      <alignment horizontal="center" vertical="center"/>
    </xf>
    <xf numFmtId="0" fontId="4" fillId="3" borderId="3" xfId="0" applyFont="1" applyFill="1" applyBorder="1" applyAlignment="1">
      <alignment horizontal="center"/>
    </xf>
    <xf numFmtId="0" fontId="32" fillId="3" borderId="0" xfId="0" applyFont="1" applyFill="1" applyAlignment="1">
      <alignment wrapText="1"/>
    </xf>
    <xf numFmtId="1" fontId="4" fillId="4" borderId="1" xfId="0" applyNumberFormat="1" applyFont="1" applyFill="1" applyBorder="1" applyAlignment="1">
      <alignment horizontal="center"/>
    </xf>
    <xf numFmtId="0" fontId="17" fillId="3" borderId="0" xfId="1" applyFont="1" applyFill="1" applyAlignment="1">
      <alignment horizontal="left" vertical="center"/>
    </xf>
    <xf numFmtId="0" fontId="11" fillId="3" borderId="0" xfId="0" applyFont="1" applyFill="1" applyAlignment="1">
      <alignment horizontal="center" vertical="center"/>
    </xf>
    <xf numFmtId="0" fontId="11" fillId="3" borderId="0" xfId="0" applyFont="1" applyFill="1" applyAlignment="1">
      <alignment vertical="center"/>
    </xf>
    <xf numFmtId="0" fontId="4" fillId="3" borderId="0" xfId="0" applyFont="1" applyFill="1" applyAlignment="1">
      <alignment horizontal="center" vertical="center" wrapText="1"/>
    </xf>
    <xf numFmtId="0" fontId="4" fillId="0" borderId="1" xfId="0" applyFont="1" applyBorder="1" applyAlignment="1" applyProtection="1">
      <alignment horizontal="center" vertical="center"/>
      <protection locked="0"/>
    </xf>
    <xf numFmtId="0" fontId="18" fillId="3" borderId="0" xfId="0" applyFont="1" applyFill="1" applyAlignment="1">
      <alignment horizontal="center" vertical="center" textRotation="90"/>
    </xf>
    <xf numFmtId="0" fontId="19" fillId="3" borderId="0" xfId="0" applyFont="1" applyFill="1" applyAlignment="1">
      <alignment horizontal="center" vertical="center" textRotation="90"/>
    </xf>
    <xf numFmtId="0" fontId="4" fillId="3" borderId="0" xfId="0" applyFont="1" applyFill="1" applyAlignment="1">
      <alignment horizontal="left" vertical="center" wrapText="1"/>
    </xf>
    <xf numFmtId="0" fontId="12" fillId="3" borderId="0" xfId="0" applyFont="1" applyFill="1"/>
    <xf numFmtId="0" fontId="12" fillId="3" borderId="7" xfId="0" applyFont="1" applyFill="1" applyBorder="1"/>
    <xf numFmtId="0" fontId="4" fillId="3" borderId="7" xfId="0" applyFont="1" applyFill="1" applyBorder="1"/>
    <xf numFmtId="0" fontId="4" fillId="3" borderId="0" xfId="0" applyFont="1" applyFill="1" applyAlignment="1">
      <alignment vertical="top"/>
    </xf>
    <xf numFmtId="0" fontId="4" fillId="2" borderId="1" xfId="0" applyFont="1" applyFill="1" applyBorder="1" applyAlignment="1">
      <alignment horizontal="center"/>
    </xf>
    <xf numFmtId="2" fontId="4" fillId="2" borderId="1" xfId="0" applyNumberFormat="1" applyFont="1" applyFill="1" applyBorder="1" applyAlignment="1">
      <alignment horizontal="center"/>
    </xf>
    <xf numFmtId="0" fontId="12" fillId="3" borderId="0" xfId="0" applyFont="1" applyFill="1" applyAlignment="1">
      <alignment vertical="top"/>
    </xf>
    <xf numFmtId="2" fontId="4" fillId="3" borderId="0" xfId="0" applyNumberFormat="1" applyFont="1" applyFill="1" applyAlignment="1">
      <alignment horizontal="center"/>
    </xf>
    <xf numFmtId="0" fontId="30" fillId="3" borderId="0" xfId="1" applyFont="1" applyFill="1"/>
    <xf numFmtId="0" fontId="15" fillId="3" borderId="2" xfId="1" applyFont="1" applyFill="1" applyBorder="1" applyAlignment="1">
      <alignment horizontal="left"/>
    </xf>
    <xf numFmtId="0" fontId="17" fillId="3" borderId="3" xfId="1" applyFont="1" applyFill="1" applyBorder="1" applyAlignment="1">
      <alignment horizontal="centerContinuous"/>
    </xf>
    <xf numFmtId="0" fontId="29" fillId="3" borderId="3" xfId="1" applyFont="1" applyFill="1" applyBorder="1" applyAlignment="1">
      <alignment horizontal="center" vertical="center"/>
    </xf>
    <xf numFmtId="0" fontId="17" fillId="3" borderId="3" xfId="1" applyFont="1" applyFill="1" applyBorder="1" applyAlignment="1">
      <alignment horizontal="center" vertical="center"/>
    </xf>
    <xf numFmtId="0" fontId="17" fillId="3" borderId="2" xfId="1" applyFont="1" applyFill="1" applyBorder="1" applyAlignment="1">
      <alignment horizontal="center" vertical="center"/>
    </xf>
    <xf numFmtId="166" fontId="17" fillId="3" borderId="0" xfId="1" applyNumberFormat="1" applyFont="1" applyFill="1" applyAlignment="1">
      <alignment horizontal="right"/>
    </xf>
    <xf numFmtId="0" fontId="17" fillId="3" borderId="0" xfId="1" applyFont="1" applyFill="1" applyAlignment="1">
      <alignment horizontal="center"/>
    </xf>
    <xf numFmtId="0" fontId="17" fillId="3" borderId="3" xfId="1" applyFont="1" applyFill="1" applyBorder="1" applyAlignment="1">
      <alignment horizontal="center"/>
    </xf>
    <xf numFmtId="0" fontId="17" fillId="3" borderId="3" xfId="1" applyFont="1" applyFill="1" applyBorder="1"/>
    <xf numFmtId="0" fontId="17" fillId="3" borderId="2" xfId="1" applyFont="1" applyFill="1" applyBorder="1"/>
    <xf numFmtId="166" fontId="17" fillId="3" borderId="0" xfId="1" applyNumberFormat="1" applyFont="1" applyFill="1"/>
    <xf numFmtId="2" fontId="17" fillId="3" borderId="0" xfId="1" applyNumberFormat="1" applyFont="1" applyFill="1"/>
    <xf numFmtId="10" fontId="17" fillId="3" borderId="0" xfId="1" applyNumberFormat="1" applyFont="1" applyFill="1"/>
    <xf numFmtId="167" fontId="17" fillId="3" borderId="0" xfId="1" applyNumberFormat="1" applyFont="1" applyFill="1"/>
    <xf numFmtId="165" fontId="15" fillId="3" borderId="0" xfId="1" applyNumberFormat="1" applyFont="1" applyFill="1"/>
    <xf numFmtId="2" fontId="17" fillId="3" borderId="0" xfId="1" applyNumberFormat="1" applyFont="1" applyFill="1" applyAlignment="1">
      <alignment horizontal="left"/>
    </xf>
    <xf numFmtId="0" fontId="4" fillId="4" borderId="1" xfId="0" applyFont="1" applyFill="1" applyBorder="1" applyAlignment="1">
      <alignment horizontal="center" vertical="center"/>
    </xf>
    <xf numFmtId="0" fontId="4" fillId="3" borderId="0" xfId="0" applyFont="1" applyFill="1" applyAlignment="1">
      <alignment vertical="center"/>
    </xf>
    <xf numFmtId="0" fontId="4" fillId="4" borderId="1" xfId="0" applyFont="1" applyFill="1" applyBorder="1" applyAlignment="1">
      <alignment horizontal="center" vertical="center" wrapText="1"/>
    </xf>
    <xf numFmtId="168" fontId="4" fillId="4" borderId="1" xfId="0" applyNumberFormat="1" applyFont="1" applyFill="1" applyBorder="1" applyAlignment="1">
      <alignment horizontal="center" vertical="center" wrapText="1"/>
    </xf>
    <xf numFmtId="10" fontId="4" fillId="4" borderId="1" xfId="0" applyNumberFormat="1" applyFont="1" applyFill="1" applyBorder="1" applyAlignment="1">
      <alignment horizontal="center" vertical="center" wrapText="1"/>
    </xf>
    <xf numFmtId="2" fontId="12" fillId="4" borderId="1" xfId="0" applyNumberFormat="1" applyFont="1" applyFill="1" applyBorder="1" applyAlignment="1">
      <alignment horizontal="center" vertical="center" wrapText="1"/>
    </xf>
    <xf numFmtId="2" fontId="4" fillId="4" borderId="1" xfId="0" applyNumberFormat="1" applyFont="1" applyFill="1" applyBorder="1" applyAlignment="1">
      <alignment horizontal="center" vertical="center" wrapText="1"/>
    </xf>
    <xf numFmtId="2" fontId="4" fillId="4" borderId="1" xfId="0" applyNumberFormat="1" applyFont="1" applyFill="1" applyBorder="1" applyAlignment="1">
      <alignment horizontal="center" vertical="center"/>
    </xf>
    <xf numFmtId="2" fontId="16" fillId="2" borderId="1" xfId="0" applyNumberFormat="1" applyFont="1" applyFill="1" applyBorder="1" applyAlignment="1">
      <alignment horizontal="center"/>
    </xf>
    <xf numFmtId="169" fontId="16" fillId="2" borderId="1" xfId="0" applyNumberFormat="1" applyFont="1" applyFill="1" applyBorder="1" applyAlignment="1">
      <alignment horizontal="center"/>
    </xf>
    <xf numFmtId="169" fontId="4" fillId="3" borderId="0" xfId="0" applyNumberFormat="1" applyFont="1" applyFill="1"/>
    <xf numFmtId="170" fontId="4" fillId="4" borderId="1" xfId="0" applyNumberFormat="1" applyFont="1" applyFill="1" applyBorder="1" applyAlignment="1">
      <alignment horizontal="center"/>
    </xf>
    <xf numFmtId="167" fontId="4" fillId="4" borderId="1" xfId="0" applyNumberFormat="1" applyFont="1" applyFill="1" applyBorder="1" applyAlignment="1">
      <alignment horizontal="center"/>
    </xf>
    <xf numFmtId="2" fontId="17" fillId="2" borderId="1" xfId="0" applyNumberFormat="1" applyFont="1" applyFill="1" applyBorder="1" applyAlignment="1">
      <alignment horizontal="center"/>
    </xf>
    <xf numFmtId="168" fontId="4" fillId="0" borderId="1" xfId="0" applyNumberFormat="1" applyFont="1" applyBorder="1" applyAlignment="1" applyProtection="1">
      <alignment horizontal="center"/>
      <protection locked="0"/>
    </xf>
    <xf numFmtId="0" fontId="0" fillId="4" borderId="0" xfId="0" applyFill="1"/>
    <xf numFmtId="0" fontId="39" fillId="4" borderId="0" xfId="0" applyFont="1" applyFill="1"/>
    <xf numFmtId="2" fontId="0" fillId="4" borderId="0" xfId="0" applyNumberFormat="1" applyFill="1"/>
    <xf numFmtId="169" fontId="0" fillId="4" borderId="0" xfId="0" applyNumberFormat="1" applyFill="1"/>
    <xf numFmtId="0" fontId="0" fillId="2" borderId="1" xfId="0" applyFill="1" applyBorder="1" applyProtection="1">
      <protection locked="0"/>
    </xf>
    <xf numFmtId="171" fontId="17" fillId="3" borderId="0" xfId="1" applyNumberFormat="1" applyFont="1" applyFill="1" applyAlignment="1">
      <alignment horizontal="left"/>
    </xf>
    <xf numFmtId="171" fontId="4" fillId="4" borderId="1" xfId="0" applyNumberFormat="1" applyFont="1" applyFill="1" applyBorder="1" applyAlignment="1">
      <alignment horizontal="center"/>
    </xf>
    <xf numFmtId="167" fontId="4" fillId="4" borderId="1" xfId="0" applyNumberFormat="1" applyFont="1" applyFill="1" applyBorder="1" applyAlignment="1">
      <alignment horizontal="center" vertical="center"/>
    </xf>
    <xf numFmtId="167" fontId="4" fillId="0" borderId="5" xfId="0" applyNumberFormat="1" applyFont="1" applyBorder="1" applyAlignment="1" applyProtection="1">
      <alignment horizontal="center" vertical="center"/>
      <protection locked="0"/>
    </xf>
    <xf numFmtId="0" fontId="21" fillId="3" borderId="0" xfId="0" applyFont="1" applyFill="1" applyAlignment="1">
      <alignment horizontal="center" vertical="center" textRotation="90"/>
    </xf>
    <xf numFmtId="167" fontId="4" fillId="0" borderId="1" xfId="0" applyNumberFormat="1" applyFont="1" applyBorder="1" applyAlignment="1" applyProtection="1">
      <alignment horizontal="center" vertical="center"/>
      <protection locked="0"/>
    </xf>
    <xf numFmtId="167" fontId="0" fillId="4" borderId="0" xfId="0" applyNumberFormat="1" applyFill="1"/>
    <xf numFmtId="0" fontId="39" fillId="4" borderId="14" xfId="0" applyFont="1" applyFill="1" applyBorder="1"/>
    <xf numFmtId="0" fontId="39" fillId="4" borderId="14" xfId="0" applyFont="1" applyFill="1" applyBorder="1" applyAlignment="1">
      <alignment horizontal="center"/>
    </xf>
    <xf numFmtId="0" fontId="0" fillId="4" borderId="14" xfId="0" applyFill="1" applyBorder="1"/>
    <xf numFmtId="0" fontId="45" fillId="0" borderId="1" xfId="0" applyFont="1" applyBorder="1" applyAlignment="1" applyProtection="1">
      <alignment horizontal="center" vertical="center"/>
      <protection locked="0"/>
    </xf>
    <xf numFmtId="167" fontId="4" fillId="3" borderId="0" xfId="0" applyNumberFormat="1" applyFont="1" applyFill="1"/>
    <xf numFmtId="168" fontId="4" fillId="3" borderId="0" xfId="0" applyNumberFormat="1" applyFont="1" applyFill="1"/>
    <xf numFmtId="0" fontId="14" fillId="2" borderId="0" xfId="0" applyFont="1" applyFill="1"/>
    <xf numFmtId="0" fontId="23" fillId="3" borderId="0" xfId="0" applyFont="1" applyFill="1" applyAlignment="1">
      <alignment horizontal="left" wrapText="1"/>
    </xf>
    <xf numFmtId="0" fontId="11" fillId="3" borderId="0" xfId="0" applyFont="1" applyFill="1" applyAlignment="1">
      <alignment horizontal="center" vertical="center"/>
    </xf>
    <xf numFmtId="167" fontId="4" fillId="0" borderId="5" xfId="0" applyNumberFormat="1" applyFont="1" applyBorder="1" applyAlignment="1" applyProtection="1">
      <alignment horizontal="center" vertical="center"/>
      <protection locked="0"/>
    </xf>
    <xf numFmtId="167" fontId="4" fillId="0" borderId="6" xfId="0" applyNumberFormat="1" applyFont="1" applyBorder="1" applyAlignment="1" applyProtection="1">
      <alignment horizontal="center" vertical="center"/>
      <protection locked="0"/>
    </xf>
    <xf numFmtId="0" fontId="21" fillId="3" borderId="0" xfId="0" applyFont="1" applyFill="1" applyAlignment="1">
      <alignment horizontal="center" vertical="center" textRotation="90"/>
    </xf>
    <xf numFmtId="0" fontId="22" fillId="3" borderId="0" xfId="0" applyFont="1" applyFill="1" applyAlignment="1">
      <alignment horizontal="center" vertical="center" textRotation="90"/>
    </xf>
    <xf numFmtId="0" fontId="4" fillId="3" borderId="0" xfId="0" applyFont="1" applyFill="1" applyAlignment="1">
      <alignment horizontal="center" vertical="center"/>
    </xf>
    <xf numFmtId="0" fontId="4" fillId="3" borderId="0" xfId="0" applyFont="1" applyFill="1" applyAlignment="1">
      <alignment horizontal="center"/>
    </xf>
    <xf numFmtId="0" fontId="21" fillId="3" borderId="7" xfId="0" applyFont="1" applyFill="1" applyBorder="1" applyAlignment="1">
      <alignment horizontal="center" vertical="center" textRotation="90"/>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3" borderId="8" xfId="0" applyFont="1" applyFill="1" applyBorder="1" applyAlignment="1">
      <alignment horizontal="center" vertical="center"/>
    </xf>
    <xf numFmtId="0" fontId="4" fillId="3" borderId="0" xfId="0" applyFont="1" applyFill="1" applyAlignment="1">
      <alignment horizontal="left"/>
    </xf>
    <xf numFmtId="0" fontId="4" fillId="3" borderId="3" xfId="0" applyFont="1" applyFill="1" applyBorder="1" applyAlignment="1">
      <alignment horizontal="left"/>
    </xf>
    <xf numFmtId="0" fontId="4" fillId="4" borderId="5" xfId="0" applyFont="1" applyFill="1" applyBorder="1" applyAlignment="1">
      <alignment horizontal="center"/>
    </xf>
    <xf numFmtId="0" fontId="4" fillId="4" borderId="6" xfId="0" applyFont="1" applyFill="1" applyBorder="1" applyAlignment="1">
      <alignment horizontal="center"/>
    </xf>
    <xf numFmtId="0" fontId="25" fillId="3" borderId="0" xfId="0" applyFont="1" applyFill="1" applyAlignment="1">
      <alignment horizontal="left" vertical="center"/>
    </xf>
    <xf numFmtId="0" fontId="20" fillId="3" borderId="0" xfId="0" applyFont="1" applyFill="1" applyAlignment="1">
      <alignment horizontal="left"/>
    </xf>
    <xf numFmtId="0" fontId="25" fillId="3" borderId="0" xfId="0" applyFont="1" applyFill="1" applyAlignment="1">
      <alignment horizontal="left"/>
    </xf>
    <xf numFmtId="0" fontId="32" fillId="3" borderId="0" xfId="0" applyFont="1" applyFill="1" applyAlignment="1">
      <alignment horizontal="left"/>
    </xf>
    <xf numFmtId="0" fontId="32" fillId="3" borderId="0" xfId="0" applyFont="1" applyFill="1" applyAlignment="1">
      <alignment horizontal="left" wrapText="1"/>
    </xf>
    <xf numFmtId="0" fontId="4" fillId="3" borderId="0" xfId="0" applyFont="1" applyFill="1" applyAlignment="1">
      <alignment horizontal="left" vertical="center"/>
    </xf>
    <xf numFmtId="0" fontId="4" fillId="3" borderId="3" xfId="0" applyFont="1" applyFill="1" applyBorder="1" applyAlignment="1">
      <alignment horizontal="left" vertical="center"/>
    </xf>
    <xf numFmtId="0" fontId="12" fillId="3" borderId="0" xfId="0" applyFont="1" applyFill="1" applyAlignment="1">
      <alignment horizontal="center" vertical="top"/>
    </xf>
    <xf numFmtId="0" fontId="4" fillId="3" borderId="0" xfId="0" applyFont="1" applyFill="1" applyAlignment="1">
      <alignment horizontal="center" vertical="top"/>
    </xf>
    <xf numFmtId="0" fontId="0" fillId="4" borderId="0" xfId="0" applyFill="1" applyAlignment="1">
      <alignment horizontal="center"/>
    </xf>
    <xf numFmtId="0" fontId="20" fillId="3" borderId="0" xfId="0" applyFont="1" applyFill="1" applyAlignment="1">
      <alignment horizontal="left" vertical="center"/>
    </xf>
    <xf numFmtId="0" fontId="15" fillId="3" borderId="2" xfId="1" applyFont="1" applyFill="1" applyBorder="1" applyAlignment="1">
      <alignment horizontal="left"/>
    </xf>
    <xf numFmtId="0" fontId="15" fillId="3" borderId="0" xfId="1" applyFont="1" applyFill="1" applyAlignment="1">
      <alignment horizontal="left"/>
    </xf>
    <xf numFmtId="0" fontId="35" fillId="3" borderId="0" xfId="0" applyFont="1" applyFill="1" applyAlignment="1">
      <alignment horizontal="left" wrapText="1"/>
    </xf>
    <xf numFmtId="0" fontId="17" fillId="3" borderId="0" xfId="1" applyFont="1" applyFill="1" applyAlignment="1">
      <alignment horizontal="left" vertical="center"/>
    </xf>
    <xf numFmtId="0" fontId="17" fillId="3" borderId="3" xfId="1" applyFont="1" applyFill="1" applyBorder="1" applyAlignment="1">
      <alignment horizontal="left" vertical="center"/>
    </xf>
    <xf numFmtId="16" fontId="17" fillId="3" borderId="8" xfId="1" applyNumberFormat="1" applyFont="1" applyFill="1" applyBorder="1" applyAlignment="1">
      <alignment horizontal="center"/>
    </xf>
    <xf numFmtId="0" fontId="17" fillId="3" borderId="0" xfId="1" applyFont="1" applyFill="1" applyAlignment="1">
      <alignment horizontal="center" vertical="center"/>
    </xf>
    <xf numFmtId="0" fontId="17" fillId="3" borderId="8" xfId="1" applyFont="1" applyFill="1" applyBorder="1" applyAlignment="1">
      <alignment horizontal="center" vertical="center"/>
    </xf>
    <xf numFmtId="0" fontId="17" fillId="3" borderId="0" xfId="1" applyFont="1" applyFill="1" applyAlignment="1">
      <alignment horizontal="center" vertical="center" wrapText="1"/>
    </xf>
    <xf numFmtId="0" fontId="17" fillId="3" borderId="8" xfId="1"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9" xfId="0" applyFont="1" applyFill="1" applyBorder="1" applyAlignment="1">
      <alignment horizontal="center" vertical="center" wrapText="1"/>
    </xf>
  </cellXfs>
  <cellStyles count="45">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7" xr:uid="{3E019F4D-921E-4473-AD78-834FF077A11C}"/>
    <cellStyle name="60% - Accent2 2" xfId="38" xr:uid="{926119DB-1929-47B6-8AB0-885FBE8999BA}"/>
    <cellStyle name="60% - Accent3 2" xfId="39" xr:uid="{0553C048-7141-4D40-B48C-8D4E6BEF42FA}"/>
    <cellStyle name="60% - Accent4 2" xfId="40" xr:uid="{39CE632C-BCE5-4955-B41F-659335BD8BFB}"/>
    <cellStyle name="60% - Accent5 2" xfId="41" xr:uid="{F3504EF9-D36B-4D80-A29E-8145E193296D}"/>
    <cellStyle name="60% - Accent6 2" xfId="42" xr:uid="{79BD0651-6A6A-450F-96E3-5E700BFA5343}"/>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9"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0" builtinId="20" customBuiltin="1"/>
    <cellStyle name="Linked Cell" xfId="13" builtinId="24" customBuiltin="1"/>
    <cellStyle name="Neutral 2" xfId="43" xr:uid="{FA039D77-297B-4DE8-8E49-2452AAFA733A}"/>
    <cellStyle name="Normal" xfId="0" builtinId="0"/>
    <cellStyle name="Normal 2" xfId="1" xr:uid="{897F43DD-4541-4C25-9FA7-721B79FF643D}"/>
    <cellStyle name="Normal 3" xfId="3" xr:uid="{E02127EB-CD91-43B9-A5F3-41B1D301F117}"/>
    <cellStyle name="Normal 4" xfId="2" xr:uid="{71644992-E3E5-4AE1-85B1-E5C85DA06D59}"/>
    <cellStyle name="Note" xfId="16" builtinId="10" customBuiltin="1"/>
    <cellStyle name="Output" xfId="11" builtinId="21" customBuiltin="1"/>
    <cellStyle name="Title 2" xfId="44" xr:uid="{550FF329-11CB-454A-8C33-4128BD0170F7}"/>
    <cellStyle name="Total" xfId="18" builtinId="25" customBuiltin="1"/>
    <cellStyle name="Warning Text" xfId="15" builtinId="11" customBuiltin="1"/>
  </cellStyles>
  <dxfs count="167">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tint="-0.14996795556505021"/>
      </font>
      <fill>
        <patternFill>
          <bgColor theme="0" tint="-0.14996795556505021"/>
        </patternFill>
      </fill>
    </dxf>
    <dxf>
      <font>
        <color theme="0" tint="-0.14996795556505021"/>
      </font>
    </dxf>
    <dxf>
      <font>
        <color theme="0" tint="-0.14996795556505021"/>
      </font>
      <fill>
        <patternFill>
          <bgColor theme="0" tint="-0.14996795556505021"/>
        </patternFill>
      </fill>
    </dxf>
    <dxf>
      <font>
        <color theme="0" tint="-0.14996795556505021"/>
      </font>
    </dxf>
    <dxf>
      <fill>
        <patternFill>
          <bgColor theme="0" tint="-0.14996795556505021"/>
        </patternFill>
      </fill>
    </dxf>
    <dxf>
      <fill>
        <patternFill>
          <bgColor theme="0" tint="-0.14996795556505021"/>
        </patternFill>
      </fill>
    </dxf>
    <dxf>
      <font>
        <color theme="0" tint="-0.14996795556505021"/>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fgColor theme="0" tint="-0.14993743705557422"/>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dxf>
    <dxf>
      <font>
        <color theme="0" tint="-0.14996795556505021"/>
      </font>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s>
  <tableStyles count="0" defaultTableStyle="TableStyleMedium2" defaultPivotStyle="PivotStyleLight16"/>
  <colors>
    <mruColors>
      <color rgb="FF00975B"/>
      <color rgb="FF4B2582"/>
      <color rgb="FFD3EBD1"/>
      <color rgb="FFC1FFE7"/>
      <color rgb="FFB7F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1</xdr:row>
      <xdr:rowOff>6351</xdr:rowOff>
    </xdr:from>
    <xdr:to>
      <xdr:col>2</xdr:col>
      <xdr:colOff>987425</xdr:colOff>
      <xdr:row>1</xdr:row>
      <xdr:rowOff>892811</xdr:rowOff>
    </xdr:to>
    <xdr:pic>
      <xdr:nvPicPr>
        <xdr:cNvPr id="8" name="Picture 7">
          <a:extLst>
            <a:ext uri="{FF2B5EF4-FFF2-40B4-BE49-F238E27FC236}">
              <a16:creationId xmlns:a16="http://schemas.microsoft.com/office/drawing/2014/main" id="{25849AED-3FA2-0C63-34D9-00D61F10CB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8300" y="114301"/>
          <a:ext cx="1333500" cy="880110"/>
        </a:xfrm>
        <a:prstGeom prst="rect">
          <a:avLst/>
        </a:prstGeom>
      </xdr:spPr>
    </xdr:pic>
    <xdr:clientData/>
  </xdr:twoCellAnchor>
  <xdr:twoCellAnchor editAs="oneCell">
    <xdr:from>
      <xdr:col>0</xdr:col>
      <xdr:colOff>323850</xdr:colOff>
      <xdr:row>39</xdr:row>
      <xdr:rowOff>130175</xdr:rowOff>
    </xdr:from>
    <xdr:to>
      <xdr:col>2</xdr:col>
      <xdr:colOff>1825625</xdr:colOff>
      <xdr:row>45</xdr:row>
      <xdr:rowOff>38100</xdr:rowOff>
    </xdr:to>
    <xdr:pic>
      <xdr:nvPicPr>
        <xdr:cNvPr id="5" name="Graphic 4">
          <a:extLst>
            <a:ext uri="{FF2B5EF4-FFF2-40B4-BE49-F238E27FC236}">
              <a16:creationId xmlns:a16="http://schemas.microsoft.com/office/drawing/2014/main" id="{9DDA7584-3973-47FE-129E-309C24DA2855}"/>
            </a:ext>
          </a:extLst>
        </xdr:cNvPr>
        <xdr:cNvPicPr>
          <a:picLocks/>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t="29494" b="26409"/>
        <a:stretch/>
      </xdr:blipFill>
      <xdr:spPr>
        <a:xfrm>
          <a:off x="323850" y="9578975"/>
          <a:ext cx="2187575" cy="1012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95249</xdr:colOff>
      <xdr:row>0</xdr:row>
      <xdr:rowOff>76200</xdr:rowOff>
    </xdr:from>
    <xdr:to>
      <xdr:col>2</xdr:col>
      <xdr:colOff>777874</xdr:colOff>
      <xdr:row>1</xdr:row>
      <xdr:rowOff>854710</xdr:rowOff>
    </xdr:to>
    <xdr:pic>
      <xdr:nvPicPr>
        <xdr:cNvPr id="2" name="Picture 1">
          <a:extLst>
            <a:ext uri="{FF2B5EF4-FFF2-40B4-BE49-F238E27FC236}">
              <a16:creationId xmlns:a16="http://schemas.microsoft.com/office/drawing/2014/main" id="{BAE58DE3-A01B-453A-8692-DB51BBAA8B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199" y="76200"/>
          <a:ext cx="1333500" cy="880110"/>
        </a:xfrm>
        <a:prstGeom prst="rect">
          <a:avLst/>
        </a:prstGeom>
      </xdr:spPr>
    </xdr:pic>
    <xdr:clientData/>
  </xdr:twoCellAnchor>
  <xdr:twoCellAnchor editAs="oneCell">
    <xdr:from>
      <xdr:col>1</xdr:col>
      <xdr:colOff>88900</xdr:colOff>
      <xdr:row>34</xdr:row>
      <xdr:rowOff>165100</xdr:rowOff>
    </xdr:from>
    <xdr:to>
      <xdr:col>2</xdr:col>
      <xdr:colOff>1654175</xdr:colOff>
      <xdr:row>40</xdr:row>
      <xdr:rowOff>76200</xdr:rowOff>
    </xdr:to>
    <xdr:pic>
      <xdr:nvPicPr>
        <xdr:cNvPr id="3" name="Graphic 2">
          <a:extLst>
            <a:ext uri="{FF2B5EF4-FFF2-40B4-BE49-F238E27FC236}">
              <a16:creationId xmlns:a16="http://schemas.microsoft.com/office/drawing/2014/main" id="{56B970F4-D658-4982-BB16-0E7686B08707}"/>
            </a:ext>
          </a:extLst>
        </xdr:cNvPr>
        <xdr:cNvPicPr>
          <a:picLocks/>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t="29494" b="26409"/>
        <a:stretch/>
      </xdr:blipFill>
      <xdr:spPr>
        <a:xfrm>
          <a:off x="450850" y="7353300"/>
          <a:ext cx="2216150" cy="977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12699</xdr:colOff>
      <xdr:row>1</xdr:row>
      <xdr:rowOff>101600</xdr:rowOff>
    </xdr:from>
    <xdr:to>
      <xdr:col>3</xdr:col>
      <xdr:colOff>412749</xdr:colOff>
      <xdr:row>2</xdr:row>
      <xdr:rowOff>22860</xdr:rowOff>
    </xdr:to>
    <xdr:pic>
      <xdr:nvPicPr>
        <xdr:cNvPr id="2" name="Picture 1">
          <a:extLst>
            <a:ext uri="{FF2B5EF4-FFF2-40B4-BE49-F238E27FC236}">
              <a16:creationId xmlns:a16="http://schemas.microsoft.com/office/drawing/2014/main" id="{E06B5ABE-C92C-40A8-A6B7-2837C75E0B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4649" y="209550"/>
          <a:ext cx="1333500" cy="880110"/>
        </a:xfrm>
        <a:prstGeom prst="rect">
          <a:avLst/>
        </a:prstGeom>
      </xdr:spPr>
    </xdr:pic>
    <xdr:clientData/>
  </xdr:twoCellAnchor>
  <xdr:twoCellAnchor editAs="oneCell">
    <xdr:from>
      <xdr:col>14</xdr:col>
      <xdr:colOff>482600</xdr:colOff>
      <xdr:row>1</xdr:row>
      <xdr:rowOff>190500</xdr:rowOff>
    </xdr:from>
    <xdr:to>
      <xdr:col>20</xdr:col>
      <xdr:colOff>336550</xdr:colOff>
      <xdr:row>3</xdr:row>
      <xdr:rowOff>38100</xdr:rowOff>
    </xdr:to>
    <xdr:pic>
      <xdr:nvPicPr>
        <xdr:cNvPr id="3" name="Graphic 2">
          <a:extLst>
            <a:ext uri="{FF2B5EF4-FFF2-40B4-BE49-F238E27FC236}">
              <a16:creationId xmlns:a16="http://schemas.microsoft.com/office/drawing/2014/main" id="{4EF73300-9BA7-415D-82F8-FFD26109BE45}"/>
            </a:ext>
          </a:extLst>
        </xdr:cNvPr>
        <xdr:cNvPicPr>
          <a:picLocks/>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t="29494" b="26409"/>
        <a:stretch/>
      </xdr:blipFill>
      <xdr:spPr>
        <a:xfrm>
          <a:off x="10909300" y="298450"/>
          <a:ext cx="2216150" cy="977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6349</xdr:colOff>
      <xdr:row>1</xdr:row>
      <xdr:rowOff>6350</xdr:rowOff>
    </xdr:from>
    <xdr:to>
      <xdr:col>3</xdr:col>
      <xdr:colOff>406399</xdr:colOff>
      <xdr:row>1</xdr:row>
      <xdr:rowOff>886460</xdr:rowOff>
    </xdr:to>
    <xdr:pic>
      <xdr:nvPicPr>
        <xdr:cNvPr id="2" name="Picture 1">
          <a:extLst>
            <a:ext uri="{FF2B5EF4-FFF2-40B4-BE49-F238E27FC236}">
              <a16:creationId xmlns:a16="http://schemas.microsoft.com/office/drawing/2014/main" id="{EBB28B66-C121-4DE6-A1CE-ACA9197BB3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8299" y="114300"/>
          <a:ext cx="1333500" cy="880110"/>
        </a:xfrm>
        <a:prstGeom prst="rect">
          <a:avLst/>
        </a:prstGeom>
      </xdr:spPr>
    </xdr:pic>
    <xdr:clientData/>
  </xdr:twoCellAnchor>
  <xdr:twoCellAnchor editAs="oneCell">
    <xdr:from>
      <xdr:col>19</xdr:col>
      <xdr:colOff>831850</xdr:colOff>
      <xdr:row>1</xdr:row>
      <xdr:rowOff>139700</xdr:rowOff>
    </xdr:from>
    <xdr:to>
      <xdr:col>21</xdr:col>
      <xdr:colOff>927100</xdr:colOff>
      <xdr:row>2</xdr:row>
      <xdr:rowOff>158750</xdr:rowOff>
    </xdr:to>
    <xdr:pic>
      <xdr:nvPicPr>
        <xdr:cNvPr id="3" name="Graphic 2">
          <a:extLst>
            <a:ext uri="{FF2B5EF4-FFF2-40B4-BE49-F238E27FC236}">
              <a16:creationId xmlns:a16="http://schemas.microsoft.com/office/drawing/2014/main" id="{11D03FF4-1390-42C0-9E93-A1E541CB78C2}"/>
            </a:ext>
          </a:extLst>
        </xdr:cNvPr>
        <xdr:cNvPicPr>
          <a:picLocks/>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t="29494" b="26409"/>
        <a:stretch/>
      </xdr:blipFill>
      <xdr:spPr>
        <a:xfrm>
          <a:off x="12896850" y="247650"/>
          <a:ext cx="2216150" cy="977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336549</xdr:colOff>
      <xdr:row>1</xdr:row>
      <xdr:rowOff>57150</xdr:rowOff>
    </xdr:from>
    <xdr:to>
      <xdr:col>3</xdr:col>
      <xdr:colOff>717549</xdr:colOff>
      <xdr:row>1</xdr:row>
      <xdr:rowOff>937260</xdr:rowOff>
    </xdr:to>
    <xdr:pic>
      <xdr:nvPicPr>
        <xdr:cNvPr id="4" name="Picture 3">
          <a:extLst>
            <a:ext uri="{FF2B5EF4-FFF2-40B4-BE49-F238E27FC236}">
              <a16:creationId xmlns:a16="http://schemas.microsoft.com/office/drawing/2014/main" id="{0349B13D-0FC7-4D3F-829D-6A3CBDEF2B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6549" y="165100"/>
          <a:ext cx="1333500" cy="880110"/>
        </a:xfrm>
        <a:prstGeom prst="rect">
          <a:avLst/>
        </a:prstGeom>
      </xdr:spPr>
    </xdr:pic>
    <xdr:clientData/>
  </xdr:twoCellAnchor>
  <xdr:twoCellAnchor editAs="oneCell">
    <xdr:from>
      <xdr:col>23</xdr:col>
      <xdr:colOff>31750</xdr:colOff>
      <xdr:row>1</xdr:row>
      <xdr:rowOff>177800</xdr:rowOff>
    </xdr:from>
    <xdr:to>
      <xdr:col>26</xdr:col>
      <xdr:colOff>292100</xdr:colOff>
      <xdr:row>2</xdr:row>
      <xdr:rowOff>196850</xdr:rowOff>
    </xdr:to>
    <xdr:pic>
      <xdr:nvPicPr>
        <xdr:cNvPr id="5" name="Graphic 4">
          <a:extLst>
            <a:ext uri="{FF2B5EF4-FFF2-40B4-BE49-F238E27FC236}">
              <a16:creationId xmlns:a16="http://schemas.microsoft.com/office/drawing/2014/main" id="{965FFC05-0B62-4DF5-82A0-ECDAABBE2F84}"/>
            </a:ext>
          </a:extLst>
        </xdr:cNvPr>
        <xdr:cNvPicPr>
          <a:picLocks/>
        </xdr:cNvPicPr>
      </xdr:nvPicPr>
      <xdr:blipFill rotWithShape="1">
        <a:blip xmlns:r="http://schemas.openxmlformats.org/officeDocument/2006/relationships" r:embed="rId2">
          <a:extLst>
            <a:ext uri="{96DAC541-7B7A-43D3-8B79-37D633B846F1}">
              <asvg:svgBlip xmlns:asvg="http://schemas.microsoft.com/office/drawing/2016/SVG/main" r:embed="rId3"/>
            </a:ext>
          </a:extLst>
        </a:blip>
        <a:srcRect t="29494" b="26409"/>
        <a:stretch/>
      </xdr:blipFill>
      <xdr:spPr>
        <a:xfrm>
          <a:off x="15830550" y="285750"/>
          <a:ext cx="2216150" cy="97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I:\Admin\Modelling\Analyses\CRM\Offshore\Deterministic%20CRM%20spreadsheet\IE200091_Codling_CRM_A1_GX_220RD_Aerial.xlsm" TargetMode="External"/><Relationship Id="rId1" Type="http://schemas.openxmlformats.org/officeDocument/2006/relationships/externalLinkPath" Target="/Admin/Modelling/Analyses/CRM/Offshore/Deterministic%20CRM%20spreadsheet/IE200091_Codling_CRM_A1_GX_220RD_Aeri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data"/>
      <sheetName val="Overall collision risk"/>
      <sheetName val="Single transit collision risk"/>
      <sheetName val="Extended"/>
      <sheetName val="Flightheight"/>
      <sheetName val="Migrant collision risk"/>
      <sheetName val="Large array correction"/>
    </sheetNames>
    <sheetDataSet>
      <sheetData sheetId="0">
        <row r="27">
          <cell r="C27">
            <v>53.068528000000001</v>
          </cell>
        </row>
      </sheetData>
      <sheetData sheetId="1"/>
      <sheetData sheetId="2"/>
      <sheetData sheetId="3">
        <row r="5">
          <cell r="B5">
            <v>110</v>
          </cell>
        </row>
        <row r="9">
          <cell r="B9">
            <v>132</v>
          </cell>
        </row>
        <row r="10">
          <cell r="B10">
            <v>0</v>
          </cell>
        </row>
        <row r="26">
          <cell r="F26" t="e">
            <v>#VALUE!</v>
          </cell>
          <cell r="G26" t="e">
            <v>#VALUE!</v>
          </cell>
        </row>
      </sheetData>
      <sheetData sheetId="4">
        <row r="7">
          <cell r="B7">
            <v>155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D3CD0-C6B4-4863-B566-203C01F58CD4}">
  <sheetPr codeName="Sheet1"/>
  <dimension ref="C1:AB38"/>
  <sheetViews>
    <sheetView tabSelected="1" workbookViewId="0"/>
  </sheetViews>
  <sheetFormatPr defaultColWidth="8.7109375" defaultRowHeight="14.25" x14ac:dyDescent="0.2"/>
  <cols>
    <col min="1" max="2" width="5.140625" style="2" customWidth="1"/>
    <col min="3" max="3" width="192.42578125" style="2" customWidth="1"/>
    <col min="4" max="16384" width="8.7109375" style="2"/>
  </cols>
  <sheetData>
    <row r="1" spans="3:28" ht="8.4499999999999993" customHeight="1" x14ac:dyDescent="0.2"/>
    <row r="2" spans="3:28" ht="75.599999999999994" customHeight="1" x14ac:dyDescent="0.2">
      <c r="C2" s="1" t="s">
        <v>747</v>
      </c>
      <c r="D2" s="1"/>
      <c r="E2" s="1"/>
      <c r="F2" s="1"/>
      <c r="G2" s="1"/>
      <c r="H2" s="1"/>
      <c r="I2" s="1"/>
      <c r="J2" s="1"/>
      <c r="K2" s="1"/>
      <c r="L2" s="1"/>
      <c r="M2" s="1"/>
      <c r="N2" s="1"/>
      <c r="O2" s="1"/>
      <c r="P2" s="1"/>
      <c r="Q2" s="1"/>
      <c r="R2" s="1"/>
      <c r="S2" s="1"/>
      <c r="T2" s="1"/>
      <c r="U2" s="1"/>
      <c r="V2" s="1"/>
      <c r="W2" s="1"/>
      <c r="X2" s="1"/>
      <c r="Y2" s="1"/>
      <c r="Z2" s="1"/>
      <c r="AA2" s="1"/>
      <c r="AB2" s="1"/>
    </row>
    <row r="3" spans="3:28" ht="30.6" customHeight="1" x14ac:dyDescent="0.2">
      <c r="C3" s="3"/>
      <c r="D3" s="3"/>
      <c r="E3" s="3"/>
      <c r="F3" s="3"/>
      <c r="G3" s="3"/>
      <c r="H3" s="3"/>
      <c r="I3" s="3"/>
      <c r="J3" s="3"/>
      <c r="K3" s="3"/>
      <c r="L3" s="3"/>
      <c r="M3" s="3"/>
      <c r="N3" s="3"/>
      <c r="O3" s="3"/>
      <c r="P3" s="3"/>
      <c r="Q3" s="3"/>
      <c r="R3" s="3"/>
      <c r="S3" s="3"/>
      <c r="T3" s="3"/>
      <c r="U3" s="3"/>
      <c r="V3" s="3"/>
      <c r="W3" s="3"/>
      <c r="X3" s="3"/>
      <c r="Y3" s="3"/>
      <c r="Z3" s="3"/>
      <c r="AA3" s="3"/>
      <c r="AB3" s="3"/>
    </row>
    <row r="5" spans="3:28" ht="20.25" x14ac:dyDescent="0.3">
      <c r="C5" s="4" t="s">
        <v>254</v>
      </c>
    </row>
    <row r="7" spans="3:28" ht="17.100000000000001" customHeight="1" x14ac:dyDescent="0.2">
      <c r="C7" s="5" t="s">
        <v>240</v>
      </c>
    </row>
    <row r="9" spans="3:28" ht="18" x14ac:dyDescent="0.25">
      <c r="C9" s="6" t="s">
        <v>241</v>
      </c>
    </row>
    <row r="11" spans="3:28" ht="17.100000000000001" customHeight="1" x14ac:dyDescent="0.25">
      <c r="C11" s="5" t="s">
        <v>336</v>
      </c>
    </row>
    <row r="12" spans="3:28" ht="15" x14ac:dyDescent="0.2">
      <c r="C12" s="5"/>
    </row>
    <row r="13" spans="3:28" ht="17.100000000000001" customHeight="1" x14ac:dyDescent="0.25">
      <c r="C13" s="5" t="s">
        <v>333</v>
      </c>
    </row>
    <row r="14" spans="3:28" ht="15" x14ac:dyDescent="0.2">
      <c r="C14" s="5"/>
    </row>
    <row r="15" spans="3:28" ht="17.100000000000001" customHeight="1" x14ac:dyDescent="0.25">
      <c r="C15" s="5" t="s">
        <v>334</v>
      </c>
    </row>
    <row r="16" spans="3:28" ht="15" x14ac:dyDescent="0.2">
      <c r="C16" s="5"/>
    </row>
    <row r="17" spans="3:3" ht="49.5" customHeight="1" x14ac:dyDescent="0.2">
      <c r="C17" s="7" t="s">
        <v>374</v>
      </c>
    </row>
    <row r="19" spans="3:3" ht="18" x14ac:dyDescent="0.25">
      <c r="C19" s="6" t="s">
        <v>242</v>
      </c>
    </row>
    <row r="21" spans="3:3" ht="17.100000000000001" customHeight="1" x14ac:dyDescent="0.25">
      <c r="C21" s="5" t="s">
        <v>315</v>
      </c>
    </row>
    <row r="22" spans="3:3" ht="15" x14ac:dyDescent="0.2">
      <c r="C22" s="5"/>
    </row>
    <row r="23" spans="3:3" ht="33.950000000000003" customHeight="1" x14ac:dyDescent="0.2">
      <c r="C23" s="7" t="s">
        <v>517</v>
      </c>
    </row>
    <row r="24" spans="3:3" ht="15" x14ac:dyDescent="0.2">
      <c r="C24" s="5"/>
    </row>
    <row r="25" spans="3:3" ht="33.950000000000003" customHeight="1" x14ac:dyDescent="0.2">
      <c r="C25" s="7" t="s">
        <v>378</v>
      </c>
    </row>
    <row r="27" spans="3:3" ht="18" x14ac:dyDescent="0.25">
      <c r="C27" s="6" t="s">
        <v>600</v>
      </c>
    </row>
    <row r="29" spans="3:3" ht="17.100000000000001" customHeight="1" x14ac:dyDescent="0.25">
      <c r="C29" s="5" t="s">
        <v>335</v>
      </c>
    </row>
    <row r="30" spans="3:3" ht="17.100000000000001" customHeight="1" x14ac:dyDescent="0.2">
      <c r="C30" s="5"/>
    </row>
    <row r="32" spans="3:3" ht="15.75" x14ac:dyDescent="0.25">
      <c r="C32" s="127" t="s">
        <v>599</v>
      </c>
    </row>
    <row r="34" spans="3:3" x14ac:dyDescent="0.2">
      <c r="C34" s="2" t="s">
        <v>598</v>
      </c>
    </row>
    <row r="36" spans="3:3" x14ac:dyDescent="0.2">
      <c r="C36" s="2" t="s">
        <v>745</v>
      </c>
    </row>
    <row r="38" spans="3:3" x14ac:dyDescent="0.2">
      <c r="C38" s="2" t="s">
        <v>746</v>
      </c>
    </row>
  </sheetData>
  <sheetProtection sheet="1" objects="1" scenarios="1"/>
  <dataValidations count="4">
    <dataValidation allowBlank="1" showInputMessage="1" showErrorMessage="1" prompt="Band, B. (2012) Using a collision risk model to assess bird collision risks for offshore windfarms. https://www.bto.org/sites/default/files/u28/downloads/Projects/Final_Report_SOSS02_Band1ModelGuidance.pdf" sqref="C13" xr:uid="{2E8B4048-AB3A-4FA2-B80F-522C7151ACEC}"/>
    <dataValidation allowBlank="1" showInputMessage="1" showErrorMessage="1" prompt="SNCBs (2022) Joint SNCB Interim Distributional response Advice Note. https://data.jncc.gov.uk/data/9aecb87c-80c5-4cfb-9102-39f0228dcc9a/joint-sncb-interim-distributional response-advice-note-2022.pdf" sqref="C15" xr:uid="{7EE95AC2-7500-455E-89F5-2E84FCF8CC0C}"/>
    <dataValidation allowBlank="1" showInputMessage="1" showErrorMessage="1" prompt="Forsythe, W. C., Rykiel Jr, E. J., Stahl, R. S., Wu, H. I., &amp; Schoolfield, R. M. (1995). A model comparison for daylength as a function of latitude and day of year. Ecological Modelling, 80, 87-95." sqref="C29:C30" xr:uid="{D60665A3-3BCA-44D4-B0DB-3D7E5816EB24}"/>
    <dataValidation allowBlank="1" showInputMessage="1" showErrorMessage="1" prompt="NatureScot (2023) Advice on marine renewables development. https://www.nature.scot/professional-advice/planning-and-development/planning-and-development-advice/renewable-energy/marine-renewables/advice-marine-renewables-development" sqref="C11" xr:uid="{B3B74E90-0FC5-4AA5-8083-CD0FE4AEDA43}"/>
  </dataValidations>
  <pageMargins left="0.7" right="0.7" top="0.75" bottom="0.75" header="0.3" footer="0.3"/>
  <pageSetup paperSize="9" orientation="portrait" horizontalDpi="30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C7B43-E6E5-4102-BFA6-453038A66D68}">
  <sheetPr codeName="Sheet6"/>
  <dimension ref="B2:V375"/>
  <sheetViews>
    <sheetView zoomScale="85" zoomScaleNormal="85" workbookViewId="0"/>
  </sheetViews>
  <sheetFormatPr defaultColWidth="8.7109375" defaultRowHeight="14.25" x14ac:dyDescent="0.2"/>
  <cols>
    <col min="1" max="1" width="8.7109375" style="14"/>
    <col min="2" max="4" width="10.5703125" style="14" customWidth="1"/>
    <col min="5" max="7" width="10.5703125" style="13" customWidth="1"/>
    <col min="8" max="8" width="4.7109375" style="13" customWidth="1"/>
    <col min="9" max="9" width="8.140625" style="13" customWidth="1"/>
    <col min="10" max="10" width="1.85546875" style="13" customWidth="1"/>
    <col min="11" max="11" width="7.7109375" style="13" customWidth="1"/>
    <col min="12" max="12" width="7.42578125" style="14" customWidth="1"/>
    <col min="13" max="14" width="7.5703125" style="14" customWidth="1"/>
    <col min="15" max="15" width="7.7109375" style="14" customWidth="1"/>
    <col min="16" max="17" width="7.5703125" style="14" customWidth="1"/>
    <col min="18" max="18" width="7.85546875" style="14" customWidth="1"/>
    <col min="19" max="19" width="7" style="14" customWidth="1"/>
    <col min="20" max="20" width="7.5703125" style="14" customWidth="1"/>
    <col min="21" max="21" width="7.140625" style="14" customWidth="1"/>
    <col min="22" max="16384" width="8.7109375" style="14"/>
  </cols>
  <sheetData>
    <row r="2" spans="2:22" ht="23.25" x14ac:dyDescent="0.35">
      <c r="B2" s="145" t="s">
        <v>358</v>
      </c>
      <c r="C2" s="145"/>
      <c r="D2" s="145"/>
      <c r="E2" s="145"/>
      <c r="F2" s="145"/>
    </row>
    <row r="4" spans="2:22" x14ac:dyDescent="0.2">
      <c r="B4" s="149" t="s">
        <v>276</v>
      </c>
      <c r="C4" s="150"/>
      <c r="D4" s="27">
        <f>'User inputs - run and wind farm'!D15</f>
        <v>0</v>
      </c>
    </row>
    <row r="5" spans="2:22" x14ac:dyDescent="0.2">
      <c r="B5" s="158" t="s">
        <v>278</v>
      </c>
      <c r="C5" s="159"/>
      <c r="D5" s="27">
        <f>'User inputs - run and wind farm'!E15</f>
        <v>0</v>
      </c>
    </row>
    <row r="6" spans="2:22" x14ac:dyDescent="0.2">
      <c r="B6" s="158" t="s">
        <v>277</v>
      </c>
      <c r="C6" s="159"/>
      <c r="D6" s="27">
        <f>'User inputs - run and wind farm'!F15</f>
        <v>0</v>
      </c>
    </row>
    <row r="7" spans="2:22" ht="9.9499999999999993" customHeight="1" x14ac:dyDescent="0.2">
      <c r="B7" s="61"/>
      <c r="C7" s="61"/>
      <c r="D7" s="13"/>
    </row>
    <row r="9" spans="2:22" ht="14.45" customHeight="1" x14ac:dyDescent="0.2">
      <c r="B9" s="161" t="s">
        <v>279</v>
      </c>
      <c r="C9" s="163" t="s">
        <v>280</v>
      </c>
      <c r="D9" s="161" t="s">
        <v>210</v>
      </c>
      <c r="E9" s="160" t="s">
        <v>209</v>
      </c>
      <c r="F9" s="160"/>
      <c r="G9" s="160"/>
    </row>
    <row r="10" spans="2:22" ht="14.45" customHeight="1" x14ac:dyDescent="0.2">
      <c r="B10" s="162"/>
      <c r="C10" s="164"/>
      <c r="D10" s="162"/>
      <c r="E10" s="42" t="s">
        <v>283</v>
      </c>
      <c r="F10" s="42" t="s">
        <v>284</v>
      </c>
      <c r="G10" s="42" t="s">
        <v>285</v>
      </c>
    </row>
    <row r="11" spans="2:22" ht="15" x14ac:dyDescent="0.25">
      <c r="B11" s="28">
        <v>39814</v>
      </c>
      <c r="C11" s="11">
        <v>1</v>
      </c>
      <c r="D11" s="18">
        <f t="shared" ref="D11:D74" si="0">ASIN(0.39795*COS(0.2163108+2*ATAN(0.9671396*TAN(0.0086*(C11-186)))))</f>
        <v>-0.40270065067443078</v>
      </c>
      <c r="E11" s="18">
        <f>24-(24/PI())*ACOS((SIN(0.8333*PI()/180)+SIN($D$4*PI()/180)*SIN($D11))/(COS($D$4*PI()/180)*COS($D11)))</f>
        <v>12.120768107077563</v>
      </c>
      <c r="F11" s="18">
        <f t="shared" ref="F11:F74" si="1">24-(24/PI())*ACOS((SIN(0.8333*PI()/180)+SIN($D$5*PI()/180)*SIN($D11))/(COS($D$5*PI()/180)*COS($D11)))</f>
        <v>12.120768107077563</v>
      </c>
      <c r="G11" s="18">
        <f t="shared" ref="G11:G74" si="2">24-(24/PI())*ACOS((SIN(0.8333*PI()/180)+SIN($D$6*PI()/180)*SIN($D11))/(COS($D$6*PI()/180)*COS($D11)))</f>
        <v>12.120768107077563</v>
      </c>
      <c r="K11" s="15" t="s">
        <v>208</v>
      </c>
      <c r="L11" s="13"/>
      <c r="O11" s="15"/>
    </row>
    <row r="12" spans="2:22" x14ac:dyDescent="0.2">
      <c r="B12" s="28">
        <f t="shared" ref="B12:B75" si="3">B11+1</f>
        <v>39815</v>
      </c>
      <c r="C12" s="11">
        <f t="shared" ref="C12:C75" si="4">C11+1</f>
        <v>2</v>
      </c>
      <c r="D12" s="18">
        <f t="shared" si="0"/>
        <v>-0.4012979990256228</v>
      </c>
      <c r="E12" s="18">
        <f t="shared" ref="E12:E75" si="5">24-(24/PI())*ACOS((SIN(0.8333*PI()/180)+SIN($D$4*PI()/180)*SIN(D12))/(COS($D$4*PI()/180)*COS(D12)))</f>
        <v>12.120696103681029</v>
      </c>
      <c r="F12" s="18">
        <f t="shared" si="1"/>
        <v>12.120696103681029</v>
      </c>
      <c r="G12" s="18">
        <f t="shared" si="2"/>
        <v>12.120696103681029</v>
      </c>
      <c r="K12" s="16" t="s">
        <v>34</v>
      </c>
      <c r="L12" s="16" t="s">
        <v>35</v>
      </c>
      <c r="M12" s="16" t="s">
        <v>2</v>
      </c>
      <c r="N12" s="16" t="s">
        <v>3</v>
      </c>
      <c r="O12" s="16" t="s">
        <v>4</v>
      </c>
      <c r="P12" s="16" t="s">
        <v>5</v>
      </c>
      <c r="Q12" s="16" t="s">
        <v>6</v>
      </c>
      <c r="R12" s="16" t="s">
        <v>7</v>
      </c>
      <c r="S12" s="16" t="s">
        <v>207</v>
      </c>
      <c r="T12" s="16" t="s">
        <v>36</v>
      </c>
      <c r="U12" s="16" t="s">
        <v>37</v>
      </c>
      <c r="V12" s="16" t="s">
        <v>38</v>
      </c>
    </row>
    <row r="13" spans="2:22" x14ac:dyDescent="0.2">
      <c r="B13" s="28">
        <f t="shared" si="3"/>
        <v>39816</v>
      </c>
      <c r="C13" s="11">
        <f t="shared" si="4"/>
        <v>3</v>
      </c>
      <c r="D13" s="18">
        <f t="shared" si="0"/>
        <v>-0.39976204406913618</v>
      </c>
      <c r="E13" s="18">
        <f t="shared" si="5"/>
        <v>12.120617627806926</v>
      </c>
      <c r="F13" s="18">
        <f t="shared" si="1"/>
        <v>12.120617627806926</v>
      </c>
      <c r="G13" s="18">
        <f t="shared" si="2"/>
        <v>12.120617627806926</v>
      </c>
      <c r="I13" s="17" t="s">
        <v>283</v>
      </c>
      <c r="J13" s="17"/>
      <c r="K13" s="60">
        <f>SUM(E$11:E$41)</f>
        <v>375.68698270402712</v>
      </c>
      <c r="L13" s="60">
        <f>SUM(E$42:E$69)</f>
        <v>339.19688287090781</v>
      </c>
      <c r="M13" s="60">
        <f>SUM(E$70:E$100)</f>
        <v>375.4530102491978</v>
      </c>
      <c r="N13" s="60">
        <f>SUM(E$101:E$130)</f>
        <v>363.38532179321777</v>
      </c>
      <c r="O13" s="60">
        <f>SUM(E$131:E$161)</f>
        <v>375.63935304279426</v>
      </c>
      <c r="P13" s="60">
        <f>SUM(E$162:E$191)</f>
        <v>363.6225522914749</v>
      </c>
      <c r="Q13" s="60">
        <f>SUM(E$192:E$222)</f>
        <v>375.69746095274434</v>
      </c>
      <c r="R13" s="60">
        <f>SUM(E$223:E$253)</f>
        <v>375.55230300789896</v>
      </c>
      <c r="S13" s="60">
        <f>SUM(E$254:E$283)</f>
        <v>363.34378424215805</v>
      </c>
      <c r="T13" s="60">
        <f>SUM(E$284:E$314)</f>
        <v>375.48854824936672</v>
      </c>
      <c r="U13" s="60">
        <f>SUM(E$315:E$344)</f>
        <v>363.51200749720294</v>
      </c>
      <c r="V13" s="60">
        <f>SUM(E$345:E$375)</f>
        <v>375.74137513849803</v>
      </c>
    </row>
    <row r="14" spans="2:22" x14ac:dyDescent="0.2">
      <c r="B14" s="28">
        <f t="shared" si="3"/>
        <v>39817</v>
      </c>
      <c r="C14" s="11">
        <f t="shared" si="4"/>
        <v>4</v>
      </c>
      <c r="D14" s="18">
        <f t="shared" si="0"/>
        <v>-0.39809353943540499</v>
      </c>
      <c r="E14" s="18">
        <f t="shared" si="5"/>
        <v>12.120532817221365</v>
      </c>
      <c r="F14" s="18">
        <f t="shared" si="1"/>
        <v>12.120532817221365</v>
      </c>
      <c r="G14" s="18">
        <f t="shared" si="2"/>
        <v>12.120532817221365</v>
      </c>
      <c r="I14" s="17" t="s">
        <v>284</v>
      </c>
      <c r="J14" s="17"/>
      <c r="K14" s="60">
        <f>SUM(F$11:F$41)</f>
        <v>375.68698270402712</v>
      </c>
      <c r="L14" s="60">
        <f>SUM(F$42:F$69)</f>
        <v>339.19688287090781</v>
      </c>
      <c r="M14" s="60">
        <f>SUM(F$70:F$100)</f>
        <v>375.4530102491978</v>
      </c>
      <c r="N14" s="60">
        <f>SUM(F$101:F$130)</f>
        <v>363.38532179321777</v>
      </c>
      <c r="O14" s="60">
        <f>SUM(F$131:F$161)</f>
        <v>375.63935304279426</v>
      </c>
      <c r="P14" s="60">
        <f>SUM(F$162:F$191)</f>
        <v>363.6225522914749</v>
      </c>
      <c r="Q14" s="60">
        <f>SUM(F$192:F$222)</f>
        <v>375.69746095274434</v>
      </c>
      <c r="R14" s="60">
        <f>SUM(F$223:F$253)</f>
        <v>375.55230300789896</v>
      </c>
      <c r="S14" s="60">
        <f>SUM(F$254:F$283)</f>
        <v>363.34378424215805</v>
      </c>
      <c r="T14" s="60">
        <f>SUM(F$284:F$314)</f>
        <v>375.48854824936672</v>
      </c>
      <c r="U14" s="60">
        <f>SUM(F$315:F$344)</f>
        <v>363.51200749720294</v>
      </c>
      <c r="V14" s="60">
        <f>SUM(F$345:F$375)</f>
        <v>375.74137513849803</v>
      </c>
    </row>
    <row r="15" spans="2:22" x14ac:dyDescent="0.2">
      <c r="B15" s="28">
        <f t="shared" si="3"/>
        <v>39818</v>
      </c>
      <c r="C15" s="11">
        <f t="shared" si="4"/>
        <v>5</v>
      </c>
      <c r="D15" s="18">
        <f t="shared" si="0"/>
        <v>-0.39629330457846768</v>
      </c>
      <c r="E15" s="18">
        <f t="shared" si="5"/>
        <v>12.120441820221572</v>
      </c>
      <c r="F15" s="18">
        <f t="shared" si="1"/>
        <v>12.120441820221572</v>
      </c>
      <c r="G15" s="18">
        <f t="shared" si="2"/>
        <v>12.120441820221572</v>
      </c>
      <c r="I15" s="17" t="s">
        <v>285</v>
      </c>
      <c r="J15" s="17"/>
      <c r="K15" s="60">
        <f>SUM(G$11:G$41)</f>
        <v>375.68698270402712</v>
      </c>
      <c r="L15" s="60">
        <f>SUM(G$42:G$69)</f>
        <v>339.19688287090781</v>
      </c>
      <c r="M15" s="60">
        <f>SUM(G$70:G$100)</f>
        <v>375.4530102491978</v>
      </c>
      <c r="N15" s="60">
        <f>SUM(G$101:G$130)</f>
        <v>363.38532179321777</v>
      </c>
      <c r="O15" s="60">
        <f>SUM(G$131:G$161)</f>
        <v>375.63935304279426</v>
      </c>
      <c r="P15" s="60">
        <f>SUM(G$162:G$191)</f>
        <v>363.6225522914749</v>
      </c>
      <c r="Q15" s="60">
        <f>SUM(G$192:G$222)</f>
        <v>375.69746095274434</v>
      </c>
      <c r="R15" s="60">
        <f>SUM(G$223:G$253)</f>
        <v>375.55230300789896</v>
      </c>
      <c r="S15" s="60">
        <f>SUM(G$254:G$283)</f>
        <v>363.34378424215805</v>
      </c>
      <c r="T15" s="60">
        <f>SUM(G$284:G$314)</f>
        <v>375.48854824936672</v>
      </c>
      <c r="U15" s="60">
        <f>SUM(G$315:G$344)</f>
        <v>363.51200749720294</v>
      </c>
      <c r="V15" s="60">
        <f>SUM(G$345:G$375)</f>
        <v>375.74137513849803</v>
      </c>
    </row>
    <row r="16" spans="2:22" x14ac:dyDescent="0.2">
      <c r="B16" s="28">
        <f t="shared" si="3"/>
        <v>39819</v>
      </c>
      <c r="C16" s="11">
        <f t="shared" si="4"/>
        <v>6</v>
      </c>
      <c r="D16" s="18">
        <f t="shared" si="0"/>
        <v>-0.39436222344644489</v>
      </c>
      <c r="E16" s="18">
        <f t="shared" si="5"/>
        <v>12.120344795182971</v>
      </c>
      <c r="F16" s="18">
        <f t="shared" si="1"/>
        <v>12.120344795182971</v>
      </c>
      <c r="G16" s="18">
        <f t="shared" si="2"/>
        <v>12.120344795182971</v>
      </c>
      <c r="I16" s="17"/>
      <c r="J16" s="17"/>
      <c r="L16" s="13"/>
    </row>
    <row r="17" spans="2:22" ht="15" x14ac:dyDescent="0.25">
      <c r="B17" s="28">
        <f t="shared" si="3"/>
        <v>39820</v>
      </c>
      <c r="C17" s="11">
        <f t="shared" si="4"/>
        <v>7</v>
      </c>
      <c r="D17" s="18">
        <f t="shared" si="0"/>
        <v>-0.39230124306200953</v>
      </c>
      <c r="E17" s="18">
        <f t="shared" si="5"/>
        <v>12.120241910081237</v>
      </c>
      <c r="F17" s="18">
        <f t="shared" si="1"/>
        <v>12.120241910081237</v>
      </c>
      <c r="G17" s="18">
        <f t="shared" si="2"/>
        <v>12.120241910081237</v>
      </c>
      <c r="I17" s="17"/>
      <c r="J17" s="17"/>
      <c r="K17" s="15" t="s">
        <v>206</v>
      </c>
      <c r="L17" s="13"/>
    </row>
    <row r="18" spans="2:22" x14ac:dyDescent="0.2">
      <c r="B18" s="28">
        <f t="shared" si="3"/>
        <v>39821</v>
      </c>
      <c r="C18" s="11">
        <f t="shared" si="4"/>
        <v>8</v>
      </c>
      <c r="D18" s="18">
        <f t="shared" si="0"/>
        <v>-0.39011137201880836</v>
      </c>
      <c r="E18" s="18">
        <f t="shared" si="5"/>
        <v>12.120133341992014</v>
      </c>
      <c r="F18" s="18">
        <f t="shared" si="1"/>
        <v>12.120133341992014</v>
      </c>
      <c r="G18" s="18">
        <f t="shared" si="2"/>
        <v>12.120133341992014</v>
      </c>
      <c r="I18" s="17" t="s">
        <v>283</v>
      </c>
      <c r="J18" s="17"/>
      <c r="K18" s="60">
        <f>K$24-K13</f>
        <v>368.31301729597288</v>
      </c>
      <c r="L18" s="60">
        <f t="shared" ref="L18:V18" si="6">L$24-L13</f>
        <v>332.80311712909219</v>
      </c>
      <c r="M18" s="60">
        <f t="shared" si="6"/>
        <v>368.5469897508022</v>
      </c>
      <c r="N18" s="60">
        <f t="shared" si="6"/>
        <v>356.61467820678223</v>
      </c>
      <c r="O18" s="60">
        <f t="shared" si="6"/>
        <v>368.36064695720574</v>
      </c>
      <c r="P18" s="60">
        <f t="shared" si="6"/>
        <v>356.3774477085251</v>
      </c>
      <c r="Q18" s="60">
        <f t="shared" si="6"/>
        <v>368.30253904725566</v>
      </c>
      <c r="R18" s="60">
        <f t="shared" si="6"/>
        <v>368.44769699210104</v>
      </c>
      <c r="S18" s="60">
        <f t="shared" si="6"/>
        <v>356.65621575784195</v>
      </c>
      <c r="T18" s="60">
        <f t="shared" si="6"/>
        <v>368.51145175063328</v>
      </c>
      <c r="U18" s="60">
        <f t="shared" si="6"/>
        <v>356.48799250279706</v>
      </c>
      <c r="V18" s="60">
        <f t="shared" si="6"/>
        <v>368.25862486150197</v>
      </c>
    </row>
    <row r="19" spans="2:22" x14ac:dyDescent="0.2">
      <c r="B19" s="28">
        <f t="shared" si="3"/>
        <v>39822</v>
      </c>
      <c r="C19" s="11">
        <f t="shared" si="4"/>
        <v>9</v>
      </c>
      <c r="D19" s="18">
        <f t="shared" si="0"/>
        <v>-0.38779367890004862</v>
      </c>
      <c r="E19" s="18">
        <f t="shared" si="5"/>
        <v>12.120019276571142</v>
      </c>
      <c r="F19" s="18">
        <f t="shared" si="1"/>
        <v>12.120019276571142</v>
      </c>
      <c r="G19" s="18">
        <f t="shared" si="2"/>
        <v>12.120019276571142</v>
      </c>
      <c r="I19" s="17" t="s">
        <v>284</v>
      </c>
      <c r="J19" s="17"/>
      <c r="K19" s="60">
        <f t="shared" ref="K19:V19" si="7">K$24-K14</f>
        <v>368.31301729597288</v>
      </c>
      <c r="L19" s="60">
        <f t="shared" si="7"/>
        <v>332.80311712909219</v>
      </c>
      <c r="M19" s="60">
        <f t="shared" si="7"/>
        <v>368.5469897508022</v>
      </c>
      <c r="N19" s="60">
        <f t="shared" si="7"/>
        <v>356.61467820678223</v>
      </c>
      <c r="O19" s="60">
        <f t="shared" si="7"/>
        <v>368.36064695720574</v>
      </c>
      <c r="P19" s="60">
        <f t="shared" si="7"/>
        <v>356.3774477085251</v>
      </c>
      <c r="Q19" s="60">
        <f t="shared" si="7"/>
        <v>368.30253904725566</v>
      </c>
      <c r="R19" s="60">
        <f t="shared" si="7"/>
        <v>368.44769699210104</v>
      </c>
      <c r="S19" s="60">
        <f t="shared" si="7"/>
        <v>356.65621575784195</v>
      </c>
      <c r="T19" s="60">
        <f t="shared" si="7"/>
        <v>368.51145175063328</v>
      </c>
      <c r="U19" s="60">
        <f t="shared" si="7"/>
        <v>356.48799250279706</v>
      </c>
      <c r="V19" s="60">
        <f t="shared" si="7"/>
        <v>368.25862486150197</v>
      </c>
    </row>
    <row r="20" spans="2:22" x14ac:dyDescent="0.2">
      <c r="B20" s="28">
        <f t="shared" si="3"/>
        <v>39823</v>
      </c>
      <c r="C20" s="11">
        <f t="shared" si="4"/>
        <v>10</v>
      </c>
      <c r="D20" s="18">
        <f t="shared" si="0"/>
        <v>-0.38534929062564854</v>
      </c>
      <c r="E20" s="18">
        <f t="shared" si="5"/>
        <v>12.119899907518203</v>
      </c>
      <c r="F20" s="18">
        <f t="shared" si="1"/>
        <v>12.119899907518203</v>
      </c>
      <c r="G20" s="18">
        <f t="shared" si="2"/>
        <v>12.119899907518203</v>
      </c>
      <c r="I20" s="17" t="s">
        <v>285</v>
      </c>
      <c r="J20" s="17"/>
      <c r="K20" s="60">
        <f t="shared" ref="K20:V20" si="8">K$24-K15</f>
        <v>368.31301729597288</v>
      </c>
      <c r="L20" s="60">
        <f t="shared" si="8"/>
        <v>332.80311712909219</v>
      </c>
      <c r="M20" s="60">
        <f t="shared" si="8"/>
        <v>368.5469897508022</v>
      </c>
      <c r="N20" s="60">
        <f t="shared" si="8"/>
        <v>356.61467820678223</v>
      </c>
      <c r="O20" s="60">
        <f t="shared" si="8"/>
        <v>368.36064695720574</v>
      </c>
      <c r="P20" s="60">
        <f t="shared" si="8"/>
        <v>356.3774477085251</v>
      </c>
      <c r="Q20" s="60">
        <f t="shared" si="8"/>
        <v>368.30253904725566</v>
      </c>
      <c r="R20" s="60">
        <f t="shared" si="8"/>
        <v>368.44769699210104</v>
      </c>
      <c r="S20" s="60">
        <f t="shared" si="8"/>
        <v>356.65621575784195</v>
      </c>
      <c r="T20" s="60">
        <f t="shared" si="8"/>
        <v>368.51145175063328</v>
      </c>
      <c r="U20" s="60">
        <f t="shared" si="8"/>
        <v>356.48799250279706</v>
      </c>
      <c r="V20" s="60">
        <f t="shared" si="8"/>
        <v>368.25862486150197</v>
      </c>
    </row>
    <row r="21" spans="2:22" x14ac:dyDescent="0.2">
      <c r="B21" s="28">
        <f t="shared" si="3"/>
        <v>39824</v>
      </c>
      <c r="C21" s="11">
        <f t="shared" si="4"/>
        <v>11</v>
      </c>
      <c r="D21" s="18">
        <f t="shared" si="0"/>
        <v>-0.38277939073452405</v>
      </c>
      <c r="E21" s="18">
        <f t="shared" si="5"/>
        <v>12.119775436026279</v>
      </c>
      <c r="F21" s="18">
        <f t="shared" si="1"/>
        <v>12.119775436026279</v>
      </c>
      <c r="G21" s="18">
        <f t="shared" si="2"/>
        <v>12.119775436026279</v>
      </c>
    </row>
    <row r="22" spans="2:22" x14ac:dyDescent="0.2">
      <c r="B22" s="28">
        <f t="shared" si="3"/>
        <v>39825</v>
      </c>
      <c r="C22" s="11">
        <f t="shared" si="4"/>
        <v>12</v>
      </c>
      <c r="D22" s="18">
        <f t="shared" si="0"/>
        <v>-0.38008521760868019</v>
      </c>
      <c r="E22" s="18">
        <f t="shared" si="5"/>
        <v>12.11964607022076</v>
      </c>
      <c r="F22" s="18">
        <f t="shared" si="1"/>
        <v>12.11964607022076</v>
      </c>
      <c r="G22" s="18">
        <f t="shared" si="2"/>
        <v>12.11964607022076</v>
      </c>
      <c r="L22" s="13"/>
    </row>
    <row r="23" spans="2:22" ht="14.1" customHeight="1" x14ac:dyDescent="0.25">
      <c r="B23" s="28">
        <f t="shared" si="3"/>
        <v>39826</v>
      </c>
      <c r="C23" s="11">
        <f t="shared" si="4"/>
        <v>13</v>
      </c>
      <c r="D23" s="18">
        <f t="shared" si="0"/>
        <v>-0.3772680626458555</v>
      </c>
      <c r="E23" s="18">
        <f t="shared" si="5"/>
        <v>12.119512024590072</v>
      </c>
      <c r="F23" s="18">
        <f t="shared" si="1"/>
        <v>12.119512024590072</v>
      </c>
      <c r="G23" s="18">
        <f t="shared" si="2"/>
        <v>12.119512024590072</v>
      </c>
      <c r="K23" s="15" t="s">
        <v>205</v>
      </c>
      <c r="L23" s="13"/>
    </row>
    <row r="24" spans="2:22" ht="14.1" customHeight="1" x14ac:dyDescent="0.2">
      <c r="B24" s="28">
        <f t="shared" si="3"/>
        <v>39827</v>
      </c>
      <c r="C24" s="11">
        <f t="shared" si="4"/>
        <v>14</v>
      </c>
      <c r="D24" s="18">
        <f t="shared" si="0"/>
        <v>-0.37432926838749264</v>
      </c>
      <c r="E24" s="18">
        <f t="shared" si="5"/>
        <v>12.119373519411068</v>
      </c>
      <c r="F24" s="18">
        <f t="shared" si="1"/>
        <v>12.119373519411068</v>
      </c>
      <c r="G24" s="18">
        <f t="shared" si="2"/>
        <v>12.119373519411068</v>
      </c>
      <c r="K24" s="11">
        <f>31*24</f>
        <v>744</v>
      </c>
      <c r="L24" s="11">
        <f>28*24</f>
        <v>672</v>
      </c>
      <c r="M24" s="11">
        <f>31*24</f>
        <v>744</v>
      </c>
      <c r="N24" s="11">
        <f>30*24</f>
        <v>720</v>
      </c>
      <c r="O24" s="11">
        <f>31*24</f>
        <v>744</v>
      </c>
      <c r="P24" s="11">
        <f>30*24</f>
        <v>720</v>
      </c>
      <c r="Q24" s="11">
        <f>31*24</f>
        <v>744</v>
      </c>
      <c r="R24" s="11">
        <f>31*24</f>
        <v>744</v>
      </c>
      <c r="S24" s="11">
        <f>30*24</f>
        <v>720</v>
      </c>
      <c r="T24" s="11">
        <f>31*24</f>
        <v>744</v>
      </c>
      <c r="U24" s="11">
        <f>30*24</f>
        <v>720</v>
      </c>
      <c r="V24" s="11">
        <f>31*24</f>
        <v>744</v>
      </c>
    </row>
    <row r="25" spans="2:22" ht="14.45" customHeight="1" x14ac:dyDescent="0.2">
      <c r="B25" s="28">
        <f t="shared" si="3"/>
        <v>39828</v>
      </c>
      <c r="C25" s="11">
        <f t="shared" si="4"/>
        <v>15</v>
      </c>
      <c r="D25" s="18">
        <f t="shared" si="0"/>
        <v>-0.37127022660879272</v>
      </c>
      <c r="E25" s="18">
        <f t="shared" si="5"/>
        <v>12.119230780171842</v>
      </c>
      <c r="F25" s="18">
        <f t="shared" si="1"/>
        <v>12.119230780171842</v>
      </c>
      <c r="G25" s="18">
        <f t="shared" si="2"/>
        <v>12.119230780171842</v>
      </c>
      <c r="I25" s="59"/>
      <c r="J25" s="59"/>
    </row>
    <row r="26" spans="2:22" ht="14.1" customHeight="1" x14ac:dyDescent="0.2">
      <c r="B26" s="28">
        <f t="shared" si="3"/>
        <v>39829</v>
      </c>
      <c r="C26" s="11">
        <f t="shared" si="4"/>
        <v>16</v>
      </c>
      <c r="D26" s="18">
        <f t="shared" si="0"/>
        <v>-0.36809237637756381</v>
      </c>
      <c r="E26" s="18">
        <f t="shared" si="5"/>
        <v>12.119084036994572</v>
      </c>
      <c r="F26" s="18">
        <f t="shared" si="1"/>
        <v>12.119084036994572</v>
      </c>
      <c r="G26" s="18">
        <f t="shared" si="2"/>
        <v>12.119084036994572</v>
      </c>
    </row>
    <row r="27" spans="2:22" x14ac:dyDescent="0.2">
      <c r="B27" s="28">
        <f t="shared" si="3"/>
        <v>39830</v>
      </c>
      <c r="C27" s="11">
        <f t="shared" si="4"/>
        <v>17</v>
      </c>
      <c r="D27" s="18">
        <f t="shared" si="0"/>
        <v>-0.36479720208847966</v>
      </c>
      <c r="E27" s="18">
        <f t="shared" si="5"/>
        <v>12.118933524060928</v>
      </c>
      <c r="F27" s="18">
        <f t="shared" si="1"/>
        <v>12.118933524060928</v>
      </c>
      <c r="G27" s="18">
        <f t="shared" si="2"/>
        <v>12.118933524060928</v>
      </c>
      <c r="K27" s="157" t="s">
        <v>525</v>
      </c>
      <c r="L27" s="157"/>
      <c r="M27" s="157"/>
      <c r="N27" s="157"/>
      <c r="O27" s="157"/>
      <c r="P27" s="157"/>
      <c r="Q27" s="157"/>
      <c r="R27" s="157"/>
      <c r="S27" s="157"/>
      <c r="T27" s="157"/>
      <c r="U27" s="157"/>
    </row>
    <row r="28" spans="2:22" x14ac:dyDescent="0.2">
      <c r="B28" s="28">
        <f t="shared" si="3"/>
        <v>39831</v>
      </c>
      <c r="C28" s="11">
        <f t="shared" si="4"/>
        <v>18</v>
      </c>
      <c r="D28" s="18">
        <f t="shared" si="0"/>
        <v>-0.36138623147924798</v>
      </c>
      <c r="E28" s="18">
        <f t="shared" si="5"/>
        <v>12.118779479042445</v>
      </c>
      <c r="F28" s="18">
        <f t="shared" si="1"/>
        <v>12.118779479042445</v>
      </c>
      <c r="G28" s="18">
        <f t="shared" si="2"/>
        <v>12.118779479042445</v>
      </c>
      <c r="K28" s="157"/>
      <c r="L28" s="157"/>
      <c r="M28" s="157"/>
      <c r="N28" s="157"/>
      <c r="O28" s="157"/>
      <c r="P28" s="157"/>
      <c r="Q28" s="157"/>
      <c r="R28" s="157"/>
      <c r="S28" s="157"/>
      <c r="T28" s="157"/>
      <c r="U28" s="157"/>
    </row>
    <row r="29" spans="2:22" x14ac:dyDescent="0.2">
      <c r="B29" s="28">
        <f t="shared" si="3"/>
        <v>39832</v>
      </c>
      <c r="C29" s="11">
        <f t="shared" si="4"/>
        <v>19</v>
      </c>
      <c r="D29" s="18">
        <f t="shared" si="0"/>
        <v>-0.35786103363502658</v>
      </c>
      <c r="E29" s="18">
        <f t="shared" si="5"/>
        <v>12.118622142538134</v>
      </c>
      <c r="F29" s="18">
        <f t="shared" si="1"/>
        <v>12.118622142538134</v>
      </c>
      <c r="G29" s="18">
        <f t="shared" si="2"/>
        <v>12.118622142538134</v>
      </c>
    </row>
    <row r="30" spans="2:22" x14ac:dyDescent="0.2">
      <c r="B30" s="28">
        <f t="shared" si="3"/>
        <v>39833</v>
      </c>
      <c r="C30" s="11">
        <f t="shared" si="4"/>
        <v>20</v>
      </c>
      <c r="D30" s="18">
        <f t="shared" si="0"/>
        <v>-0.35422321698724518</v>
      </c>
      <c r="E30" s="18">
        <f t="shared" si="5"/>
        <v>12.118461757521464</v>
      </c>
      <c r="F30" s="18">
        <f t="shared" si="1"/>
        <v>12.118461757521464</v>
      </c>
      <c r="G30" s="18">
        <f t="shared" si="2"/>
        <v>12.118461757521464</v>
      </c>
    </row>
    <row r="31" spans="2:22" x14ac:dyDescent="0.2">
      <c r="B31" s="28">
        <f t="shared" si="3"/>
        <v>39834</v>
      </c>
      <c r="C31" s="11">
        <f t="shared" si="4"/>
        <v>21</v>
      </c>
      <c r="D31" s="18">
        <f t="shared" si="0"/>
        <v>-0.35047442731277689</v>
      </c>
      <c r="E31" s="18">
        <f t="shared" si="5"/>
        <v>12.118298568798693</v>
      </c>
      <c r="F31" s="18">
        <f t="shared" si="1"/>
        <v>12.118298568798693</v>
      </c>
      <c r="G31" s="18">
        <f t="shared" si="2"/>
        <v>12.118298568798693</v>
      </c>
    </row>
    <row r="32" spans="2:22" x14ac:dyDescent="0.2">
      <c r="B32" s="28">
        <f t="shared" si="3"/>
        <v>39835</v>
      </c>
      <c r="C32" s="11">
        <f t="shared" si="4"/>
        <v>22</v>
      </c>
      <c r="D32" s="18">
        <f t="shared" si="0"/>
        <v>-0.34661634573917116</v>
      </c>
      <c r="E32" s="18">
        <f t="shared" si="5"/>
        <v>12.118132822480348</v>
      </c>
      <c r="F32" s="18">
        <f t="shared" si="1"/>
        <v>12.118132822480348</v>
      </c>
      <c r="G32" s="18">
        <f t="shared" si="2"/>
        <v>12.118132822480348</v>
      </c>
    </row>
    <row r="33" spans="2:21" x14ac:dyDescent="0.2">
      <c r="B33" s="28">
        <f t="shared" si="3"/>
        <v>39836</v>
      </c>
      <c r="C33" s="11">
        <f t="shared" si="4"/>
        <v>23</v>
      </c>
      <c r="D33" s="18">
        <f t="shared" si="0"/>
        <v>-0.34265068676140203</v>
      </c>
      <c r="E33" s="18">
        <f t="shared" si="5"/>
        <v>12.11796476546751</v>
      </c>
      <c r="F33" s="18">
        <f t="shared" si="1"/>
        <v>12.11796476546751</v>
      </c>
      <c r="G33" s="18">
        <f t="shared" si="2"/>
        <v>12.11796476546751</v>
      </c>
    </row>
    <row r="34" spans="2:21" x14ac:dyDescent="0.2">
      <c r="B34" s="28">
        <f t="shared" si="3"/>
        <v>39837</v>
      </c>
      <c r="C34" s="11">
        <f t="shared" si="4"/>
        <v>24</v>
      </c>
      <c r="D34" s="18">
        <f t="shared" si="0"/>
        <v>-0.33857919627531541</v>
      </c>
      <c r="E34" s="18">
        <f t="shared" si="5"/>
        <v>12.117794644954387</v>
      </c>
      <c r="F34" s="18">
        <f t="shared" si="1"/>
        <v>12.117794644954387</v>
      </c>
      <c r="G34" s="18">
        <f t="shared" si="2"/>
        <v>12.117794644954387</v>
      </c>
      <c r="K34" s="59"/>
      <c r="L34" s="59"/>
      <c r="M34" s="59"/>
      <c r="N34" s="59"/>
      <c r="O34" s="59"/>
      <c r="P34" s="59"/>
      <c r="Q34" s="59"/>
      <c r="R34" s="59"/>
      <c r="S34" s="59"/>
      <c r="T34" s="59"/>
      <c r="U34" s="59"/>
    </row>
    <row r="35" spans="2:21" x14ac:dyDescent="0.2">
      <c r="B35" s="28">
        <f t="shared" si="3"/>
        <v>39838</v>
      </c>
      <c r="C35" s="11">
        <f t="shared" si="4"/>
        <v>25</v>
      </c>
      <c r="D35" s="18">
        <f t="shared" si="0"/>
        <v>-0.33440364963266606</v>
      </c>
      <c r="E35" s="18">
        <f t="shared" si="5"/>
        <v>12.117622707948472</v>
      </c>
      <c r="F35" s="18">
        <f t="shared" si="1"/>
        <v>12.117622707948472</v>
      </c>
      <c r="G35" s="18">
        <f t="shared" si="2"/>
        <v>12.117622707948472</v>
      </c>
      <c r="K35" s="59"/>
      <c r="L35" s="59"/>
      <c r="M35" s="59"/>
      <c r="N35" s="59"/>
      <c r="O35" s="59"/>
      <c r="P35" s="59"/>
      <c r="Q35" s="59"/>
      <c r="R35" s="59"/>
      <c r="S35" s="59"/>
      <c r="T35" s="59"/>
      <c r="U35" s="59"/>
    </row>
    <row r="36" spans="2:21" x14ac:dyDescent="0.2">
      <c r="B36" s="28">
        <f t="shared" si="3"/>
        <v>39839</v>
      </c>
      <c r="C36" s="11">
        <f t="shared" si="4"/>
        <v>26</v>
      </c>
      <c r="D36" s="18">
        <f t="shared" si="0"/>
        <v>-0.3301258497223431</v>
      </c>
      <c r="E36" s="18">
        <f t="shared" si="5"/>
        <v>12.117449200809423</v>
      </c>
      <c r="F36" s="18">
        <f t="shared" si="1"/>
        <v>12.117449200809423</v>
      </c>
      <c r="G36" s="18">
        <f t="shared" si="2"/>
        <v>12.117449200809423</v>
      </c>
    </row>
    <row r="37" spans="2:21" x14ac:dyDescent="0.2">
      <c r="B37" s="28">
        <f t="shared" si="3"/>
        <v>39840</v>
      </c>
      <c r="C37" s="11">
        <f t="shared" si="4"/>
        <v>27</v>
      </c>
      <c r="D37" s="18">
        <f t="shared" si="0"/>
        <v>-0.32574762508206528</v>
      </c>
      <c r="E37" s="18">
        <f t="shared" si="5"/>
        <v>12.117274368807635</v>
      </c>
      <c r="F37" s="18">
        <f t="shared" si="1"/>
        <v>12.117274368807635</v>
      </c>
      <c r="G37" s="18">
        <f t="shared" si="2"/>
        <v>12.117274368807635</v>
      </c>
    </row>
    <row r="38" spans="2:21" x14ac:dyDescent="0.2">
      <c r="B38" s="28">
        <f t="shared" si="3"/>
        <v>39841</v>
      </c>
      <c r="C38" s="11">
        <f t="shared" si="4"/>
        <v>28</v>
      </c>
      <c r="D38" s="18">
        <f t="shared" si="0"/>
        <v>-0.32127082804451779</v>
      </c>
      <c r="E38" s="18">
        <f t="shared" si="5"/>
        <v>12.117098455703308</v>
      </c>
      <c r="F38" s="18">
        <f t="shared" si="1"/>
        <v>12.117098455703308</v>
      </c>
      <c r="G38" s="18">
        <f t="shared" si="2"/>
        <v>12.117098455703308</v>
      </c>
    </row>
    <row r="39" spans="2:21" x14ac:dyDescent="0.2">
      <c r="B39" s="28">
        <f t="shared" si="3"/>
        <v>39842</v>
      </c>
      <c r="C39" s="11">
        <f t="shared" si="4"/>
        <v>29</v>
      </c>
      <c r="D39" s="18">
        <f t="shared" si="0"/>
        <v>-0.3166973329215822</v>
      </c>
      <c r="E39" s="18">
        <f t="shared" si="5"/>
        <v>12.116921703346636</v>
      </c>
      <c r="F39" s="18">
        <f t="shared" si="1"/>
        <v>12.116921703346636</v>
      </c>
      <c r="G39" s="18">
        <f t="shared" si="2"/>
        <v>12.116921703346636</v>
      </c>
    </row>
    <row r="40" spans="2:21" x14ac:dyDescent="0.2">
      <c r="B40" s="28">
        <f t="shared" si="3"/>
        <v>39843</v>
      </c>
      <c r="C40" s="11">
        <f t="shared" si="4"/>
        <v>30</v>
      </c>
      <c r="D40" s="18">
        <f t="shared" si="0"/>
        <v>-0.31202903422998757</v>
      </c>
      <c r="E40" s="18">
        <f t="shared" si="5"/>
        <v>12.116744351299593</v>
      </c>
      <c r="F40" s="18">
        <f t="shared" si="1"/>
        <v>12.116744351299593</v>
      </c>
      <c r="G40" s="18">
        <f t="shared" si="2"/>
        <v>12.116744351299593</v>
      </c>
    </row>
    <row r="41" spans="2:21" x14ac:dyDescent="0.2">
      <c r="B41" s="28">
        <f t="shared" si="3"/>
        <v>39844</v>
      </c>
      <c r="C41" s="11">
        <f t="shared" si="4"/>
        <v>31</v>
      </c>
      <c r="D41" s="18">
        <f t="shared" si="0"/>
        <v>-0.30726784496139742</v>
      </c>
      <c r="E41" s="18">
        <f t="shared" si="5"/>
        <v>12.116566636479686</v>
      </c>
      <c r="F41" s="18">
        <f t="shared" si="1"/>
        <v>12.116566636479686</v>
      </c>
      <c r="G41" s="18">
        <f t="shared" si="2"/>
        <v>12.116566636479686</v>
      </c>
    </row>
    <row r="42" spans="2:21" x14ac:dyDescent="0.2">
      <c r="B42" s="28">
        <f t="shared" si="3"/>
        <v>39845</v>
      </c>
      <c r="C42" s="11">
        <f t="shared" si="4"/>
        <v>32</v>
      </c>
      <c r="D42" s="18">
        <f t="shared" si="0"/>
        <v>-0.30241569489962233</v>
      </c>
      <c r="E42" s="18">
        <f t="shared" si="5"/>
        <v>12.116388792825811</v>
      </c>
      <c r="F42" s="18">
        <f t="shared" si="1"/>
        <v>12.116388792825811</v>
      </c>
      <c r="G42" s="18">
        <f t="shared" si="2"/>
        <v>12.116388792825811</v>
      </c>
    </row>
    <row r="43" spans="2:21" x14ac:dyDescent="0.2">
      <c r="B43" s="28">
        <f t="shared" si="3"/>
        <v>39846</v>
      </c>
      <c r="C43" s="11">
        <f t="shared" si="4"/>
        <v>33</v>
      </c>
      <c r="D43" s="18">
        <f t="shared" si="0"/>
        <v>-0.29747452898734572</v>
      </c>
      <c r="E43" s="18">
        <f t="shared" si="5"/>
        <v>12.116211050986294</v>
      </c>
      <c r="F43" s="18">
        <f t="shared" si="1"/>
        <v>12.116211050986294</v>
      </c>
      <c r="G43" s="18">
        <f t="shared" si="2"/>
        <v>12.116211050986294</v>
      </c>
    </row>
    <row r="44" spans="2:21" x14ac:dyDescent="0.2">
      <c r="B44" s="28">
        <f t="shared" si="3"/>
        <v>39847</v>
      </c>
      <c r="C44" s="11">
        <f t="shared" si="4"/>
        <v>34</v>
      </c>
      <c r="D44" s="18">
        <f t="shared" si="0"/>
        <v>-0.2924463057444362</v>
      </c>
      <c r="E44" s="18">
        <f t="shared" si="5"/>
        <v>12.116033638029053</v>
      </c>
      <c r="F44" s="18">
        <f t="shared" si="1"/>
        <v>12.116033638029053</v>
      </c>
      <c r="G44" s="18">
        <f t="shared" si="2"/>
        <v>12.116033638029053</v>
      </c>
    </row>
    <row r="45" spans="2:21" x14ac:dyDescent="0.2">
      <c r="B45" s="28">
        <f t="shared" si="3"/>
        <v>39848</v>
      </c>
      <c r="C45" s="11">
        <f t="shared" si="4"/>
        <v>35</v>
      </c>
      <c r="D45" s="18">
        <f t="shared" si="0"/>
        <v>-0.28733299573963289</v>
      </c>
      <c r="E45" s="18">
        <f t="shared" si="5"/>
        <v>12.115856777173676</v>
      </c>
      <c r="F45" s="18">
        <f t="shared" si="1"/>
        <v>12.115856777173676</v>
      </c>
      <c r="G45" s="18">
        <f t="shared" si="2"/>
        <v>12.115856777173676</v>
      </c>
    </row>
    <row r="46" spans="2:21" x14ac:dyDescent="0.2">
      <c r="B46" s="28">
        <f t="shared" si="3"/>
        <v>39849</v>
      </c>
      <c r="C46" s="11">
        <f t="shared" si="4"/>
        <v>36</v>
      </c>
      <c r="D46" s="18">
        <f t="shared" si="0"/>
        <v>-0.28213658011709092</v>
      </c>
      <c r="E46" s="18">
        <f t="shared" si="5"/>
        <v>12.115680687545112</v>
      </c>
      <c r="F46" s="18">
        <f t="shared" si="1"/>
        <v>12.115680687545112</v>
      </c>
      <c r="G46" s="18">
        <f t="shared" si="2"/>
        <v>12.115680687545112</v>
      </c>
    </row>
    <row r="47" spans="2:21" x14ac:dyDescent="0.2">
      <c r="B47" s="28">
        <f t="shared" si="3"/>
        <v>39850</v>
      </c>
      <c r="C47" s="11">
        <f t="shared" si="4"/>
        <v>37</v>
      </c>
      <c r="D47" s="18">
        <f t="shared" si="0"/>
        <v>-0.27685904917901016</v>
      </c>
      <c r="E47" s="18">
        <f t="shared" si="5"/>
        <v>12.115505583948611</v>
      </c>
      <c r="F47" s="18">
        <f t="shared" si="1"/>
        <v>12.115505583948611</v>
      </c>
      <c r="G47" s="18">
        <f t="shared" si="2"/>
        <v>12.115505583948611</v>
      </c>
    </row>
    <row r="48" spans="2:21" x14ac:dyDescent="0.2">
      <c r="B48" s="28">
        <f t="shared" si="3"/>
        <v>39851</v>
      </c>
      <c r="C48" s="11">
        <f t="shared" si="4"/>
        <v>38</v>
      </c>
      <c r="D48" s="18">
        <f t="shared" si="0"/>
        <v>-0.27150240102529655</v>
      </c>
      <c r="E48" s="18">
        <f t="shared" si="5"/>
        <v>12.115331676665415</v>
      </c>
      <c r="F48" s="18">
        <f t="shared" si="1"/>
        <v>12.115331676665415</v>
      </c>
      <c r="G48" s="18">
        <f t="shared" si="2"/>
        <v>12.115331676665415</v>
      </c>
    </row>
    <row r="49" spans="2:7" x14ac:dyDescent="0.2">
      <c r="B49" s="28">
        <f t="shared" si="3"/>
        <v>39852</v>
      </c>
      <c r="C49" s="11">
        <f t="shared" si="4"/>
        <v>39</v>
      </c>
      <c r="D49" s="18">
        <f t="shared" si="0"/>
        <v>-0.26606864025095711</v>
      </c>
      <c r="E49" s="18">
        <f t="shared" si="5"/>
        <v>12.11515917126861</v>
      </c>
      <c r="F49" s="18">
        <f t="shared" si="1"/>
        <v>12.11515917126861</v>
      </c>
      <c r="G49" s="18">
        <f t="shared" si="2"/>
        <v>12.11515917126861</v>
      </c>
    </row>
    <row r="50" spans="2:7" x14ac:dyDescent="0.2">
      <c r="B50" s="28">
        <f t="shared" si="3"/>
        <v>39853</v>
      </c>
      <c r="C50" s="11">
        <f t="shared" si="4"/>
        <v>40</v>
      </c>
      <c r="D50" s="18">
        <f t="shared" si="0"/>
        <v>-0.26055977670168745</v>
      </c>
      <c r="E50" s="18">
        <f t="shared" si="5"/>
        <v>12.114988268458577</v>
      </c>
      <c r="F50" s="18">
        <f t="shared" si="1"/>
        <v>12.114988268458577</v>
      </c>
      <c r="G50" s="18">
        <f t="shared" si="2"/>
        <v>12.114988268458577</v>
      </c>
    </row>
    <row r="51" spans="2:7" x14ac:dyDescent="0.2">
      <c r="B51" s="28">
        <f t="shared" si="3"/>
        <v>39854</v>
      </c>
      <c r="C51" s="11">
        <f t="shared" si="4"/>
        <v>41</v>
      </c>
      <c r="D51" s="18">
        <f t="shared" si="0"/>
        <v>-0.2549778242878894</v>
      </c>
      <c r="E51" s="18">
        <f t="shared" si="5"/>
        <v>12.11481916391728</v>
      </c>
      <c r="F51" s="18">
        <f t="shared" si="1"/>
        <v>12.11481916391728</v>
      </c>
      <c r="G51" s="18">
        <f t="shared" si="2"/>
        <v>12.11481916391728</v>
      </c>
    </row>
    <row r="52" spans="2:7" x14ac:dyDescent="0.2">
      <c r="B52" s="28">
        <f t="shared" si="3"/>
        <v>39855</v>
      </c>
      <c r="C52" s="11">
        <f t="shared" si="4"/>
        <v>42</v>
      </c>
      <c r="D52" s="18">
        <f t="shared" si="0"/>
        <v>-0.24932479985713865</v>
      </c>
      <c r="E52" s="18">
        <f t="shared" si="5"/>
        <v>12.1146520481807</v>
      </c>
      <c r="F52" s="18">
        <f t="shared" si="1"/>
        <v>12.1146520481807</v>
      </c>
      <c r="G52" s="18">
        <f t="shared" si="2"/>
        <v>12.1146520481807</v>
      </c>
    </row>
    <row r="53" spans="2:7" x14ac:dyDescent="0.2">
      <c r="B53" s="28">
        <f t="shared" si="3"/>
        <v>39856</v>
      </c>
      <c r="C53" s="11">
        <f t="shared" si="4"/>
        <v>43</v>
      </c>
      <c r="D53" s="18">
        <f t="shared" si="0"/>
        <v>-0.24360272212492995</v>
      </c>
      <c r="E53" s="18">
        <f t="shared" si="5"/>
        <v>12.114487106528603</v>
      </c>
      <c r="F53" s="18">
        <f t="shared" si="1"/>
        <v>12.114487106528603</v>
      </c>
      <c r="G53" s="18">
        <f t="shared" si="2"/>
        <v>12.114487106528603</v>
      </c>
    </row>
    <row r="54" spans="2:7" x14ac:dyDescent="0.2">
      <c r="B54" s="28">
        <f t="shared" si="3"/>
        <v>39857</v>
      </c>
      <c r="C54" s="11">
        <f t="shared" si="4"/>
        <v>44</v>
      </c>
      <c r="D54" s="18">
        <f t="shared" si="0"/>
        <v>-0.2378136106633385</v>
      </c>
      <c r="E54" s="18">
        <f t="shared" si="5"/>
        <v>12.114324518890843</v>
      </c>
      <c r="F54" s="18">
        <f t="shared" si="1"/>
        <v>12.114324518890843</v>
      </c>
      <c r="G54" s="18">
        <f t="shared" si="2"/>
        <v>12.114324518890843</v>
      </c>
    </row>
    <row r="55" spans="2:7" x14ac:dyDescent="0.2">
      <c r="B55" s="28">
        <f t="shared" si="3"/>
        <v>39858</v>
      </c>
      <c r="C55" s="11">
        <f t="shared" si="4"/>
        <v>45</v>
      </c>
      <c r="D55" s="18">
        <f t="shared" si="0"/>
        <v>-0.23195948494707166</v>
      </c>
      <c r="E55" s="18">
        <f t="shared" si="5"/>
        <v>12.114164459769327</v>
      </c>
      <c r="F55" s="18">
        <f t="shared" si="1"/>
        <v>12.114164459769327</v>
      </c>
      <c r="G55" s="18">
        <f t="shared" si="2"/>
        <v>12.114164459769327</v>
      </c>
    </row>
    <row r="56" spans="2:7" x14ac:dyDescent="0.2">
      <c r="B56" s="28">
        <f t="shared" si="3"/>
        <v>39859</v>
      </c>
      <c r="C56" s="11">
        <f t="shared" si="4"/>
        <v>46</v>
      </c>
      <c r="D56" s="18">
        <f t="shared" si="0"/>
        <v>-0.22604236345622544</v>
      </c>
      <c r="E56" s="18">
        <f t="shared" si="5"/>
        <v>12.114007098174818</v>
      </c>
      <c r="F56" s="18">
        <f t="shared" si="1"/>
        <v>12.114007098174818</v>
      </c>
      <c r="G56" s="18">
        <f t="shared" si="2"/>
        <v>12.114007098174818</v>
      </c>
    </row>
    <row r="57" spans="2:7" x14ac:dyDescent="0.2">
      <c r="B57" s="28">
        <f t="shared" si="3"/>
        <v>39860</v>
      </c>
      <c r="C57" s="11">
        <f t="shared" si="4"/>
        <v>47</v>
      </c>
      <c r="D57" s="18">
        <f t="shared" si="0"/>
        <v>-0.22006426283491887</v>
      </c>
      <c r="E57" s="18">
        <f t="shared" si="5"/>
        <v>12.113852597577658</v>
      </c>
      <c r="F57" s="18">
        <f t="shared" si="1"/>
        <v>12.113852597577658</v>
      </c>
      <c r="G57" s="18">
        <f t="shared" si="2"/>
        <v>12.113852597577658</v>
      </c>
    </row>
    <row r="58" spans="2:7" x14ac:dyDescent="0.2">
      <c r="B58" s="28">
        <f t="shared" si="3"/>
        <v>39861</v>
      </c>
      <c r="C58" s="11">
        <f t="shared" si="4"/>
        <v>48</v>
      </c>
      <c r="D58" s="18">
        <f t="shared" si="0"/>
        <v>-0.21402719710485135</v>
      </c>
      <c r="E58" s="18">
        <f t="shared" si="5"/>
        <v>12.113701115871535</v>
      </c>
      <c r="F58" s="18">
        <f t="shared" si="1"/>
        <v>12.113701115871535</v>
      </c>
      <c r="G58" s="18">
        <f t="shared" si="2"/>
        <v>12.113701115871535</v>
      </c>
    </row>
    <row r="59" spans="2:7" x14ac:dyDescent="0.2">
      <c r="B59" s="28">
        <f t="shared" si="3"/>
        <v>39862</v>
      </c>
      <c r="C59" s="11">
        <f t="shared" si="4"/>
        <v>49</v>
      </c>
      <c r="D59" s="18">
        <f t="shared" si="0"/>
        <v>-0.20793317693271399</v>
      </c>
      <c r="E59" s="18">
        <f t="shared" si="5"/>
        <v>12.113552805349444</v>
      </c>
      <c r="F59" s="18">
        <f t="shared" si="1"/>
        <v>12.113552805349444</v>
      </c>
      <c r="G59" s="18">
        <f t="shared" si="2"/>
        <v>12.113552805349444</v>
      </c>
    </row>
    <row r="60" spans="2:7" x14ac:dyDescent="0.2">
      <c r="B60" s="28">
        <f t="shared" si="3"/>
        <v>39863</v>
      </c>
      <c r="C60" s="11">
        <f t="shared" si="4"/>
        <v>50</v>
      </c>
      <c r="D60" s="18">
        <f t="shared" si="0"/>
        <v>-0.20178420895027552</v>
      </c>
      <c r="E60" s="18">
        <f t="shared" si="5"/>
        <v>12.113407812690889</v>
      </c>
      <c r="F60" s="18">
        <f t="shared" si="1"/>
        <v>12.113407812690889</v>
      </c>
      <c r="G60" s="18">
        <f t="shared" si="2"/>
        <v>12.113407812690889</v>
      </c>
    </row>
    <row r="61" spans="2:7" x14ac:dyDescent="0.2">
      <c r="B61" s="28">
        <f t="shared" si="3"/>
        <v>39864</v>
      </c>
      <c r="C61" s="11">
        <f t="shared" si="4"/>
        <v>51</v>
      </c>
      <c r="D61" s="18">
        <f t="shared" si="0"/>
        <v>-0.19558229512587941</v>
      </c>
      <c r="E61" s="18">
        <f t="shared" si="5"/>
        <v>12.113266278959538</v>
      </c>
      <c r="F61" s="18">
        <f t="shared" si="1"/>
        <v>12.113266278959538</v>
      </c>
      <c r="G61" s="18">
        <f t="shared" si="2"/>
        <v>12.113266278959538</v>
      </c>
    </row>
    <row r="62" spans="2:7" x14ac:dyDescent="0.2">
      <c r="B62" s="28">
        <f t="shared" si="3"/>
        <v>39865</v>
      </c>
      <c r="C62" s="11">
        <f t="shared" si="4"/>
        <v>52</v>
      </c>
      <c r="D62" s="18">
        <f t="shared" si="0"/>
        <v>-0.18932943218600487</v>
      </c>
      <c r="E62" s="18">
        <f t="shared" si="5"/>
        <v>12.113128339610386</v>
      </c>
      <c r="F62" s="18">
        <f t="shared" si="1"/>
        <v>12.113128339610386</v>
      </c>
      <c r="G62" s="18">
        <f t="shared" si="2"/>
        <v>12.113128339610386</v>
      </c>
    </row>
    <row r="63" spans="2:7" x14ac:dyDescent="0.2">
      <c r="B63" s="28">
        <f t="shared" si="3"/>
        <v>39866</v>
      </c>
      <c r="C63" s="11">
        <f t="shared" si="4"/>
        <v>53</v>
      </c>
      <c r="D63" s="18">
        <f t="shared" si="0"/>
        <v>-0.18302761108547294</v>
      </c>
      <c r="E63" s="18">
        <f t="shared" si="5"/>
        <v>12.112994124505672</v>
      </c>
      <c r="F63" s="18">
        <f t="shared" si="1"/>
        <v>12.112994124505672</v>
      </c>
      <c r="G63" s="18">
        <f t="shared" si="2"/>
        <v>12.112994124505672</v>
      </c>
    </row>
    <row r="64" spans="2:7" x14ac:dyDescent="0.2">
      <c r="B64" s="28">
        <f t="shared" si="3"/>
        <v>39867</v>
      </c>
      <c r="C64" s="11">
        <f t="shared" si="4"/>
        <v>54</v>
      </c>
      <c r="D64" s="18">
        <f t="shared" si="0"/>
        <v>-0.17667881652482589</v>
      </c>
      <c r="E64" s="18">
        <f t="shared" si="5"/>
        <v>12.112863757938621</v>
      </c>
      <c r="F64" s="18">
        <f t="shared" si="1"/>
        <v>12.112863757938621</v>
      </c>
      <c r="G64" s="18">
        <f t="shared" si="2"/>
        <v>12.112863757938621</v>
      </c>
    </row>
    <row r="65" spans="2:7" x14ac:dyDescent="0.2">
      <c r="B65" s="28">
        <f t="shared" si="3"/>
        <v>39868</v>
      </c>
      <c r="C65" s="11">
        <f t="shared" si="4"/>
        <v>55</v>
      </c>
      <c r="D65" s="18">
        <f t="shared" si="0"/>
        <v>-0.17028502651334607</v>
      </c>
      <c r="E65" s="18">
        <f t="shared" si="5"/>
        <v>12.112737358664324</v>
      </c>
      <c r="F65" s="18">
        <f t="shared" si="1"/>
        <v>12.112737358664324</v>
      </c>
      <c r="G65" s="18">
        <f t="shared" si="2"/>
        <v>12.112737358664324</v>
      </c>
    </row>
    <row r="66" spans="2:7" x14ac:dyDescent="0.2">
      <c r="B66" s="28">
        <f t="shared" si="3"/>
        <v>39869</v>
      </c>
      <c r="C66" s="11">
        <f t="shared" si="4"/>
        <v>56</v>
      </c>
      <c r="D66" s="18">
        <f t="shared" si="0"/>
        <v>-0.1638482119761564</v>
      </c>
      <c r="E66" s="18">
        <f t="shared" si="5"/>
        <v>12.112615039936889</v>
      </c>
      <c r="F66" s="18">
        <f t="shared" si="1"/>
        <v>12.112615039936889</v>
      </c>
      <c r="G66" s="18">
        <f t="shared" si="2"/>
        <v>12.112615039936889</v>
      </c>
    </row>
    <row r="67" spans="2:7" x14ac:dyDescent="0.2">
      <c r="B67" s="28">
        <f t="shared" si="3"/>
        <v>39870</v>
      </c>
      <c r="C67" s="11">
        <f t="shared" si="4"/>
        <v>57</v>
      </c>
      <c r="D67" s="18">
        <f t="shared" si="0"/>
        <v>-0.15737033640379361</v>
      </c>
      <c r="E67" s="18">
        <f t="shared" si="5"/>
        <v>12.112496909552172</v>
      </c>
      <c r="F67" s="18">
        <f t="shared" si="1"/>
        <v>12.112496909552172</v>
      </c>
      <c r="G67" s="18">
        <f t="shared" si="2"/>
        <v>12.112496909552172</v>
      </c>
    </row>
    <row r="68" spans="2:7" x14ac:dyDescent="0.2">
      <c r="B68" s="28">
        <f t="shared" si="3"/>
        <v>39871</v>
      </c>
      <c r="C68" s="11">
        <f t="shared" si="4"/>
        <v>58</v>
      </c>
      <c r="D68" s="18">
        <f t="shared" si="0"/>
        <v>-0.15085335554263429</v>
      </c>
      <c r="E68" s="18">
        <f t="shared" si="5"/>
        <v>12.112383069895344</v>
      </c>
      <c r="F68" s="18">
        <f t="shared" si="1"/>
        <v>12.112383069895344</v>
      </c>
      <c r="G68" s="18">
        <f t="shared" si="2"/>
        <v>12.112383069895344</v>
      </c>
    </row>
    <row r="69" spans="2:7" x14ac:dyDescent="0.2">
      <c r="B69" s="28">
        <f t="shared" si="3"/>
        <v>39872</v>
      </c>
      <c r="C69" s="11">
        <f t="shared" si="4"/>
        <v>59</v>
      </c>
      <c r="D69" s="18">
        <f t="shared" si="0"/>
        <v>-0.14429921712452506</v>
      </c>
      <c r="E69" s="18">
        <f t="shared" si="5"/>
        <v>12.112273617992598</v>
      </c>
      <c r="F69" s="18">
        <f t="shared" si="1"/>
        <v>12.112273617992598</v>
      </c>
      <c r="G69" s="18">
        <f t="shared" si="2"/>
        <v>12.112273617992598</v>
      </c>
    </row>
    <row r="70" spans="2:7" x14ac:dyDescent="0.2">
      <c r="B70" s="28">
        <f t="shared" si="3"/>
        <v>39873</v>
      </c>
      <c r="C70" s="11">
        <f t="shared" si="4"/>
        <v>60</v>
      </c>
      <c r="D70" s="18">
        <f t="shared" si="0"/>
        <v>-0.13770986063396565</v>
      </c>
      <c r="E70" s="18">
        <f t="shared" si="5"/>
        <v>12.112168645566385</v>
      </c>
      <c r="F70" s="18">
        <f t="shared" si="1"/>
        <v>12.112168645566385</v>
      </c>
      <c r="G70" s="18">
        <f t="shared" si="2"/>
        <v>12.112168645566385</v>
      </c>
    </row>
    <row r="71" spans="2:7" x14ac:dyDescent="0.2">
      <c r="B71" s="28">
        <f t="shared" si="3"/>
        <v>39874</v>
      </c>
      <c r="C71" s="11">
        <f t="shared" si="4"/>
        <v>61</v>
      </c>
      <c r="D71" s="18">
        <f t="shared" si="0"/>
        <v>-0.13108721711117857</v>
      </c>
      <c r="E71" s="18">
        <f t="shared" si="5"/>
        <v>12.112068239093484</v>
      </c>
      <c r="F71" s="18">
        <f t="shared" si="1"/>
        <v>12.112068239093484</v>
      </c>
      <c r="G71" s="18">
        <f t="shared" si="2"/>
        <v>12.112068239093484</v>
      </c>
    </row>
    <row r="72" spans="2:7" x14ac:dyDescent="0.2">
      <c r="B72" s="28">
        <f t="shared" si="3"/>
        <v>39875</v>
      </c>
      <c r="C72" s="11">
        <f t="shared" si="4"/>
        <v>62</v>
      </c>
      <c r="D72" s="18">
        <f t="shared" si="0"/>
        <v>-0.12443320898940256</v>
      </c>
      <c r="E72" s="18">
        <f t="shared" si="5"/>
        <v>12.111972479865386</v>
      </c>
      <c r="F72" s="18">
        <f t="shared" si="1"/>
        <v>12.111972479865386</v>
      </c>
      <c r="G72" s="18">
        <f t="shared" si="2"/>
        <v>12.111972479865386</v>
      </c>
    </row>
    <row r="73" spans="2:7" x14ac:dyDescent="0.2">
      <c r="B73" s="28">
        <f t="shared" si="3"/>
        <v>39876</v>
      </c>
      <c r="C73" s="11">
        <f t="shared" si="4"/>
        <v>63</v>
      </c>
      <c r="D73" s="18">
        <f t="shared" si="0"/>
        <v>-0.11774974996475297</v>
      </c>
      <c r="E73" s="18">
        <f t="shared" si="5"/>
        <v>12.111881444050377</v>
      </c>
      <c r="F73" s="18">
        <f t="shared" si="1"/>
        <v>12.111881444050377</v>
      </c>
      <c r="G73" s="18">
        <f t="shared" si="2"/>
        <v>12.111881444050377</v>
      </c>
    </row>
    <row r="74" spans="2:7" x14ac:dyDescent="0.2">
      <c r="B74" s="28">
        <f t="shared" si="3"/>
        <v>39877</v>
      </c>
      <c r="C74" s="11">
        <f t="shared" si="4"/>
        <v>64</v>
      </c>
      <c r="D74" s="18">
        <f t="shared" si="0"/>
        <v>-0.11103874489699148</v>
      </c>
      <c r="E74" s="18">
        <f t="shared" si="5"/>
        <v>12.111795202756822</v>
      </c>
      <c r="F74" s="18">
        <f t="shared" si="1"/>
        <v>12.111795202756822</v>
      </c>
      <c r="G74" s="18">
        <f t="shared" si="2"/>
        <v>12.111795202756822</v>
      </c>
    </row>
    <row r="75" spans="2:7" x14ac:dyDescent="0.2">
      <c r="B75" s="28">
        <f t="shared" si="3"/>
        <v>39878</v>
      </c>
      <c r="C75" s="11">
        <f t="shared" si="4"/>
        <v>65</v>
      </c>
      <c r="D75" s="18">
        <f t="shared" ref="D75:D138" si="9">ASIN(0.39795*COS(0.2163108+2*ATAN(0.9671396*TAN(0.0086*(C75-186)))))</f>
        <v>-0.10430208973957018</v>
      </c>
      <c r="E75" s="18">
        <f t="shared" si="5"/>
        <v>12.111713822097155</v>
      </c>
      <c r="F75" s="18">
        <f t="shared" ref="F75:F138" si="10">24-(24/PI())*ACOS((SIN(0.8333*PI()/180)+SIN($D$5*PI()/180)*SIN($D75))/(COS($D$5*PI()/180)*COS($D75)))</f>
        <v>12.111713822097155</v>
      </c>
      <c r="G75" s="18">
        <f t="shared" ref="G75:G138" si="11">24-(24/PI())*ACOS((SIN(0.8333*PI()/180)+SIN($D$6*PI()/180)*SIN($D75))/(COS($D$6*PI()/180)*COS($D75)))</f>
        <v>12.111713822097155</v>
      </c>
    </row>
    <row r="76" spans="2:7" x14ac:dyDescent="0.2">
      <c r="B76" s="28">
        <f t="shared" ref="B76:B139" si="12">B75+1</f>
        <v>39879</v>
      </c>
      <c r="C76" s="11">
        <f t="shared" ref="C76:C139" si="13">C75+1</f>
        <v>66</v>
      </c>
      <c r="D76" s="18">
        <f t="shared" si="9"/>
        <v>-9.7541671497316948E-2</v>
      </c>
      <c r="E76" s="18">
        <f t="shared" ref="E76:E139" si="14">24-(24/PI())*ACOS((SIN(0.8333*PI()/180)+SIN($D$4*PI()/180)*SIN(D76))/(COS($D$4*PI()/180)*COS(D76)))</f>
        <v>12.111637363252107</v>
      </c>
      <c r="F76" s="18">
        <f t="shared" si="10"/>
        <v>12.111637363252107</v>
      </c>
      <c r="G76" s="18">
        <f t="shared" si="11"/>
        <v>12.111637363252107</v>
      </c>
    </row>
    <row r="77" spans="2:7" x14ac:dyDescent="0.2">
      <c r="B77" s="28">
        <f t="shared" si="12"/>
        <v>39880</v>
      </c>
      <c r="C77" s="11">
        <f t="shared" si="13"/>
        <v>67</v>
      </c>
      <c r="D77" s="18">
        <f t="shared" si="9"/>
        <v>-9.0759368210158148E-2</v>
      </c>
      <c r="E77" s="18">
        <f t="shared" si="14"/>
        <v>12.111565882534752</v>
      </c>
      <c r="F77" s="18">
        <f t="shared" si="10"/>
        <v>12.111565882534752</v>
      </c>
      <c r="G77" s="18">
        <f t="shared" si="11"/>
        <v>12.111565882534752</v>
      </c>
    </row>
    <row r="78" spans="2:7" x14ac:dyDescent="0.2">
      <c r="B78" s="28">
        <f t="shared" si="12"/>
        <v>39881</v>
      </c>
      <c r="C78" s="11">
        <f t="shared" si="13"/>
        <v>68</v>
      </c>
      <c r="D78" s="18">
        <f t="shared" si="9"/>
        <v>-8.3957048961284669E-2</v>
      </c>
      <c r="E78" s="18">
        <f t="shared" si="14"/>
        <v>12.111499431453959</v>
      </c>
      <c r="F78" s="18">
        <f t="shared" si="10"/>
        <v>12.111499431453959</v>
      </c>
      <c r="G78" s="18">
        <f t="shared" si="11"/>
        <v>12.111499431453959</v>
      </c>
    </row>
    <row r="79" spans="2:7" x14ac:dyDescent="0.2">
      <c r="B79" s="28">
        <f t="shared" si="12"/>
        <v>39882</v>
      </c>
      <c r="C79" s="11">
        <f t="shared" si="13"/>
        <v>69</v>
      </c>
      <c r="D79" s="18">
        <f t="shared" si="9"/>
        <v>-7.713657390819266E-2</v>
      </c>
      <c r="E79" s="18">
        <f t="shared" si="14"/>
        <v>12.111438056776915</v>
      </c>
      <c r="F79" s="18">
        <f t="shared" si="10"/>
        <v>12.111438056776915</v>
      </c>
      <c r="G79" s="18">
        <f t="shared" si="11"/>
        <v>12.111438056776915</v>
      </c>
    </row>
    <row r="80" spans="2:7" x14ac:dyDescent="0.2">
      <c r="B80" s="28">
        <f t="shared" si="12"/>
        <v>39883</v>
      </c>
      <c r="C80" s="11">
        <f t="shared" si="13"/>
        <v>70</v>
      </c>
      <c r="D80" s="18">
        <f t="shared" si="9"/>
        <v>-7.0299794335051582E-2</v>
      </c>
      <c r="E80" s="18">
        <f t="shared" si="14"/>
        <v>12.11138180059034</v>
      </c>
      <c r="F80" s="18">
        <f t="shared" si="10"/>
        <v>12.11138180059034</v>
      </c>
      <c r="G80" s="18">
        <f t="shared" si="11"/>
        <v>12.11138180059034</v>
      </c>
    </row>
    <row r="81" spans="2:7" x14ac:dyDescent="0.2">
      <c r="B81" s="28">
        <f t="shared" si="12"/>
        <v>39884</v>
      </c>
      <c r="C81" s="11">
        <f t="shared" si="13"/>
        <v>71</v>
      </c>
      <c r="D81" s="18">
        <f t="shared" si="9"/>
        <v>-6.3448552724877982E-2</v>
      </c>
      <c r="E81" s="18">
        <f t="shared" si="14"/>
        <v>12.111330700360142</v>
      </c>
      <c r="F81" s="18">
        <f t="shared" si="10"/>
        <v>12.111330700360142</v>
      </c>
      <c r="G81" s="18">
        <f t="shared" si="11"/>
        <v>12.111330700360142</v>
      </c>
    </row>
    <row r="82" spans="2:7" x14ac:dyDescent="0.2">
      <c r="B82" s="28">
        <f t="shared" si="12"/>
        <v>39885</v>
      </c>
      <c r="C82" s="11">
        <f t="shared" si="13"/>
        <v>72</v>
      </c>
      <c r="D82" s="18">
        <f t="shared" si="9"/>
        <v>-5.6584682850013432E-2</v>
      </c>
      <c r="E82" s="18">
        <f t="shared" si="14"/>
        <v>12.111284788989186</v>
      </c>
      <c r="F82" s="18">
        <f t="shared" si="10"/>
        <v>12.111284788989186</v>
      </c>
      <c r="G82" s="18">
        <f t="shared" si="11"/>
        <v>12.111284788989186</v>
      </c>
    </row>
    <row r="83" spans="2:7" x14ac:dyDescent="0.2">
      <c r="B83" s="28">
        <f t="shared" si="12"/>
        <v>39886</v>
      </c>
      <c r="C83" s="11">
        <f t="shared" si="13"/>
        <v>73</v>
      </c>
      <c r="D83" s="18">
        <f t="shared" si="9"/>
        <v>-4.9710009879434795E-2</v>
      </c>
      <c r="E83" s="18">
        <f t="shared" si="14"/>
        <v>12.111244094872967</v>
      </c>
      <c r="F83" s="18">
        <f t="shared" si="10"/>
        <v>12.111244094872967</v>
      </c>
      <c r="G83" s="18">
        <f t="shared" si="11"/>
        <v>12.111244094872967</v>
      </c>
    </row>
    <row r="84" spans="2:7" x14ac:dyDescent="0.2">
      <c r="B84" s="28">
        <f t="shared" si="12"/>
        <v>39887</v>
      </c>
      <c r="C84" s="11">
        <f t="shared" si="13"/>
        <v>74</v>
      </c>
      <c r="D84" s="18">
        <f t="shared" si="9"/>
        <v>-4.2826350501447133E-2</v>
      </c>
      <c r="E84" s="18">
        <f t="shared" si="14"/>
        <v>12.111208641952951</v>
      </c>
      <c r="F84" s="18">
        <f t="shared" si="10"/>
        <v>12.111208641952951</v>
      </c>
      <c r="G84" s="18">
        <f t="shared" si="11"/>
        <v>12.111208641952951</v>
      </c>
    </row>
    <row r="85" spans="2:7" x14ac:dyDescent="0.2">
      <c r="B85" s="28">
        <f t="shared" si="12"/>
        <v>39888</v>
      </c>
      <c r="C85" s="11">
        <f t="shared" si="13"/>
        <v>75</v>
      </c>
      <c r="D85" s="18">
        <f t="shared" si="9"/>
        <v>-3.5935513060334934E-2</v>
      </c>
      <c r="E85" s="18">
        <f t="shared" si="14"/>
        <v>12.111178449767387</v>
      </c>
      <c r="F85" s="18">
        <f t="shared" si="10"/>
        <v>12.111178449767387</v>
      </c>
      <c r="G85" s="18">
        <f t="shared" si="11"/>
        <v>12.111178449767387</v>
      </c>
    </row>
    <row r="86" spans="2:7" x14ac:dyDescent="0.2">
      <c r="B86" s="28">
        <f t="shared" si="12"/>
        <v>39889</v>
      </c>
      <c r="C86" s="11">
        <f t="shared" si="13"/>
        <v>76</v>
      </c>
      <c r="D86" s="18">
        <f t="shared" si="9"/>
        <v>-2.9039297705575597E-2</v>
      </c>
      <c r="E86" s="18">
        <f t="shared" si="14"/>
        <v>12.111153533499433</v>
      </c>
      <c r="F86" s="18">
        <f t="shared" si="10"/>
        <v>12.111153533499433</v>
      </c>
      <c r="G86" s="18">
        <f t="shared" si="11"/>
        <v>12.111153533499433</v>
      </c>
    </row>
    <row r="87" spans="2:7" x14ac:dyDescent="0.2">
      <c r="B87" s="28">
        <f t="shared" si="12"/>
        <v>39890</v>
      </c>
      <c r="C87" s="11">
        <f t="shared" si="13"/>
        <v>77</v>
      </c>
      <c r="D87" s="18">
        <f t="shared" si="9"/>
        <v>-2.213949655223783E-2</v>
      </c>
      <c r="E87" s="18">
        <f t="shared" si="14"/>
        <v>12.111133904022461</v>
      </c>
      <c r="F87" s="18">
        <f t="shared" si="10"/>
        <v>12.111133904022461</v>
      </c>
      <c r="G87" s="18">
        <f t="shared" si="11"/>
        <v>12.111133904022461</v>
      </c>
    </row>
    <row r="88" spans="2:7" x14ac:dyDescent="0.2">
      <c r="B88" s="28">
        <f t="shared" si="12"/>
        <v>39891</v>
      </c>
      <c r="C88" s="11">
        <f t="shared" si="13"/>
        <v>78</v>
      </c>
      <c r="D88" s="18">
        <f t="shared" si="9"/>
        <v>-1.5237893851218381E-2</v>
      </c>
      <c r="E88" s="18">
        <f t="shared" si="14"/>
        <v>12.111119567942399</v>
      </c>
      <c r="F88" s="18">
        <f t="shared" si="10"/>
        <v>12.111119567942399</v>
      </c>
      <c r="G88" s="18">
        <f t="shared" si="11"/>
        <v>12.111119567942399</v>
      </c>
    </row>
    <row r="89" spans="2:7" x14ac:dyDescent="0.2">
      <c r="B89" s="28">
        <f t="shared" si="12"/>
        <v>39892</v>
      </c>
      <c r="C89" s="11">
        <f t="shared" si="13"/>
        <v>79</v>
      </c>
      <c r="D89" s="18">
        <f t="shared" si="9"/>
        <v>-8.3362661679892199E-3</v>
      </c>
      <c r="E89" s="18">
        <f t="shared" si="14"/>
        <v>12.111110527637029</v>
      </c>
      <c r="F89" s="18">
        <f t="shared" si="10"/>
        <v>12.111110527637029</v>
      </c>
      <c r="G89" s="18">
        <f t="shared" si="11"/>
        <v>12.111110527637029</v>
      </c>
    </row>
    <row r="90" spans="2:7" x14ac:dyDescent="0.2">
      <c r="B90" s="28">
        <f t="shared" si="12"/>
        <v>39893</v>
      </c>
      <c r="C90" s="11">
        <f t="shared" si="13"/>
        <v>80</v>
      </c>
      <c r="D90" s="18">
        <f t="shared" si="9"/>
        <v>-1.4363825685515439E-3</v>
      </c>
      <c r="E90" s="18">
        <f t="shared" si="14"/>
        <v>12.111106781292202</v>
      </c>
      <c r="F90" s="18">
        <f t="shared" si="10"/>
        <v>12.111106781292202</v>
      </c>
      <c r="G90" s="18">
        <f t="shared" si="11"/>
        <v>12.111106781292202</v>
      </c>
    </row>
    <row r="91" spans="2:7" x14ac:dyDescent="0.2">
      <c r="B91" s="28">
        <f t="shared" si="12"/>
        <v>39894</v>
      </c>
      <c r="C91" s="11">
        <f t="shared" si="13"/>
        <v>81</v>
      </c>
      <c r="D91" s="18">
        <f t="shared" si="9"/>
        <v>5.4599951886842163E-3</v>
      </c>
      <c r="E91" s="18">
        <f t="shared" si="14"/>
        <v>12.111108322934856</v>
      </c>
      <c r="F91" s="18">
        <f t="shared" si="10"/>
        <v>12.111108322934856</v>
      </c>
      <c r="G91" s="18">
        <f t="shared" si="11"/>
        <v>12.111108322934856</v>
      </c>
    </row>
    <row r="92" spans="2:7" x14ac:dyDescent="0.2">
      <c r="B92" s="28">
        <f t="shared" si="12"/>
        <v>39895</v>
      </c>
      <c r="C92" s="11">
        <f t="shared" si="13"/>
        <v>82</v>
      </c>
      <c r="D92" s="18">
        <f t="shared" si="9"/>
        <v>1.2351112456354419E-2</v>
      </c>
      <c r="E92" s="18">
        <f t="shared" si="14"/>
        <v>12.111115142462886</v>
      </c>
      <c r="F92" s="18">
        <f t="shared" si="10"/>
        <v>12.111115142462886</v>
      </c>
      <c r="G92" s="18">
        <f t="shared" si="11"/>
        <v>12.111115142462886</v>
      </c>
    </row>
    <row r="93" spans="2:7" x14ac:dyDescent="0.2">
      <c r="B93" s="28">
        <f t="shared" si="12"/>
        <v>39896</v>
      </c>
      <c r="C93" s="11">
        <f t="shared" si="13"/>
        <v>83</v>
      </c>
      <c r="D93" s="18">
        <f t="shared" si="9"/>
        <v>1.9235221498175616E-2</v>
      </c>
      <c r="E93" s="18">
        <f t="shared" si="14"/>
        <v>12.11112722567179</v>
      </c>
      <c r="F93" s="18">
        <f t="shared" si="10"/>
        <v>12.11112722567179</v>
      </c>
      <c r="G93" s="18">
        <f t="shared" si="11"/>
        <v>12.11112722567179</v>
      </c>
    </row>
    <row r="94" spans="2:7" x14ac:dyDescent="0.2">
      <c r="B94" s="28">
        <f t="shared" si="12"/>
        <v>39897</v>
      </c>
      <c r="C94" s="11">
        <f t="shared" si="13"/>
        <v>84</v>
      </c>
      <c r="D94" s="18">
        <f t="shared" si="9"/>
        <v>2.6110581286776003E-2</v>
      </c>
      <c r="E94" s="18">
        <f t="shared" si="14"/>
        <v>12.111144554278175</v>
      </c>
      <c r="F94" s="18">
        <f t="shared" si="10"/>
        <v>12.111144554278175</v>
      </c>
      <c r="G94" s="18">
        <f t="shared" si="11"/>
        <v>12.111144554278175</v>
      </c>
    </row>
    <row r="95" spans="2:7" x14ac:dyDescent="0.2">
      <c r="B95" s="28">
        <f t="shared" si="12"/>
        <v>39898</v>
      </c>
      <c r="C95" s="11">
        <f t="shared" si="13"/>
        <v>85</v>
      </c>
      <c r="D95" s="18">
        <f t="shared" si="9"/>
        <v>3.2975457300531918E-2</v>
      </c>
      <c r="E95" s="18">
        <f t="shared" si="14"/>
        <v>12.111167105940114</v>
      </c>
      <c r="F95" s="18">
        <f t="shared" si="10"/>
        <v>12.111167105940114</v>
      </c>
      <c r="G95" s="18">
        <f t="shared" si="11"/>
        <v>12.111167105940114</v>
      </c>
    </row>
    <row r="96" spans="2:7" x14ac:dyDescent="0.2">
      <c r="B96" s="28">
        <f t="shared" si="12"/>
        <v>39899</v>
      </c>
      <c r="C96" s="11">
        <f t="shared" si="13"/>
        <v>86</v>
      </c>
      <c r="D96" s="18">
        <f t="shared" si="9"/>
        <v>3.9828121320597591E-2</v>
      </c>
      <c r="E96" s="18">
        <f t="shared" si="14"/>
        <v>12.111194854274414</v>
      </c>
      <c r="F96" s="18">
        <f t="shared" si="10"/>
        <v>12.111194854274414</v>
      </c>
      <c r="G96" s="18">
        <f t="shared" si="11"/>
        <v>12.111194854274414</v>
      </c>
    </row>
    <row r="97" spans="2:7" x14ac:dyDescent="0.2">
      <c r="B97" s="28">
        <f t="shared" si="12"/>
        <v>39900</v>
      </c>
      <c r="C97" s="11">
        <f t="shared" si="13"/>
        <v>87</v>
      </c>
      <c r="D97" s="18">
        <f t="shared" si="9"/>
        <v>4.6666851229297958E-2</v>
      </c>
      <c r="E97" s="18">
        <f t="shared" si="14"/>
        <v>12.111227768870908</v>
      </c>
      <c r="F97" s="18">
        <f t="shared" si="10"/>
        <v>12.111227768870908</v>
      </c>
      <c r="G97" s="18">
        <f t="shared" si="11"/>
        <v>12.111227768870908</v>
      </c>
    </row>
    <row r="98" spans="2:7" x14ac:dyDescent="0.2">
      <c r="B98" s="28">
        <f t="shared" si="12"/>
        <v>39901</v>
      </c>
      <c r="C98" s="11">
        <f t="shared" si="13"/>
        <v>88</v>
      </c>
      <c r="D98" s="18">
        <f t="shared" si="9"/>
        <v>5.3489930811048164E-2</v>
      </c>
      <c r="E98" s="18">
        <f t="shared" si="14"/>
        <v>12.111265815303822</v>
      </c>
      <c r="F98" s="18">
        <f t="shared" si="10"/>
        <v>12.111265815303822</v>
      </c>
      <c r="G98" s="18">
        <f t="shared" si="11"/>
        <v>12.111265815303822</v>
      </c>
    </row>
    <row r="99" spans="2:7" x14ac:dyDescent="0.2">
      <c r="B99" s="28">
        <f t="shared" si="12"/>
        <v>39902</v>
      </c>
      <c r="C99" s="11">
        <f t="shared" si="13"/>
        <v>89</v>
      </c>
      <c r="D99" s="18">
        <f t="shared" si="9"/>
        <v>6.0295649556938738E-2</v>
      </c>
      <c r="E99" s="18">
        <f t="shared" si="14"/>
        <v>12.111308955140373</v>
      </c>
      <c r="F99" s="18">
        <f t="shared" si="10"/>
        <v>12.111308955140373</v>
      </c>
      <c r="G99" s="18">
        <f t="shared" si="11"/>
        <v>12.111308955140373</v>
      </c>
    </row>
    <row r="100" spans="2:7" x14ac:dyDescent="0.2">
      <c r="B100" s="28">
        <f t="shared" si="12"/>
        <v>39903</v>
      </c>
      <c r="C100" s="11">
        <f t="shared" si="13"/>
        <v>90</v>
      </c>
      <c r="D100" s="18">
        <f t="shared" si="9"/>
        <v>6.7082302474124111E-2</v>
      </c>
      <c r="E100" s="18">
        <f t="shared" si="14"/>
        <v>12.111357145946684</v>
      </c>
      <c r="F100" s="18">
        <f t="shared" si="10"/>
        <v>12.111357145946684</v>
      </c>
      <c r="G100" s="18">
        <f t="shared" si="11"/>
        <v>12.111357145946684</v>
      </c>
    </row>
    <row r="101" spans="2:7" x14ac:dyDescent="0.2">
      <c r="B101" s="28">
        <f t="shared" si="12"/>
        <v>39904</v>
      </c>
      <c r="C101" s="11">
        <f t="shared" si="13"/>
        <v>91</v>
      </c>
      <c r="D101" s="18">
        <f t="shared" si="9"/>
        <v>7.384818990113233E-2</v>
      </c>
      <c r="E101" s="18">
        <f t="shared" si="14"/>
        <v>12.111410341291215</v>
      </c>
      <c r="F101" s="18">
        <f t="shared" si="10"/>
        <v>12.111410341291215</v>
      </c>
      <c r="G101" s="18">
        <f t="shared" si="11"/>
        <v>12.111410341291215</v>
      </c>
    </row>
    <row r="102" spans="2:7" x14ac:dyDescent="0.2">
      <c r="B102" s="28">
        <f t="shared" si="12"/>
        <v>39905</v>
      </c>
      <c r="C102" s="11">
        <f t="shared" si="13"/>
        <v>92</v>
      </c>
      <c r="D102" s="18">
        <f t="shared" si="9"/>
        <v>8.0591617330206269E-2</v>
      </c>
      <c r="E102" s="18">
        <f t="shared" si="14"/>
        <v>12.111468490745871</v>
      </c>
      <c r="F102" s="18">
        <f t="shared" si="10"/>
        <v>12.111468490745871</v>
      </c>
      <c r="G102" s="18">
        <f t="shared" si="11"/>
        <v>12.111468490745871</v>
      </c>
    </row>
    <row r="103" spans="2:7" x14ac:dyDescent="0.2">
      <c r="B103" s="28">
        <f t="shared" si="12"/>
        <v>39906</v>
      </c>
      <c r="C103" s="11">
        <f t="shared" si="13"/>
        <v>93</v>
      </c>
      <c r="D103" s="18">
        <f t="shared" si="9"/>
        <v>8.7310895237778102E-2</v>
      </c>
      <c r="E103" s="18">
        <f t="shared" si="14"/>
        <v>12.11153153988495</v>
      </c>
      <c r="F103" s="18">
        <f t="shared" si="10"/>
        <v>12.11153153988495</v>
      </c>
      <c r="G103" s="18">
        <f t="shared" si="11"/>
        <v>12.11153153988495</v>
      </c>
    </row>
    <row r="104" spans="2:7" x14ac:dyDescent="0.2">
      <c r="B104" s="28">
        <f t="shared" si="12"/>
        <v>39907</v>
      </c>
      <c r="C104" s="11">
        <f t="shared" si="13"/>
        <v>94</v>
      </c>
      <c r="D104" s="18">
        <f t="shared" si="9"/>
        <v>9.4004338924164668E-2</v>
      </c>
      <c r="E104" s="18">
        <f t="shared" si="14"/>
        <v>12.111599430282164</v>
      </c>
      <c r="F104" s="18">
        <f t="shared" si="10"/>
        <v>12.111599430282164</v>
      </c>
      <c r="G104" s="18">
        <f t="shared" si="11"/>
        <v>12.111599430282164</v>
      </c>
    </row>
    <row r="105" spans="2:7" x14ac:dyDescent="0.2">
      <c r="B105" s="28">
        <f t="shared" si="12"/>
        <v>39908</v>
      </c>
      <c r="C105" s="11">
        <f t="shared" si="13"/>
        <v>95</v>
      </c>
      <c r="D105" s="18">
        <f t="shared" si="9"/>
        <v>0.10067026836356739</v>
      </c>
      <c r="E105" s="18">
        <f t="shared" si="14"/>
        <v>12.111672099505949</v>
      </c>
      <c r="F105" s="18">
        <f t="shared" si="10"/>
        <v>12.111672099505949</v>
      </c>
      <c r="G105" s="18">
        <f t="shared" si="11"/>
        <v>12.111672099505949</v>
      </c>
    </row>
    <row r="106" spans="2:7" x14ac:dyDescent="0.2">
      <c r="B106" s="28">
        <f t="shared" si="12"/>
        <v>39909</v>
      </c>
      <c r="C106" s="11">
        <f t="shared" si="13"/>
        <v>96</v>
      </c>
      <c r="D106" s="18">
        <f t="shared" si="9"/>
        <v>0.10730700806544721</v>
      </c>
      <c r="E106" s="18">
        <f t="shared" si="14"/>
        <v>12.111749481113318</v>
      </c>
      <c r="F106" s="18">
        <f t="shared" si="10"/>
        <v>12.111749481113318</v>
      </c>
      <c r="G106" s="18">
        <f t="shared" si="11"/>
        <v>12.111749481113318</v>
      </c>
    </row>
    <row r="107" spans="2:7" x14ac:dyDescent="0.2">
      <c r="B107" s="28">
        <f t="shared" si="12"/>
        <v>39910</v>
      </c>
      <c r="C107" s="11">
        <f t="shared" si="13"/>
        <v>97</v>
      </c>
      <c r="D107" s="18">
        <f t="shared" si="9"/>
        <v>0.11391288694833986</v>
      </c>
      <c r="E107" s="18">
        <f t="shared" si="14"/>
        <v>12.111831504642506</v>
      </c>
      <c r="F107" s="18">
        <f t="shared" si="10"/>
        <v>12.111831504642506</v>
      </c>
      <c r="G107" s="18">
        <f t="shared" si="11"/>
        <v>12.111831504642506</v>
      </c>
    </row>
    <row r="108" spans="2:7" x14ac:dyDescent="0.2">
      <c r="B108" s="28">
        <f t="shared" si="12"/>
        <v>39911</v>
      </c>
      <c r="C108" s="11">
        <f t="shared" si="13"/>
        <v>98</v>
      </c>
      <c r="D108" s="18">
        <f t="shared" si="9"/>
        <v>0.12048623822716464</v>
      </c>
      <c r="E108" s="18">
        <f t="shared" si="14"/>
        <v>12.111918095604675</v>
      </c>
      <c r="F108" s="18">
        <f t="shared" si="10"/>
        <v>12.111918095604675</v>
      </c>
      <c r="G108" s="18">
        <f t="shared" si="11"/>
        <v>12.111918095604675</v>
      </c>
    </row>
    <row r="109" spans="2:7" x14ac:dyDescent="0.2">
      <c r="B109" s="28">
        <f t="shared" si="12"/>
        <v>39912</v>
      </c>
      <c r="C109" s="11">
        <f t="shared" si="13"/>
        <v>99</v>
      </c>
      <c r="D109" s="18">
        <f t="shared" si="9"/>
        <v>0.12702539931507509</v>
      </c>
      <c r="E109" s="18">
        <f t="shared" si="14"/>
        <v>12.112009175475027</v>
      </c>
      <c r="F109" s="18">
        <f t="shared" si="10"/>
        <v>12.112009175475027</v>
      </c>
      <c r="G109" s="18">
        <f t="shared" si="11"/>
        <v>12.112009175475027</v>
      </c>
    </row>
    <row r="110" spans="2:7" x14ac:dyDescent="0.2">
      <c r="B110" s="28">
        <f t="shared" si="12"/>
        <v>39913</v>
      </c>
      <c r="C110" s="11">
        <f t="shared" si="13"/>
        <v>100</v>
      </c>
      <c r="D110" s="18">
        <f t="shared" si="9"/>
        <v>0.13352871174088607</v>
      </c>
      <c r="E110" s="18">
        <f t="shared" si="14"/>
        <v>12.112104661683558</v>
      </c>
      <c r="F110" s="18">
        <f t="shared" si="10"/>
        <v>12.112104661683558</v>
      </c>
      <c r="G110" s="18">
        <f t="shared" si="11"/>
        <v>12.112104661683558</v>
      </c>
    </row>
    <row r="111" spans="2:7" x14ac:dyDescent="0.2">
      <c r="B111" s="28">
        <f t="shared" si="12"/>
        <v>39914</v>
      </c>
      <c r="C111" s="11">
        <f t="shared" si="13"/>
        <v>101</v>
      </c>
      <c r="D111" s="18">
        <f t="shared" si="9"/>
        <v>0.13999452108310592</v>
      </c>
      <c r="E111" s="18">
        <f t="shared" si="14"/>
        <v>12.112204467605867</v>
      </c>
      <c r="F111" s="18">
        <f t="shared" si="10"/>
        <v>12.112204467605867</v>
      </c>
      <c r="G111" s="18">
        <f t="shared" si="11"/>
        <v>12.112204467605867</v>
      </c>
    </row>
    <row r="112" spans="2:7" x14ac:dyDescent="0.2">
      <c r="B112" s="28">
        <f t="shared" si="12"/>
        <v>39915</v>
      </c>
      <c r="C112" s="11">
        <f t="shared" si="13"/>
        <v>102</v>
      </c>
      <c r="D112" s="18">
        <f t="shared" si="9"/>
        <v>0.14642117692158937</v>
      </c>
      <c r="E112" s="18">
        <f t="shared" si="14"/>
        <v>12.112308502554299</v>
      </c>
      <c r="F112" s="18">
        <f t="shared" si="10"/>
        <v>12.112308502554299</v>
      </c>
      <c r="G112" s="18">
        <f t="shared" si="11"/>
        <v>12.112308502554299</v>
      </c>
    </row>
    <row r="113" spans="2:7" x14ac:dyDescent="0.2">
      <c r="B113" s="28">
        <f t="shared" si="12"/>
        <v>39916</v>
      </c>
      <c r="C113" s="11">
        <f t="shared" si="13"/>
        <v>103</v>
      </c>
      <c r="D113" s="18">
        <f t="shared" si="9"/>
        <v>0.15280703280781616</v>
      </c>
      <c r="E113" s="18">
        <f t="shared" si="14"/>
        <v>12.112416671769841</v>
      </c>
      <c r="F113" s="18">
        <f t="shared" si="10"/>
        <v>12.112416671769841</v>
      </c>
      <c r="G113" s="18">
        <f t="shared" si="11"/>
        <v>12.112416671769841</v>
      </c>
    </row>
    <row r="114" spans="2:7" x14ac:dyDescent="0.2">
      <c r="B114" s="28">
        <f t="shared" si="12"/>
        <v>39917</v>
      </c>
      <c r="C114" s="11">
        <f t="shared" si="13"/>
        <v>104</v>
      </c>
      <c r="D114" s="18">
        <f t="shared" si="9"/>
        <v>0.15915044625478739</v>
      </c>
      <c r="E114" s="18">
        <f t="shared" si="14"/>
        <v>12.112528876415102</v>
      </c>
      <c r="F114" s="18">
        <f t="shared" si="10"/>
        <v>12.112528876415102</v>
      </c>
      <c r="G114" s="18">
        <f t="shared" si="11"/>
        <v>12.112528876415102</v>
      </c>
    </row>
    <row r="115" spans="2:7" x14ac:dyDescent="0.2">
      <c r="B115" s="28">
        <f t="shared" si="12"/>
        <v>39918</v>
      </c>
      <c r="C115" s="11">
        <f t="shared" si="13"/>
        <v>105</v>
      </c>
      <c r="D115" s="18">
        <f t="shared" si="9"/>
        <v>0.1654497787475169</v>
      </c>
      <c r="E115" s="18">
        <f t="shared" si="14"/>
        <v>12.112645013568823</v>
      </c>
      <c r="F115" s="18">
        <f t="shared" si="10"/>
        <v>12.112645013568823</v>
      </c>
      <c r="G115" s="18">
        <f t="shared" si="11"/>
        <v>12.112645013568823</v>
      </c>
    </row>
    <row r="116" spans="2:7" x14ac:dyDescent="0.2">
      <c r="B116" s="28">
        <f t="shared" si="12"/>
        <v>39919</v>
      </c>
      <c r="C116" s="11">
        <f t="shared" si="13"/>
        <v>106</v>
      </c>
      <c r="D116" s="18">
        <f t="shared" si="9"/>
        <v>0.17170339577507993</v>
      </c>
      <c r="E116" s="18">
        <f t="shared" si="14"/>
        <v>12.112764976222275</v>
      </c>
      <c r="F116" s="18">
        <f t="shared" si="10"/>
        <v>12.112764976222275</v>
      </c>
      <c r="G116" s="18">
        <f t="shared" si="11"/>
        <v>12.112764976222275</v>
      </c>
    </row>
    <row r="117" spans="2:7" x14ac:dyDescent="0.2">
      <c r="B117" s="28">
        <f t="shared" si="12"/>
        <v>39920</v>
      </c>
      <c r="C117" s="11">
        <f t="shared" si="13"/>
        <v>107</v>
      </c>
      <c r="D117" s="18">
        <f t="shared" si="9"/>
        <v>0.1779096668851618</v>
      </c>
      <c r="E117" s="18">
        <f t="shared" si="14"/>
        <v>12.112888653278032</v>
      </c>
      <c r="F117" s="18">
        <f t="shared" si="10"/>
        <v>12.112888653278032</v>
      </c>
      <c r="G117" s="18">
        <f t="shared" si="11"/>
        <v>12.112888653278032</v>
      </c>
    </row>
    <row r="118" spans="2:7" x14ac:dyDescent="0.2">
      <c r="B118" s="28">
        <f t="shared" si="12"/>
        <v>39921</v>
      </c>
      <c r="C118" s="11">
        <f t="shared" si="13"/>
        <v>108</v>
      </c>
      <c r="D118" s="18">
        <f t="shared" si="9"/>
        <v>0.18406696576203169</v>
      </c>
      <c r="E118" s="18">
        <f t="shared" si="14"/>
        <v>12.113015929551482</v>
      </c>
      <c r="F118" s="18">
        <f t="shared" si="10"/>
        <v>12.113015929551482</v>
      </c>
      <c r="G118" s="18">
        <f t="shared" si="11"/>
        <v>12.113015929551482</v>
      </c>
    </row>
    <row r="119" spans="2:7" x14ac:dyDescent="0.2">
      <c r="B119" s="28">
        <f t="shared" si="12"/>
        <v>39922</v>
      </c>
      <c r="C119" s="11">
        <f t="shared" si="13"/>
        <v>109</v>
      </c>
      <c r="D119" s="18">
        <f t="shared" si="9"/>
        <v>0.19017367032883992</v>
      </c>
      <c r="E119" s="18">
        <f t="shared" si="14"/>
        <v>12.113146685775609</v>
      </c>
      <c r="F119" s="18">
        <f t="shared" si="10"/>
        <v>12.113146685775609</v>
      </c>
      <c r="G119" s="18">
        <f t="shared" si="11"/>
        <v>12.113146685775609</v>
      </c>
    </row>
    <row r="120" spans="2:7" x14ac:dyDescent="0.2">
      <c r="B120" s="28">
        <f t="shared" si="12"/>
        <v>39923</v>
      </c>
      <c r="C120" s="11">
        <f t="shared" si="13"/>
        <v>110</v>
      </c>
      <c r="D120" s="18">
        <f t="shared" si="9"/>
        <v>0.1962281628751176</v>
      </c>
      <c r="E120" s="18">
        <f t="shared" si="14"/>
        <v>12.113280798609454</v>
      </c>
      <c r="F120" s="18">
        <f t="shared" si="10"/>
        <v>12.113280798609454</v>
      </c>
      <c r="G120" s="18">
        <f t="shared" si="11"/>
        <v>12.113280798609454</v>
      </c>
    </row>
    <row r="121" spans="2:7" x14ac:dyDescent="0.2">
      <c r="B121" s="28">
        <f t="shared" si="12"/>
        <v>39924</v>
      </c>
      <c r="C121" s="11">
        <f t="shared" si="13"/>
        <v>111</v>
      </c>
      <c r="D121" s="18">
        <f t="shared" si="9"/>
        <v>0.20222883021032267</v>
      </c>
      <c r="E121" s="18">
        <f t="shared" si="14"/>
        <v>12.113418140650738</v>
      </c>
      <c r="F121" s="18">
        <f t="shared" si="10"/>
        <v>12.113418140650738</v>
      </c>
      <c r="G121" s="18">
        <f t="shared" si="11"/>
        <v>12.113418140650738</v>
      </c>
    </row>
    <row r="122" spans="2:7" x14ac:dyDescent="0.2">
      <c r="B122" s="28">
        <f t="shared" si="12"/>
        <v>39925</v>
      </c>
      <c r="C122" s="11">
        <f t="shared" si="13"/>
        <v>112</v>
      </c>
      <c r="D122" s="18">
        <f t="shared" si="9"/>
        <v>0.20817406384425072</v>
      </c>
      <c r="E122" s="18">
        <f t="shared" si="14"/>
        <v>12.113558580453168</v>
      </c>
      <c r="F122" s="18">
        <f t="shared" si="10"/>
        <v>12.113558580453168</v>
      </c>
      <c r="G122" s="18">
        <f t="shared" si="11"/>
        <v>12.113558580453168</v>
      </c>
    </row>
    <row r="123" spans="2:7" x14ac:dyDescent="0.2">
      <c r="B123" s="28">
        <f t="shared" si="12"/>
        <v>39926</v>
      </c>
      <c r="C123" s="11">
        <f t="shared" si="13"/>
        <v>113</v>
      </c>
      <c r="D123" s="18">
        <f t="shared" si="9"/>
        <v>0.21406226019508906</v>
      </c>
      <c r="E123" s="18">
        <f t="shared" si="14"/>
        <v>12.113701982548848</v>
      </c>
      <c r="F123" s="18">
        <f t="shared" si="10"/>
        <v>12.113701982548848</v>
      </c>
      <c r="G123" s="18">
        <f t="shared" si="11"/>
        <v>12.113701982548848</v>
      </c>
    </row>
    <row r="124" spans="2:7" x14ac:dyDescent="0.2">
      <c r="B124" s="28">
        <f t="shared" si="12"/>
        <v>39927</v>
      </c>
      <c r="C124" s="11">
        <f t="shared" si="13"/>
        <v>114</v>
      </c>
      <c r="D124" s="18">
        <f t="shared" si="9"/>
        <v>0.21989182082585762</v>
      </c>
      <c r="E124" s="18">
        <f t="shared" si="14"/>
        <v>12.113848207476382</v>
      </c>
      <c r="F124" s="18">
        <f t="shared" si="10"/>
        <v>12.113848207476382</v>
      </c>
      <c r="G124" s="18">
        <f t="shared" si="11"/>
        <v>12.113848207476382</v>
      </c>
    </row>
    <row r="125" spans="2:7" x14ac:dyDescent="0.2">
      <c r="B125" s="28">
        <f t="shared" si="12"/>
        <v>39928</v>
      </c>
      <c r="C125" s="11">
        <f t="shared" si="13"/>
        <v>115</v>
      </c>
      <c r="D125" s="18">
        <f t="shared" si="9"/>
        <v>0.22566115270993467</v>
      </c>
      <c r="E125" s="18">
        <f t="shared" si="14"/>
        <v>12.113997111815079</v>
      </c>
      <c r="F125" s="18">
        <f t="shared" si="10"/>
        <v>12.113997111815079</v>
      </c>
      <c r="G125" s="18">
        <f t="shared" si="11"/>
        <v>12.113997111815079</v>
      </c>
    </row>
    <row r="126" spans="2:7" x14ac:dyDescent="0.2">
      <c r="B126" s="28">
        <f t="shared" si="12"/>
        <v>39929</v>
      </c>
      <c r="C126" s="11">
        <f t="shared" si="13"/>
        <v>116</v>
      </c>
      <c r="D126" s="18">
        <f t="shared" si="9"/>
        <v>0.23136866852632049</v>
      </c>
      <c r="E126" s="18">
        <f t="shared" si="14"/>
        <v>12.114148548225842</v>
      </c>
      <c r="F126" s="18">
        <f t="shared" si="10"/>
        <v>12.114148548225842</v>
      </c>
      <c r="G126" s="18">
        <f t="shared" si="11"/>
        <v>12.114148548225842</v>
      </c>
    </row>
    <row r="127" spans="2:7" x14ac:dyDescent="0.2">
      <c r="B127" s="28">
        <f t="shared" si="12"/>
        <v>39930</v>
      </c>
      <c r="C127" s="11">
        <f t="shared" si="13"/>
        <v>117</v>
      </c>
      <c r="D127" s="18">
        <f t="shared" si="9"/>
        <v>0.23701278698523823</v>
      </c>
      <c r="E127" s="18">
        <f t="shared" si="14"/>
        <v>12.114302365499192</v>
      </c>
      <c r="F127" s="18">
        <f t="shared" si="10"/>
        <v>12.114302365499192</v>
      </c>
      <c r="G127" s="18">
        <f t="shared" si="11"/>
        <v>12.114302365499192</v>
      </c>
    </row>
    <row r="128" spans="2:7" x14ac:dyDescent="0.2">
      <c r="B128" s="28">
        <f t="shared" si="12"/>
        <v>39931</v>
      </c>
      <c r="C128" s="11">
        <f t="shared" si="13"/>
        <v>118</v>
      </c>
      <c r="D128" s="18">
        <f t="shared" si="9"/>
        <v>0.24259193318461736</v>
      </c>
      <c r="E128" s="18">
        <f t="shared" si="14"/>
        <v>12.114458408610963</v>
      </c>
      <c r="F128" s="18">
        <f t="shared" si="10"/>
        <v>12.114458408610963</v>
      </c>
      <c r="G128" s="18">
        <f t="shared" si="11"/>
        <v>12.114458408610963</v>
      </c>
    </row>
    <row r="129" spans="2:7" x14ac:dyDescent="0.2">
      <c r="B129" s="28">
        <f t="shared" si="12"/>
        <v>39932</v>
      </c>
      <c r="C129" s="11">
        <f t="shared" si="13"/>
        <v>119</v>
      </c>
      <c r="D129" s="18">
        <f t="shared" si="9"/>
        <v>0.24810453899794307</v>
      </c>
      <c r="E129" s="18">
        <f t="shared" si="14"/>
        <v>12.11461651878615</v>
      </c>
      <c r="F129" s="18">
        <f t="shared" si="10"/>
        <v>12.11461651878615</v>
      </c>
      <c r="G129" s="18">
        <f t="shared" si="11"/>
        <v>12.11461651878615</v>
      </c>
    </row>
    <row r="130" spans="2:7" x14ac:dyDescent="0.2">
      <c r="B130" s="28">
        <f t="shared" si="12"/>
        <v>39933</v>
      </c>
      <c r="C130" s="11">
        <f t="shared" si="13"/>
        <v>120</v>
      </c>
      <c r="D130" s="18">
        <f t="shared" si="9"/>
        <v>0.25354904349388913</v>
      </c>
      <c r="E130" s="18">
        <f t="shared" si="14"/>
        <v>12.114776533571396</v>
      </c>
      <c r="F130" s="18">
        <f t="shared" si="10"/>
        <v>12.114776533571396</v>
      </c>
      <c r="G130" s="18">
        <f t="shared" si="11"/>
        <v>12.114776533571396</v>
      </c>
    </row>
    <row r="131" spans="2:7" x14ac:dyDescent="0.2">
      <c r="B131" s="28">
        <f t="shared" si="12"/>
        <v>39934</v>
      </c>
      <c r="C131" s="11">
        <f t="shared" si="13"/>
        <v>121</v>
      </c>
      <c r="D131" s="18">
        <f t="shared" si="9"/>
        <v>0.25892389338807958</v>
      </c>
      <c r="E131" s="18">
        <f t="shared" si="14"/>
        <v>12.114938286916615</v>
      </c>
      <c r="F131" s="18">
        <f t="shared" si="10"/>
        <v>12.114938286916615</v>
      </c>
      <c r="G131" s="18">
        <f t="shared" si="11"/>
        <v>12.114938286916615</v>
      </c>
    </row>
    <row r="132" spans="2:7" x14ac:dyDescent="0.2">
      <c r="B132" s="28">
        <f t="shared" si="12"/>
        <v>39935</v>
      </c>
      <c r="C132" s="11">
        <f t="shared" si="13"/>
        <v>122</v>
      </c>
      <c r="D132" s="18">
        <f t="shared" si="9"/>
        <v>0.26422754352725103</v>
      </c>
      <c r="E132" s="18">
        <f t="shared" si="14"/>
        <v>12.115101609266199</v>
      </c>
      <c r="F132" s="18">
        <f t="shared" si="10"/>
        <v>12.115101609266199</v>
      </c>
      <c r="G132" s="18">
        <f t="shared" si="11"/>
        <v>12.115101609266199</v>
      </c>
    </row>
    <row r="133" spans="2:7" x14ac:dyDescent="0.2">
      <c r="B133" s="28">
        <f t="shared" si="12"/>
        <v>39936</v>
      </c>
      <c r="C133" s="11">
        <f t="shared" si="13"/>
        <v>123</v>
      </c>
      <c r="D133" s="18">
        <f t="shared" si="9"/>
        <v>0.26945845740600016</v>
      </c>
      <c r="E133" s="18">
        <f t="shared" si="14"/>
        <v>12.115266327660265</v>
      </c>
      <c r="F133" s="18">
        <f t="shared" si="10"/>
        <v>12.115266327660265</v>
      </c>
      <c r="G133" s="18">
        <f t="shared" si="11"/>
        <v>12.115266327660265</v>
      </c>
    </row>
    <row r="134" spans="2:7" x14ac:dyDescent="0.2">
      <c r="B134" s="28">
        <f t="shared" si="12"/>
        <v>39937</v>
      </c>
      <c r="C134" s="11">
        <f t="shared" si="13"/>
        <v>124</v>
      </c>
      <c r="D134" s="18">
        <f t="shared" si="9"/>
        <v>0.27461510771622133</v>
      </c>
      <c r="E134" s="18">
        <f t="shared" si="14"/>
        <v>12.11543226584638</v>
      </c>
      <c r="F134" s="18">
        <f t="shared" si="10"/>
        <v>12.11543226584638</v>
      </c>
      <c r="G134" s="18">
        <f t="shared" si="11"/>
        <v>12.11543226584638</v>
      </c>
    </row>
    <row r="135" spans="2:7" x14ac:dyDescent="0.2">
      <c r="B135" s="28">
        <f t="shared" si="12"/>
        <v>39938</v>
      </c>
      <c r="C135" s="11">
        <f t="shared" si="13"/>
        <v>125</v>
      </c>
      <c r="D135" s="18">
        <f t="shared" si="9"/>
        <v>0.27969597692923909</v>
      </c>
      <c r="E135" s="18">
        <f t="shared" si="14"/>
        <v>12.115599244402137</v>
      </c>
      <c r="F135" s="18">
        <f t="shared" si="10"/>
        <v>12.115599244402137</v>
      </c>
      <c r="G135" s="18">
        <f t="shared" si="11"/>
        <v>12.115599244402137</v>
      </c>
    </row>
    <row r="136" spans="2:7" x14ac:dyDescent="0.2">
      <c r="B136" s="28">
        <f t="shared" si="12"/>
        <v>39939</v>
      </c>
      <c r="C136" s="11">
        <f t="shared" si="13"/>
        <v>126</v>
      </c>
      <c r="D136" s="18">
        <f t="shared" si="9"/>
        <v>0.28469955791054519</v>
      </c>
      <c r="E136" s="18">
        <f t="shared" si="14"/>
        <v>12.115767080868993</v>
      </c>
      <c r="F136" s="18">
        <f t="shared" si="10"/>
        <v>12.115767080868993</v>
      </c>
      <c r="G136" s="18">
        <f t="shared" si="11"/>
        <v>12.115767080868993</v>
      </c>
    </row>
    <row r="137" spans="2:7" x14ac:dyDescent="0.2">
      <c r="B137" s="28">
        <f t="shared" si="12"/>
        <v>39940</v>
      </c>
      <c r="C137" s="11">
        <f t="shared" si="13"/>
        <v>127</v>
      </c>
      <c r="D137" s="18">
        <f t="shared" si="9"/>
        <v>0.28962435456694874</v>
      </c>
      <c r="E137" s="18">
        <f t="shared" si="14"/>
        <v>12.115935589897695</v>
      </c>
      <c r="F137" s="18">
        <f t="shared" si="10"/>
        <v>12.115935589897695</v>
      </c>
      <c r="G137" s="18">
        <f t="shared" si="11"/>
        <v>12.115935589897695</v>
      </c>
    </row>
    <row r="138" spans="2:7" x14ac:dyDescent="0.2">
      <c r="B138" s="28">
        <f t="shared" si="12"/>
        <v>39941</v>
      </c>
      <c r="C138" s="11">
        <f t="shared" si="13"/>
        <v>128</v>
      </c>
      <c r="D138" s="18">
        <f t="shared" si="9"/>
        <v>0.29446888252583536</v>
      </c>
      <c r="E138" s="18">
        <f t="shared" si="14"/>
        <v>12.116104583405578</v>
      </c>
      <c r="F138" s="18">
        <f t="shared" si="10"/>
        <v>12.116104583405578</v>
      </c>
      <c r="G138" s="18">
        <f t="shared" si="11"/>
        <v>12.116104583405578</v>
      </c>
    </row>
    <row r="139" spans="2:7" x14ac:dyDescent="0.2">
      <c r="B139" s="28">
        <f t="shared" si="12"/>
        <v>39942</v>
      </c>
      <c r="C139" s="11">
        <f t="shared" si="13"/>
        <v>129</v>
      </c>
      <c r="D139" s="18">
        <f t="shared" ref="D139:D202" si="15">ASIN(0.39795*COS(0.2163108+2*ATAN(0.9671396*TAN(0.0086*(C139-186)))))</f>
        <v>0.2992316698461186</v>
      </c>
      <c r="E139" s="18">
        <f t="shared" si="14"/>
        <v>12.116273870746063</v>
      </c>
      <c r="F139" s="18">
        <f t="shared" ref="F139:F202" si="16">24-(24/PI())*ACOS((SIN(0.8333*PI()/180)+SIN($D$5*PI()/180)*SIN($D139))/(COS($D$5*PI()/180)*COS($D139)))</f>
        <v>12.116273870746063</v>
      </c>
      <c r="G139" s="18">
        <f t="shared" ref="G139:G202" si="17">24-(24/PI())*ACOS((SIN(0.8333*PI()/180)+SIN($D$6*PI()/180)*SIN($D139))/(COS($D$6*PI()/180)*COS($D139)))</f>
        <v>12.116273870746063</v>
      </c>
    </row>
    <row r="140" spans="2:7" x14ac:dyDescent="0.2">
      <c r="B140" s="28">
        <f t="shared" ref="B140:B203" si="18">B139+1</f>
        <v>39943</v>
      </c>
      <c r="C140" s="11">
        <f t="shared" ref="C140:C203" si="19">C139+1</f>
        <v>130</v>
      </c>
      <c r="D140" s="18">
        <f t="shared" si="15"/>
        <v>0.30391125776035022</v>
      </c>
      <c r="E140" s="18">
        <f t="shared" ref="E140:E203" si="20">24-(24/PI())*ACOS((SIN(0.8333*PI()/180)+SIN($D$4*PI()/180)*SIN(D140))/(COS($D$4*PI()/180)*COS(D140)))</f>
        <v>12.116443258890504</v>
      </c>
      <c r="F140" s="18">
        <f t="shared" si="16"/>
        <v>12.116443258890504</v>
      </c>
      <c r="G140" s="18">
        <f t="shared" si="17"/>
        <v>12.116443258890504</v>
      </c>
    </row>
    <row r="141" spans="2:7" x14ac:dyDescent="0.2">
      <c r="B141" s="28">
        <f t="shared" si="18"/>
        <v>39944</v>
      </c>
      <c r="C141" s="11">
        <f t="shared" si="19"/>
        <v>131</v>
      </c>
      <c r="D141" s="18">
        <f t="shared" si="15"/>
        <v>0.30850620144733043</v>
      </c>
      <c r="E141" s="18">
        <f t="shared" si="20"/>
        <v>12.116612552622595</v>
      </c>
      <c r="F141" s="18">
        <f t="shared" si="16"/>
        <v>12.116612552622595</v>
      </c>
      <c r="G141" s="18">
        <f t="shared" si="17"/>
        <v>12.116612552622595</v>
      </c>
    </row>
    <row r="142" spans="2:7" x14ac:dyDescent="0.2">
      <c r="B142" s="28">
        <f t="shared" si="18"/>
        <v>39945</v>
      </c>
      <c r="C142" s="11">
        <f t="shared" si="19"/>
        <v>132</v>
      </c>
      <c r="D142" s="18">
        <f t="shared" si="15"/>
        <v>0.31301507083443186</v>
      </c>
      <c r="E142" s="18">
        <f t="shared" si="20"/>
        <v>12.116781554745472</v>
      </c>
      <c r="F142" s="18">
        <f t="shared" si="16"/>
        <v>12.116781554745472</v>
      </c>
      <c r="G142" s="18">
        <f t="shared" si="17"/>
        <v>12.116781554745472</v>
      </c>
    </row>
    <row r="143" spans="2:7" x14ac:dyDescent="0.2">
      <c r="B143" s="28">
        <f t="shared" si="18"/>
        <v>39946</v>
      </c>
      <c r="C143" s="11">
        <f t="shared" si="19"/>
        <v>133</v>
      </c>
      <c r="D143" s="18">
        <f t="shared" si="15"/>
        <v>0.31743645142872373</v>
      </c>
      <c r="E143" s="18">
        <f t="shared" si="20"/>
        <v>12.11695006630152</v>
      </c>
      <c r="F143" s="18">
        <f t="shared" si="16"/>
        <v>12.11695006630152</v>
      </c>
      <c r="G143" s="18">
        <f t="shared" si="17"/>
        <v>12.11695006630152</v>
      </c>
    </row>
    <row r="144" spans="2:7" x14ac:dyDescent="0.2">
      <c r="B144" s="28">
        <f t="shared" si="18"/>
        <v>39947</v>
      </c>
      <c r="C144" s="11">
        <f t="shared" si="19"/>
        <v>134</v>
      </c>
      <c r="D144" s="18">
        <f t="shared" si="15"/>
        <v>0.32176894517584037</v>
      </c>
      <c r="E144" s="18">
        <f t="shared" si="20"/>
        <v>12.117117886804948</v>
      </c>
      <c r="F144" s="18">
        <f t="shared" si="16"/>
        <v>12.117117886804948</v>
      </c>
      <c r="G144" s="18">
        <f t="shared" si="17"/>
        <v>12.117117886804948</v>
      </c>
    </row>
    <row r="145" spans="2:7" x14ac:dyDescent="0.2">
      <c r="B145" s="28">
        <f t="shared" si="18"/>
        <v>39948</v>
      </c>
      <c r="C145" s="11">
        <f t="shared" si="19"/>
        <v>135</v>
      </c>
      <c r="D145" s="18">
        <f t="shared" si="15"/>
        <v>0.32601117134541141</v>
      </c>
      <c r="E145" s="18">
        <f t="shared" si="20"/>
        <v>12.117284814487013</v>
      </c>
      <c r="F145" s="18">
        <f t="shared" si="16"/>
        <v>12.117284814487013</v>
      </c>
      <c r="G145" s="18">
        <f t="shared" si="17"/>
        <v>12.117284814487013</v>
      </c>
    </row>
    <row r="146" spans="2:7" x14ac:dyDescent="0.2">
      <c r="B146" s="28">
        <f t="shared" si="18"/>
        <v>39949</v>
      </c>
      <c r="C146" s="11">
        <f t="shared" si="19"/>
        <v>136</v>
      </c>
      <c r="D146" s="18">
        <f t="shared" si="15"/>
        <v>0.33016176744172082</v>
      </c>
      <c r="E146" s="18">
        <f t="shared" si="20"/>
        <v>12.117450646553797</v>
      </c>
      <c r="F146" s="18">
        <f t="shared" si="16"/>
        <v>12.117450646553797</v>
      </c>
      <c r="G146" s="18">
        <f t="shared" si="17"/>
        <v>12.117450646553797</v>
      </c>
    </row>
    <row r="147" spans="2:7" x14ac:dyDescent="0.2">
      <c r="B147" s="28">
        <f t="shared" si="18"/>
        <v>39950</v>
      </c>
      <c r="C147" s="11">
        <f t="shared" si="19"/>
        <v>137</v>
      </c>
      <c r="D147" s="18">
        <f t="shared" si="15"/>
        <v>0.33421939013812968</v>
      </c>
      <c r="E147" s="18">
        <f t="shared" si="20"/>
        <v>12.117615179456319</v>
      </c>
      <c r="F147" s="18">
        <f t="shared" si="16"/>
        <v>12.117615179456319</v>
      </c>
      <c r="G147" s="18">
        <f t="shared" si="17"/>
        <v>12.117615179456319</v>
      </c>
    </row>
    <row r="148" spans="2:7" x14ac:dyDescent="0.2">
      <c r="B148" s="28">
        <f t="shared" si="18"/>
        <v>39951</v>
      </c>
      <c r="C148" s="11">
        <f t="shared" si="19"/>
        <v>138</v>
      </c>
      <c r="D148" s="18">
        <f t="shared" si="15"/>
        <v>0.33818271623365037</v>
      </c>
      <c r="E148" s="18">
        <f t="shared" si="20"/>
        <v>12.117778209172707</v>
      </c>
      <c r="F148" s="18">
        <f t="shared" si="16"/>
        <v>12.117778209172707</v>
      </c>
      <c r="G148" s="18">
        <f t="shared" si="17"/>
        <v>12.117778209172707</v>
      </c>
    </row>
    <row r="149" spans="2:7" x14ac:dyDescent="0.2">
      <c r="B149" s="28">
        <f t="shared" si="18"/>
        <v>39952</v>
      </c>
      <c r="C149" s="11">
        <f t="shared" si="19"/>
        <v>139</v>
      </c>
      <c r="D149" s="18">
        <f t="shared" si="15"/>
        <v>0.3420504436299201</v>
      </c>
      <c r="E149" s="18">
        <f t="shared" si="20"/>
        <v>12.117939531502067</v>
      </c>
      <c r="F149" s="18">
        <f t="shared" si="16"/>
        <v>12.117939531502067</v>
      </c>
      <c r="G149" s="18">
        <f t="shared" si="17"/>
        <v>12.117939531502067</v>
      </c>
    </row>
    <row r="150" spans="2:7" x14ac:dyDescent="0.2">
      <c r="B150" s="28">
        <f t="shared" si="18"/>
        <v>39953</v>
      </c>
      <c r="C150" s="11">
        <f t="shared" si="19"/>
        <v>140</v>
      </c>
      <c r="D150" s="18">
        <f t="shared" si="15"/>
        <v>0.34582129232668085</v>
      </c>
      <c r="E150" s="18">
        <f t="shared" si="20"/>
        <v>12.118098942369604</v>
      </c>
      <c r="F150" s="18">
        <f t="shared" si="16"/>
        <v>12.118098942369604</v>
      </c>
      <c r="G150" s="18">
        <f t="shared" si="17"/>
        <v>12.118098942369604</v>
      </c>
    </row>
    <row r="151" spans="2:7" x14ac:dyDescent="0.2">
      <c r="B151" s="28">
        <f t="shared" si="18"/>
        <v>39954</v>
      </c>
      <c r="C151" s="11">
        <f t="shared" si="19"/>
        <v>141</v>
      </c>
      <c r="D151" s="18">
        <f t="shared" si="15"/>
        <v>0.34949400543373249</v>
      </c>
      <c r="E151" s="18">
        <f t="shared" si="20"/>
        <v>12.118256238142514</v>
      </c>
      <c r="F151" s="18">
        <f t="shared" si="16"/>
        <v>12.118256238142514</v>
      </c>
      <c r="G151" s="18">
        <f t="shared" si="17"/>
        <v>12.118256238142514</v>
      </c>
    </row>
    <row r="152" spans="2:7" x14ac:dyDescent="0.2">
      <c r="B152" s="28">
        <f t="shared" si="18"/>
        <v>39955</v>
      </c>
      <c r="C152" s="11">
        <f t="shared" si="19"/>
        <v>142</v>
      </c>
      <c r="D152" s="18">
        <f t="shared" si="15"/>
        <v>0.35306735019718966</v>
      </c>
      <c r="E152" s="18">
        <f t="shared" si="20"/>
        <v>12.118411215955998</v>
      </c>
      <c r="F152" s="18">
        <f t="shared" si="16"/>
        <v>12.118411215955998</v>
      </c>
      <c r="G152" s="18">
        <f t="shared" si="17"/>
        <v>12.118411215955998</v>
      </c>
    </row>
    <row r="153" spans="2:7" x14ac:dyDescent="0.2">
      <c r="B153" s="28">
        <f t="shared" si="18"/>
        <v>39956</v>
      </c>
      <c r="C153" s="11">
        <f t="shared" si="19"/>
        <v>143</v>
      </c>
      <c r="D153" s="18">
        <f t="shared" si="15"/>
        <v>0.35654011903774069</v>
      </c>
      <c r="E153" s="18">
        <f t="shared" si="20"/>
        <v>12.118563674048733</v>
      </c>
      <c r="F153" s="18">
        <f t="shared" si="16"/>
        <v>12.118563674048733</v>
      </c>
      <c r="G153" s="18">
        <f t="shared" si="17"/>
        <v>12.118563674048733</v>
      </c>
    </row>
    <row r="154" spans="2:7" x14ac:dyDescent="0.2">
      <c r="B154" s="28">
        <f t="shared" si="18"/>
        <v>39957</v>
      </c>
      <c r="C154" s="11">
        <f t="shared" si="19"/>
        <v>144</v>
      </c>
      <c r="D154" s="18">
        <f t="shared" si="15"/>
        <v>0.35991113059847635</v>
      </c>
      <c r="E154" s="18">
        <f t="shared" si="20"/>
        <v>12.11871341210704</v>
      </c>
      <c r="F154" s="18">
        <f t="shared" si="16"/>
        <v>12.11871341210704</v>
      </c>
      <c r="G154" s="18">
        <f t="shared" si="17"/>
        <v>12.11871341210704</v>
      </c>
    </row>
    <row r="155" spans="2:7" x14ac:dyDescent="0.2">
      <c r="B155" s="28">
        <f t="shared" si="18"/>
        <v>39958</v>
      </c>
      <c r="C155" s="11">
        <f t="shared" si="19"/>
        <v>145</v>
      </c>
      <c r="D155" s="18">
        <f t="shared" si="15"/>
        <v>0.36317923079973574</v>
      </c>
      <c r="E155" s="18">
        <f t="shared" si="20"/>
        <v>12.11886023161688</v>
      </c>
      <c r="F155" s="18">
        <f t="shared" si="16"/>
        <v>12.11886023161688</v>
      </c>
      <c r="G155" s="18">
        <f t="shared" si="17"/>
        <v>12.11886023161688</v>
      </c>
    </row>
    <row r="156" spans="2:7" x14ac:dyDescent="0.2">
      <c r="B156" s="28">
        <f t="shared" si="18"/>
        <v>39959</v>
      </c>
      <c r="C156" s="11">
        <f t="shared" si="19"/>
        <v>146</v>
      </c>
      <c r="D156" s="18">
        <f t="shared" si="15"/>
        <v>0.36634329389830056</v>
      </c>
      <c r="E156" s="18">
        <f t="shared" si="20"/>
        <v>12.119003936222761</v>
      </c>
      <c r="F156" s="18">
        <f t="shared" si="16"/>
        <v>12.119003936222761</v>
      </c>
      <c r="G156" s="18">
        <f t="shared" si="17"/>
        <v>12.119003936222761</v>
      </c>
    </row>
    <row r="157" spans="2:7" x14ac:dyDescent="0.2">
      <c r="B157" s="28">
        <f t="shared" si="18"/>
        <v>39960</v>
      </c>
      <c r="C157" s="11">
        <f t="shared" si="19"/>
        <v>147</v>
      </c>
      <c r="D157" s="18">
        <f t="shared" si="15"/>
        <v>0.36940222354815688</v>
      </c>
      <c r="E157" s="18">
        <f t="shared" si="20"/>
        <v>12.119144332092526</v>
      </c>
      <c r="F157" s="18">
        <f t="shared" si="16"/>
        <v>12.119144332092526</v>
      </c>
      <c r="G157" s="18">
        <f t="shared" si="17"/>
        <v>12.119144332092526</v>
      </c>
    </row>
    <row r="158" spans="2:7" x14ac:dyDescent="0.2">
      <c r="B158" s="28">
        <f t="shared" si="18"/>
        <v>39961</v>
      </c>
      <c r="C158" s="11">
        <f t="shared" si="19"/>
        <v>148</v>
      </c>
      <c r="D158" s="18">
        <f t="shared" si="15"/>
        <v>0.37235495385995226</v>
      </c>
      <c r="E158" s="18">
        <f t="shared" si="20"/>
        <v>12.119281228286928</v>
      </c>
      <c r="F158" s="18">
        <f t="shared" si="16"/>
        <v>12.119281228286928</v>
      </c>
      <c r="G158" s="18">
        <f t="shared" si="17"/>
        <v>12.119281228286928</v>
      </c>
    </row>
    <row r="159" spans="2:7" x14ac:dyDescent="0.2">
      <c r="B159" s="28">
        <f t="shared" si="18"/>
        <v>39962</v>
      </c>
      <c r="C159" s="11">
        <f t="shared" si="19"/>
        <v>149</v>
      </c>
      <c r="D159" s="18">
        <f t="shared" si="15"/>
        <v>0.37520045045617745</v>
      </c>
      <c r="E159" s="18">
        <f t="shared" si="20"/>
        <v>12.119414437132871</v>
      </c>
      <c r="F159" s="18">
        <f t="shared" si="16"/>
        <v>12.119414437132871</v>
      </c>
      <c r="G159" s="18">
        <f t="shared" si="17"/>
        <v>12.119414437132871</v>
      </c>
    </row>
    <row r="160" spans="2:7" x14ac:dyDescent="0.2">
      <c r="B160" s="28">
        <f t="shared" si="18"/>
        <v>39963</v>
      </c>
      <c r="C160" s="11">
        <f t="shared" si="19"/>
        <v>150</v>
      </c>
      <c r="D160" s="18">
        <f t="shared" si="15"/>
        <v>0.37793771151903094</v>
      </c>
      <c r="E160" s="18">
        <f t="shared" si="20"/>
        <v>12.119543774599014</v>
      </c>
      <c r="F160" s="18">
        <f t="shared" si="16"/>
        <v>12.119543774599014</v>
      </c>
      <c r="G160" s="18">
        <f t="shared" si="17"/>
        <v>12.119543774599014</v>
      </c>
    </row>
    <row r="161" spans="2:7" x14ac:dyDescent="0.2">
      <c r="B161" s="28">
        <f t="shared" si="18"/>
        <v>39964</v>
      </c>
      <c r="C161" s="11">
        <f t="shared" si="19"/>
        <v>151</v>
      </c>
      <c r="D161" s="18">
        <f t="shared" si="15"/>
        <v>0.3805657688278557</v>
      </c>
      <c r="E161" s="18">
        <f t="shared" si="20"/>
        <v>12.119669060672514</v>
      </c>
      <c r="F161" s="18">
        <f t="shared" si="16"/>
        <v>12.119669060672514</v>
      </c>
      <c r="G161" s="18">
        <f t="shared" si="17"/>
        <v>12.119669060672514</v>
      </c>
    </row>
    <row r="162" spans="2:7" x14ac:dyDescent="0.2">
      <c r="B162" s="28">
        <f t="shared" si="18"/>
        <v>39965</v>
      </c>
      <c r="C162" s="11">
        <f t="shared" si="19"/>
        <v>152</v>
      </c>
      <c r="D162" s="18">
        <f t="shared" si="15"/>
        <v>0.38308368878298299</v>
      </c>
      <c r="E162" s="18">
        <f t="shared" si="20"/>
        <v>12.119790119735505</v>
      </c>
      <c r="F162" s="18">
        <f t="shared" si="16"/>
        <v>12.119790119735505</v>
      </c>
      <c r="G162" s="18">
        <f t="shared" si="17"/>
        <v>12.119790119735505</v>
      </c>
    </row>
    <row r="163" spans="2:7" x14ac:dyDescent="0.2">
      <c r="B163" s="28">
        <f t="shared" si="18"/>
        <v>39966</v>
      </c>
      <c r="C163" s="11">
        <f t="shared" si="19"/>
        <v>153</v>
      </c>
      <c r="D163" s="18">
        <f t="shared" si="15"/>
        <v>0.38549057341278142</v>
      </c>
      <c r="E163" s="18">
        <f t="shared" si="20"/>
        <v>12.119906780939926</v>
      </c>
      <c r="F163" s="18">
        <f t="shared" si="16"/>
        <v>12.119906780939926</v>
      </c>
      <c r="G163" s="18">
        <f t="shared" si="17"/>
        <v>12.119906780939926</v>
      </c>
    </row>
    <row r="164" spans="2:7" x14ac:dyDescent="0.2">
      <c r="B164" s="28">
        <f t="shared" si="18"/>
        <v>39967</v>
      </c>
      <c r="C164" s="11">
        <f t="shared" si="19"/>
        <v>154</v>
      </c>
      <c r="D164" s="18">
        <f t="shared" si="15"/>
        <v>0.38778556136068282</v>
      </c>
      <c r="E164" s="18">
        <f t="shared" si="20"/>
        <v>12.120018878579273</v>
      </c>
      <c r="F164" s="18">
        <f t="shared" si="16"/>
        <v>12.120018878579273</v>
      </c>
      <c r="G164" s="18">
        <f t="shared" si="17"/>
        <v>12.120018878579273</v>
      </c>
    </row>
    <row r="165" spans="2:7" x14ac:dyDescent="0.2">
      <c r="B165" s="28">
        <f t="shared" si="18"/>
        <v>39968</v>
      </c>
      <c r="C165" s="11">
        <f t="shared" si="19"/>
        <v>155</v>
      </c>
      <c r="D165" s="18">
        <f t="shared" si="15"/>
        <v>0.38996782884894871</v>
      </c>
      <c r="E165" s="18">
        <f t="shared" si="20"/>
        <v>12.12012625245575</v>
      </c>
      <c r="F165" s="18">
        <f t="shared" si="16"/>
        <v>12.12012625245575</v>
      </c>
      <c r="G165" s="18">
        <f t="shared" si="17"/>
        <v>12.12012625245575</v>
      </c>
    </row>
    <row r="166" spans="2:7" x14ac:dyDescent="0.2">
      <c r="B166" s="28">
        <f t="shared" si="18"/>
        <v>39969</v>
      </c>
      <c r="C166" s="11">
        <f t="shared" si="19"/>
        <v>156</v>
      </c>
      <c r="D166" s="18">
        <f t="shared" si="15"/>
        <v>0.39203659061594703</v>
      </c>
      <c r="E166" s="18">
        <f t="shared" si="20"/>
        <v>12.120228748241349</v>
      </c>
      <c r="F166" s="18">
        <f t="shared" si="16"/>
        <v>12.120228748241349</v>
      </c>
      <c r="G166" s="18">
        <f t="shared" si="17"/>
        <v>12.120228748241349</v>
      </c>
    </row>
    <row r="167" spans="2:7" x14ac:dyDescent="0.2">
      <c r="B167" s="28">
        <f t="shared" si="18"/>
        <v>39970</v>
      </c>
      <c r="C167" s="11">
        <f t="shared" si="19"/>
        <v>157</v>
      </c>
      <c r="D167" s="18">
        <f t="shared" si="15"/>
        <v>0.3939911008237324</v>
      </c>
      <c r="E167" s="18">
        <f t="shared" si="20"/>
        <v>12.12032621783132</v>
      </c>
      <c r="F167" s="18">
        <f t="shared" si="16"/>
        <v>12.12032621783132</v>
      </c>
      <c r="G167" s="18">
        <f t="shared" si="17"/>
        <v>12.12032621783132</v>
      </c>
    </row>
    <row r="168" spans="2:7" x14ac:dyDescent="0.2">
      <c r="B168" s="28">
        <f t="shared" si="18"/>
        <v>39971</v>
      </c>
      <c r="C168" s="11">
        <f t="shared" si="19"/>
        <v>158</v>
      </c>
      <c r="D168" s="18">
        <f t="shared" si="15"/>
        <v>0.39583065393276545</v>
      </c>
      <c r="E168" s="18">
        <f t="shared" si="20"/>
        <v>12.12041851968851</v>
      </c>
      <c r="F168" s="18">
        <f t="shared" si="16"/>
        <v>12.12041851968851</v>
      </c>
      <c r="G168" s="18">
        <f t="shared" si="17"/>
        <v>12.12041851968851</v>
      </c>
    </row>
    <row r="169" spans="2:7" x14ac:dyDescent="0.2">
      <c r="B169" s="28">
        <f t="shared" si="18"/>
        <v>39972</v>
      </c>
      <c r="C169" s="11">
        <f t="shared" si="19"/>
        <v>159</v>
      </c>
      <c r="D169" s="18">
        <f t="shared" si="15"/>
        <v>0.39755458554066286</v>
      </c>
      <c r="E169" s="18">
        <f t="shared" si="20"/>
        <v>12.120505519177033</v>
      </c>
      <c r="F169" s="18">
        <f t="shared" si="16"/>
        <v>12.120505519177033</v>
      </c>
      <c r="G169" s="18">
        <f t="shared" si="17"/>
        <v>12.120505519177033</v>
      </c>
    </row>
    <row r="170" spans="2:7" x14ac:dyDescent="0.2">
      <c r="B170" s="28">
        <f t="shared" si="18"/>
        <v>39973</v>
      </c>
      <c r="C170" s="11">
        <f t="shared" si="19"/>
        <v>160</v>
      </c>
      <c r="D170" s="18">
        <f t="shared" si="15"/>
        <v>0.39916227318194486</v>
      </c>
      <c r="E170" s="18">
        <f t="shared" si="20"/>
        <v>12.120587088883777</v>
      </c>
      <c r="F170" s="18">
        <f t="shared" si="16"/>
        <v>12.120587088883777</v>
      </c>
      <c r="G170" s="18">
        <f t="shared" si="17"/>
        <v>12.120587088883777</v>
      </c>
    </row>
    <row r="171" spans="2:7" x14ac:dyDescent="0.2">
      <c r="B171" s="28">
        <f t="shared" si="18"/>
        <v>39974</v>
      </c>
      <c r="C171" s="11">
        <f t="shared" si="19"/>
        <v>161</v>
      </c>
      <c r="D171" s="18">
        <f t="shared" si="15"/>
        <v>0.4006531370858431</v>
      </c>
      <c r="E171" s="18">
        <f t="shared" si="20"/>
        <v>12.12066310892623</v>
      </c>
      <c r="F171" s="18">
        <f t="shared" si="16"/>
        <v>12.12066310892623</v>
      </c>
      <c r="G171" s="18">
        <f t="shared" si="17"/>
        <v>12.12066310892623</v>
      </c>
    </row>
    <row r="172" spans="2:7" x14ac:dyDescent="0.2">
      <c r="B172" s="28">
        <f t="shared" si="18"/>
        <v>39975</v>
      </c>
      <c r="C172" s="11">
        <f t="shared" si="19"/>
        <v>162</v>
      </c>
      <c r="D172" s="18">
        <f t="shared" si="15"/>
        <v>0.40202664088933854</v>
      </c>
      <c r="E172" s="18">
        <f t="shared" si="20"/>
        <v>12.120733467245239</v>
      </c>
      <c r="F172" s="18">
        <f t="shared" si="16"/>
        <v>12.120733467245239</v>
      </c>
      <c r="G172" s="18">
        <f t="shared" si="17"/>
        <v>12.120733467245239</v>
      </c>
    </row>
    <row r="173" spans="2:7" x14ac:dyDescent="0.2">
      <c r="B173" s="28">
        <f t="shared" si="18"/>
        <v>39976</v>
      </c>
      <c r="C173" s="11">
        <f t="shared" si="19"/>
        <v>163</v>
      </c>
      <c r="D173" s="18">
        <f t="shared" si="15"/>
        <v>0.40328229230272722</v>
      </c>
      <c r="E173" s="18">
        <f t="shared" si="20"/>
        <v>12.120798059881229</v>
      </c>
      <c r="F173" s="18">
        <f t="shared" si="16"/>
        <v>12.120798059881229</v>
      </c>
      <c r="G173" s="18">
        <f t="shared" si="17"/>
        <v>12.120798059881229</v>
      </c>
    </row>
    <row r="174" spans="2:7" x14ac:dyDescent="0.2">
      <c r="B174" s="28">
        <f t="shared" si="18"/>
        <v>39977</v>
      </c>
      <c r="C174" s="11">
        <f t="shared" si="19"/>
        <v>164</v>
      </c>
      <c r="D174" s="18">
        <f t="shared" si="15"/>
        <v>0.40441964372515909</v>
      </c>
      <c r="E174" s="18">
        <f t="shared" si="20"/>
        <v>12.120856791232589</v>
      </c>
      <c r="F174" s="18">
        <f t="shared" si="16"/>
        <v>12.120856791232589</v>
      </c>
      <c r="G174" s="18">
        <f t="shared" si="17"/>
        <v>12.120856791232589</v>
      </c>
    </row>
    <row r="175" spans="2:7" x14ac:dyDescent="0.2">
      <c r="B175" s="28">
        <f t="shared" si="18"/>
        <v>39978</v>
      </c>
      <c r="C175" s="11">
        <f t="shared" si="19"/>
        <v>165</v>
      </c>
      <c r="D175" s="18">
        <f t="shared" si="15"/>
        <v>0.40543829280774868</v>
      </c>
      <c r="E175" s="18">
        <f t="shared" si="20"/>
        <v>12.120909574294936</v>
      </c>
      <c r="F175" s="18">
        <f t="shared" si="16"/>
        <v>12.120909574294936</v>
      </c>
      <c r="G175" s="18">
        <f t="shared" si="17"/>
        <v>12.120909574294936</v>
      </c>
    </row>
    <row r="176" spans="2:7" x14ac:dyDescent="0.2">
      <c r="B176" s="28">
        <f t="shared" si="18"/>
        <v>39979</v>
      </c>
      <c r="C176" s="11">
        <f t="shared" si="19"/>
        <v>166</v>
      </c>
      <c r="D176" s="18">
        <f t="shared" si="15"/>
        <v>0.40633788296203932</v>
      </c>
      <c r="E176" s="18">
        <f t="shared" si="20"/>
        <v>12.120956330880079</v>
      </c>
      <c r="F176" s="18">
        <f t="shared" si="16"/>
        <v>12.120956330880079</v>
      </c>
      <c r="G176" s="18">
        <f t="shared" si="17"/>
        <v>12.120956330880079</v>
      </c>
    </row>
    <row r="177" spans="2:7" x14ac:dyDescent="0.2">
      <c r="B177" s="28">
        <f t="shared" si="18"/>
        <v>39980</v>
      </c>
      <c r="C177" s="11">
        <f t="shared" si="19"/>
        <v>167</v>
      </c>
      <c r="D177" s="18">
        <f t="shared" si="15"/>
        <v>0.40711810381178526</v>
      </c>
      <c r="E177" s="18">
        <f t="shared" si="20"/>
        <v>12.120996991813529</v>
      </c>
      <c r="F177" s="18">
        <f t="shared" si="16"/>
        <v>12.120996991813529</v>
      </c>
      <c r="G177" s="18">
        <f t="shared" si="17"/>
        <v>12.120996991813529</v>
      </c>
    </row>
    <row r="178" spans="2:7" x14ac:dyDescent="0.2">
      <c r="B178" s="28">
        <f t="shared" si="18"/>
        <v>39981</v>
      </c>
      <c r="C178" s="11">
        <f t="shared" si="19"/>
        <v>168</v>
      </c>
      <c r="D178" s="18">
        <f t="shared" si="15"/>
        <v>0.40777869158622421</v>
      </c>
      <c r="E178" s="18">
        <f t="shared" si="20"/>
        <v>12.121031497109644</v>
      </c>
      <c r="F178" s="18">
        <f t="shared" si="16"/>
        <v>12.121031497109644</v>
      </c>
      <c r="G178" s="18">
        <f t="shared" si="17"/>
        <v>12.121031497109644</v>
      </c>
    </row>
    <row r="179" spans="2:7" x14ac:dyDescent="0.2">
      <c r="B179" s="28">
        <f t="shared" si="18"/>
        <v>39982</v>
      </c>
      <c r="C179" s="11">
        <f t="shared" si="19"/>
        <v>169</v>
      </c>
      <c r="D179" s="18">
        <f t="shared" si="15"/>
        <v>0.4083194294532238</v>
      </c>
      <c r="E179" s="18">
        <f t="shared" si="20"/>
        <v>12.121059796123413</v>
      </c>
      <c r="F179" s="18">
        <f t="shared" si="16"/>
        <v>12.121059796123413</v>
      </c>
      <c r="G179" s="18">
        <f t="shared" si="17"/>
        <v>12.121059796123413</v>
      </c>
    </row>
    <row r="180" spans="2:7" x14ac:dyDescent="0.2">
      <c r="B180" s="28">
        <f t="shared" si="18"/>
        <v>39983</v>
      </c>
      <c r="C180" s="11">
        <f t="shared" si="19"/>
        <v>170</v>
      </c>
      <c r="D180" s="18">
        <f t="shared" si="15"/>
        <v>0.40874014779091672</v>
      </c>
      <c r="E180" s="18">
        <f t="shared" si="20"/>
        <v>12.121081847678159</v>
      </c>
      <c r="F180" s="18">
        <f t="shared" si="16"/>
        <v>12.121081847678159</v>
      </c>
      <c r="G180" s="18">
        <f t="shared" si="17"/>
        <v>12.121081847678159</v>
      </c>
    </row>
    <row r="181" spans="2:7" x14ac:dyDescent="0.2">
      <c r="B181" s="28">
        <f t="shared" si="18"/>
        <v>39984</v>
      </c>
      <c r="C181" s="11">
        <f t="shared" si="19"/>
        <v>171</v>
      </c>
      <c r="D181" s="18">
        <f t="shared" si="15"/>
        <v>0.40904072439666622</v>
      </c>
      <c r="E181" s="18">
        <f t="shared" si="20"/>
        <v>12.121097620168488</v>
      </c>
      <c r="F181" s="18">
        <f t="shared" si="16"/>
        <v>12.121097620168488</v>
      </c>
      <c r="G181" s="18">
        <f t="shared" si="17"/>
        <v>12.121097620168488</v>
      </c>
    </row>
    <row r="182" spans="2:7" x14ac:dyDescent="0.2">
      <c r="B182" s="28">
        <f t="shared" si="18"/>
        <v>39985</v>
      </c>
      <c r="C182" s="11">
        <f t="shared" si="19"/>
        <v>172</v>
      </c>
      <c r="D182" s="18">
        <f t="shared" si="15"/>
        <v>0.40922108463245721</v>
      </c>
      <c r="E182" s="18">
        <f t="shared" si="20"/>
        <v>12.121107091637922</v>
      </c>
      <c r="F182" s="18">
        <f t="shared" si="16"/>
        <v>12.121107091637922</v>
      </c>
      <c r="G182" s="18">
        <f t="shared" si="17"/>
        <v>12.121107091637922</v>
      </c>
    </row>
    <row r="183" spans="2:7" x14ac:dyDescent="0.2">
      <c r="B183" s="28">
        <f t="shared" si="18"/>
        <v>39986</v>
      </c>
      <c r="C183" s="11">
        <f t="shared" si="19"/>
        <v>173</v>
      </c>
      <c r="D183" s="18">
        <f t="shared" si="15"/>
        <v>0.40928120150604741</v>
      </c>
      <c r="E183" s="18">
        <f t="shared" si="20"/>
        <v>12.121110249830878</v>
      </c>
      <c r="F183" s="18">
        <f t="shared" si="16"/>
        <v>12.121110249830878</v>
      </c>
      <c r="G183" s="18">
        <f t="shared" si="17"/>
        <v>12.121110249830878</v>
      </c>
    </row>
    <row r="184" spans="2:7" x14ac:dyDescent="0.2">
      <c r="B184" s="28">
        <f t="shared" si="18"/>
        <v>39987</v>
      </c>
      <c r="C184" s="11">
        <f t="shared" si="19"/>
        <v>174</v>
      </c>
      <c r="D184" s="18">
        <f t="shared" si="15"/>
        <v>0.40922109568747611</v>
      </c>
      <c r="E184" s="18">
        <f t="shared" si="20"/>
        <v>12.121107092218635</v>
      </c>
      <c r="F184" s="18">
        <f t="shared" si="16"/>
        <v>12.121107092218635</v>
      </c>
      <c r="G184" s="18">
        <f t="shared" si="17"/>
        <v>12.121107092218635</v>
      </c>
    </row>
    <row r="185" spans="2:7" x14ac:dyDescent="0.2">
      <c r="B185" s="28">
        <f t="shared" si="18"/>
        <v>39988</v>
      </c>
      <c r="C185" s="11">
        <f t="shared" si="19"/>
        <v>175</v>
      </c>
      <c r="D185" s="18">
        <f t="shared" si="15"/>
        <v>0.40904083546077746</v>
      </c>
      <c r="E185" s="18">
        <f t="shared" si="20"/>
        <v>12.121097625999258</v>
      </c>
      <c r="F185" s="18">
        <f t="shared" si="16"/>
        <v>12.121097625999258</v>
      </c>
      <c r="G185" s="18">
        <f t="shared" si="17"/>
        <v>12.121097625999258</v>
      </c>
    </row>
    <row r="186" spans="2:7" x14ac:dyDescent="0.2">
      <c r="B186" s="28">
        <f t="shared" si="18"/>
        <v>39989</v>
      </c>
      <c r="C186" s="11">
        <f t="shared" si="19"/>
        <v>176</v>
      </c>
      <c r="D186" s="18">
        <f t="shared" si="15"/>
        <v>0.40874053661100912</v>
      </c>
      <c r="E186" s="18">
        <f t="shared" si="20"/>
        <v>12.121081868071428</v>
      </c>
      <c r="F186" s="18">
        <f t="shared" si="16"/>
        <v>12.121081868071428</v>
      </c>
      <c r="G186" s="18">
        <f t="shared" si="17"/>
        <v>12.121081868071428</v>
      </c>
    </row>
    <row r="187" spans="2:7" x14ac:dyDescent="0.2">
      <c r="B187" s="28">
        <f t="shared" si="18"/>
        <v>39990</v>
      </c>
      <c r="C187" s="11">
        <f t="shared" si="19"/>
        <v>177</v>
      </c>
      <c r="D187" s="18">
        <f t="shared" si="15"/>
        <v>0.40832036224696044</v>
      </c>
      <c r="E187" s="18">
        <f t="shared" si="20"/>
        <v>12.121059844982328</v>
      </c>
      <c r="F187" s="18">
        <f t="shared" si="16"/>
        <v>12.121059844982328</v>
      </c>
      <c r="G187" s="18">
        <f t="shared" si="17"/>
        <v>12.121059844982328</v>
      </c>
    </row>
    <row r="188" spans="2:7" x14ac:dyDescent="0.2">
      <c r="B188" s="28">
        <f t="shared" si="18"/>
        <v>39991</v>
      </c>
      <c r="C188" s="11">
        <f t="shared" si="19"/>
        <v>178</v>
      </c>
      <c r="D188" s="18">
        <f t="shared" si="15"/>
        <v>0.40778052256016339</v>
      </c>
      <c r="E188" s="18">
        <f t="shared" si="20"/>
        <v>12.121031592849928</v>
      </c>
      <c r="F188" s="18">
        <f t="shared" si="16"/>
        <v>12.121031592849928</v>
      </c>
      <c r="G188" s="18">
        <f t="shared" si="17"/>
        <v>12.121031592849928</v>
      </c>
    </row>
    <row r="189" spans="2:7" x14ac:dyDescent="0.2">
      <c r="B189" s="28">
        <f t="shared" si="18"/>
        <v>39992</v>
      </c>
      <c r="C189" s="11">
        <f t="shared" si="19"/>
        <v>179</v>
      </c>
      <c r="D189" s="18">
        <f t="shared" si="15"/>
        <v>0.40712127452107588</v>
      </c>
      <c r="E189" s="18">
        <f t="shared" si="20"/>
        <v>12.12099715726</v>
      </c>
      <c r="F189" s="18">
        <f t="shared" si="16"/>
        <v>12.12099715726</v>
      </c>
      <c r="G189" s="18">
        <f t="shared" si="17"/>
        <v>12.12099715726</v>
      </c>
    </row>
    <row r="190" spans="2:7" x14ac:dyDescent="0.2">
      <c r="B190" s="28">
        <f t="shared" si="18"/>
        <v>39993</v>
      </c>
      <c r="C190" s="11">
        <f t="shared" si="19"/>
        <v>180</v>
      </c>
      <c r="D190" s="18">
        <f t="shared" si="15"/>
        <v>0.40634292151355761</v>
      </c>
      <c r="E190" s="18">
        <f t="shared" si="20"/>
        <v>12.120956593138523</v>
      </c>
      <c r="F190" s="18">
        <f t="shared" si="16"/>
        <v>12.120956593138523</v>
      </c>
      <c r="G190" s="18">
        <f t="shared" si="17"/>
        <v>12.120956593138523</v>
      </c>
    </row>
    <row r="191" spans="2:7" x14ac:dyDescent="0.2">
      <c r="B191" s="28">
        <f t="shared" si="18"/>
        <v>39994</v>
      </c>
      <c r="C191" s="11">
        <f t="shared" si="19"/>
        <v>181</v>
      </c>
      <c r="D191" s="18">
        <f t="shared" si="15"/>
        <v>0.40544581290899201</v>
      </c>
      <c r="E191" s="18">
        <f t="shared" si="20"/>
        <v>12.120909964600058</v>
      </c>
      <c r="F191" s="18">
        <f t="shared" si="16"/>
        <v>12.120909964600058</v>
      </c>
      <c r="G191" s="18">
        <f t="shared" si="17"/>
        <v>12.120909964600058</v>
      </c>
    </row>
    <row r="192" spans="2:7" x14ac:dyDescent="0.2">
      <c r="B192" s="28">
        <f t="shared" si="18"/>
        <v>39995</v>
      </c>
      <c r="C192" s="11">
        <f t="shared" si="19"/>
        <v>182</v>
      </c>
      <c r="D192" s="18">
        <f t="shared" si="15"/>
        <v>0.40443034358163826</v>
      </c>
      <c r="E192" s="18">
        <f t="shared" si="20"/>
        <v>12.120857344772954</v>
      </c>
      <c r="F192" s="18">
        <f t="shared" si="16"/>
        <v>12.120857344772954</v>
      </c>
      <c r="G192" s="18">
        <f t="shared" si="17"/>
        <v>12.120857344772954</v>
      </c>
    </row>
    <row r="193" spans="2:7" x14ac:dyDescent="0.2">
      <c r="B193" s="28">
        <f t="shared" si="18"/>
        <v>39996</v>
      </c>
      <c r="C193" s="11">
        <f t="shared" si="19"/>
        <v>183</v>
      </c>
      <c r="D193" s="18">
        <f t="shared" si="15"/>
        <v>0.40329695336701854</v>
      </c>
      <c r="E193" s="18">
        <f t="shared" si="20"/>
        <v>12.120798815602289</v>
      </c>
      <c r="F193" s="18">
        <f t="shared" si="16"/>
        <v>12.120798815602289</v>
      </c>
      <c r="G193" s="18">
        <f t="shared" si="17"/>
        <v>12.120798815602289</v>
      </c>
    </row>
    <row r="194" spans="2:7" x14ac:dyDescent="0.2">
      <c r="B194" s="28">
        <f t="shared" si="18"/>
        <v>39997</v>
      </c>
      <c r="C194" s="11">
        <f t="shared" si="19"/>
        <v>184</v>
      </c>
      <c r="D194" s="18">
        <f t="shared" si="15"/>
        <v>0.40204612646534715</v>
      </c>
      <c r="E194" s="18">
        <f t="shared" si="20"/>
        <v>12.120734467631527</v>
      </c>
      <c r="F194" s="18">
        <f t="shared" si="16"/>
        <v>12.120734467631527</v>
      </c>
      <c r="G194" s="18">
        <f t="shared" si="17"/>
        <v>12.120734467631527</v>
      </c>
    </row>
    <row r="195" spans="2:7" x14ac:dyDescent="0.2">
      <c r="B195" s="28">
        <f t="shared" si="18"/>
        <v>39998</v>
      </c>
      <c r="C195" s="11">
        <f t="shared" si="19"/>
        <v>185</v>
      </c>
      <c r="D195" s="18">
        <f t="shared" si="15"/>
        <v>0.40067839079220724</v>
      </c>
      <c r="E195" s="18">
        <f t="shared" si="20"/>
        <v>12.120664399764079</v>
      </c>
      <c r="F195" s="18">
        <f t="shared" si="16"/>
        <v>12.120664399764079</v>
      </c>
      <c r="G195" s="18">
        <f t="shared" si="17"/>
        <v>12.120664399764079</v>
      </c>
    </row>
    <row r="196" spans="2:7" x14ac:dyDescent="0.2">
      <c r="B196" s="28">
        <f t="shared" si="18"/>
        <v>39999</v>
      </c>
      <c r="C196" s="11">
        <f t="shared" si="19"/>
        <v>186</v>
      </c>
      <c r="D196" s="18">
        <f t="shared" si="15"/>
        <v>0.39919431727885635</v>
      </c>
      <c r="E196" s="18">
        <f t="shared" si="20"/>
        <v>12.120588719005882</v>
      </c>
      <c r="F196" s="18">
        <f t="shared" si="16"/>
        <v>12.120588719005882</v>
      </c>
      <c r="G196" s="18">
        <f t="shared" si="17"/>
        <v>12.120588719005882</v>
      </c>
    </row>
    <row r="197" spans="2:7" x14ac:dyDescent="0.2">
      <c r="B197" s="28">
        <f t="shared" si="18"/>
        <v>40000</v>
      </c>
      <c r="C197" s="11">
        <f t="shared" si="19"/>
        <v>187</v>
      </c>
      <c r="D197" s="18">
        <f t="shared" si="15"/>
        <v>0.39759451912470972</v>
      </c>
      <c r="E197" s="18">
        <f t="shared" si="20"/>
        <v>12.120507540190351</v>
      </c>
      <c r="F197" s="18">
        <f t="shared" si="16"/>
        <v>12.120507540190351</v>
      </c>
      <c r="G197" s="18">
        <f t="shared" si="17"/>
        <v>12.120507540190351</v>
      </c>
    </row>
    <row r="198" spans="2:7" x14ac:dyDescent="0.2">
      <c r="B198" s="28">
        <f t="shared" si="18"/>
        <v>40001</v>
      </c>
      <c r="C198" s="11">
        <f t="shared" si="19"/>
        <v>188</v>
      </c>
      <c r="D198" s="18">
        <f t="shared" si="15"/>
        <v>0.39587965100469674</v>
      </c>
      <c r="E198" s="18">
        <f t="shared" si="20"/>
        <v>12.120420985687018</v>
      </c>
      <c r="F198" s="18">
        <f t="shared" si="16"/>
        <v>12.120420985687018</v>
      </c>
      <c r="G198" s="18">
        <f t="shared" si="17"/>
        <v>12.120420985687018</v>
      </c>
    </row>
    <row r="199" spans="2:7" x14ac:dyDescent="0.2">
      <c r="B199" s="28">
        <f t="shared" si="18"/>
        <v>40002</v>
      </c>
      <c r="C199" s="11">
        <f t="shared" si="19"/>
        <v>189</v>
      </c>
      <c r="D199" s="18">
        <f t="shared" si="15"/>
        <v>0.39405040823432064</v>
      </c>
      <c r="E199" s="18">
        <f t="shared" si="20"/>
        <v>12.120329185095258</v>
      </c>
      <c r="F199" s="18">
        <f t="shared" si="16"/>
        <v>12.120329185095258</v>
      </c>
      <c r="G199" s="18">
        <f t="shared" si="17"/>
        <v>12.120329185095258</v>
      </c>
    </row>
    <row r="200" spans="2:7" x14ac:dyDescent="0.2">
      <c r="B200" s="28">
        <f t="shared" si="18"/>
        <v>40003</v>
      </c>
      <c r="C200" s="11">
        <f t="shared" si="19"/>
        <v>190</v>
      </c>
      <c r="D200" s="18">
        <f t="shared" si="15"/>
        <v>0.39210752589536413</v>
      </c>
      <c r="E200" s="18">
        <f t="shared" si="20"/>
        <v>12.120232274924572</v>
      </c>
      <c r="F200" s="18">
        <f t="shared" si="16"/>
        <v>12.120232274924572</v>
      </c>
      <c r="G200" s="18">
        <f t="shared" si="17"/>
        <v>12.120232274924572</v>
      </c>
    </row>
    <row r="201" spans="2:7" x14ac:dyDescent="0.2">
      <c r="B201" s="28">
        <f t="shared" si="18"/>
        <v>40004</v>
      </c>
      <c r="C201" s="11">
        <f t="shared" si="19"/>
        <v>191</v>
      </c>
      <c r="D201" s="18">
        <f t="shared" si="15"/>
        <v>0.39005177792528284</v>
      </c>
      <c r="E201" s="18">
        <f t="shared" si="20"/>
        <v>12.120130398262901</v>
      </c>
      <c r="F201" s="18">
        <f t="shared" si="16"/>
        <v>12.120130398262901</v>
      </c>
      <c r="G201" s="18">
        <f t="shared" si="17"/>
        <v>12.120130398262901</v>
      </c>
    </row>
    <row r="202" spans="2:7" x14ac:dyDescent="0.2">
      <c r="B202" s="28">
        <f t="shared" si="18"/>
        <v>40005</v>
      </c>
      <c r="C202" s="11">
        <f t="shared" si="19"/>
        <v>192</v>
      </c>
      <c r="D202" s="18">
        <f t="shared" si="15"/>
        <v>0.38788397617341153</v>
      </c>
      <c r="E202" s="18">
        <f t="shared" si="20"/>
        <v>12.12002370443448</v>
      </c>
      <c r="F202" s="18">
        <f t="shared" si="16"/>
        <v>12.12002370443448</v>
      </c>
      <c r="G202" s="18">
        <f t="shared" si="17"/>
        <v>12.12002370443448</v>
      </c>
    </row>
    <row r="203" spans="2:7" x14ac:dyDescent="0.2">
      <c r="B203" s="28">
        <f t="shared" si="18"/>
        <v>40006</v>
      </c>
      <c r="C203" s="11">
        <f t="shared" si="19"/>
        <v>193</v>
      </c>
      <c r="D203" s="18">
        <f t="shared" ref="D203:D266" si="21">ASIN(0.39795*COS(0.2163108+2*ATAN(0.9671396*TAN(0.0086*(C203-186)))))</f>
        <v>0.38560496942716405</v>
      </c>
      <c r="E203" s="18">
        <f t="shared" si="20"/>
        <v>12.119912348648755</v>
      </c>
      <c r="F203" s="18">
        <f t="shared" ref="F203:F266" si="22">24-(24/PI())*ACOS((SIN(0.8333*PI()/180)+SIN($D$5*PI()/180)*SIN($D203))/(COS($D$5*PI()/180)*COS($D203)))</f>
        <v>12.119912348648755</v>
      </c>
      <c r="G203" s="18">
        <f t="shared" ref="G203:G266" si="23">24-(24/PI())*ACOS((SIN(0.8333*PI()/180)+SIN($D$6*PI()/180)*SIN($D203))/(COS($D$6*PI()/180)*COS($D203)))</f>
        <v>12.119912348648755</v>
      </c>
    </row>
    <row r="204" spans="2:7" x14ac:dyDescent="0.2">
      <c r="B204" s="28">
        <f t="shared" ref="B204:B267" si="24">B203+1</f>
        <v>40007</v>
      </c>
      <c r="C204" s="11">
        <f t="shared" ref="C204:C267" si="25">C203+1</f>
        <v>194</v>
      </c>
      <c r="D204" s="18">
        <f t="shared" si="21"/>
        <v>0.38321564241146017</v>
      </c>
      <c r="E204" s="18">
        <f t="shared" ref="E204:E267" si="26">24-(24/PI())*ACOS((SIN(0.8333*PI()/180)+SIN($D$4*PI()/180)*SIN(D204))/(COS($D$4*PI()/180)*COS(D204)))</f>
        <v>12.119796491641891</v>
      </c>
      <c r="F204" s="18">
        <f t="shared" si="22"/>
        <v>12.119796491641891</v>
      </c>
      <c r="G204" s="18">
        <f t="shared" si="23"/>
        <v>12.119796491641891</v>
      </c>
    </row>
    <row r="205" spans="2:7" x14ac:dyDescent="0.2">
      <c r="B205" s="28">
        <f t="shared" si="24"/>
        <v>40008</v>
      </c>
      <c r="C205" s="11">
        <f t="shared" si="25"/>
        <v>195</v>
      </c>
      <c r="D205" s="18">
        <f t="shared" si="21"/>
        <v>0.38071691476463765</v>
      </c>
      <c r="E205" s="18">
        <f t="shared" si="26"/>
        <v>12.119676299312378</v>
      </c>
      <c r="F205" s="18">
        <f t="shared" si="22"/>
        <v>12.119676299312378</v>
      </c>
      <c r="G205" s="18">
        <f t="shared" si="23"/>
        <v>12.119676299312378</v>
      </c>
    </row>
    <row r="206" spans="2:7" x14ac:dyDescent="0.2">
      <c r="B206" s="28">
        <f t="shared" si="24"/>
        <v>40009</v>
      </c>
      <c r="C206" s="11">
        <f t="shared" si="25"/>
        <v>196</v>
      </c>
      <c r="D206" s="18">
        <f t="shared" si="21"/>
        <v>0.37810973999411812</v>
      </c>
      <c r="E206" s="18">
        <f t="shared" si="26"/>
        <v>12.119551942352244</v>
      </c>
      <c r="F206" s="18">
        <f t="shared" si="22"/>
        <v>12.119551942352244</v>
      </c>
      <c r="G206" s="18">
        <f t="shared" si="23"/>
        <v>12.119551942352244</v>
      </c>
    </row>
    <row r="207" spans="2:7" x14ac:dyDescent="0.2">
      <c r="B207" s="28">
        <f t="shared" si="24"/>
        <v>40010</v>
      </c>
      <c r="C207" s="11">
        <f t="shared" si="25"/>
        <v>197</v>
      </c>
      <c r="D207" s="18">
        <f t="shared" si="21"/>
        <v>0.37539510441509116</v>
      </c>
      <c r="E207" s="18">
        <f t="shared" si="26"/>
        <v>12.11942359587534</v>
      </c>
      <c r="F207" s="18">
        <f t="shared" si="22"/>
        <v>12.11942359587534</v>
      </c>
      <c r="G207" s="18">
        <f t="shared" si="23"/>
        <v>12.11942359587534</v>
      </c>
    </row>
    <row r="208" spans="2:7" x14ac:dyDescent="0.2">
      <c r="B208" s="28">
        <f t="shared" si="24"/>
        <v>40011</v>
      </c>
      <c r="C208" s="11">
        <f t="shared" si="25"/>
        <v>198</v>
      </c>
      <c r="D208" s="18">
        <f t="shared" si="21"/>
        <v>0.37257402607546131</v>
      </c>
      <c r="E208" s="18">
        <f t="shared" si="26"/>
        <v>12.119291439044131</v>
      </c>
      <c r="F208" s="18">
        <f t="shared" si="22"/>
        <v>12.119291439044131</v>
      </c>
      <c r="G208" s="18">
        <f t="shared" si="23"/>
        <v>12.119291439044131</v>
      </c>
    </row>
    <row r="209" spans="2:7" x14ac:dyDescent="0.2">
      <c r="B209" s="28">
        <f t="shared" si="24"/>
        <v>40012</v>
      </c>
      <c r="C209" s="11">
        <f t="shared" si="25"/>
        <v>199</v>
      </c>
      <c r="D209" s="18">
        <f t="shared" si="21"/>
        <v>0.36964755367026431</v>
      </c>
      <c r="E209" s="18">
        <f t="shared" si="26"/>
        <v>12.119155654696387</v>
      </c>
      <c r="F209" s="18">
        <f t="shared" si="22"/>
        <v>12.119155654696387</v>
      </c>
      <c r="G209" s="18">
        <f t="shared" si="23"/>
        <v>12.119155654696387</v>
      </c>
    </row>
    <row r="210" spans="2:7" x14ac:dyDescent="0.2">
      <c r="B210" s="28">
        <f t="shared" si="24"/>
        <v>40013</v>
      </c>
      <c r="C210" s="11">
        <f t="shared" si="25"/>
        <v>200</v>
      </c>
      <c r="D210" s="18">
        <f t="shared" si="21"/>
        <v>0.36661676544871036</v>
      </c>
      <c r="E210" s="18">
        <f t="shared" si="26"/>
        <v>12.119016428973106</v>
      </c>
      <c r="F210" s="18">
        <f t="shared" si="22"/>
        <v>12.119016428973106</v>
      </c>
      <c r="G210" s="18">
        <f t="shared" si="23"/>
        <v>12.119016428973106</v>
      </c>
    </row>
    <row r="211" spans="2:7" x14ac:dyDescent="0.2">
      <c r="B211" s="28">
        <f t="shared" si="24"/>
        <v>40014</v>
      </c>
      <c r="C211" s="11">
        <f t="shared" si="25"/>
        <v>201</v>
      </c>
      <c r="D211" s="18">
        <f t="shared" si="21"/>
        <v>0.36348276811694818</v>
      </c>
      <c r="E211" s="18">
        <f t="shared" si="26"/>
        <v>12.118873950948981</v>
      </c>
      <c r="F211" s="18">
        <f t="shared" si="22"/>
        <v>12.118873950948981</v>
      </c>
      <c r="G211" s="18">
        <f t="shared" si="23"/>
        <v>12.118873950948981</v>
      </c>
    </row>
    <row r="212" spans="2:7" x14ac:dyDescent="0.2">
      <c r="B212" s="28">
        <f t="shared" si="24"/>
        <v>40015</v>
      </c>
      <c r="C212" s="11">
        <f t="shared" si="25"/>
        <v>202</v>
      </c>
      <c r="D212" s="18">
        <f t="shared" si="21"/>
        <v>0.36024669573956797</v>
      </c>
      <c r="E212" s="18">
        <f t="shared" si="26"/>
        <v>12.118728412266574</v>
      </c>
      <c r="F212" s="18">
        <f t="shared" si="22"/>
        <v>12.118728412266574</v>
      </c>
      <c r="G212" s="18">
        <f t="shared" si="23"/>
        <v>12.118728412266574</v>
      </c>
    </row>
    <row r="213" spans="2:7" x14ac:dyDescent="0.2">
      <c r="B213" s="28">
        <f t="shared" si="24"/>
        <v>40016</v>
      </c>
      <c r="C213" s="11">
        <f t="shared" si="25"/>
        <v>203</v>
      </c>
      <c r="D213" s="18">
        <f t="shared" si="21"/>
        <v>0.35690970864277327</v>
      </c>
      <c r="E213" s="18">
        <f t="shared" si="26"/>
        <v>12.118580006775396</v>
      </c>
      <c r="F213" s="18">
        <f t="shared" si="22"/>
        <v>12.118580006775396</v>
      </c>
      <c r="G213" s="18">
        <f t="shared" si="23"/>
        <v>12.118580006775396</v>
      </c>
    </row>
    <row r="214" spans="2:7" x14ac:dyDescent="0.2">
      <c r="B214" s="28">
        <f t="shared" si="24"/>
        <v>40017</v>
      </c>
      <c r="C214" s="11">
        <f t="shared" si="25"/>
        <v>204</v>
      </c>
      <c r="D214" s="18">
        <f t="shared" si="21"/>
        <v>0.35347299232205509</v>
      </c>
      <c r="E214" s="18">
        <f t="shared" si="26"/>
        <v>12.118428930176957</v>
      </c>
      <c r="F214" s="18">
        <f t="shared" si="22"/>
        <v>12.118428930176957</v>
      </c>
      <c r="G214" s="18">
        <f t="shared" si="23"/>
        <v>12.118428930176957</v>
      </c>
    </row>
    <row r="215" spans="2:7" x14ac:dyDescent="0.2">
      <c r="B215" s="28">
        <f t="shared" si="24"/>
        <v>40018</v>
      </c>
      <c r="C215" s="11">
        <f t="shared" si="25"/>
        <v>205</v>
      </c>
      <c r="D215" s="18">
        <f t="shared" si="21"/>
        <v>0.34993775635709434</v>
      </c>
      <c r="E215" s="18">
        <f t="shared" si="26"/>
        <v>12.118275379676758</v>
      </c>
      <c r="F215" s="18">
        <f t="shared" si="22"/>
        <v>12.118275379676758</v>
      </c>
      <c r="G215" s="18">
        <f t="shared" si="23"/>
        <v>12.118275379676758</v>
      </c>
    </row>
    <row r="216" spans="2:7" x14ac:dyDescent="0.2">
      <c r="B216" s="28">
        <f t="shared" si="24"/>
        <v>40019</v>
      </c>
      <c r="C216" s="11">
        <f t="shared" si="25"/>
        <v>206</v>
      </c>
      <c r="D216" s="18">
        <f t="shared" si="21"/>
        <v>0.34630523333650337</v>
      </c>
      <c r="E216" s="18">
        <f t="shared" si="26"/>
        <v>12.118119553644181</v>
      </c>
      <c r="F216" s="18">
        <f t="shared" si="22"/>
        <v>12.118119553644181</v>
      </c>
      <c r="G216" s="18">
        <f t="shared" si="23"/>
        <v>12.118119553644181</v>
      </c>
    </row>
    <row r="217" spans="2:7" x14ac:dyDescent="0.2">
      <c r="B217" s="28">
        <f t="shared" si="24"/>
        <v>40020</v>
      </c>
      <c r="C217" s="11">
        <f t="shared" si="25"/>
        <v>207</v>
      </c>
      <c r="D217" s="18">
        <f t="shared" si="21"/>
        <v>0.34257667779489442</v>
      </c>
      <c r="E217" s="18">
        <f t="shared" si="26"/>
        <v>12.117961651281107</v>
      </c>
      <c r="F217" s="18">
        <f t="shared" si="22"/>
        <v>12.117961651281107</v>
      </c>
      <c r="G217" s="18">
        <f t="shared" si="23"/>
        <v>12.117961651281107</v>
      </c>
    </row>
    <row r="218" spans="2:7" x14ac:dyDescent="0.2">
      <c r="B218" s="28">
        <f t="shared" si="24"/>
        <v>40021</v>
      </c>
      <c r="C218" s="11">
        <f t="shared" si="25"/>
        <v>208</v>
      </c>
      <c r="D218" s="18">
        <f t="shared" si="21"/>
        <v>0.33875336516463711</v>
      </c>
      <c r="E218" s="18">
        <f t="shared" si="26"/>
        <v>12.117801872299983</v>
      </c>
      <c r="F218" s="18">
        <f t="shared" si="22"/>
        <v>12.117801872299983</v>
      </c>
      <c r="G218" s="18">
        <f t="shared" si="23"/>
        <v>12.117801872299983</v>
      </c>
    </row>
    <row r="219" spans="2:7" x14ac:dyDescent="0.2">
      <c r="B219" s="28">
        <f t="shared" si="24"/>
        <v>40022</v>
      </c>
      <c r="C219" s="11">
        <f t="shared" si="25"/>
        <v>209</v>
      </c>
      <c r="D219" s="18">
        <f t="shared" si="21"/>
        <v>0.33483659074452959</v>
      </c>
      <c r="E219" s="18">
        <f t="shared" si="26"/>
        <v>12.117640416612078</v>
      </c>
      <c r="F219" s="18">
        <f t="shared" si="22"/>
        <v>12.117640416612078</v>
      </c>
      <c r="G219" s="18">
        <f t="shared" si="23"/>
        <v>12.117640416612078</v>
      </c>
    </row>
    <row r="220" spans="2:7" x14ac:dyDescent="0.2">
      <c r="B220" s="28">
        <f t="shared" si="24"/>
        <v>40023</v>
      </c>
      <c r="C220" s="11">
        <f t="shared" si="25"/>
        <v>210</v>
      </c>
      <c r="D220" s="18">
        <f t="shared" si="21"/>
        <v>0.33082766868747659</v>
      </c>
      <c r="E220" s="18">
        <f t="shared" si="26"/>
        <v>12.117477484026447</v>
      </c>
      <c r="F220" s="18">
        <f t="shared" si="22"/>
        <v>12.117477484026447</v>
      </c>
      <c r="G220" s="18">
        <f t="shared" si="23"/>
        <v>12.117477484026447</v>
      </c>
    </row>
    <row r="221" spans="2:7" x14ac:dyDescent="0.2">
      <c r="B221" s="28">
        <f t="shared" si="24"/>
        <v>40024</v>
      </c>
      <c r="C221" s="11">
        <f t="shared" si="25"/>
        <v>211</v>
      </c>
      <c r="D221" s="18">
        <f t="shared" si="21"/>
        <v>0.3267279310091214</v>
      </c>
      <c r="E221" s="18">
        <f t="shared" si="26"/>
        <v>12.117313273960164</v>
      </c>
      <c r="F221" s="18">
        <f t="shared" si="22"/>
        <v>12.117313273960164</v>
      </c>
      <c r="G221" s="18">
        <f t="shared" si="23"/>
        <v>12.117313273960164</v>
      </c>
    </row>
    <row r="222" spans="2:7" x14ac:dyDescent="0.2">
      <c r="B222" s="28">
        <f t="shared" si="24"/>
        <v>40025</v>
      </c>
      <c r="C222" s="11">
        <f t="shared" si="25"/>
        <v>212</v>
      </c>
      <c r="D222" s="18">
        <f t="shared" si="21"/>
        <v>0.32253872661924066</v>
      </c>
      <c r="E222" s="18">
        <f t="shared" si="26"/>
        <v>12.117147985160237</v>
      </c>
      <c r="F222" s="18">
        <f t="shared" si="22"/>
        <v>12.117147985160237</v>
      </c>
      <c r="G222" s="18">
        <f t="shared" si="23"/>
        <v>12.117147985160237</v>
      </c>
    </row>
    <row r="223" spans="2:7" x14ac:dyDescent="0.2">
      <c r="B223" s="28">
        <f t="shared" si="24"/>
        <v>40026</v>
      </c>
      <c r="C223" s="11">
        <f t="shared" si="25"/>
        <v>213</v>
      </c>
      <c r="D223" s="18">
        <f t="shared" si="21"/>
        <v>0.31826142037756883</v>
      </c>
      <c r="E223" s="18">
        <f t="shared" si="26"/>
        <v>12.116981815437521</v>
      </c>
      <c r="F223" s="18">
        <f t="shared" si="22"/>
        <v>12.116981815437521</v>
      </c>
      <c r="G223" s="18">
        <f t="shared" si="23"/>
        <v>12.116981815437521</v>
      </c>
    </row>
    <row r="224" spans="2:7" x14ac:dyDescent="0.2">
      <c r="B224" s="28">
        <f t="shared" si="24"/>
        <v>40027</v>
      </c>
      <c r="C224" s="11">
        <f t="shared" si="25"/>
        <v>214</v>
      </c>
      <c r="D224" s="18">
        <f t="shared" si="21"/>
        <v>0.31389739217557133</v>
      </c>
      <c r="E224" s="18">
        <f t="shared" si="26"/>
        <v>12.116814961412963</v>
      </c>
      <c r="F224" s="18">
        <f t="shared" si="22"/>
        <v>12.116814961412963</v>
      </c>
      <c r="G224" s="18">
        <f t="shared" si="23"/>
        <v>12.116814961412963</v>
      </c>
    </row>
    <row r="225" spans="2:7" x14ac:dyDescent="0.2">
      <c r="B225" s="28">
        <f t="shared" si="24"/>
        <v>40028</v>
      </c>
      <c r="C225" s="11">
        <f t="shared" si="25"/>
        <v>215</v>
      </c>
      <c r="D225" s="18">
        <f t="shared" si="21"/>
        <v>0.3094480360455476</v>
      </c>
      <c r="E225" s="18">
        <f t="shared" si="26"/>
        <v>12.116647618276328</v>
      </c>
      <c r="F225" s="18">
        <f t="shared" si="22"/>
        <v>12.116647618276328</v>
      </c>
      <c r="G225" s="18">
        <f t="shared" si="23"/>
        <v>12.116647618276328</v>
      </c>
    </row>
    <row r="226" spans="2:7" x14ac:dyDescent="0.2">
      <c r="B226" s="28">
        <f t="shared" si="24"/>
        <v>40029</v>
      </c>
      <c r="C226" s="11">
        <f t="shared" si="25"/>
        <v>216</v>
      </c>
      <c r="D226" s="18">
        <f t="shared" si="21"/>
        <v>0.30491475929830186</v>
      </c>
      <c r="E226" s="18">
        <f t="shared" si="26"/>
        <v>12.116479979557543</v>
      </c>
      <c r="F226" s="18">
        <f t="shared" si="22"/>
        <v>12.116479979557543</v>
      </c>
      <c r="G226" s="18">
        <f t="shared" si="23"/>
        <v>12.116479979557543</v>
      </c>
    </row>
    <row r="227" spans="2:7" x14ac:dyDescent="0.2">
      <c r="B227" s="28">
        <f t="shared" si="24"/>
        <v>40030</v>
      </c>
      <c r="C227" s="11">
        <f t="shared" si="25"/>
        <v>217</v>
      </c>
      <c r="D227" s="18">
        <f t="shared" si="21"/>
        <v>0.3002989816904813</v>
      </c>
      <c r="E227" s="18">
        <f t="shared" si="26"/>
        <v>12.116312236910737</v>
      </c>
      <c r="F227" s="18">
        <f t="shared" si="22"/>
        <v>12.116312236910737</v>
      </c>
      <c r="G227" s="18">
        <f t="shared" si="23"/>
        <v>12.116312236910737</v>
      </c>
    </row>
    <row r="228" spans="2:7" x14ac:dyDescent="0.2">
      <c r="B228" s="28">
        <f t="shared" si="24"/>
        <v>40031</v>
      </c>
      <c r="C228" s="11">
        <f t="shared" si="25"/>
        <v>218</v>
      </c>
      <c r="D228" s="18">
        <f t="shared" si="21"/>
        <v>0.29560213462254409</v>
      </c>
      <c r="E228" s="18">
        <f t="shared" si="26"/>
        <v>12.116144579910976</v>
      </c>
      <c r="F228" s="18">
        <f t="shared" si="22"/>
        <v>12.116144579910976</v>
      </c>
      <c r="G228" s="18">
        <f t="shared" si="23"/>
        <v>12.116144579910976</v>
      </c>
    </row>
    <row r="229" spans="2:7" x14ac:dyDescent="0.2">
      <c r="B229" s="28">
        <f t="shared" si="24"/>
        <v>40032</v>
      </c>
      <c r="C229" s="11">
        <f t="shared" si="25"/>
        <v>219</v>
      </c>
      <c r="D229" s="18">
        <f t="shared" si="21"/>
        <v>0.29082566036818791</v>
      </c>
      <c r="E229" s="18">
        <f t="shared" si="26"/>
        <v>12.11597719586358</v>
      </c>
      <c r="F229" s="18">
        <f t="shared" si="22"/>
        <v>12.11597719586358</v>
      </c>
      <c r="G229" s="18">
        <f t="shared" si="23"/>
        <v>12.11597719586358</v>
      </c>
    </row>
    <row r="230" spans="2:7" x14ac:dyDescent="0.2">
      <c r="B230" s="28">
        <f t="shared" si="24"/>
        <v>40033</v>
      </c>
      <c r="C230" s="11">
        <f t="shared" si="25"/>
        <v>220</v>
      </c>
      <c r="D230" s="18">
        <f t="shared" si="21"/>
        <v>0.28597101133594005</v>
      </c>
      <c r="E230" s="18">
        <f t="shared" si="26"/>
        <v>12.11581026962598</v>
      </c>
      <c r="F230" s="18">
        <f t="shared" si="22"/>
        <v>12.11581026962598</v>
      </c>
      <c r="G230" s="18">
        <f t="shared" si="23"/>
        <v>12.11581026962598</v>
      </c>
    </row>
    <row r="231" spans="2:7" x14ac:dyDescent="0.2">
      <c r="B231" s="28">
        <f t="shared" si="24"/>
        <v>40034</v>
      </c>
      <c r="C231" s="11">
        <f t="shared" si="25"/>
        <v>221</v>
      </c>
      <c r="D231" s="18">
        <f t="shared" si="21"/>
        <v>0.2810396493634848</v>
      </c>
      <c r="E231" s="18">
        <f t="shared" si="26"/>
        <v>12.115643983441874</v>
      </c>
      <c r="F231" s="18">
        <f t="shared" si="22"/>
        <v>12.115643983441874</v>
      </c>
      <c r="G231" s="18">
        <f t="shared" si="23"/>
        <v>12.115643983441874</v>
      </c>
    </row>
    <row r="232" spans="2:7" x14ac:dyDescent="0.2">
      <c r="B232" s="28">
        <f t="shared" si="24"/>
        <v>40035</v>
      </c>
      <c r="C232" s="11">
        <f t="shared" si="25"/>
        <v>222</v>
      </c>
      <c r="D232" s="18">
        <f t="shared" si="21"/>
        <v>0.27603304504518411</v>
      </c>
      <c r="E232" s="18">
        <f t="shared" si="26"/>
        <v>12.115478516787515</v>
      </c>
      <c r="F232" s="18">
        <f t="shared" si="22"/>
        <v>12.115478516787515</v>
      </c>
      <c r="G232" s="18">
        <f t="shared" si="23"/>
        <v>12.115478516787515</v>
      </c>
    </row>
    <row r="233" spans="2:7" x14ac:dyDescent="0.2">
      <c r="B233" s="28">
        <f t="shared" si="24"/>
        <v>40036</v>
      </c>
      <c r="C233" s="11">
        <f t="shared" si="25"/>
        <v>223</v>
      </c>
      <c r="D233" s="18">
        <f t="shared" si="21"/>
        <v>0.27095267709313131</v>
      </c>
      <c r="E233" s="18">
        <f t="shared" si="26"/>
        <v>12.115314046229836</v>
      </c>
      <c r="F233" s="18">
        <f t="shared" si="22"/>
        <v>12.115314046229836</v>
      </c>
      <c r="G233" s="18">
        <f t="shared" si="23"/>
        <v>12.115314046229836</v>
      </c>
    </row>
    <row r="234" spans="2:7" x14ac:dyDescent="0.2">
      <c r="B234" s="28">
        <f t="shared" si="24"/>
        <v>40037</v>
      </c>
      <c r="C234" s="11">
        <f t="shared" si="25"/>
        <v>224</v>
      </c>
      <c r="D234" s="18">
        <f t="shared" si="21"/>
        <v>0.26580003173196848</v>
      </c>
      <c r="E234" s="18">
        <f t="shared" si="26"/>
        <v>12.115150745296125</v>
      </c>
      <c r="F234" s="18">
        <f t="shared" si="22"/>
        <v>12.115150745296125</v>
      </c>
      <c r="G234" s="18">
        <f t="shared" si="23"/>
        <v>12.115150745296125</v>
      </c>
    </row>
    <row r="235" spans="2:7" x14ac:dyDescent="0.2">
      <c r="B235" s="28">
        <f t="shared" si="24"/>
        <v>40038</v>
      </c>
      <c r="C235" s="11">
        <f t="shared" si="25"/>
        <v>225</v>
      </c>
      <c r="D235" s="18">
        <f t="shared" si="21"/>
        <v>0.26057660212759171</v>
      </c>
      <c r="E235" s="18">
        <f t="shared" si="26"/>
        <v>12.114988784354908</v>
      </c>
      <c r="F235" s="18">
        <f t="shared" si="22"/>
        <v>12.114988784354908</v>
      </c>
      <c r="G235" s="18">
        <f t="shared" si="23"/>
        <v>12.114988784354908</v>
      </c>
    </row>
    <row r="236" spans="2:7" x14ac:dyDescent="0.2">
      <c r="B236" s="28">
        <f t="shared" si="24"/>
        <v>40039</v>
      </c>
      <c r="C236" s="11">
        <f t="shared" si="25"/>
        <v>226</v>
      </c>
      <c r="D236" s="18">
        <f t="shared" si="21"/>
        <v>0.25528388784977002</v>
      </c>
      <c r="E236" s="18">
        <f t="shared" si="26"/>
        <v>12.114828330507686</v>
      </c>
      <c r="F236" s="18">
        <f t="shared" si="22"/>
        <v>12.114828330507686</v>
      </c>
      <c r="G236" s="18">
        <f t="shared" si="23"/>
        <v>12.114828330507686</v>
      </c>
    </row>
    <row r="237" spans="2:7" x14ac:dyDescent="0.2">
      <c r="B237" s="28">
        <f t="shared" si="24"/>
        <v>40040</v>
      </c>
      <c r="C237" s="11">
        <f t="shared" si="25"/>
        <v>227</v>
      </c>
      <c r="D237" s="18">
        <f t="shared" si="21"/>
        <v>0.24992339436860928</v>
      </c>
      <c r="E237" s="18">
        <f t="shared" si="26"/>
        <v>12.114669547491097</v>
      </c>
      <c r="F237" s="18">
        <f t="shared" si="22"/>
        <v>12.114669547491097</v>
      </c>
      <c r="G237" s="18">
        <f t="shared" si="23"/>
        <v>12.114669547491097</v>
      </c>
    </row>
    <row r="238" spans="2:7" x14ac:dyDescent="0.2">
      <c r="B238" s="28">
        <f t="shared" si="24"/>
        <v>40041</v>
      </c>
      <c r="C238" s="11">
        <f t="shared" si="25"/>
        <v>228</v>
      </c>
      <c r="D238" s="18">
        <f t="shared" si="21"/>
        <v>0.24449663258470497</v>
      </c>
      <c r="E238" s="18">
        <f t="shared" si="26"/>
        <v>12.114512595589126</v>
      </c>
      <c r="F238" s="18">
        <f t="shared" si="22"/>
        <v>12.114512595589126</v>
      </c>
      <c r="G238" s="18">
        <f t="shared" si="23"/>
        <v>12.114512595589126</v>
      </c>
    </row>
    <row r="239" spans="2:7" x14ac:dyDescent="0.2">
      <c r="B239" s="28">
        <f t="shared" si="24"/>
        <v>40042</v>
      </c>
      <c r="C239" s="11">
        <f t="shared" si="25"/>
        <v>229</v>
      </c>
      <c r="D239" s="18">
        <f t="shared" si="21"/>
        <v>0.23900511839274277</v>
      </c>
      <c r="E239" s="18">
        <f t="shared" si="26"/>
        <v>12.114357631554888</v>
      </c>
      <c r="F239" s="18">
        <f t="shared" si="22"/>
        <v>12.114357631554888</v>
      </c>
      <c r="G239" s="18">
        <f t="shared" si="23"/>
        <v>12.114357631554888</v>
      </c>
    </row>
    <row r="240" spans="2:7" x14ac:dyDescent="0.2">
      <c r="B240" s="28">
        <f t="shared" si="24"/>
        <v>40043</v>
      </c>
      <c r="C240" s="11">
        <f t="shared" si="25"/>
        <v>230</v>
      </c>
      <c r="D240" s="18">
        <f t="shared" si="21"/>
        <v>0.23345037227823162</v>
      </c>
      <c r="E240" s="18">
        <f t="shared" si="26"/>
        <v>12.114204808541558</v>
      </c>
      <c r="F240" s="18">
        <f t="shared" si="22"/>
        <v>12.114204808541558</v>
      </c>
      <c r="G240" s="18">
        <f t="shared" si="23"/>
        <v>12.114204808541558</v>
      </c>
    </row>
    <row r="241" spans="2:7" x14ac:dyDescent="0.2">
      <c r="B241" s="28">
        <f t="shared" si="24"/>
        <v>40044</v>
      </c>
      <c r="C241" s="11">
        <f t="shared" si="25"/>
        <v>231</v>
      </c>
      <c r="D241" s="18">
        <f t="shared" si="21"/>
        <v>0.22783391894698138</v>
      </c>
      <c r="E241" s="18">
        <f t="shared" si="26"/>
        <v>12.11405427604195</v>
      </c>
      <c r="F241" s="18">
        <f t="shared" si="22"/>
        <v>12.11405427604195</v>
      </c>
      <c r="G241" s="18">
        <f t="shared" si="23"/>
        <v>12.11405427604195</v>
      </c>
    </row>
    <row r="242" spans="2:7" x14ac:dyDescent="0.2">
      <c r="B242" s="28">
        <f t="shared" si="24"/>
        <v>40045</v>
      </c>
      <c r="C242" s="11">
        <f t="shared" si="25"/>
        <v>232</v>
      </c>
      <c r="D242" s="18">
        <f t="shared" si="21"/>
        <v>0.22215728698686779</v>
      </c>
      <c r="E242" s="18">
        <f t="shared" si="26"/>
        <v>12.113906179836279</v>
      </c>
      <c r="F242" s="18">
        <f t="shared" si="22"/>
        <v>12.113906179836279</v>
      </c>
      <c r="G242" s="18">
        <f t="shared" si="23"/>
        <v>12.113906179836279</v>
      </c>
    </row>
    <row r="243" spans="2:7" x14ac:dyDescent="0.2">
      <c r="B243" s="28">
        <f t="shared" si="24"/>
        <v>40046</v>
      </c>
      <c r="C243" s="11">
        <f t="shared" si="25"/>
        <v>233</v>
      </c>
      <c r="D243" s="18">
        <f t="shared" si="21"/>
        <v>0.21642200856137356</v>
      </c>
      <c r="E243" s="18">
        <f t="shared" si="26"/>
        <v>12.113760661947643</v>
      </c>
      <c r="F243" s="18">
        <f t="shared" si="22"/>
        <v>12.113760661947643</v>
      </c>
      <c r="G243" s="18">
        <f t="shared" si="23"/>
        <v>12.113760661947643</v>
      </c>
    </row>
    <row r="244" spans="2:7" x14ac:dyDescent="0.2">
      <c r="B244" s="28">
        <f t="shared" si="24"/>
        <v>40047</v>
      </c>
      <c r="C244" s="11">
        <f t="shared" si="25"/>
        <v>234</v>
      </c>
      <c r="D244" s="18">
        <f t="shared" si="21"/>
        <v>0.21062961913432926</v>
      </c>
      <c r="E244" s="18">
        <f t="shared" si="26"/>
        <v>12.113617860604672</v>
      </c>
      <c r="F244" s="18">
        <f t="shared" si="22"/>
        <v>12.113617860604672</v>
      </c>
      <c r="G244" s="18">
        <f t="shared" si="23"/>
        <v>12.113617860604672</v>
      </c>
    </row>
    <row r="245" spans="2:7" x14ac:dyDescent="0.2">
      <c r="B245" s="28">
        <f t="shared" si="24"/>
        <v>40048</v>
      </c>
      <c r="C245" s="11">
        <f t="shared" si="25"/>
        <v>235</v>
      </c>
      <c r="D245" s="18">
        <f t="shared" si="21"/>
        <v>0.20478165722523642</v>
      </c>
      <c r="E245" s="18">
        <f t="shared" si="26"/>
        <v>12.113477910210918</v>
      </c>
      <c r="F245" s="18">
        <f t="shared" si="22"/>
        <v>12.113477910210918</v>
      </c>
      <c r="G245" s="18">
        <f t="shared" si="23"/>
        <v>12.113477910210918</v>
      </c>
    </row>
    <row r="246" spans="2:7" x14ac:dyDescent="0.2">
      <c r="B246" s="28">
        <f t="shared" si="24"/>
        <v>40049</v>
      </c>
      <c r="C246" s="11">
        <f t="shared" si="25"/>
        <v>236</v>
      </c>
      <c r="D246" s="18">
        <f t="shared" si="21"/>
        <v>0.19887966419449887</v>
      </c>
      <c r="E246" s="18">
        <f t="shared" si="26"/>
        <v>12.113340941320462</v>
      </c>
      <c r="F246" s="18">
        <f t="shared" si="22"/>
        <v>12.113340941320462</v>
      </c>
      <c r="G246" s="18">
        <f t="shared" si="23"/>
        <v>12.113340941320462</v>
      </c>
    </row>
    <row r="247" spans="2:7" x14ac:dyDescent="0.2">
      <c r="B247" s="28">
        <f t="shared" si="24"/>
        <v>40050</v>
      </c>
      <c r="C247" s="11">
        <f t="shared" si="25"/>
        <v>237</v>
      </c>
      <c r="D247" s="18">
        <f t="shared" si="21"/>
        <v>0.19292518405785708</v>
      </c>
      <c r="E247" s="18">
        <f t="shared" si="26"/>
        <v>12.11320708061923</v>
      </c>
      <c r="F247" s="18">
        <f t="shared" si="22"/>
        <v>12.11320708061923</v>
      </c>
      <c r="G247" s="18">
        <f t="shared" si="23"/>
        <v>12.11320708061923</v>
      </c>
    </row>
    <row r="248" spans="2:7" x14ac:dyDescent="0.2">
      <c r="B248" s="28">
        <f t="shared" si="24"/>
        <v>40051</v>
      </c>
      <c r="C248" s="11">
        <f t="shared" si="25"/>
        <v>238</v>
      </c>
      <c r="D248" s="18">
        <f t="shared" si="21"/>
        <v>0.18691976332927199</v>
      </c>
      <c r="E248" s="18">
        <f t="shared" si="26"/>
        <v>12.113076450911572</v>
      </c>
      <c r="F248" s="18">
        <f t="shared" si="22"/>
        <v>12.113076450911572</v>
      </c>
      <c r="G248" s="18">
        <f t="shared" si="23"/>
        <v>12.113076450911572</v>
      </c>
    </row>
    <row r="249" spans="2:7" x14ac:dyDescent="0.2">
      <c r="B249" s="28">
        <f t="shared" si="24"/>
        <v>40052</v>
      </c>
      <c r="C249" s="11">
        <f t="shared" si="25"/>
        <v>239</v>
      </c>
      <c r="D249" s="18">
        <f t="shared" si="21"/>
        <v>0.18086495089148111</v>
      </c>
      <c r="E249" s="18">
        <f t="shared" si="26"/>
        <v>12.11294917111158</v>
      </c>
      <c r="F249" s="18">
        <f t="shared" si="22"/>
        <v>12.11294917111158</v>
      </c>
      <c r="G249" s="18">
        <f t="shared" si="23"/>
        <v>12.11294917111158</v>
      </c>
    </row>
    <row r="250" spans="2:7" x14ac:dyDescent="0.2">
      <c r="B250" s="28">
        <f t="shared" si="24"/>
        <v>40053</v>
      </c>
      <c r="C250" s="11">
        <f t="shared" si="25"/>
        <v>240</v>
      </c>
      <c r="D250" s="18">
        <f t="shared" si="21"/>
        <v>0.17476229789341144</v>
      </c>
      <c r="E250" s="18">
        <f t="shared" si="26"/>
        <v>12.112825356238716</v>
      </c>
      <c r="F250" s="18">
        <f t="shared" si="22"/>
        <v>12.112825356238716</v>
      </c>
      <c r="G250" s="18">
        <f t="shared" si="23"/>
        <v>12.112825356238716</v>
      </c>
    </row>
    <row r="251" spans="2:7" x14ac:dyDescent="0.2">
      <c r="B251" s="28">
        <f t="shared" si="24"/>
        <v>40054</v>
      </c>
      <c r="C251" s="11">
        <f t="shared" si="25"/>
        <v>241</v>
      </c>
      <c r="D251" s="18">
        <f t="shared" si="21"/>
        <v>0.16861335767361324</v>
      </c>
      <c r="E251" s="18">
        <f t="shared" si="26"/>
        <v>12.112705117417248</v>
      </c>
      <c r="F251" s="18">
        <f t="shared" si="22"/>
        <v>12.112705117417248</v>
      </c>
      <c r="G251" s="18">
        <f t="shared" si="23"/>
        <v>12.112705117417248</v>
      </c>
    </row>
    <row r="252" spans="2:7" x14ac:dyDescent="0.2">
      <c r="B252" s="28">
        <f t="shared" si="24"/>
        <v>40055</v>
      </c>
      <c r="C252" s="11">
        <f t="shared" si="25"/>
        <v>242</v>
      </c>
      <c r="D252" s="18">
        <f t="shared" si="21"/>
        <v>0.16241968570885257</v>
      </c>
      <c r="E252" s="18">
        <f t="shared" si="26"/>
        <v>12.112588561879054</v>
      </c>
      <c r="F252" s="18">
        <f t="shared" si="22"/>
        <v>12.112588561879054</v>
      </c>
      <c r="G252" s="18">
        <f t="shared" si="23"/>
        <v>12.112588561879054</v>
      </c>
    </row>
    <row r="253" spans="2:7" x14ac:dyDescent="0.2">
      <c r="B253" s="28">
        <f t="shared" si="24"/>
        <v>40056</v>
      </c>
      <c r="C253" s="11">
        <f t="shared" si="25"/>
        <v>243</v>
      </c>
      <c r="D253" s="18">
        <f t="shared" si="21"/>
        <v>0.15618283958698112</v>
      </c>
      <c r="E253" s="18">
        <f t="shared" si="26"/>
        <v>12.112475792969374</v>
      </c>
      <c r="F253" s="18">
        <f t="shared" si="22"/>
        <v>12.112475792969374</v>
      </c>
      <c r="G253" s="18">
        <f t="shared" si="23"/>
        <v>12.112475792969374</v>
      </c>
    </row>
    <row r="254" spans="2:7" x14ac:dyDescent="0.2">
      <c r="B254" s="28">
        <f t="shared" si="24"/>
        <v>40057</v>
      </c>
      <c r="C254" s="11">
        <f t="shared" si="25"/>
        <v>244</v>
      </c>
      <c r="D254" s="18">
        <f t="shared" si="21"/>
        <v>0.14990437900318379</v>
      </c>
      <c r="E254" s="18">
        <f t="shared" si="26"/>
        <v>12.112366910155027</v>
      </c>
      <c r="F254" s="18">
        <f t="shared" si="22"/>
        <v>12.112366910155027</v>
      </c>
      <c r="G254" s="18">
        <f t="shared" si="23"/>
        <v>12.112366910155027</v>
      </c>
    </row>
    <row r="255" spans="2:7" x14ac:dyDescent="0.2">
      <c r="B255" s="28">
        <f t="shared" si="24"/>
        <v>40058</v>
      </c>
      <c r="C255" s="11">
        <f t="shared" si="25"/>
        <v>245</v>
      </c>
      <c r="D255" s="18">
        <f t="shared" si="21"/>
        <v>0.14358586577869115</v>
      </c>
      <c r="E255" s="18">
        <f t="shared" si="26"/>
        <v>12.11226200903474</v>
      </c>
      <c r="F255" s="18">
        <f t="shared" si="22"/>
        <v>12.11226200903474</v>
      </c>
      <c r="G255" s="18">
        <f t="shared" si="23"/>
        <v>12.11226200903474</v>
      </c>
    </row>
    <row r="256" spans="2:7" x14ac:dyDescent="0.2">
      <c r="B256" s="28">
        <f t="shared" si="24"/>
        <v>40059</v>
      </c>
      <c r="C256" s="11">
        <f t="shared" si="25"/>
        <v>246</v>
      </c>
      <c r="D256" s="18">
        <f t="shared" si="21"/>
        <v>0.1372288639010279</v>
      </c>
      <c r="E256" s="18">
        <f t="shared" si="26"/>
        <v>12.112161181351127</v>
      </c>
      <c r="F256" s="18">
        <f t="shared" si="22"/>
        <v>12.112161181351127</v>
      </c>
      <c r="G256" s="18">
        <f t="shared" si="23"/>
        <v>12.112161181351127</v>
      </c>
    </row>
    <row r="257" spans="2:7" x14ac:dyDescent="0.2">
      <c r="B257" s="28">
        <f t="shared" si="24"/>
        <v>40060</v>
      </c>
      <c r="C257" s="11">
        <f t="shared" si="25"/>
        <v>247</v>
      </c>
      <c r="D257" s="18">
        <f t="shared" si="21"/>
        <v>0.13083493958486095</v>
      </c>
      <c r="E257" s="18">
        <f t="shared" si="26"/>
        <v>12.112064515003963</v>
      </c>
      <c r="F257" s="18">
        <f t="shared" si="22"/>
        <v>12.112064515003963</v>
      </c>
      <c r="G257" s="18">
        <f t="shared" si="23"/>
        <v>12.112064515003963</v>
      </c>
    </row>
    <row r="258" spans="2:7" x14ac:dyDescent="0.2">
      <c r="B258" s="28">
        <f t="shared" si="24"/>
        <v>40061</v>
      </c>
      <c r="C258" s="11">
        <f t="shared" si="25"/>
        <v>248</v>
      </c>
      <c r="D258" s="18">
        <f t="shared" si="21"/>
        <v>0.12440566135249861</v>
      </c>
      <c r="E258" s="18">
        <f t="shared" si="26"/>
        <v>12.11197209406439</v>
      </c>
      <c r="F258" s="18">
        <f t="shared" si="22"/>
        <v>12.11197209406439</v>
      </c>
      <c r="G258" s="18">
        <f t="shared" si="23"/>
        <v>12.11197209406439</v>
      </c>
    </row>
    <row r="259" spans="2:7" x14ac:dyDescent="0.2">
      <c r="B259" s="28">
        <f t="shared" si="24"/>
        <v>40062</v>
      </c>
      <c r="C259" s="11">
        <f t="shared" si="25"/>
        <v>249</v>
      </c>
      <c r="D259" s="18">
        <f t="shared" si="21"/>
        <v>0.11794260013308597</v>
      </c>
      <c r="E259" s="18">
        <f t="shared" si="26"/>
        <v>12.111883998789637</v>
      </c>
      <c r="F259" s="18">
        <f t="shared" si="22"/>
        <v>12.111883998789637</v>
      </c>
      <c r="G259" s="18">
        <f t="shared" si="23"/>
        <v>12.111883998789637</v>
      </c>
    </row>
    <row r="260" spans="2:7" x14ac:dyDescent="0.2">
      <c r="B260" s="28">
        <f t="shared" si="24"/>
        <v>40063</v>
      </c>
      <c r="C260" s="11">
        <f t="shared" si="25"/>
        <v>250</v>
      </c>
      <c r="D260" s="18">
        <f t="shared" si="21"/>
        <v>0.11144732937953419</v>
      </c>
      <c r="E260" s="18">
        <f t="shared" si="26"/>
        <v>12.111800305637979</v>
      </c>
      <c r="F260" s="18">
        <f t="shared" si="22"/>
        <v>12.111800305637979</v>
      </c>
      <c r="G260" s="18">
        <f t="shared" si="23"/>
        <v>12.111800305637979</v>
      </c>
    </row>
    <row r="261" spans="2:7" x14ac:dyDescent="0.2">
      <c r="B261" s="28">
        <f t="shared" si="24"/>
        <v>40064</v>
      </c>
      <c r="C261" s="11">
        <f t="shared" si="25"/>
        <v>251</v>
      </c>
      <c r="D261" s="18">
        <f t="shared" si="21"/>
        <v>0.10492142520221727</v>
      </c>
      <c r="E261" s="18">
        <f t="shared" si="26"/>
        <v>12.111721087283565</v>
      </c>
      <c r="F261" s="18">
        <f t="shared" si="22"/>
        <v>12.111721087283565</v>
      </c>
      <c r="G261" s="18">
        <f t="shared" si="23"/>
        <v>12.111721087283565</v>
      </c>
    </row>
    <row r="262" spans="2:7" x14ac:dyDescent="0.2">
      <c r="B262" s="28">
        <f t="shared" si="24"/>
        <v>40065</v>
      </c>
      <c r="C262" s="11">
        <f t="shared" si="25"/>
        <v>252</v>
      </c>
      <c r="D262" s="18">
        <f t="shared" si="21"/>
        <v>9.8366466518461981E-2</v>
      </c>
      <c r="E262" s="18">
        <f t="shared" si="26"/>
        <v>12.111646412630821</v>
      </c>
      <c r="F262" s="18">
        <f t="shared" si="22"/>
        <v>12.111646412630821</v>
      </c>
      <c r="G262" s="18">
        <f t="shared" si="23"/>
        <v>12.111646412630821</v>
      </c>
    </row>
    <row r="263" spans="2:7" x14ac:dyDescent="0.2">
      <c r="B263" s="28">
        <f t="shared" si="24"/>
        <v>40066</v>
      </c>
      <c r="C263" s="11">
        <f t="shared" si="25"/>
        <v>253</v>
      </c>
      <c r="D263" s="18">
        <f t="shared" si="21"/>
        <v>9.1784035216854076E-2</v>
      </c>
      <c r="E263" s="18">
        <f t="shared" si="26"/>
        <v>12.111576346828103</v>
      </c>
      <c r="F263" s="18">
        <f t="shared" si="22"/>
        <v>12.111576346828103</v>
      </c>
      <c r="G263" s="18">
        <f t="shared" si="23"/>
        <v>12.111576346828103</v>
      </c>
    </row>
    <row r="264" spans="2:7" x14ac:dyDescent="0.2">
      <c r="B264" s="28">
        <f t="shared" si="24"/>
        <v>40067</v>
      </c>
      <c r="C264" s="11">
        <f t="shared" si="25"/>
        <v>254</v>
      </c>
      <c r="D264" s="18">
        <f t="shared" si="21"/>
        <v>8.5175716335381596E-2</v>
      </c>
      <c r="E264" s="18">
        <f t="shared" si="26"/>
        <v>12.111510951280373</v>
      </c>
      <c r="F264" s="18">
        <f t="shared" si="22"/>
        <v>12.111510951280373</v>
      </c>
      <c r="G264" s="18">
        <f t="shared" si="23"/>
        <v>12.111510951280373</v>
      </c>
    </row>
    <row r="265" spans="2:7" x14ac:dyDescent="0.2">
      <c r="B265" s="28">
        <f t="shared" si="24"/>
        <v>40068</v>
      </c>
      <c r="C265" s="11">
        <f t="shared" si="25"/>
        <v>255</v>
      </c>
      <c r="D265" s="18">
        <f t="shared" si="21"/>
        <v>7.8543098252427196E-2</v>
      </c>
      <c r="E265" s="18">
        <f t="shared" si="26"/>
        <v>12.111450283660567</v>
      </c>
      <c r="F265" s="18">
        <f t="shared" si="22"/>
        <v>12.111450283660567</v>
      </c>
      <c r="G265" s="18">
        <f t="shared" si="23"/>
        <v>12.111450283660567</v>
      </c>
    </row>
    <row r="266" spans="2:7" x14ac:dyDescent="0.2">
      <c r="B266" s="28">
        <f t="shared" si="24"/>
        <v>40069</v>
      </c>
      <c r="C266" s="11">
        <f t="shared" si="25"/>
        <v>256</v>
      </c>
      <c r="D266" s="18">
        <f t="shared" si="21"/>
        <v>7.1887772889623558E-2</v>
      </c>
      <c r="E266" s="18">
        <f t="shared" si="26"/>
        <v>12.111394397919467</v>
      </c>
      <c r="F266" s="18">
        <f t="shared" si="22"/>
        <v>12.111394397919467</v>
      </c>
      <c r="G266" s="18">
        <f t="shared" si="23"/>
        <v>12.111394397919467</v>
      </c>
    </row>
    <row r="267" spans="2:7" x14ac:dyDescent="0.2">
      <c r="B267" s="28">
        <f t="shared" si="24"/>
        <v>40070</v>
      </c>
      <c r="C267" s="11">
        <f t="shared" si="25"/>
        <v>257</v>
      </c>
      <c r="D267" s="18">
        <f t="shared" ref="D267:D330" si="27">ASIN(0.39795*COS(0.2163108+2*ATAN(0.9671396*TAN(0.0086*(C267-186)))))</f>
        <v>6.5211335925576056E-2</v>
      </c>
      <c r="E267" s="18">
        <f t="shared" si="26"/>
        <v>12.111343344293795</v>
      </c>
      <c r="F267" s="18">
        <f t="shared" ref="F267:F330" si="28">24-(24/PI())*ACOS((SIN(0.8333*PI()/180)+SIN($D$5*PI()/180)*SIN($D267))/(COS($D$5*PI()/180)*COS($D267)))</f>
        <v>12.111343344293795</v>
      </c>
      <c r="G267" s="18">
        <f t="shared" ref="G267:G330" si="29">24-(24/PI())*ACOS((SIN(0.8333*PI()/180)+SIN($D$6*PI()/180)*SIN($D267))/(COS($D$6*PI()/180)*COS($D267)))</f>
        <v>12.111343344293795</v>
      </c>
    </row>
    <row r="268" spans="2:7" x14ac:dyDescent="0.2">
      <c r="B268" s="28">
        <f t="shared" ref="B268:B331" si="30">B267+1</f>
        <v>40071</v>
      </c>
      <c r="C268" s="11">
        <f t="shared" ref="C268:C331" si="31">C267+1</f>
        <v>258</v>
      </c>
      <c r="D268" s="18">
        <f t="shared" si="27"/>
        <v>5.851538701945648E-2</v>
      </c>
      <c r="E268" s="18">
        <f t="shared" ref="E268:E331" si="32">24-(24/PI())*ACOS((SIN(0.8333*PI()/180)+SIN($D$4*PI()/180)*SIN(D268))/(COS($D$4*PI()/180)*COS(D268)))</f>
        <v>12.11129716931236</v>
      </c>
      <c r="F268" s="18">
        <f t="shared" si="28"/>
        <v>12.11129716931236</v>
      </c>
      <c r="G268" s="18">
        <f t="shared" si="29"/>
        <v>12.11129716931236</v>
      </c>
    </row>
    <row r="269" spans="2:7" x14ac:dyDescent="0.2">
      <c r="B269" s="28">
        <f t="shared" si="30"/>
        <v>40072</v>
      </c>
      <c r="C269" s="11">
        <f t="shared" si="31"/>
        <v>259</v>
      </c>
      <c r="D269" s="18">
        <f t="shared" si="27"/>
        <v>5.1801530043465584E-2</v>
      </c>
      <c r="E269" s="18">
        <f t="shared" si="32"/>
        <v>12.111255915800003</v>
      </c>
      <c r="F269" s="18">
        <f t="shared" si="28"/>
        <v>12.111255915800003</v>
      </c>
      <c r="G269" s="18">
        <f t="shared" si="29"/>
        <v>12.111255915800003</v>
      </c>
    </row>
    <row r="270" spans="2:7" x14ac:dyDescent="0.2">
      <c r="B270" s="28">
        <f t="shared" si="30"/>
        <v>40073</v>
      </c>
      <c r="C270" s="11">
        <f t="shared" si="31"/>
        <v>260</v>
      </c>
      <c r="D270" s="18">
        <f t="shared" si="27"/>
        <v>4.5071373323155174E-2</v>
      </c>
      <c r="E270" s="18">
        <f t="shared" si="32"/>
        <v>12.11121962287922</v>
      </c>
      <c r="F270" s="18">
        <f t="shared" si="28"/>
        <v>12.11121962287922</v>
      </c>
      <c r="G270" s="18">
        <f t="shared" si="29"/>
        <v>12.11121962287922</v>
      </c>
    </row>
    <row r="271" spans="2:7" x14ac:dyDescent="0.2">
      <c r="B271" s="28">
        <f t="shared" si="30"/>
        <v>40074</v>
      </c>
      <c r="C271" s="11">
        <f t="shared" si="31"/>
        <v>261</v>
      </c>
      <c r="D271" s="18">
        <f t="shared" si="27"/>
        <v>3.8326529884595034E-2</v>
      </c>
      <c r="E271" s="18">
        <f t="shared" si="32"/>
        <v>12.111188325969232</v>
      </c>
      <c r="F271" s="18">
        <f t="shared" si="28"/>
        <v>12.111188325969232</v>
      </c>
      <c r="G271" s="18">
        <f t="shared" si="29"/>
        <v>12.111188325969232</v>
      </c>
    </row>
    <row r="272" spans="2:7" x14ac:dyDescent="0.2">
      <c r="B272" s="28">
        <f t="shared" si="30"/>
        <v>40075</v>
      </c>
      <c r="C272" s="11">
        <f t="shared" si="31"/>
        <v>262</v>
      </c>
      <c r="D272" s="18">
        <f t="shared" si="27"/>
        <v>3.1568617707364653E-2</v>
      </c>
      <c r="E272" s="18">
        <f t="shared" si="32"/>
        <v>12.111162056782383</v>
      </c>
      <c r="F272" s="18">
        <f t="shared" si="28"/>
        <v>12.111162056782383</v>
      </c>
      <c r="G272" s="18">
        <f t="shared" si="29"/>
        <v>12.111162056782383</v>
      </c>
    </row>
    <row r="273" spans="2:7" x14ac:dyDescent="0.2">
      <c r="B273" s="28">
        <f t="shared" si="30"/>
        <v>40076</v>
      </c>
      <c r="C273" s="11">
        <f t="shared" si="31"/>
        <v>263</v>
      </c>
      <c r="D273" s="18">
        <f t="shared" si="27"/>
        <v>2.4799259982336799E-2</v>
      </c>
      <c r="E273" s="18">
        <f t="shared" si="32"/>
        <v>12.111140843317756</v>
      </c>
      <c r="F273" s="18">
        <f t="shared" si="28"/>
        <v>12.111140843317756</v>
      </c>
      <c r="G273" s="18">
        <f t="shared" si="29"/>
        <v>12.111140843317756</v>
      </c>
    </row>
    <row r="274" spans="2:7" x14ac:dyDescent="0.2">
      <c r="B274" s="28">
        <f t="shared" si="30"/>
        <v>40077</v>
      </c>
      <c r="C274" s="11">
        <f t="shared" si="31"/>
        <v>264</v>
      </c>
      <c r="D274" s="18">
        <f t="shared" si="27"/>
        <v>1.8020085373216938E-2</v>
      </c>
      <c r="E274" s="18">
        <f t="shared" si="32"/>
        <v>12.111124709851817</v>
      </c>
      <c r="F274" s="18">
        <f t="shared" si="28"/>
        <v>12.111124709851817</v>
      </c>
      <c r="G274" s="18">
        <f t="shared" si="29"/>
        <v>12.111124709851817</v>
      </c>
    </row>
    <row r="275" spans="2:7" x14ac:dyDescent="0.2">
      <c r="B275" s="28">
        <f t="shared" si="30"/>
        <v>40078</v>
      </c>
      <c r="C275" s="11">
        <f t="shared" si="31"/>
        <v>265</v>
      </c>
      <c r="D275" s="18">
        <f t="shared" si="27"/>
        <v>1.1232728280784856E-2</v>
      </c>
      <c r="E275" s="18">
        <f t="shared" si="32"/>
        <v>12.111113676926056</v>
      </c>
      <c r="F275" s="18">
        <f t="shared" si="28"/>
        <v>12.111113676926056</v>
      </c>
      <c r="G275" s="18">
        <f t="shared" si="29"/>
        <v>12.111113676926056</v>
      </c>
    </row>
    <row r="276" spans="2:7" x14ac:dyDescent="0.2">
      <c r="B276" s="28">
        <f t="shared" si="30"/>
        <v>40079</v>
      </c>
      <c r="C276" s="11">
        <f t="shared" si="31"/>
        <v>266</v>
      </c>
      <c r="D276" s="18">
        <f t="shared" si="27"/>
        <v>4.4388291087809626E-3</v>
      </c>
      <c r="E276" s="18">
        <f t="shared" si="32"/>
        <v>12.111107761331489</v>
      </c>
      <c r="F276" s="18">
        <f t="shared" si="28"/>
        <v>12.111107761331489</v>
      </c>
      <c r="G276" s="18">
        <f t="shared" si="29"/>
        <v>12.111107761331489</v>
      </c>
    </row>
    <row r="277" spans="2:7" x14ac:dyDescent="0.2">
      <c r="B277" s="28">
        <f t="shared" si="30"/>
        <v>40080</v>
      </c>
      <c r="C277" s="11">
        <f t="shared" si="31"/>
        <v>267</v>
      </c>
      <c r="D277" s="18">
        <f t="shared" si="27"/>
        <v>-2.3599654696410234E-3</v>
      </c>
      <c r="E277" s="18">
        <f t="shared" si="32"/>
        <v>12.111106976089994</v>
      </c>
      <c r="F277" s="18">
        <f t="shared" si="28"/>
        <v>12.111106976089994</v>
      </c>
      <c r="G277" s="18">
        <f t="shared" si="29"/>
        <v>12.111106976089994</v>
      </c>
    </row>
    <row r="278" spans="2:7" x14ac:dyDescent="0.2">
      <c r="B278" s="28">
        <f t="shared" si="30"/>
        <v>40081</v>
      </c>
      <c r="C278" s="11">
        <f t="shared" si="31"/>
        <v>268</v>
      </c>
      <c r="D278" s="18">
        <f t="shared" si="27"/>
        <v>-9.16200224598019E-3</v>
      </c>
      <c r="E278" s="18">
        <f t="shared" si="32"/>
        <v>12.111111330432379</v>
      </c>
      <c r="F278" s="18">
        <f t="shared" si="28"/>
        <v>12.111111330432379</v>
      </c>
      <c r="G278" s="18">
        <f t="shared" si="29"/>
        <v>12.111111330432379</v>
      </c>
    </row>
    <row r="279" spans="2:7" x14ac:dyDescent="0.2">
      <c r="B279" s="28">
        <f t="shared" si="30"/>
        <v>40082</v>
      </c>
      <c r="C279" s="11">
        <f t="shared" si="31"/>
        <v>269</v>
      </c>
      <c r="D279" s="18">
        <f t="shared" si="27"/>
        <v>-1.5965621212080523E-2</v>
      </c>
      <c r="E279" s="18">
        <f t="shared" si="32"/>
        <v>12.111120829773208</v>
      </c>
      <c r="F279" s="18">
        <f t="shared" si="28"/>
        <v>12.111120829773208</v>
      </c>
      <c r="G279" s="18">
        <f t="shared" si="29"/>
        <v>12.111120829773208</v>
      </c>
    </row>
    <row r="280" spans="2:7" x14ac:dyDescent="0.2">
      <c r="B280" s="28">
        <f t="shared" si="30"/>
        <v>40083</v>
      </c>
      <c r="C280" s="11">
        <f t="shared" si="31"/>
        <v>270</v>
      </c>
      <c r="D280" s="18">
        <f t="shared" si="27"/>
        <v>-2.276915529856801E-2</v>
      </c>
      <c r="E280" s="18">
        <f t="shared" si="32"/>
        <v>12.1111354756823</v>
      </c>
      <c r="F280" s="18">
        <f t="shared" si="28"/>
        <v>12.1111354756823</v>
      </c>
      <c r="G280" s="18">
        <f t="shared" si="29"/>
        <v>12.1111354756823</v>
      </c>
    </row>
    <row r="281" spans="2:7" x14ac:dyDescent="0.2">
      <c r="B281" s="28">
        <f t="shared" si="30"/>
        <v>40084</v>
      </c>
      <c r="C281" s="11">
        <f t="shared" si="31"/>
        <v>271</v>
      </c>
      <c r="D281" s="18">
        <f t="shared" si="27"/>
        <v>-2.9570930117173759E-2</v>
      </c>
      <c r="E281" s="18">
        <f t="shared" si="32"/>
        <v>12.111155265852974</v>
      </c>
      <c r="F281" s="18">
        <f t="shared" si="28"/>
        <v>12.111155265852974</v>
      </c>
      <c r="G281" s="18">
        <f t="shared" si="29"/>
        <v>12.111155265852974</v>
      </c>
    </row>
    <row r="282" spans="2:7" x14ac:dyDescent="0.2">
      <c r="B282" s="28">
        <f t="shared" si="30"/>
        <v>40085</v>
      </c>
      <c r="C282" s="11">
        <f t="shared" si="31"/>
        <v>272</v>
      </c>
      <c r="D282" s="18">
        <f t="shared" si="27"/>
        <v>-3.6369263708101736E-2</v>
      </c>
      <c r="E282" s="18">
        <f t="shared" si="32"/>
        <v>12.111180194067002</v>
      </c>
      <c r="F282" s="18">
        <f t="shared" si="28"/>
        <v>12.111180194067002</v>
      </c>
      <c r="G282" s="18">
        <f t="shared" si="29"/>
        <v>12.111180194067002</v>
      </c>
    </row>
    <row r="283" spans="2:7" x14ac:dyDescent="0.2">
      <c r="B283" s="28">
        <f t="shared" si="30"/>
        <v>40086</v>
      </c>
      <c r="C283" s="11">
        <f t="shared" si="31"/>
        <v>273</v>
      </c>
      <c r="D283" s="18">
        <f t="shared" si="27"/>
        <v>-4.3162466293620916E-2</v>
      </c>
      <c r="E283" s="18">
        <f t="shared" si="32"/>
        <v>12.111210250156336</v>
      </c>
      <c r="F283" s="18">
        <f t="shared" si="28"/>
        <v>12.111210250156336</v>
      </c>
      <c r="G283" s="18">
        <f t="shared" si="29"/>
        <v>12.111210250156336</v>
      </c>
    </row>
    <row r="284" spans="2:7" x14ac:dyDescent="0.2">
      <c r="B284" s="28">
        <f t="shared" si="30"/>
        <v>40087</v>
      </c>
      <c r="C284" s="11">
        <f t="shared" si="31"/>
        <v>274</v>
      </c>
      <c r="D284" s="18">
        <f t="shared" si="27"/>
        <v>-4.9948840039085098E-2</v>
      </c>
      <c r="E284" s="18">
        <f t="shared" si="32"/>
        <v>12.111245419961676</v>
      </c>
      <c r="F284" s="18">
        <f t="shared" si="28"/>
        <v>12.111245419961676</v>
      </c>
      <c r="G284" s="18">
        <f t="shared" si="29"/>
        <v>12.111245419961676</v>
      </c>
    </row>
    <row r="285" spans="2:7" x14ac:dyDescent="0.2">
      <c r="B285" s="28">
        <f t="shared" si="30"/>
        <v>40088</v>
      </c>
      <c r="C285" s="11">
        <f t="shared" si="31"/>
        <v>275</v>
      </c>
      <c r="D285" s="18">
        <f t="shared" si="27"/>
        <v>-5.6726678822605625E-2</v>
      </c>
      <c r="E285" s="18">
        <f t="shared" si="32"/>
        <v>12.111285685287935</v>
      </c>
      <c r="F285" s="18">
        <f t="shared" si="28"/>
        <v>12.111285685287935</v>
      </c>
      <c r="G285" s="18">
        <f t="shared" si="29"/>
        <v>12.111285685287935</v>
      </c>
    </row>
    <row r="286" spans="2:7" x14ac:dyDescent="0.2">
      <c r="B286" s="28">
        <f t="shared" si="30"/>
        <v>40089</v>
      </c>
      <c r="C286" s="11">
        <f t="shared" si="31"/>
        <v>276</v>
      </c>
      <c r="D286" s="18">
        <f t="shared" si="27"/>
        <v>-6.3494268014627736E-2</v>
      </c>
      <c r="E286" s="18">
        <f t="shared" si="32"/>
        <v>12.111331023856723</v>
      </c>
      <c r="F286" s="18">
        <f t="shared" si="28"/>
        <v>12.111331023856723</v>
      </c>
      <c r="G286" s="18">
        <f t="shared" si="29"/>
        <v>12.111331023856723</v>
      </c>
    </row>
    <row r="287" spans="2:7" x14ac:dyDescent="0.2">
      <c r="B287" s="28">
        <f t="shared" si="30"/>
        <v>40090</v>
      </c>
      <c r="C287" s="11">
        <f t="shared" si="31"/>
        <v>277</v>
      </c>
      <c r="D287" s="18">
        <f t="shared" si="27"/>
        <v>-7.0249884268685808E-2</v>
      </c>
      <c r="E287" s="18">
        <f t="shared" si="32"/>
        <v>12.111381409255957</v>
      </c>
      <c r="F287" s="18">
        <f t="shared" si="28"/>
        <v>12.111381409255957</v>
      </c>
      <c r="G287" s="18">
        <f t="shared" si="29"/>
        <v>12.111381409255957</v>
      </c>
    </row>
    <row r="288" spans="2:7" x14ac:dyDescent="0.2">
      <c r="B288" s="28">
        <f t="shared" si="30"/>
        <v>40091</v>
      </c>
      <c r="C288" s="11">
        <f t="shared" si="31"/>
        <v>278</v>
      </c>
      <c r="D288" s="18">
        <f t="shared" si="27"/>
        <v>-7.6991795324642467E-2</v>
      </c>
      <c r="E288" s="18">
        <f t="shared" si="32"/>
        <v>12.111436810886756</v>
      </c>
      <c r="F288" s="18">
        <f t="shared" si="28"/>
        <v>12.111436810886756</v>
      </c>
      <c r="G288" s="18">
        <f t="shared" si="29"/>
        <v>12.111436810886756</v>
      </c>
    </row>
    <row r="289" spans="2:7" x14ac:dyDescent="0.2">
      <c r="B289" s="28">
        <f t="shared" si="30"/>
        <v>40092</v>
      </c>
      <c r="C289" s="11">
        <f t="shared" si="31"/>
        <v>279</v>
      </c>
      <c r="D289" s="18">
        <f t="shared" si="27"/>
        <v>-8.3718259825737829E-2</v>
      </c>
      <c r="E289" s="18">
        <f t="shared" si="32"/>
        <v>12.111497193907782</v>
      </c>
      <c r="F289" s="18">
        <f t="shared" si="28"/>
        <v>12.111497193907782</v>
      </c>
      <c r="G289" s="18">
        <f t="shared" si="29"/>
        <v>12.111497193907782</v>
      </c>
    </row>
    <row r="290" spans="2:7" x14ac:dyDescent="0.2">
      <c r="B290" s="28">
        <f t="shared" si="30"/>
        <v>40093</v>
      </c>
      <c r="C290" s="11">
        <f t="shared" si="31"/>
        <v>280</v>
      </c>
      <c r="D290" s="18">
        <f t="shared" si="27"/>
        <v>-9.0427527150810635E-2</v>
      </c>
      <c r="E290" s="18">
        <f t="shared" si="32"/>
        <v>12.111562519177209</v>
      </c>
      <c r="F290" s="18">
        <f t="shared" si="28"/>
        <v>12.111562519177209</v>
      </c>
      <c r="G290" s="18">
        <f t="shared" si="29"/>
        <v>12.111562519177209</v>
      </c>
    </row>
    <row r="291" spans="2:7" x14ac:dyDescent="0.2">
      <c r="B291" s="28">
        <f t="shared" si="30"/>
        <v>40094</v>
      </c>
      <c r="C291" s="11">
        <f t="shared" si="31"/>
        <v>281</v>
      </c>
      <c r="D291" s="18">
        <f t="shared" si="27"/>
        <v>-9.7117837263074755E-2</v>
      </c>
      <c r="E291" s="18">
        <f t="shared" si="32"/>
        <v>12.111632743192557</v>
      </c>
      <c r="F291" s="18">
        <f t="shared" si="28"/>
        <v>12.111632743192557</v>
      </c>
      <c r="G291" s="18">
        <f t="shared" si="29"/>
        <v>12.111632743192557</v>
      </c>
    </row>
    <row r="292" spans="2:7" x14ac:dyDescent="0.2">
      <c r="B292" s="28">
        <f t="shared" si="30"/>
        <v>40095</v>
      </c>
      <c r="C292" s="11">
        <f t="shared" si="31"/>
        <v>282</v>
      </c>
      <c r="D292" s="18">
        <f t="shared" si="27"/>
        <v>-0.10378742057686806</v>
      </c>
      <c r="E292" s="18">
        <f t="shared" si="32"/>
        <v>12.111707818028618</v>
      </c>
      <c r="F292" s="18">
        <f t="shared" si="28"/>
        <v>12.111707818028618</v>
      </c>
      <c r="G292" s="18">
        <f t="shared" si="29"/>
        <v>12.111707818028618</v>
      </c>
    </row>
    <row r="293" spans="2:7" x14ac:dyDescent="0.2">
      <c r="B293" s="28">
        <f t="shared" si="30"/>
        <v>40096</v>
      </c>
      <c r="C293" s="11">
        <f t="shared" si="31"/>
        <v>283</v>
      </c>
      <c r="D293" s="18">
        <f t="shared" si="27"/>
        <v>-0.11043449784381584</v>
      </c>
      <c r="E293" s="18">
        <f t="shared" si="32"/>
        <v>12.111787691273763</v>
      </c>
      <c r="F293" s="18">
        <f t="shared" si="28"/>
        <v>12.111787691273763</v>
      </c>
      <c r="G293" s="18">
        <f t="shared" si="29"/>
        <v>12.111787691273763</v>
      </c>
    </row>
    <row r="294" spans="2:7" x14ac:dyDescent="0.2">
      <c r="B294" s="28">
        <f t="shared" si="30"/>
        <v>40097</v>
      </c>
      <c r="C294" s="11">
        <f t="shared" si="31"/>
        <v>284</v>
      </c>
      <c r="D294" s="18">
        <f t="shared" si="27"/>
        <v>-0.11705728005988271</v>
      </c>
      <c r="E294" s="18">
        <f t="shared" si="32"/>
        <v>12.111872305964882</v>
      </c>
      <c r="F294" s="18">
        <f t="shared" si="28"/>
        <v>12.111872305964882</v>
      </c>
      <c r="G294" s="18">
        <f t="shared" si="29"/>
        <v>12.111872305964882</v>
      </c>
    </row>
    <row r="295" spans="2:7" x14ac:dyDescent="0.2">
      <c r="B295" s="28">
        <f t="shared" si="30"/>
        <v>40098</v>
      </c>
      <c r="C295" s="11">
        <f t="shared" si="31"/>
        <v>285</v>
      </c>
      <c r="D295" s="18">
        <f t="shared" si="27"/>
        <v>-0.12365396839481139</v>
      </c>
      <c r="E295" s="18">
        <f t="shared" si="32"/>
        <v>12.111961600521337</v>
      </c>
      <c r="F295" s="18">
        <f t="shared" si="28"/>
        <v>12.111961600521337</v>
      </c>
      <c r="G295" s="18">
        <f t="shared" si="29"/>
        <v>12.111961600521337</v>
      </c>
    </row>
    <row r="296" spans="2:7" x14ac:dyDescent="0.2">
      <c r="B296" s="28">
        <f t="shared" si="30"/>
        <v>40099</v>
      </c>
      <c r="C296" s="11">
        <f t="shared" si="31"/>
        <v>286</v>
      </c>
      <c r="D296" s="18">
        <f t="shared" si="27"/>
        <v>-0.13022275414547718</v>
      </c>
      <c r="E296" s="18">
        <f t="shared" si="32"/>
        <v>12.112055508678253</v>
      </c>
      <c r="F296" s="18">
        <f t="shared" si="28"/>
        <v>12.112055508678253</v>
      </c>
      <c r="G296" s="18">
        <f t="shared" si="29"/>
        <v>12.112055508678253</v>
      </c>
    </row>
    <row r="297" spans="2:7" x14ac:dyDescent="0.2">
      <c r="B297" s="28">
        <f t="shared" si="30"/>
        <v>40100</v>
      </c>
      <c r="C297" s="11">
        <f t="shared" si="31"/>
        <v>287</v>
      </c>
      <c r="D297" s="18">
        <f t="shared" si="27"/>
        <v>-0.13676181871471219</v>
      </c>
      <c r="E297" s="18">
        <f t="shared" si="32"/>
        <v>12.112153959419516</v>
      </c>
      <c r="F297" s="18">
        <f t="shared" si="28"/>
        <v>12.112153959419516</v>
      </c>
      <c r="G297" s="18">
        <f t="shared" si="29"/>
        <v>12.112153959419516</v>
      </c>
    </row>
    <row r="298" spans="2:7" x14ac:dyDescent="0.2">
      <c r="B298" s="28">
        <f t="shared" si="30"/>
        <v>40101</v>
      </c>
      <c r="C298" s="11">
        <f t="shared" si="31"/>
        <v>288</v>
      </c>
      <c r="D298" s="18">
        <f t="shared" si="27"/>
        <v>-0.1432693336171742</v>
      </c>
      <c r="E298" s="18">
        <f t="shared" si="32"/>
        <v>12.112256876910921</v>
      </c>
      <c r="F298" s="18">
        <f t="shared" si="28"/>
        <v>12.112256876910921</v>
      </c>
      <c r="G298" s="18">
        <f t="shared" si="29"/>
        <v>12.112256876910921</v>
      </c>
    </row>
    <row r="299" spans="2:7" x14ac:dyDescent="0.2">
      <c r="B299" s="28">
        <f t="shared" si="30"/>
        <v>40102</v>
      </c>
      <c r="C299" s="11">
        <f t="shared" si="31"/>
        <v>289</v>
      </c>
      <c r="D299" s="18">
        <f t="shared" si="27"/>
        <v>-0.14974346051386658</v>
      </c>
      <c r="E299" s="18">
        <f t="shared" si="32"/>
        <v>12.1123641804339</v>
      </c>
      <c r="F299" s="18">
        <f t="shared" si="28"/>
        <v>12.1123641804339</v>
      </c>
      <c r="G299" s="18">
        <f t="shared" si="29"/>
        <v>12.1123641804339</v>
      </c>
    </row>
    <row r="300" spans="2:7" x14ac:dyDescent="0.2">
      <c r="B300" s="28">
        <f t="shared" si="30"/>
        <v>40103</v>
      </c>
      <c r="C300" s="11">
        <f t="shared" si="31"/>
        <v>290</v>
      </c>
      <c r="D300" s="18">
        <f t="shared" si="27"/>
        <v>-0.15618235127692465</v>
      </c>
      <c r="E300" s="18">
        <f t="shared" si="32"/>
        <v>12.112475784320289</v>
      </c>
      <c r="F300" s="18">
        <f t="shared" si="28"/>
        <v>12.112475784320289</v>
      </c>
      <c r="G300" s="18">
        <f t="shared" si="29"/>
        <v>12.112475784320289</v>
      </c>
    </row>
    <row r="301" spans="2:7" x14ac:dyDescent="0.2">
      <c r="B301" s="28">
        <f t="shared" si="30"/>
        <v>40104</v>
      </c>
      <c r="C301" s="11">
        <f t="shared" si="31"/>
        <v>291</v>
      </c>
      <c r="D301" s="18">
        <f t="shared" si="27"/>
        <v>-0.16258414808631289</v>
      </c>
      <c r="E301" s="18">
        <f t="shared" si="32"/>
        <v>12.112591597888677</v>
      </c>
      <c r="F301" s="18">
        <f t="shared" si="28"/>
        <v>12.112591597888677</v>
      </c>
      <c r="G301" s="18">
        <f t="shared" si="29"/>
        <v>12.112591597888677</v>
      </c>
    </row>
    <row r="302" spans="2:7" x14ac:dyDescent="0.2">
      <c r="B302" s="28">
        <f t="shared" si="30"/>
        <v>40105</v>
      </c>
      <c r="C302" s="11">
        <f t="shared" si="31"/>
        <v>292</v>
      </c>
      <c r="D302" s="18">
        <f t="shared" si="27"/>
        <v>-0.16894698356008389</v>
      </c>
      <c r="E302" s="18">
        <f t="shared" si="32"/>
        <v>12.112711525382844</v>
      </c>
      <c r="F302" s="18">
        <f t="shared" si="28"/>
        <v>12.112711525382844</v>
      </c>
      <c r="G302" s="18">
        <f t="shared" si="29"/>
        <v>12.112711525382844</v>
      </c>
    </row>
    <row r="303" spans="2:7" x14ac:dyDescent="0.2">
      <c r="B303" s="28">
        <f t="shared" si="30"/>
        <v>40106</v>
      </c>
      <c r="C303" s="11">
        <f t="shared" si="31"/>
        <v>293</v>
      </c>
      <c r="D303" s="18">
        <f t="shared" si="27"/>
        <v>-0.17526898091986423</v>
      </c>
      <c r="E303" s="18">
        <f t="shared" si="32"/>
        <v>12.112835465912859</v>
      </c>
      <c r="F303" s="18">
        <f t="shared" si="28"/>
        <v>12.112835465912859</v>
      </c>
      <c r="G303" s="18">
        <f t="shared" si="29"/>
        <v>12.112835465912859</v>
      </c>
    </row>
    <row r="304" spans="2:7" x14ac:dyDescent="0.2">
      <c r="B304" s="28">
        <f t="shared" si="30"/>
        <v>40107</v>
      </c>
      <c r="C304" s="11">
        <f t="shared" si="31"/>
        <v>294</v>
      </c>
      <c r="D304" s="18">
        <f t="shared" si="27"/>
        <v>-0.18154825419324044</v>
      </c>
      <c r="E304" s="18">
        <f t="shared" si="32"/>
        <v>12.112963313399472</v>
      </c>
      <c r="F304" s="18">
        <f t="shared" si="28"/>
        <v>12.112963313399472</v>
      </c>
      <c r="G304" s="18">
        <f t="shared" si="29"/>
        <v>12.112963313399472</v>
      </c>
    </row>
    <row r="305" spans="2:7" x14ac:dyDescent="0.2">
      <c r="B305" s="28">
        <f t="shared" si="30"/>
        <v>40108</v>
      </c>
      <c r="C305" s="11">
        <f t="shared" si="31"/>
        <v>295</v>
      </c>
      <c r="D305" s="18">
        <f t="shared" si="27"/>
        <v>-0.1877829084547176</v>
      </c>
      <c r="E305" s="18">
        <f t="shared" si="32"/>
        <v>12.113094956522392</v>
      </c>
      <c r="F305" s="18">
        <f t="shared" si="28"/>
        <v>12.113094956522392</v>
      </c>
      <c r="G305" s="18">
        <f t="shared" si="29"/>
        <v>12.113094956522392</v>
      </c>
    </row>
    <row r="306" spans="2:7" x14ac:dyDescent="0.2">
      <c r="B306" s="28">
        <f t="shared" si="30"/>
        <v>40109</v>
      </c>
      <c r="C306" s="11">
        <f t="shared" si="31"/>
        <v>296</v>
      </c>
      <c r="D306" s="18">
        <f t="shared" si="27"/>
        <v>-0.19397104010692148</v>
      </c>
      <c r="E306" s="18">
        <f t="shared" si="32"/>
        <v>12.113230278673147</v>
      </c>
      <c r="F306" s="18">
        <f t="shared" si="28"/>
        <v>12.113230278673147</v>
      </c>
      <c r="G306" s="18">
        <f t="shared" si="29"/>
        <v>12.113230278673147</v>
      </c>
    </row>
    <row r="307" spans="2:7" x14ac:dyDescent="0.2">
      <c r="B307" s="28">
        <f t="shared" si="30"/>
        <v>40110</v>
      </c>
      <c r="C307" s="11">
        <f t="shared" si="31"/>
        <v>297</v>
      </c>
      <c r="D307" s="18">
        <f t="shared" si="27"/>
        <v>-0.20011073720370579</v>
      </c>
      <c r="E307" s="18">
        <f t="shared" si="32"/>
        <v>12.113369157913201</v>
      </c>
      <c r="F307" s="18">
        <f t="shared" si="28"/>
        <v>12.113369157913201</v>
      </c>
      <c r="G307" s="18">
        <f t="shared" si="29"/>
        <v>12.113369157913201</v>
      </c>
    </row>
    <row r="308" spans="2:7" x14ac:dyDescent="0.2">
      <c r="B308" s="28">
        <f t="shared" si="30"/>
        <v>40111</v>
      </c>
      <c r="C308" s="11">
        <f t="shared" si="31"/>
        <v>298</v>
      </c>
      <c r="D308" s="18">
        <f t="shared" si="27"/>
        <v>-0.20620007981681013</v>
      </c>
      <c r="E308" s="18">
        <f t="shared" si="32"/>
        <v>12.113511466938064</v>
      </c>
      <c r="F308" s="18">
        <f t="shared" si="28"/>
        <v>12.113511466938064</v>
      </c>
      <c r="G308" s="18">
        <f t="shared" si="29"/>
        <v>12.113511466938064</v>
      </c>
    </row>
    <row r="309" spans="2:7" x14ac:dyDescent="0.2">
      <c r="B309" s="28">
        <f t="shared" si="30"/>
        <v>40112</v>
      </c>
      <c r="C309" s="11">
        <f t="shared" si="31"/>
        <v>299</v>
      </c>
      <c r="D309" s="18">
        <f t="shared" si="27"/>
        <v>-0.2122371404476939</v>
      </c>
      <c r="E309" s="18">
        <f t="shared" si="32"/>
        <v>12.113657073048138</v>
      </c>
      <c r="F309" s="18">
        <f t="shared" si="28"/>
        <v>12.113657073048138</v>
      </c>
      <c r="G309" s="18">
        <f t="shared" si="29"/>
        <v>12.113657073048138</v>
      </c>
    </row>
    <row r="310" spans="2:7" x14ac:dyDescent="0.2">
      <c r="B310" s="28">
        <f t="shared" si="30"/>
        <v>40113</v>
      </c>
      <c r="C310" s="11">
        <f t="shared" si="31"/>
        <v>300</v>
      </c>
      <c r="D310" s="18">
        <f t="shared" si="27"/>
        <v>-0.21821998448613558</v>
      </c>
      <c r="E310" s="18">
        <f t="shared" si="32"/>
        <v>12.113805838127076</v>
      </c>
      <c r="F310" s="18">
        <f t="shared" si="28"/>
        <v>12.113805838127076</v>
      </c>
      <c r="G310" s="18">
        <f t="shared" si="29"/>
        <v>12.113805838127076</v>
      </c>
    </row>
    <row r="311" spans="2:7" x14ac:dyDescent="0.2">
      <c r="B311" s="28">
        <f t="shared" si="30"/>
        <v>40114</v>
      </c>
      <c r="C311" s="11">
        <f t="shared" si="31"/>
        <v>301</v>
      </c>
      <c r="D311" s="18">
        <f t="shared" si="27"/>
        <v>-0.22414667071715533</v>
      </c>
      <c r="E311" s="18">
        <f t="shared" si="32"/>
        <v>12.113957618628472</v>
      </c>
      <c r="F311" s="18">
        <f t="shared" si="28"/>
        <v>12.113957618628472</v>
      </c>
      <c r="G311" s="18">
        <f t="shared" si="29"/>
        <v>12.113957618628472</v>
      </c>
    </row>
    <row r="312" spans="2:7" x14ac:dyDescent="0.2">
      <c r="B312" s="28">
        <f t="shared" si="30"/>
        <v>40115</v>
      </c>
      <c r="C312" s="11">
        <f t="shared" si="31"/>
        <v>302</v>
      </c>
      <c r="D312" s="18">
        <f t="shared" si="27"/>
        <v>-0.23001525187776373</v>
      </c>
      <c r="E312" s="18">
        <f t="shared" si="32"/>
        <v>12.114112265571659</v>
      </c>
      <c r="F312" s="18">
        <f t="shared" si="28"/>
        <v>12.114112265571659</v>
      </c>
      <c r="G312" s="18">
        <f t="shared" si="29"/>
        <v>12.114112265571659</v>
      </c>
    </row>
    <row r="313" spans="2:7" x14ac:dyDescent="0.2">
      <c r="B313" s="28">
        <f t="shared" si="30"/>
        <v>40116</v>
      </c>
      <c r="C313" s="11">
        <f t="shared" si="31"/>
        <v>303</v>
      </c>
      <c r="D313" s="18">
        <f t="shared" si="27"/>
        <v>-0.2358237752649886</v>
      </c>
      <c r="E313" s="18">
        <f t="shared" si="32"/>
        <v>12.11426962454752</v>
      </c>
      <c r="F313" s="18">
        <f t="shared" si="28"/>
        <v>12.11426962454752</v>
      </c>
      <c r="G313" s="18">
        <f t="shared" si="29"/>
        <v>12.11426962454752</v>
      </c>
    </row>
    <row r="314" spans="2:7" x14ac:dyDescent="0.2">
      <c r="B314" s="28">
        <f t="shared" si="30"/>
        <v>40117</v>
      </c>
      <c r="C314" s="11">
        <f t="shared" si="31"/>
        <v>304</v>
      </c>
      <c r="D314" s="18">
        <f t="shared" si="27"/>
        <v>-0.24157028339655812</v>
      </c>
      <c r="E314" s="18">
        <f t="shared" si="32"/>
        <v>12.114429535735095</v>
      </c>
      <c r="F314" s="18">
        <f t="shared" si="28"/>
        <v>12.114429535735095</v>
      </c>
      <c r="G314" s="18">
        <f t="shared" si="29"/>
        <v>12.114429535735095</v>
      </c>
    </row>
    <row r="315" spans="2:7" x14ac:dyDescent="0.2">
      <c r="B315" s="28">
        <f t="shared" si="30"/>
        <v>40118</v>
      </c>
      <c r="C315" s="11">
        <f t="shared" si="31"/>
        <v>305</v>
      </c>
      <c r="D315" s="18">
        <f t="shared" si="27"/>
        <v>-0.24725281472554392</v>
      </c>
      <c r="E315" s="18">
        <f t="shared" si="32"/>
        <v>12.114591833929916</v>
      </c>
      <c r="F315" s="18">
        <f t="shared" si="28"/>
        <v>12.114591833929916</v>
      </c>
      <c r="G315" s="18">
        <f t="shared" si="29"/>
        <v>12.114591833929916</v>
      </c>
    </row>
    <row r="316" spans="2:7" x14ac:dyDescent="0.2">
      <c r="B316" s="28">
        <f t="shared" si="30"/>
        <v>40119</v>
      </c>
      <c r="C316" s="11">
        <f t="shared" si="31"/>
        <v>306</v>
      </c>
      <c r="D316" s="18">
        <f t="shared" si="27"/>
        <v>-0.25286940441017458</v>
      </c>
      <c r="E316" s="18">
        <f t="shared" si="32"/>
        <v>12.114756348584876</v>
      </c>
      <c r="F316" s="18">
        <f t="shared" si="28"/>
        <v>12.114756348584876</v>
      </c>
      <c r="G316" s="18">
        <f t="shared" si="29"/>
        <v>12.114756348584876</v>
      </c>
    </row>
    <row r="317" spans="2:7" x14ac:dyDescent="0.2">
      <c r="B317" s="28">
        <f t="shared" si="30"/>
        <v>40120</v>
      </c>
      <c r="C317" s="11">
        <f t="shared" si="31"/>
        <v>307</v>
      </c>
      <c r="D317" s="18">
        <f t="shared" si="27"/>
        <v>-0.25841808513993075</v>
      </c>
      <c r="E317" s="18">
        <f t="shared" si="32"/>
        <v>12.114922903864574</v>
      </c>
      <c r="F317" s="18">
        <f t="shared" si="28"/>
        <v>12.114922903864574</v>
      </c>
      <c r="G317" s="18">
        <f t="shared" si="29"/>
        <v>12.114922903864574</v>
      </c>
    </row>
    <row r="318" spans="2:7" x14ac:dyDescent="0.2">
      <c r="B318" s="28">
        <f t="shared" si="30"/>
        <v>40121</v>
      </c>
      <c r="C318" s="11">
        <f t="shared" si="31"/>
        <v>308</v>
      </c>
      <c r="D318" s="18">
        <f t="shared" si="27"/>
        <v>-0.26389688801891376</v>
      </c>
      <c r="E318" s="18">
        <f t="shared" si="32"/>
        <v>12.115091318713933</v>
      </c>
      <c r="F318" s="18">
        <f t="shared" si="28"/>
        <v>12.115091318713933</v>
      </c>
      <c r="G318" s="18">
        <f t="shared" si="29"/>
        <v>12.115091318713933</v>
      </c>
    </row>
    <row r="319" spans="2:7" x14ac:dyDescent="0.2">
      <c r="B319" s="28">
        <f t="shared" si="30"/>
        <v>40122</v>
      </c>
      <c r="C319" s="11">
        <f t="shared" si="31"/>
        <v>309</v>
      </c>
      <c r="D319" s="18">
        <f t="shared" si="27"/>
        <v>-0.2693038435073542</v>
      </c>
      <c r="E319" s="18">
        <f t="shared" si="32"/>
        <v>12.115261406942025</v>
      </c>
      <c r="F319" s="18">
        <f t="shared" si="28"/>
        <v>12.115261406942025</v>
      </c>
      <c r="G319" s="18">
        <f t="shared" si="29"/>
        <v>12.115261406942025</v>
      </c>
    </row>
    <row r="320" spans="2:7" x14ac:dyDescent="0.2">
      <c r="B320" s="28">
        <f t="shared" si="30"/>
        <v>40123</v>
      </c>
      <c r="C320" s="11">
        <f t="shared" si="31"/>
        <v>310</v>
      </c>
      <c r="D320" s="18">
        <f t="shared" si="27"/>
        <v>-0.27463698242198459</v>
      </c>
      <c r="E320" s="18">
        <f t="shared" si="32"/>
        <v>12.115432977321877</v>
      </c>
      <c r="F320" s="18">
        <f t="shared" si="28"/>
        <v>12.115432977321877</v>
      </c>
      <c r="G320" s="18">
        <f t="shared" si="29"/>
        <v>12.115432977321877</v>
      </c>
    </row>
    <row r="321" spans="2:7" x14ac:dyDescent="0.2">
      <c r="B321" s="28">
        <f t="shared" si="30"/>
        <v>40124</v>
      </c>
      <c r="C321" s="11">
        <f t="shared" si="31"/>
        <v>311</v>
      </c>
      <c r="D321" s="18">
        <f t="shared" si="27"/>
        <v>-0.27989433699584532</v>
      </c>
      <c r="E321" s="18">
        <f t="shared" si="32"/>
        <v>12.11560583370713</v>
      </c>
      <c r="F321" s="18">
        <f t="shared" si="28"/>
        <v>12.11560583370713</v>
      </c>
      <c r="G321" s="18">
        <f t="shared" si="29"/>
        <v>12.11560583370713</v>
      </c>
    </row>
    <row r="322" spans="2:7" x14ac:dyDescent="0.2">
      <c r="B322" s="28">
        <f t="shared" si="30"/>
        <v>40125</v>
      </c>
      <c r="C322" s="11">
        <f t="shared" si="31"/>
        <v>312</v>
      </c>
      <c r="D322" s="18">
        <f t="shared" si="27"/>
        <v>-0.28507394199791908</v>
      </c>
      <c r="E322" s="18">
        <f t="shared" si="32"/>
        <v>12.115779775166326</v>
      </c>
      <c r="F322" s="18">
        <f t="shared" si="28"/>
        <v>12.115779775166326</v>
      </c>
      <c r="G322" s="18">
        <f t="shared" si="29"/>
        <v>12.115779775166326</v>
      </c>
    </row>
    <row r="323" spans="2:7" x14ac:dyDescent="0.2">
      <c r="B323" s="28">
        <f t="shared" si="30"/>
        <v>40126</v>
      </c>
      <c r="C323" s="11">
        <f t="shared" si="31"/>
        <v>313</v>
      </c>
      <c r="D323" s="18">
        <f t="shared" si="27"/>
        <v>-0.29017383591281248</v>
      </c>
      <c r="E323" s="18">
        <f t="shared" si="32"/>
        <v>12.115954596135561</v>
      </c>
      <c r="F323" s="18">
        <f t="shared" si="28"/>
        <v>12.115954596135561</v>
      </c>
      <c r="G323" s="18">
        <f t="shared" si="29"/>
        <v>12.115954596135561</v>
      </c>
    </row>
    <row r="324" spans="2:7" x14ac:dyDescent="0.2">
      <c r="B324" s="28">
        <f t="shared" si="30"/>
        <v>40127</v>
      </c>
      <c r="C324" s="11">
        <f t="shared" si="31"/>
        <v>314</v>
      </c>
      <c r="D324" s="18">
        <f t="shared" si="27"/>
        <v>-0.29519206218049482</v>
      </c>
      <c r="E324" s="18">
        <f t="shared" si="32"/>
        <v>12.116130086590239</v>
      </c>
      <c r="F324" s="18">
        <f t="shared" si="28"/>
        <v>12.116130086590239</v>
      </c>
      <c r="G324" s="18">
        <f t="shared" si="29"/>
        <v>12.116130086590239</v>
      </c>
    </row>
    <row r="325" spans="2:7" x14ac:dyDescent="0.2">
      <c r="B325" s="28">
        <f t="shared" si="30"/>
        <v>40128</v>
      </c>
      <c r="C325" s="11">
        <f t="shared" si="31"/>
        <v>315</v>
      </c>
      <c r="D325" s="18">
        <f t="shared" si="27"/>
        <v>-0.30012667049590064</v>
      </c>
      <c r="E325" s="18">
        <f t="shared" si="32"/>
        <v>12.11630603223656</v>
      </c>
      <c r="F325" s="18">
        <f t="shared" si="28"/>
        <v>12.11630603223656</v>
      </c>
      <c r="G325" s="18">
        <f t="shared" si="29"/>
        <v>12.11630603223656</v>
      </c>
    </row>
    <row r="326" spans="2:7" x14ac:dyDescent="0.2">
      <c r="B326" s="28">
        <f t="shared" si="30"/>
        <v>40129</v>
      </c>
      <c r="C326" s="11">
        <f t="shared" si="31"/>
        <v>316</v>
      </c>
      <c r="D326" s="18">
        <f t="shared" si="27"/>
        <v>-0.30497571816797076</v>
      </c>
      <c r="E326" s="18">
        <f t="shared" si="32"/>
        <v>12.116482214723346</v>
      </c>
      <c r="F326" s="18">
        <f t="shared" si="28"/>
        <v>12.116482214723346</v>
      </c>
      <c r="G326" s="18">
        <f t="shared" si="29"/>
        <v>12.116482214723346</v>
      </c>
    </row>
    <row r="327" spans="2:7" x14ac:dyDescent="0.2">
      <c r="B327" s="28">
        <f t="shared" si="30"/>
        <v>40130</v>
      </c>
      <c r="C327" s="11">
        <f t="shared" si="31"/>
        <v>317</v>
      </c>
      <c r="D327" s="18">
        <f t="shared" si="27"/>
        <v>-0.30973727153746222</v>
      </c>
      <c r="E327" s="18">
        <f t="shared" si="32"/>
        <v>12.116658411874688</v>
      </c>
      <c r="F327" s="18">
        <f t="shared" si="28"/>
        <v>12.116658411874688</v>
      </c>
      <c r="G327" s="18">
        <f t="shared" si="29"/>
        <v>12.116658411874688</v>
      </c>
    </row>
    <row r="328" spans="2:7" x14ac:dyDescent="0.2">
      <c r="B328" s="28">
        <f t="shared" si="30"/>
        <v>40131</v>
      </c>
      <c r="C328" s="11">
        <f t="shared" si="31"/>
        <v>318</v>
      </c>
      <c r="D328" s="18">
        <f t="shared" si="27"/>
        <v>-0.31440940745261264</v>
      </c>
      <c r="E328" s="18">
        <f t="shared" si="32"/>
        <v>12.116834397943915</v>
      </c>
      <c r="F328" s="18">
        <f t="shared" si="28"/>
        <v>12.116834397943915</v>
      </c>
      <c r="G328" s="18">
        <f t="shared" si="29"/>
        <v>12.116834397943915</v>
      </c>
    </row>
    <row r="329" spans="2:7" x14ac:dyDescent="0.2">
      <c r="B329" s="28">
        <f t="shared" si="30"/>
        <v>40132</v>
      </c>
      <c r="C329" s="11">
        <f t="shared" si="31"/>
        <v>319</v>
      </c>
      <c r="D329" s="18">
        <f t="shared" si="27"/>
        <v>-0.318990214801466</v>
      </c>
      <c r="E329" s="18">
        <f t="shared" si="32"/>
        <v>12.117009943889153</v>
      </c>
      <c r="F329" s="18">
        <f t="shared" si="28"/>
        <v>12.117009943889153</v>
      </c>
      <c r="G329" s="18">
        <f t="shared" si="29"/>
        <v>12.117009943889153</v>
      </c>
    </row>
    <row r="330" spans="2:7" x14ac:dyDescent="0.2">
      <c r="B330" s="28">
        <f t="shared" si="30"/>
        <v>40133</v>
      </c>
      <c r="C330" s="11">
        <f t="shared" si="31"/>
        <v>320</v>
      </c>
      <c r="D330" s="18">
        <f t="shared" si="27"/>
        <v>-0.32347779609939875</v>
      </c>
      <c r="E330" s="18">
        <f t="shared" si="32"/>
        <v>12.117184817670774</v>
      </c>
      <c r="F330" s="18">
        <f t="shared" si="28"/>
        <v>12.117184817670774</v>
      </c>
      <c r="G330" s="18">
        <f t="shared" si="29"/>
        <v>12.117184817670774</v>
      </c>
    </row>
    <row r="331" spans="2:7" x14ac:dyDescent="0.2">
      <c r="B331" s="28">
        <f t="shared" si="30"/>
        <v>40134</v>
      </c>
      <c r="C331" s="11">
        <f t="shared" si="31"/>
        <v>321</v>
      </c>
      <c r="D331" s="18">
        <f t="shared" ref="D331:D375" si="33">ASIN(0.39795*COS(0.2163108+2*ATAN(0.9671396*TAN(0.0086*(C331-186)))))</f>
        <v>-0.32787026913008305</v>
      </c>
      <c r="E331" s="18">
        <f t="shared" si="32"/>
        <v>12.117358784570827</v>
      </c>
      <c r="F331" s="18">
        <f t="shared" ref="F331:F375" si="34">24-(24/PI())*ACOS((SIN(0.8333*PI()/180)+SIN($D$5*PI()/180)*SIN($D331))/(COS($D$5*PI()/180)*COS($D331)))</f>
        <v>12.117358784570827</v>
      </c>
      <c r="G331" s="18">
        <f t="shared" ref="G331:G375" si="35">24-(24/PI())*ACOS((SIN(0.8333*PI()/180)+SIN($D$6*PI()/180)*SIN($D331))/(COS($D$6*PI()/180)*COS($D331)))</f>
        <v>12.117358784570827</v>
      </c>
    </row>
    <row r="332" spans="2:7" x14ac:dyDescent="0.2">
      <c r="B332" s="28">
        <f t="shared" ref="B332:B375" si="36">B331+1</f>
        <v>40135</v>
      </c>
      <c r="C332" s="11">
        <f t="shared" ref="C332:C375" si="37">C331+1</f>
        <v>322</v>
      </c>
      <c r="D332" s="18">
        <f t="shared" si="33"/>
        <v>-0.33216576863783853</v>
      </c>
      <c r="E332" s="18">
        <f t="shared" ref="E332:E375" si="38">24-(24/PI())*ACOS((SIN(0.8333*PI()/180)+SIN($D$4*PI()/180)*SIN(D332))/(COS($D$4*PI()/180)*COS(D332)))</f>
        <v>12.117531607534499</v>
      </c>
      <c r="F332" s="18">
        <f t="shared" si="34"/>
        <v>12.117531607534499</v>
      </c>
      <c r="G332" s="18">
        <f t="shared" si="35"/>
        <v>12.117531607534499</v>
      </c>
    </row>
    <row r="333" spans="2:7" x14ac:dyDescent="0.2">
      <c r="B333" s="28">
        <f t="shared" si="36"/>
        <v>40136</v>
      </c>
      <c r="C333" s="11">
        <f t="shared" si="37"/>
        <v>323</v>
      </c>
      <c r="D333" s="18">
        <f t="shared" si="33"/>
        <v>-0.33636244806900062</v>
      </c>
      <c r="E333" s="18">
        <f t="shared" si="38"/>
        <v>12.117703047533455</v>
      </c>
      <c r="F333" s="18">
        <f t="shared" si="34"/>
        <v>12.117703047533455</v>
      </c>
      <c r="G333" s="18">
        <f t="shared" si="35"/>
        <v>12.117703047533455</v>
      </c>
    </row>
    <row r="334" spans="2:7" x14ac:dyDescent="0.2">
      <c r="B334" s="28">
        <f t="shared" si="36"/>
        <v>40137</v>
      </c>
      <c r="C334" s="11">
        <f t="shared" si="37"/>
        <v>324</v>
      </c>
      <c r="D334" s="18">
        <f t="shared" si="33"/>
        <v>-0.34045848135963125</v>
      </c>
      <c r="E334" s="18">
        <f t="shared" si="38"/>
        <v>12.117872863950842</v>
      </c>
      <c r="F334" s="18">
        <f t="shared" si="34"/>
        <v>12.117872863950842</v>
      </c>
      <c r="G334" s="18">
        <f t="shared" si="35"/>
        <v>12.117872863950842</v>
      </c>
    </row>
    <row r="335" spans="2:7" x14ac:dyDescent="0.2">
      <c r="B335" s="28">
        <f t="shared" si="36"/>
        <v>40138</v>
      </c>
      <c r="C335" s="11">
        <f t="shared" si="37"/>
        <v>325</v>
      </c>
      <c r="D335" s="18">
        <f t="shared" si="33"/>
        <v>-0.34445206476656709</v>
      </c>
      <c r="E335" s="18">
        <f t="shared" si="38"/>
        <v>12.118040814987523</v>
      </c>
      <c r="F335" s="18">
        <f t="shared" si="34"/>
        <v>12.118040814987523</v>
      </c>
      <c r="G335" s="18">
        <f t="shared" si="35"/>
        <v>12.118040814987523</v>
      </c>
    </row>
    <row r="336" spans="2:7" x14ac:dyDescent="0.2">
      <c r="B336" s="28">
        <f t="shared" si="36"/>
        <v>40139</v>
      </c>
      <c r="C336" s="11">
        <f t="shared" si="37"/>
        <v>326</v>
      </c>
      <c r="D336" s="18">
        <f t="shared" si="33"/>
        <v>-0.34834141873848645</v>
      </c>
      <c r="E336" s="18">
        <f t="shared" si="38"/>
        <v>12.118206658089022</v>
      </c>
      <c r="F336" s="18">
        <f t="shared" si="34"/>
        <v>12.118206658089022</v>
      </c>
      <c r="G336" s="18">
        <f t="shared" si="35"/>
        <v>12.118206658089022</v>
      </c>
    </row>
    <row r="337" spans="2:7" x14ac:dyDescent="0.2">
      <c r="B337" s="28">
        <f t="shared" si="36"/>
        <v>40140</v>
      </c>
      <c r="C337" s="11">
        <f t="shared" si="37"/>
        <v>327</v>
      </c>
      <c r="D337" s="18">
        <f t="shared" si="33"/>
        <v>-0.35212478982334283</v>
      </c>
      <c r="E337" s="18">
        <f t="shared" si="38"/>
        <v>12.118370150392455</v>
      </c>
      <c r="F337" s="18">
        <f t="shared" si="34"/>
        <v>12.118370150392455</v>
      </c>
      <c r="G337" s="18">
        <f t="shared" si="35"/>
        <v>12.118370150392455</v>
      </c>
    </row>
    <row r="338" spans="2:7" x14ac:dyDescent="0.2">
      <c r="B338" s="28">
        <f t="shared" si="36"/>
        <v>40141</v>
      </c>
      <c r="C338" s="11">
        <f t="shared" si="37"/>
        <v>328</v>
      </c>
      <c r="D338" s="18">
        <f t="shared" si="33"/>
        <v>-0.35580045260819554</v>
      </c>
      <c r="E338" s="18">
        <f t="shared" si="38"/>
        <v>12.118531049192589</v>
      </c>
      <c r="F338" s="18">
        <f t="shared" si="34"/>
        <v>12.118531049192589</v>
      </c>
      <c r="G338" s="18">
        <f t="shared" si="35"/>
        <v>12.118531049192589</v>
      </c>
    </row>
    <row r="339" spans="2:7" x14ac:dyDescent="0.2">
      <c r="B339" s="28">
        <f t="shared" si="36"/>
        <v>40142</v>
      </c>
      <c r="C339" s="11">
        <f t="shared" si="37"/>
        <v>329</v>
      </c>
      <c r="D339" s="18">
        <f t="shared" si="33"/>
        <v>-0.3593667116871464</v>
      </c>
      <c r="E339" s="18">
        <f t="shared" si="38"/>
        <v>12.118689112426003</v>
      </c>
      <c r="F339" s="18">
        <f t="shared" si="34"/>
        <v>12.118689112426003</v>
      </c>
      <c r="G339" s="18">
        <f t="shared" si="35"/>
        <v>12.118689112426003</v>
      </c>
    </row>
    <row r="340" spans="2:7" x14ac:dyDescent="0.2">
      <c r="B340" s="28">
        <f t="shared" si="36"/>
        <v>40143</v>
      </c>
      <c r="C340" s="11">
        <f t="shared" si="37"/>
        <v>330</v>
      </c>
      <c r="D340" s="18">
        <f t="shared" si="33"/>
        <v>-0.36282190365277839</v>
      </c>
      <c r="E340" s="18">
        <f t="shared" si="38"/>
        <v>12.118844099172106</v>
      </c>
      <c r="F340" s="18">
        <f t="shared" si="34"/>
        <v>12.118844099172106</v>
      </c>
      <c r="G340" s="18">
        <f t="shared" si="35"/>
        <v>12.118844099172106</v>
      </c>
    </row>
    <row r="341" spans="2:7" x14ac:dyDescent="0.2">
      <c r="B341" s="28">
        <f t="shared" si="36"/>
        <v>40144</v>
      </c>
      <c r="C341" s="11">
        <f t="shared" si="37"/>
        <v>331</v>
      </c>
      <c r="D341" s="18">
        <f t="shared" si="33"/>
        <v>-0.36616439910618587</v>
      </c>
      <c r="E341" s="18">
        <f t="shared" si="38"/>
        <v>12.118995770169692</v>
      </c>
      <c r="F341" s="18">
        <f t="shared" si="34"/>
        <v>12.118995770169692</v>
      </c>
      <c r="G341" s="18">
        <f t="shared" si="35"/>
        <v>12.118995770169692</v>
      </c>
    </row>
    <row r="342" spans="2:7" x14ac:dyDescent="0.2">
      <c r="B342" s="28">
        <f t="shared" si="36"/>
        <v>40145</v>
      </c>
      <c r="C342" s="11">
        <f t="shared" si="37"/>
        <v>332</v>
      </c>
      <c r="D342" s="18">
        <f t="shared" si="33"/>
        <v>-0.36939260468039764</v>
      </c>
      <c r="E342" s="18">
        <f t="shared" si="38"/>
        <v>12.119143888347455</v>
      </c>
      <c r="F342" s="18">
        <f t="shared" si="34"/>
        <v>12.119143888347455</v>
      </c>
      <c r="G342" s="18">
        <f t="shared" si="35"/>
        <v>12.119143888347455</v>
      </c>
    </row>
    <row r="343" spans="2:7" x14ac:dyDescent="0.2">
      <c r="B343" s="28">
        <f t="shared" si="36"/>
        <v>40146</v>
      </c>
      <c r="C343" s="11">
        <f t="shared" si="37"/>
        <v>333</v>
      </c>
      <c r="D343" s="18">
        <f t="shared" si="33"/>
        <v>-0.3725049650717121</v>
      </c>
      <c r="E343" s="18">
        <f t="shared" si="38"/>
        <v>12.119288219366759</v>
      </c>
      <c r="F343" s="18">
        <f t="shared" si="34"/>
        <v>12.119288219366759</v>
      </c>
      <c r="G343" s="18">
        <f t="shared" si="35"/>
        <v>12.119288219366759</v>
      </c>
    </row>
    <row r="344" spans="2:7" x14ac:dyDescent="0.2">
      <c r="B344" s="28">
        <f t="shared" si="36"/>
        <v>40147</v>
      </c>
      <c r="C344" s="11">
        <f t="shared" si="37"/>
        <v>334</v>
      </c>
      <c r="D344" s="18">
        <f t="shared" si="33"/>
        <v>-0.37549996507320677</v>
      </c>
      <c r="E344" s="18">
        <f t="shared" si="38"/>
        <v>12.119428532174776</v>
      </c>
      <c r="F344" s="18">
        <f t="shared" si="34"/>
        <v>12.119428532174776</v>
      </c>
      <c r="G344" s="18">
        <f t="shared" si="35"/>
        <v>12.119428532174776</v>
      </c>
    </row>
    <row r="345" spans="2:7" x14ac:dyDescent="0.2">
      <c r="B345" s="28">
        <f t="shared" si="36"/>
        <v>40148</v>
      </c>
      <c r="C345" s="11">
        <f t="shared" si="37"/>
        <v>335</v>
      </c>
      <c r="D345" s="18">
        <f t="shared" si="33"/>
        <v>-0.37837613160444422</v>
      </c>
      <c r="E345" s="18">
        <f t="shared" si="38"/>
        <v>12.119564599566013</v>
      </c>
      <c r="F345" s="18">
        <f t="shared" si="34"/>
        <v>12.119564599566013</v>
      </c>
      <c r="G345" s="18">
        <f t="shared" si="35"/>
        <v>12.119564599566013</v>
      </c>
    </row>
    <row r="346" spans="2:7" x14ac:dyDescent="0.2">
      <c r="B346" s="28">
        <f t="shared" si="36"/>
        <v>40149</v>
      </c>
      <c r="C346" s="11">
        <f t="shared" si="37"/>
        <v>336</v>
      </c>
      <c r="D346" s="18">
        <f t="shared" si="33"/>
        <v>-0.3811320357311801</v>
      </c>
      <c r="E346" s="18">
        <f t="shared" si="38"/>
        <v>12.119696198749955</v>
      </c>
      <c r="F346" s="18">
        <f t="shared" si="34"/>
        <v>12.119696198749955</v>
      </c>
      <c r="G346" s="18">
        <f t="shared" si="35"/>
        <v>12.119696198749955</v>
      </c>
    </row>
    <row r="347" spans="2:7" x14ac:dyDescent="0.2">
      <c r="B347" s="28">
        <f t="shared" si="36"/>
        <v>40150</v>
      </c>
      <c r="C347" s="11">
        <f t="shared" si="37"/>
        <v>337</v>
      </c>
      <c r="D347" s="18">
        <f t="shared" si="33"/>
        <v>-0.38376629466869333</v>
      </c>
      <c r="E347" s="18">
        <f t="shared" si="38"/>
        <v>12.119823111922603</v>
      </c>
      <c r="F347" s="18">
        <f t="shared" si="34"/>
        <v>12.119823111922603</v>
      </c>
      <c r="G347" s="18">
        <f t="shared" si="35"/>
        <v>12.119823111922603</v>
      </c>
    </row>
    <row r="348" spans="2:7" x14ac:dyDescent="0.2">
      <c r="B348" s="28">
        <f t="shared" si="36"/>
        <v>40151</v>
      </c>
      <c r="C348" s="11">
        <f t="shared" si="37"/>
        <v>338</v>
      </c>
      <c r="D348" s="18">
        <f t="shared" si="33"/>
        <v>-0.38627757376219352</v>
      </c>
      <c r="E348" s="18">
        <f t="shared" si="38"/>
        <v>12.119945126839385</v>
      </c>
      <c r="F348" s="18">
        <f t="shared" si="34"/>
        <v>12.119945126839385</v>
      </c>
      <c r="G348" s="18">
        <f t="shared" si="35"/>
        <v>12.119945126839385</v>
      </c>
    </row>
    <row r="349" spans="2:7" x14ac:dyDescent="0.2">
      <c r="B349" s="28">
        <f t="shared" si="36"/>
        <v>40152</v>
      </c>
      <c r="C349" s="11">
        <f t="shared" si="37"/>
        <v>339</v>
      </c>
      <c r="D349" s="18">
        <f t="shared" si="33"/>
        <v>-0.38866458843764068</v>
      </c>
      <c r="E349" s="18">
        <f t="shared" si="38"/>
        <v>12.120062037386925</v>
      </c>
      <c r="F349" s="18">
        <f t="shared" si="34"/>
        <v>12.120062037386925</v>
      </c>
      <c r="G349" s="18">
        <f t="shared" si="35"/>
        <v>12.120062037386925</v>
      </c>
    </row>
    <row r="350" spans="2:7" x14ac:dyDescent="0.2">
      <c r="B350" s="28">
        <f t="shared" si="36"/>
        <v>40153</v>
      </c>
      <c r="C350" s="11">
        <f t="shared" si="37"/>
        <v>340</v>
      </c>
      <c r="D350" s="18">
        <f t="shared" si="33"/>
        <v>-0.39092610611621337</v>
      </c>
      <c r="E350" s="18">
        <f t="shared" si="38"/>
        <v>12.120173644150972</v>
      </c>
      <c r="F350" s="18">
        <f t="shared" si="34"/>
        <v>12.120173644150972</v>
      </c>
      <c r="G350" s="18">
        <f t="shared" si="35"/>
        <v>12.120173644150972</v>
      </c>
    </row>
    <row r="351" spans="2:7" x14ac:dyDescent="0.2">
      <c r="B351" s="28">
        <f t="shared" si="36"/>
        <v>40154</v>
      </c>
      <c r="C351" s="11">
        <f t="shared" si="37"/>
        <v>341</v>
      </c>
      <c r="D351" s="18">
        <f t="shared" si="33"/>
        <v>-0.39306094808561032</v>
      </c>
      <c r="E351" s="18">
        <f t="shared" si="38"/>
        <v>12.120279754977799</v>
      </c>
      <c r="F351" s="18">
        <f t="shared" si="34"/>
        <v>12.120279754977799</v>
      </c>
      <c r="G351" s="18">
        <f t="shared" si="35"/>
        <v>12.120279754977799</v>
      </c>
    </row>
    <row r="352" spans="2:7" x14ac:dyDescent="0.2">
      <c r="B352" s="28">
        <f t="shared" si="36"/>
        <v>40155</v>
      </c>
      <c r="C352" s="11">
        <f t="shared" si="37"/>
        <v>342</v>
      </c>
      <c r="D352" s="18">
        <f t="shared" si="33"/>
        <v>-0.39506799132135123</v>
      </c>
      <c r="E352" s="18">
        <f t="shared" si="38"/>
        <v>12.12038018552623</v>
      </c>
      <c r="F352" s="18">
        <f t="shared" si="34"/>
        <v>12.12038018552623</v>
      </c>
      <c r="G352" s="18">
        <f t="shared" si="35"/>
        <v>12.12038018552623</v>
      </c>
    </row>
    <row r="353" spans="2:7" x14ac:dyDescent="0.2">
      <c r="B353" s="28">
        <f t="shared" si="36"/>
        <v>40156</v>
      </c>
      <c r="C353" s="11">
        <f t="shared" si="37"/>
        <v>343</v>
      </c>
      <c r="D353" s="18">
        <f t="shared" si="33"/>
        <v>-0.39694617025126916</v>
      </c>
      <c r="E353" s="18">
        <f t="shared" si="38"/>
        <v>12.120474759807461</v>
      </c>
      <c r="F353" s="18">
        <f t="shared" si="34"/>
        <v>12.120474759807461</v>
      </c>
      <c r="G353" s="18">
        <f t="shared" si="35"/>
        <v>12.120474759807461</v>
      </c>
    </row>
    <row r="354" spans="2:7" x14ac:dyDescent="0.2">
      <c r="B354" s="28">
        <f t="shared" si="36"/>
        <v>40157</v>
      </c>
      <c r="C354" s="11">
        <f t="shared" si="37"/>
        <v>344</v>
      </c>
      <c r="D354" s="18">
        <f t="shared" si="33"/>
        <v>-0.3986944784564509</v>
      </c>
      <c r="E354" s="18">
        <f t="shared" si="38"/>
        <v>12.120563310709853</v>
      </c>
      <c r="F354" s="18">
        <f t="shared" si="34"/>
        <v>12.120563310709853</v>
      </c>
      <c r="G354" s="18">
        <f t="shared" si="35"/>
        <v>12.120563310709853</v>
      </c>
    </row>
    <row r="355" spans="2:7" x14ac:dyDescent="0.2">
      <c r="B355" s="28">
        <f t="shared" si="36"/>
        <v>40158</v>
      </c>
      <c r="C355" s="11">
        <f t="shared" si="37"/>
        <v>345</v>
      </c>
      <c r="D355" s="18">
        <f t="shared" si="33"/>
        <v>-0.40031197030199439</v>
      </c>
      <c r="E355" s="18">
        <f t="shared" si="38"/>
        <v>12.120645680505802</v>
      </c>
      <c r="F355" s="18">
        <f t="shared" si="34"/>
        <v>12.120645680505802</v>
      </c>
      <c r="G355" s="18">
        <f t="shared" si="35"/>
        <v>12.120645680505802</v>
      </c>
    </row>
    <row r="356" spans="2:7" x14ac:dyDescent="0.2">
      <c r="B356" s="28">
        <f t="shared" si="36"/>
        <v>40159</v>
      </c>
      <c r="C356" s="11">
        <f t="shared" si="37"/>
        <v>346</v>
      </c>
      <c r="D356" s="18">
        <f t="shared" si="33"/>
        <v>-0.40179776249110266</v>
      </c>
      <c r="E356" s="18">
        <f t="shared" si="38"/>
        <v>12.12072172133789</v>
      </c>
      <c r="F356" s="18">
        <f t="shared" si="34"/>
        <v>12.12072172133789</v>
      </c>
      <c r="G356" s="18">
        <f t="shared" si="35"/>
        <v>12.12072172133789</v>
      </c>
    </row>
    <row r="357" spans="2:7" x14ac:dyDescent="0.2">
      <c r="B357" s="28">
        <f t="shared" si="36"/>
        <v>40160</v>
      </c>
      <c r="C357" s="11">
        <f t="shared" si="37"/>
        <v>347</v>
      </c>
      <c r="D357" s="18">
        <f t="shared" si="33"/>
        <v>-0.40315103553623288</v>
      </c>
      <c r="E357" s="18">
        <f t="shared" si="38"/>
        <v>12.120791295681537</v>
      </c>
      <c r="F357" s="18">
        <f t="shared" si="34"/>
        <v>12.120791295681537</v>
      </c>
      <c r="G357" s="18">
        <f t="shared" si="35"/>
        <v>12.120791295681537</v>
      </c>
    </row>
    <row r="358" spans="2:7" x14ac:dyDescent="0.2">
      <c r="B358" s="28">
        <f t="shared" si="36"/>
        <v>40161</v>
      </c>
      <c r="C358" s="11">
        <f t="shared" si="37"/>
        <v>348</v>
      </c>
      <c r="D358" s="18">
        <f t="shared" si="33"/>
        <v>-0.40437103514126194</v>
      </c>
      <c r="E358" s="18">
        <f t="shared" si="38"/>
        <v>12.120854276781465</v>
      </c>
      <c r="F358" s="18">
        <f t="shared" si="34"/>
        <v>12.120854276781465</v>
      </c>
      <c r="G358" s="18">
        <f t="shared" si="35"/>
        <v>12.120854276781465</v>
      </c>
    </row>
    <row r="359" spans="2:7" x14ac:dyDescent="0.2">
      <c r="B359" s="28">
        <f t="shared" si="36"/>
        <v>40162</v>
      </c>
      <c r="C359" s="11">
        <f t="shared" si="37"/>
        <v>349</v>
      </c>
      <c r="D359" s="18">
        <f t="shared" si="33"/>
        <v>-0.40545707348891064</v>
      </c>
      <c r="E359" s="18">
        <f t="shared" si="38"/>
        <v>12.12091054905942</v>
      </c>
      <c r="F359" s="18">
        <f t="shared" si="34"/>
        <v>12.12091054905942</v>
      </c>
      <c r="G359" s="18">
        <f t="shared" si="35"/>
        <v>12.12091054905942</v>
      </c>
    </row>
    <row r="360" spans="2:7" x14ac:dyDescent="0.2">
      <c r="B360" s="28">
        <f t="shared" si="36"/>
        <v>40163</v>
      </c>
      <c r="C360" s="11">
        <f t="shared" si="37"/>
        <v>350</v>
      </c>
      <c r="D360" s="18">
        <f t="shared" si="33"/>
        <v>-0.40640853042799968</v>
      </c>
      <c r="E360" s="18">
        <f t="shared" si="38"/>
        <v>12.120960008490647</v>
      </c>
      <c r="F360" s="18">
        <f t="shared" si="34"/>
        <v>12.120960008490647</v>
      </c>
      <c r="G360" s="18">
        <f t="shared" si="35"/>
        <v>12.120960008490647</v>
      </c>
    </row>
    <row r="361" spans="2:7" x14ac:dyDescent="0.2">
      <c r="B361" s="28">
        <f t="shared" si="36"/>
        <v>40164</v>
      </c>
      <c r="C361" s="11">
        <f t="shared" si="37"/>
        <v>351</v>
      </c>
      <c r="D361" s="18">
        <f t="shared" si="33"/>
        <v>-0.40722485455547314</v>
      </c>
      <c r="E361" s="18">
        <f t="shared" si="38"/>
        <v>12.121002562946837</v>
      </c>
      <c r="F361" s="18">
        <f t="shared" si="34"/>
        <v>12.121002562946837</v>
      </c>
      <c r="G361" s="18">
        <f t="shared" si="35"/>
        <v>12.121002562946837</v>
      </c>
    </row>
    <row r="362" spans="2:7" x14ac:dyDescent="0.2">
      <c r="B362" s="28">
        <f t="shared" si="36"/>
        <v>40165</v>
      </c>
      <c r="C362" s="11">
        <f t="shared" si="37"/>
        <v>352</v>
      </c>
      <c r="D362" s="18">
        <f t="shared" si="33"/>
        <v>-0.40790556418853269</v>
      </c>
      <c r="E362" s="18">
        <f t="shared" si="38"/>
        <v>12.121038132503447</v>
      </c>
      <c r="F362" s="18">
        <f t="shared" si="34"/>
        <v>12.121038132503447</v>
      </c>
      <c r="G362" s="18">
        <f t="shared" si="35"/>
        <v>12.121038132503447</v>
      </c>
    </row>
    <row r="363" spans="2:7" x14ac:dyDescent="0.2">
      <c r="B363" s="28">
        <f t="shared" si="36"/>
        <v>40166</v>
      </c>
      <c r="C363" s="11">
        <f t="shared" si="37"/>
        <v>353</v>
      </c>
      <c r="D363" s="18">
        <f t="shared" si="33"/>
        <v>-0.40845024822266707</v>
      </c>
      <c r="E363" s="18">
        <f t="shared" si="38"/>
        <v>12.121066649709418</v>
      </c>
      <c r="F363" s="18">
        <f t="shared" si="34"/>
        <v>12.121066649709418</v>
      </c>
      <c r="G363" s="18">
        <f t="shared" si="35"/>
        <v>12.121066649709418</v>
      </c>
    </row>
    <row r="364" spans="2:7" x14ac:dyDescent="0.2">
      <c r="B364" s="28">
        <f t="shared" si="36"/>
        <v>40167</v>
      </c>
      <c r="C364" s="11">
        <f t="shared" si="37"/>
        <v>354</v>
      </c>
      <c r="D364" s="18">
        <f t="shared" si="33"/>
        <v>-0.40885856687182992</v>
      </c>
      <c r="E364" s="18">
        <f t="shared" si="38"/>
        <v>12.121088059817602</v>
      </c>
      <c r="F364" s="18">
        <f t="shared" si="34"/>
        <v>12.121088059817602</v>
      </c>
      <c r="G364" s="18">
        <f t="shared" si="35"/>
        <v>12.121088059817602</v>
      </c>
    </row>
    <row r="365" spans="2:7" x14ac:dyDescent="0.2">
      <c r="B365" s="28">
        <f t="shared" si="36"/>
        <v>40168</v>
      </c>
      <c r="C365" s="11">
        <f t="shared" si="37"/>
        <v>355</v>
      </c>
      <c r="D365" s="18">
        <f t="shared" si="33"/>
        <v>-0.40913025228752969</v>
      </c>
      <c r="E365" s="18">
        <f t="shared" si="38"/>
        <v>12.121102320974405</v>
      </c>
      <c r="F365" s="18">
        <f t="shared" si="34"/>
        <v>12.121102320974405</v>
      </c>
      <c r="G365" s="18">
        <f t="shared" si="35"/>
        <v>12.121102320974405</v>
      </c>
    </row>
    <row r="366" spans="2:7" x14ac:dyDescent="0.2">
      <c r="B366" s="28">
        <f t="shared" si="36"/>
        <v>40169</v>
      </c>
      <c r="C366" s="11">
        <f t="shared" si="37"/>
        <v>356</v>
      </c>
      <c r="D366" s="18">
        <f t="shared" si="33"/>
        <v>-0.40926510905411478</v>
      </c>
      <c r="E366" s="18">
        <f t="shared" si="38"/>
        <v>12.121109404367447</v>
      </c>
      <c r="F366" s="18">
        <f t="shared" si="34"/>
        <v>12.121109404367447</v>
      </c>
      <c r="G366" s="18">
        <f t="shared" si="35"/>
        <v>12.121109404367447</v>
      </c>
    </row>
    <row r="367" spans="2:7" x14ac:dyDescent="0.2">
      <c r="B367" s="28">
        <f t="shared" si="36"/>
        <v>40170</v>
      </c>
      <c r="C367" s="11">
        <f t="shared" si="37"/>
        <v>357</v>
      </c>
      <c r="D367" s="18">
        <f t="shared" si="33"/>
        <v>-0.40926301455809427</v>
      </c>
      <c r="E367" s="18">
        <f t="shared" si="38"/>
        <v>12.121109294330227</v>
      </c>
      <c r="F367" s="18">
        <f t="shared" si="34"/>
        <v>12.121109294330227</v>
      </c>
      <c r="G367" s="18">
        <f t="shared" si="35"/>
        <v>12.121109294330227</v>
      </c>
    </row>
    <row r="368" spans="2:7" x14ac:dyDescent="0.2">
      <c r="B368" s="28">
        <f t="shared" si="36"/>
        <v>40171</v>
      </c>
      <c r="C368" s="11">
        <f t="shared" si="37"/>
        <v>358</v>
      </c>
      <c r="D368" s="18">
        <f t="shared" si="33"/>
        <v>-0.40912391922989649</v>
      </c>
      <c r="E368" s="18">
        <f t="shared" si="38"/>
        <v>12.121101988403126</v>
      </c>
      <c r="F368" s="18">
        <f t="shared" si="34"/>
        <v>12.121101988403126</v>
      </c>
      <c r="G368" s="18">
        <f t="shared" si="35"/>
        <v>12.121101988403126</v>
      </c>
    </row>
    <row r="369" spans="2:7" x14ac:dyDescent="0.2">
      <c r="B369" s="28">
        <f t="shared" si="36"/>
        <v>40172</v>
      </c>
      <c r="C369" s="11">
        <f t="shared" si="37"/>
        <v>359</v>
      </c>
      <c r="D369" s="18">
        <f t="shared" si="33"/>
        <v>-0.40884784665705043</v>
      </c>
      <c r="E369" s="18">
        <f t="shared" si="38"/>
        <v>12.121087497350349</v>
      </c>
      <c r="F369" s="18">
        <f t="shared" si="34"/>
        <v>12.121087497350349</v>
      </c>
      <c r="G369" s="18">
        <f t="shared" si="35"/>
        <v>12.121087497350349</v>
      </c>
    </row>
    <row r="370" spans="2:7" x14ac:dyDescent="0.2">
      <c r="B370" s="28">
        <f t="shared" si="36"/>
        <v>40173</v>
      </c>
      <c r="C370" s="11">
        <f t="shared" si="37"/>
        <v>360</v>
      </c>
      <c r="D370" s="18">
        <f t="shared" si="33"/>
        <v>-0.40843489356836254</v>
      </c>
      <c r="E370" s="18">
        <f t="shared" si="38"/>
        <v>12.121065845132646</v>
      </c>
      <c r="F370" s="18">
        <f t="shared" si="34"/>
        <v>12.121065845132646</v>
      </c>
      <c r="G370" s="18">
        <f t="shared" si="35"/>
        <v>12.121065845132646</v>
      </c>
    </row>
    <row r="371" spans="2:7" x14ac:dyDescent="0.2">
      <c r="B371" s="28">
        <f t="shared" si="36"/>
        <v>40174</v>
      </c>
      <c r="C371" s="11">
        <f t="shared" si="37"/>
        <v>361</v>
      </c>
      <c r="D371" s="18">
        <f t="shared" si="33"/>
        <v>-0.40788522968924845</v>
      </c>
      <c r="E371" s="18">
        <f t="shared" si="38"/>
        <v>12.121037068835994</v>
      </c>
      <c r="F371" s="18">
        <f t="shared" si="34"/>
        <v>12.121037068835994</v>
      </c>
      <c r="G371" s="18">
        <f t="shared" si="35"/>
        <v>12.121037068835994</v>
      </c>
    </row>
    <row r="372" spans="2:7" x14ac:dyDescent="0.2">
      <c r="B372" s="28">
        <f t="shared" si="36"/>
        <v>40175</v>
      </c>
      <c r="C372" s="11">
        <f t="shared" si="37"/>
        <v>362</v>
      </c>
      <c r="D372" s="18">
        <f t="shared" si="33"/>
        <v>-0.40719909746897576</v>
      </c>
      <c r="E372" s="18">
        <f t="shared" si="38"/>
        <v>12.121001218556668</v>
      </c>
      <c r="F372" s="18">
        <f t="shared" si="34"/>
        <v>12.121001218556668</v>
      </c>
      <c r="G372" s="18">
        <f t="shared" si="35"/>
        <v>12.121001218556668</v>
      </c>
    </row>
    <row r="373" spans="2:7" x14ac:dyDescent="0.2">
      <c r="B373" s="28">
        <f t="shared" si="36"/>
        <v>40176</v>
      </c>
      <c r="C373" s="11">
        <f t="shared" si="37"/>
        <v>363</v>
      </c>
      <c r="D373" s="18">
        <f t="shared" si="33"/>
        <v>-0.40637681168115009</v>
      </c>
      <c r="E373" s="18">
        <f t="shared" si="38"/>
        <v>12.120958357243461</v>
      </c>
      <c r="F373" s="18">
        <f t="shared" si="34"/>
        <v>12.120958357243461</v>
      </c>
      <c r="G373" s="18">
        <f t="shared" si="35"/>
        <v>12.120958357243461</v>
      </c>
    </row>
    <row r="374" spans="2:7" x14ac:dyDescent="0.2">
      <c r="B374" s="28">
        <f t="shared" si="36"/>
        <v>40177</v>
      </c>
      <c r="C374" s="11">
        <f t="shared" si="37"/>
        <v>364</v>
      </c>
      <c r="D374" s="18">
        <f t="shared" si="33"/>
        <v>-0.40541875889935131</v>
      </c>
      <c r="E374" s="18">
        <f t="shared" si="38"/>
        <v>12.120908560497996</v>
      </c>
      <c r="F374" s="18">
        <f t="shared" si="34"/>
        <v>12.120908560497996</v>
      </c>
      <c r="G374" s="18">
        <f t="shared" si="35"/>
        <v>12.120908560497996</v>
      </c>
    </row>
    <row r="375" spans="2:7" x14ac:dyDescent="0.2">
      <c r="B375" s="28">
        <f t="shared" si="36"/>
        <v>40178</v>
      </c>
      <c r="C375" s="11">
        <f t="shared" si="37"/>
        <v>365</v>
      </c>
      <c r="D375" s="18">
        <f t="shared" si="33"/>
        <v>-0.40432539685038332</v>
      </c>
      <c r="E375" s="18">
        <f t="shared" si="38"/>
        <v>12.120851916334425</v>
      </c>
      <c r="F375" s="18">
        <f t="shared" si="34"/>
        <v>12.120851916334425</v>
      </c>
      <c r="G375" s="18">
        <f t="shared" si="35"/>
        <v>12.120851916334425</v>
      </c>
    </row>
  </sheetData>
  <sheetProtection sheet="1" objects="1" scenarios="1"/>
  <mergeCells count="9">
    <mergeCell ref="B2:F2"/>
    <mergeCell ref="K27:U28"/>
    <mergeCell ref="B4:C4"/>
    <mergeCell ref="B5:C5"/>
    <mergeCell ref="B6:C6"/>
    <mergeCell ref="E9:G9"/>
    <mergeCell ref="B9:B10"/>
    <mergeCell ref="C9:C10"/>
    <mergeCell ref="D9:D10"/>
  </mergeCells>
  <phoneticPr fontId="1" type="noConversion"/>
  <dataValidations count="2">
    <dataValidation allowBlank="1" showInputMessage="1" showErrorMessage="1" prompt="Calculations adapted from those in the CRM spreadsheet provided alongside Band, 2012." sqref="B2:F2" xr:uid="{19FF9C2B-FFA0-4799-A4BA-A8CF9E5E38F6}"/>
    <dataValidation allowBlank="1" showInputMessage="1" showErrorMessage="1" prompt="Band (2012) Using a collision risk model to assess bird collision risks for offshore windfarms._x000a_Forsythe et al. (1995) A model comparison for daylength as a function of latitude and day of year. Ecological Modelling. 80: 87 - 95." sqref="K27:U28" xr:uid="{FC7F56B3-81BC-4188-9043-33B6D99F1A33}"/>
  </dataValidations>
  <pageMargins left="0.75" right="0.75" top="1" bottom="1" header="0.5" footer="0.5"/>
  <pageSetup paperSize="9" orientation="landscape" horizontalDpi="300" verticalDpi="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4" id="{B04602DA-1D6C-44DD-B7B0-5F1EBF28C099}">
            <xm:f>OR('User inputs - run and wind farm'!$D$7=1,'User inputs - run and wind farm'!$D$7="")</xm:f>
            <x14:dxf>
              <font>
                <color theme="0" tint="-0.14996795556505021"/>
              </font>
            </x14:dxf>
          </x14:cfRule>
          <xm:sqref>D5:D6 F11:G375 K14:V15 K19:V20</xm:sqref>
        </x14:conditionalFormatting>
        <x14:conditionalFormatting xmlns:xm="http://schemas.microsoft.com/office/excel/2006/main">
          <x14:cfRule type="expression" priority="1" id="{68B78C58-27E8-46C9-A316-3282B60261CE}">
            <xm:f>'User inputs - run and wind farm'!$D$7&lt;&gt;3</xm:f>
            <x14:dxf>
              <font>
                <color theme="0" tint="-0.14996795556505021"/>
              </font>
            </x14:dxf>
          </x14:cfRule>
          <xm:sqref>D6 G11:G375 K15:V15 K20:V20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69FE-1928-4B82-96D2-CCFB27A10394}">
  <dimension ref="B2:S315"/>
  <sheetViews>
    <sheetView zoomScale="70" zoomScaleNormal="70" workbookViewId="0"/>
  </sheetViews>
  <sheetFormatPr defaultColWidth="8.7109375" defaultRowHeight="14.25" x14ac:dyDescent="0.2"/>
  <cols>
    <col min="1" max="1" width="3.7109375" style="8" customWidth="1"/>
    <col min="2" max="2" width="16.28515625" style="8" customWidth="1"/>
    <col min="3" max="3" width="20.7109375" style="8" bestFit="1" customWidth="1"/>
    <col min="4" max="9" width="10.42578125" style="8" customWidth="1"/>
    <col min="10" max="11" width="9.140625" style="8" customWidth="1"/>
    <col min="12" max="12" width="16.28515625" style="8" customWidth="1"/>
    <col min="13" max="13" width="20.7109375" style="8" bestFit="1" customWidth="1"/>
    <col min="14" max="19" width="10.42578125" style="8" customWidth="1"/>
    <col min="20" max="16384" width="8.7109375" style="8"/>
  </cols>
  <sheetData>
    <row r="2" spans="2:19" ht="23.25" x14ac:dyDescent="0.35">
      <c r="B2" s="19" t="s">
        <v>357</v>
      </c>
      <c r="C2" s="19"/>
      <c r="D2" s="19"/>
    </row>
    <row r="5" spans="2:19" ht="18" x14ac:dyDescent="0.25">
      <c r="B5" s="31" t="s">
        <v>16</v>
      </c>
      <c r="J5" s="55"/>
      <c r="K5" s="56"/>
      <c r="L5" s="31" t="s">
        <v>13</v>
      </c>
    </row>
    <row r="6" spans="2:19" x14ac:dyDescent="0.2">
      <c r="J6" s="55"/>
      <c r="K6" s="56"/>
    </row>
    <row r="7" spans="2:19" x14ac:dyDescent="0.2">
      <c r="D7" s="10" t="s">
        <v>283</v>
      </c>
      <c r="E7" s="10" t="s">
        <v>284</v>
      </c>
      <c r="F7" s="10" t="s">
        <v>285</v>
      </c>
      <c r="J7" s="55"/>
      <c r="K7" s="56"/>
      <c r="N7" s="10" t="s">
        <v>283</v>
      </c>
      <c r="O7" s="10" t="s">
        <v>284</v>
      </c>
      <c r="P7" s="10" t="s">
        <v>285</v>
      </c>
    </row>
    <row r="8" spans="2:19" ht="14.45" customHeight="1" x14ac:dyDescent="0.2">
      <c r="B8" s="140" t="s">
        <v>287</v>
      </c>
      <c r="C8" s="141"/>
      <c r="D8" s="27">
        <f>'User inputs - run and wind farm'!D23</f>
        <v>0</v>
      </c>
      <c r="E8" s="27">
        <f>'User inputs - run and wind farm'!E23</f>
        <v>0</v>
      </c>
      <c r="F8" s="27">
        <f>'User inputs - run and wind farm'!F23</f>
        <v>0</v>
      </c>
      <c r="J8" s="55"/>
      <c r="K8" s="56"/>
      <c r="L8" s="140" t="s">
        <v>287</v>
      </c>
      <c r="M8" s="141"/>
      <c r="N8" s="27">
        <f>'User inputs - run and wind farm'!D23</f>
        <v>0</v>
      </c>
      <c r="O8" s="27">
        <f>'User inputs - run and wind farm'!E23</f>
        <v>0</v>
      </c>
      <c r="P8" s="27">
        <f>'User inputs - run and wind farm'!F23</f>
        <v>0</v>
      </c>
    </row>
    <row r="9" spans="2:19" ht="14.45" customHeight="1" x14ac:dyDescent="0.2">
      <c r="B9" s="140" t="s">
        <v>288</v>
      </c>
      <c r="C9" s="141"/>
      <c r="D9" s="27">
        <f>D8+'User inputs - run and wind farm'!D19</f>
        <v>0</v>
      </c>
      <c r="E9" s="27">
        <f>E8+'User inputs - run and wind farm'!E19</f>
        <v>0</v>
      </c>
      <c r="F9" s="27">
        <f>F8+'User inputs - run and wind farm'!F19</f>
        <v>0</v>
      </c>
      <c r="J9" s="55"/>
      <c r="K9" s="56"/>
      <c r="L9" s="140" t="s">
        <v>288</v>
      </c>
      <c r="M9" s="141"/>
      <c r="N9" s="27">
        <f>N8+'User inputs - run and wind farm'!D19</f>
        <v>0</v>
      </c>
      <c r="O9" s="27">
        <f>O8+'User inputs - run and wind farm'!E19</f>
        <v>0</v>
      </c>
      <c r="P9" s="27">
        <f>P8+'User inputs - run and wind farm'!F19</f>
        <v>0</v>
      </c>
    </row>
    <row r="10" spans="2:19" ht="9.9499999999999993" customHeight="1" x14ac:dyDescent="0.2">
      <c r="B10" s="25"/>
      <c r="J10" s="55"/>
      <c r="K10" s="56"/>
      <c r="L10" s="25"/>
    </row>
    <row r="11" spans="2:19" ht="14.45" customHeight="1" x14ac:dyDescent="0.25">
      <c r="B11" s="140" t="s">
        <v>289</v>
      </c>
      <c r="C11" s="141"/>
      <c r="D11" s="33">
        <f>SUM(E16:E315)</f>
        <v>0</v>
      </c>
      <c r="E11" s="33">
        <f>SUM(G16:G315)</f>
        <v>0</v>
      </c>
      <c r="F11" s="33">
        <f>SUM(I16:I315)</f>
        <v>0</v>
      </c>
      <c r="J11" s="55"/>
      <c r="K11" s="56"/>
      <c r="L11" s="140" t="s">
        <v>289</v>
      </c>
      <c r="M11" s="141"/>
      <c r="N11" s="33">
        <f>SUM(O16:O315)</f>
        <v>0</v>
      </c>
      <c r="O11" s="33">
        <f>SUM(Q16:Q315)</f>
        <v>0</v>
      </c>
      <c r="P11" s="33">
        <f>SUM(S16:S315)</f>
        <v>0</v>
      </c>
    </row>
    <row r="12" spans="2:19" x14ac:dyDescent="0.2">
      <c r="J12" s="55"/>
      <c r="K12" s="56"/>
    </row>
    <row r="13" spans="2:19" ht="20.25" x14ac:dyDescent="0.3">
      <c r="D13" s="19"/>
      <c r="E13" s="19"/>
      <c r="J13" s="55"/>
      <c r="K13" s="56"/>
      <c r="N13" s="19"/>
      <c r="O13" s="19"/>
    </row>
    <row r="14" spans="2:19" ht="17.100000000000001" customHeight="1" x14ac:dyDescent="0.2">
      <c r="B14" s="167" t="s">
        <v>286</v>
      </c>
      <c r="C14" s="169" t="s">
        <v>290</v>
      </c>
      <c r="D14" s="165" t="s">
        <v>283</v>
      </c>
      <c r="E14" s="166"/>
      <c r="F14" s="165" t="s">
        <v>284</v>
      </c>
      <c r="G14" s="166"/>
      <c r="H14" s="165" t="s">
        <v>285</v>
      </c>
      <c r="I14" s="166"/>
      <c r="J14" s="57"/>
      <c r="K14" s="56"/>
      <c r="L14" s="167" t="s">
        <v>286</v>
      </c>
      <c r="M14" s="169" t="s">
        <v>290</v>
      </c>
      <c r="N14" s="165" t="s">
        <v>283</v>
      </c>
      <c r="O14" s="166"/>
      <c r="P14" s="165" t="s">
        <v>284</v>
      </c>
      <c r="Q14" s="166"/>
      <c r="R14" s="165" t="s">
        <v>285</v>
      </c>
      <c r="S14" s="166"/>
    </row>
    <row r="15" spans="2:19" ht="28.5" x14ac:dyDescent="0.2">
      <c r="B15" s="168"/>
      <c r="C15" s="170"/>
      <c r="D15" s="32" t="s">
        <v>211</v>
      </c>
      <c r="E15" s="30" t="s">
        <v>212</v>
      </c>
      <c r="F15" s="32" t="s">
        <v>211</v>
      </c>
      <c r="G15" s="30" t="s">
        <v>212</v>
      </c>
      <c r="H15" s="32" t="s">
        <v>211</v>
      </c>
      <c r="I15" s="30" t="s">
        <v>212</v>
      </c>
      <c r="J15" s="55"/>
      <c r="K15" s="56"/>
      <c r="L15" s="168"/>
      <c r="M15" s="170"/>
      <c r="N15" s="32" t="s">
        <v>211</v>
      </c>
      <c r="O15" s="30" t="s">
        <v>212</v>
      </c>
      <c r="P15" s="32" t="s">
        <v>211</v>
      </c>
      <c r="Q15" s="30" t="s">
        <v>212</v>
      </c>
      <c r="R15" s="32" t="s">
        <v>211</v>
      </c>
      <c r="S15" s="30" t="s">
        <v>212</v>
      </c>
    </row>
    <row r="16" spans="2:19" x14ac:dyDescent="0.2">
      <c r="B16" s="58">
        <v>0</v>
      </c>
      <c r="C16" s="26">
        <f>'Default parameters'!C13</f>
        <v>9.0442999999999996E-2</v>
      </c>
      <c r="D16" s="11">
        <f t="shared" ref="D16:D47" si="0">IF(AND(B16&gt;($D$8-1), B16&lt;$D$9),1,0)</f>
        <v>0</v>
      </c>
      <c r="E16" s="26">
        <f>D16*C16</f>
        <v>0</v>
      </c>
      <c r="F16" s="11">
        <f t="shared" ref="F16:F47" si="1">IF(AND(B16&gt;($E$8-1), B16&lt;$E$9),1,0)</f>
        <v>0</v>
      </c>
      <c r="G16" s="26">
        <f>F16*C16</f>
        <v>0</v>
      </c>
      <c r="H16" s="11">
        <f t="shared" ref="H16:H47" si="2">IF(AND(B16&gt;($F$8-1), B16&lt;$F$9),1,0)</f>
        <v>0</v>
      </c>
      <c r="I16" s="26">
        <f>H16*C16</f>
        <v>0</v>
      </c>
      <c r="J16" s="55"/>
      <c r="K16" s="56"/>
      <c r="L16" s="58">
        <v>0</v>
      </c>
      <c r="M16" s="26">
        <f>'Default parameters'!D13</f>
        <v>9.8314355000000006E-2</v>
      </c>
      <c r="N16" s="11">
        <f>IF(AND(L16&gt;($N$8-1), L16&lt;$N$9),1,0)</f>
        <v>0</v>
      </c>
      <c r="O16" s="26">
        <f>N16*M16</f>
        <v>0</v>
      </c>
      <c r="P16" s="11">
        <f>IF(AND(L16&gt;($O$8-1), L16&lt;$O$9),1,0)</f>
        <v>0</v>
      </c>
      <c r="Q16" s="26">
        <f>P16*M16</f>
        <v>0</v>
      </c>
      <c r="R16" s="11">
        <f>IF(AND(L16&gt;($P$8-1), L16&lt;$P$9),1,0)</f>
        <v>0</v>
      </c>
      <c r="S16" s="26">
        <f>R16*M16</f>
        <v>0</v>
      </c>
    </row>
    <row r="17" spans="2:19" x14ac:dyDescent="0.2">
      <c r="B17" s="58">
        <v>1</v>
      </c>
      <c r="C17" s="26">
        <f>'Default parameters'!C14</f>
        <v>8.2272999999999999E-2</v>
      </c>
      <c r="D17" s="11">
        <f t="shared" si="0"/>
        <v>0</v>
      </c>
      <c r="E17" s="26">
        <f t="shared" ref="E17:E80" si="3">D17*C17</f>
        <v>0</v>
      </c>
      <c r="F17" s="11">
        <f t="shared" si="1"/>
        <v>0</v>
      </c>
      <c r="G17" s="26">
        <f t="shared" ref="G17:G80" si="4">F17*C17</f>
        <v>0</v>
      </c>
      <c r="H17" s="11">
        <f t="shared" si="2"/>
        <v>0</v>
      </c>
      <c r="I17" s="26">
        <f t="shared" ref="I17:I80" si="5">H17*C17</f>
        <v>0</v>
      </c>
      <c r="J17" s="55"/>
      <c r="K17" s="56"/>
      <c r="L17" s="58">
        <v>1</v>
      </c>
      <c r="M17" s="26">
        <f>'Default parameters'!D14</f>
        <v>8.8656966000000004E-2</v>
      </c>
      <c r="N17" s="11">
        <f t="shared" ref="N17:N80" si="6">IF(AND(L17&gt;($N$8-1), L17&lt;$N$9),1,0)</f>
        <v>0</v>
      </c>
      <c r="O17" s="26">
        <f t="shared" ref="O17:O80" si="7">N17*M17</f>
        <v>0</v>
      </c>
      <c r="P17" s="11">
        <f t="shared" ref="P17:P80" si="8">IF(AND(L17&gt;($O$8-1), L17&lt;$O$9),1,0)</f>
        <v>0</v>
      </c>
      <c r="Q17" s="26">
        <f t="shared" ref="Q17:Q80" si="9">P17*M17</f>
        <v>0</v>
      </c>
      <c r="R17" s="11">
        <f t="shared" ref="R17:R80" si="10">IF(AND(L17&gt;($P$8-1), L17&lt;$P$9),1,0)</f>
        <v>0</v>
      </c>
      <c r="S17" s="26">
        <f t="shared" ref="S17:S80" si="11">R17*M17</f>
        <v>0</v>
      </c>
    </row>
    <row r="18" spans="2:19" x14ac:dyDescent="0.2">
      <c r="B18" s="58">
        <v>2</v>
      </c>
      <c r="C18" s="26">
        <f>'Default parameters'!C15</f>
        <v>7.4841000000000005E-2</v>
      </c>
      <c r="D18" s="11">
        <f t="shared" si="0"/>
        <v>0</v>
      </c>
      <c r="E18" s="26">
        <f t="shared" si="3"/>
        <v>0</v>
      </c>
      <c r="F18" s="11">
        <f t="shared" si="1"/>
        <v>0</v>
      </c>
      <c r="G18" s="26">
        <f t="shared" si="4"/>
        <v>0</v>
      </c>
      <c r="H18" s="11">
        <f t="shared" si="2"/>
        <v>0</v>
      </c>
      <c r="I18" s="26">
        <f t="shared" si="5"/>
        <v>0</v>
      </c>
      <c r="J18" s="55"/>
      <c r="K18" s="56"/>
      <c r="L18" s="58">
        <v>2</v>
      </c>
      <c r="M18" s="26">
        <f>'Default parameters'!D15</f>
        <v>7.9948180999999993E-2</v>
      </c>
      <c r="N18" s="11">
        <f t="shared" si="6"/>
        <v>0</v>
      </c>
      <c r="O18" s="26">
        <f t="shared" si="7"/>
        <v>0</v>
      </c>
      <c r="P18" s="11">
        <f t="shared" si="8"/>
        <v>0</v>
      </c>
      <c r="Q18" s="26">
        <f t="shared" si="9"/>
        <v>0</v>
      </c>
      <c r="R18" s="11">
        <f t="shared" si="10"/>
        <v>0</v>
      </c>
      <c r="S18" s="26">
        <f t="shared" si="11"/>
        <v>0</v>
      </c>
    </row>
    <row r="19" spans="2:19" x14ac:dyDescent="0.2">
      <c r="B19" s="58">
        <v>3</v>
      </c>
      <c r="C19" s="26">
        <f>'Default parameters'!C16</f>
        <v>6.8080000000000002E-2</v>
      </c>
      <c r="D19" s="11">
        <f t="shared" si="0"/>
        <v>0</v>
      </c>
      <c r="E19" s="26">
        <f t="shared" si="3"/>
        <v>0</v>
      </c>
      <c r="F19" s="11">
        <f t="shared" si="1"/>
        <v>0</v>
      </c>
      <c r="G19" s="26">
        <f t="shared" si="4"/>
        <v>0</v>
      </c>
      <c r="H19" s="11">
        <f t="shared" si="2"/>
        <v>0</v>
      </c>
      <c r="I19" s="26">
        <f t="shared" si="5"/>
        <v>0</v>
      </c>
      <c r="J19" s="55"/>
      <c r="K19" s="56"/>
      <c r="L19" s="58">
        <v>3</v>
      </c>
      <c r="M19" s="26">
        <f>'Default parameters'!D16</f>
        <v>7.2094795000000003E-2</v>
      </c>
      <c r="N19" s="11">
        <f t="shared" si="6"/>
        <v>0</v>
      </c>
      <c r="O19" s="26">
        <f t="shared" si="7"/>
        <v>0</v>
      </c>
      <c r="P19" s="11">
        <f t="shared" si="8"/>
        <v>0</v>
      </c>
      <c r="Q19" s="26">
        <f t="shared" si="9"/>
        <v>0</v>
      </c>
      <c r="R19" s="11">
        <f t="shared" si="10"/>
        <v>0</v>
      </c>
      <c r="S19" s="26">
        <f t="shared" si="11"/>
        <v>0</v>
      </c>
    </row>
    <row r="20" spans="2:19" x14ac:dyDescent="0.2">
      <c r="B20" s="58">
        <v>4</v>
      </c>
      <c r="C20" s="26">
        <f>'Default parameters'!C17</f>
        <v>6.1928999999999998E-2</v>
      </c>
      <c r="D20" s="11">
        <f t="shared" si="0"/>
        <v>0</v>
      </c>
      <c r="E20" s="26">
        <f t="shared" si="3"/>
        <v>0</v>
      </c>
      <c r="F20" s="11">
        <f t="shared" si="1"/>
        <v>0</v>
      </c>
      <c r="G20" s="26">
        <f t="shared" si="4"/>
        <v>0</v>
      </c>
      <c r="H20" s="11">
        <f t="shared" si="2"/>
        <v>0</v>
      </c>
      <c r="I20" s="26">
        <f t="shared" si="5"/>
        <v>0</v>
      </c>
      <c r="J20" s="55"/>
      <c r="K20" s="56"/>
      <c r="L20" s="58">
        <v>4</v>
      </c>
      <c r="M20" s="26">
        <f>'Default parameters'!D17</f>
        <v>6.5012764000000001E-2</v>
      </c>
      <c r="N20" s="11">
        <f t="shared" si="6"/>
        <v>0</v>
      </c>
      <c r="O20" s="26">
        <f t="shared" si="7"/>
        <v>0</v>
      </c>
      <c r="P20" s="11">
        <f t="shared" si="8"/>
        <v>0</v>
      </c>
      <c r="Q20" s="26">
        <f t="shared" si="9"/>
        <v>0</v>
      </c>
      <c r="R20" s="11">
        <f t="shared" si="10"/>
        <v>0</v>
      </c>
      <c r="S20" s="26">
        <f t="shared" si="11"/>
        <v>0</v>
      </c>
    </row>
    <row r="21" spans="2:19" x14ac:dyDescent="0.2">
      <c r="B21" s="58">
        <v>5</v>
      </c>
      <c r="C21" s="26">
        <f>'Default parameters'!C18</f>
        <v>5.6334000000000002E-2</v>
      </c>
      <c r="D21" s="11">
        <f t="shared" si="0"/>
        <v>0</v>
      </c>
      <c r="E21" s="26">
        <f t="shared" si="3"/>
        <v>0</v>
      </c>
      <c r="F21" s="11">
        <f t="shared" si="1"/>
        <v>0</v>
      </c>
      <c r="G21" s="26">
        <f t="shared" si="4"/>
        <v>0</v>
      </c>
      <c r="H21" s="11">
        <f t="shared" si="2"/>
        <v>0</v>
      </c>
      <c r="I21" s="26">
        <f t="shared" si="5"/>
        <v>0</v>
      </c>
      <c r="J21" s="55"/>
      <c r="K21" s="56"/>
      <c r="L21" s="58">
        <v>5</v>
      </c>
      <c r="M21" s="26">
        <f>'Default parameters'!D18</f>
        <v>5.8626299999999999E-2</v>
      </c>
      <c r="N21" s="11">
        <f t="shared" si="6"/>
        <v>0</v>
      </c>
      <c r="O21" s="26">
        <f t="shared" si="7"/>
        <v>0</v>
      </c>
      <c r="P21" s="11">
        <f t="shared" si="8"/>
        <v>0</v>
      </c>
      <c r="Q21" s="26">
        <f t="shared" si="9"/>
        <v>0</v>
      </c>
      <c r="R21" s="11">
        <f t="shared" si="10"/>
        <v>0</v>
      </c>
      <c r="S21" s="26">
        <f t="shared" si="11"/>
        <v>0</v>
      </c>
    </row>
    <row r="22" spans="2:19" x14ac:dyDescent="0.2">
      <c r="B22" s="58">
        <v>6</v>
      </c>
      <c r="C22" s="26">
        <f>'Default parameters'!C19</f>
        <v>5.1244999999999999E-2</v>
      </c>
      <c r="D22" s="11">
        <f t="shared" si="0"/>
        <v>0</v>
      </c>
      <c r="E22" s="26">
        <f t="shared" si="3"/>
        <v>0</v>
      </c>
      <c r="F22" s="11">
        <f t="shared" si="1"/>
        <v>0</v>
      </c>
      <c r="G22" s="26">
        <f t="shared" si="4"/>
        <v>0</v>
      </c>
      <c r="H22" s="11">
        <f t="shared" si="2"/>
        <v>0</v>
      </c>
      <c r="I22" s="26">
        <f t="shared" si="5"/>
        <v>0</v>
      </c>
      <c r="J22" s="55"/>
      <c r="K22" s="56"/>
      <c r="L22" s="58">
        <v>6</v>
      </c>
      <c r="M22" s="26">
        <f>'Default parameters'!D19</f>
        <v>5.2867065999999997E-2</v>
      </c>
      <c r="N22" s="11">
        <f t="shared" si="6"/>
        <v>0</v>
      </c>
      <c r="O22" s="26">
        <f t="shared" si="7"/>
        <v>0</v>
      </c>
      <c r="P22" s="11">
        <f t="shared" si="8"/>
        <v>0</v>
      </c>
      <c r="Q22" s="26">
        <f t="shared" si="9"/>
        <v>0</v>
      </c>
      <c r="R22" s="11">
        <f t="shared" si="10"/>
        <v>0</v>
      </c>
      <c r="S22" s="26">
        <f t="shared" si="11"/>
        <v>0</v>
      </c>
    </row>
    <row r="23" spans="2:19" x14ac:dyDescent="0.2">
      <c r="B23" s="58">
        <v>7</v>
      </c>
      <c r="C23" s="26">
        <f>'Default parameters'!C20</f>
        <v>4.6614999999999997E-2</v>
      </c>
      <c r="D23" s="11">
        <f t="shared" si="0"/>
        <v>0</v>
      </c>
      <c r="E23" s="26">
        <f t="shared" si="3"/>
        <v>0</v>
      </c>
      <c r="F23" s="11">
        <f t="shared" si="1"/>
        <v>0</v>
      </c>
      <c r="G23" s="26">
        <f t="shared" si="4"/>
        <v>0</v>
      </c>
      <c r="H23" s="11">
        <f t="shared" si="2"/>
        <v>0</v>
      </c>
      <c r="I23" s="26">
        <f t="shared" si="5"/>
        <v>0</v>
      </c>
      <c r="J23" s="55"/>
      <c r="K23" s="56"/>
      <c r="L23" s="58">
        <v>7</v>
      </c>
      <c r="M23" s="26">
        <f>'Default parameters'!D20</f>
        <v>4.7673440999999997E-2</v>
      </c>
      <c r="N23" s="11">
        <f t="shared" si="6"/>
        <v>0</v>
      </c>
      <c r="O23" s="26">
        <f t="shared" si="7"/>
        <v>0</v>
      </c>
      <c r="P23" s="11">
        <f t="shared" si="8"/>
        <v>0</v>
      </c>
      <c r="Q23" s="26">
        <f t="shared" si="9"/>
        <v>0</v>
      </c>
      <c r="R23" s="11">
        <f t="shared" si="10"/>
        <v>0</v>
      </c>
      <c r="S23" s="26">
        <f t="shared" si="11"/>
        <v>0</v>
      </c>
    </row>
    <row r="24" spans="2:19" x14ac:dyDescent="0.2">
      <c r="B24" s="58">
        <v>8</v>
      </c>
      <c r="C24" s="26">
        <f>'Default parameters'!C21</f>
        <v>4.2403000000000003E-2</v>
      </c>
      <c r="D24" s="11">
        <f t="shared" si="0"/>
        <v>0</v>
      </c>
      <c r="E24" s="26">
        <f t="shared" si="3"/>
        <v>0</v>
      </c>
      <c r="F24" s="11">
        <f t="shared" si="1"/>
        <v>0</v>
      </c>
      <c r="G24" s="26">
        <f t="shared" si="4"/>
        <v>0</v>
      </c>
      <c r="H24" s="11">
        <f t="shared" si="2"/>
        <v>0</v>
      </c>
      <c r="I24" s="26">
        <f t="shared" si="5"/>
        <v>0</v>
      </c>
      <c r="J24" s="55"/>
      <c r="K24" s="56"/>
      <c r="L24" s="58">
        <v>8</v>
      </c>
      <c r="M24" s="26">
        <f>'Default parameters'!D21</f>
        <v>4.2989856999999999E-2</v>
      </c>
      <c r="N24" s="11">
        <f t="shared" si="6"/>
        <v>0</v>
      </c>
      <c r="O24" s="26">
        <f t="shared" si="7"/>
        <v>0</v>
      </c>
      <c r="P24" s="11">
        <f t="shared" si="8"/>
        <v>0</v>
      </c>
      <c r="Q24" s="26">
        <f t="shared" si="9"/>
        <v>0</v>
      </c>
      <c r="R24" s="11">
        <f t="shared" si="10"/>
        <v>0</v>
      </c>
      <c r="S24" s="26">
        <f t="shared" si="11"/>
        <v>0</v>
      </c>
    </row>
    <row r="25" spans="2:19" x14ac:dyDescent="0.2">
      <c r="B25" s="58">
        <v>9</v>
      </c>
      <c r="C25" s="26">
        <f>'Default parameters'!C22</f>
        <v>3.8572000000000002E-2</v>
      </c>
      <c r="D25" s="11">
        <f t="shared" si="0"/>
        <v>0</v>
      </c>
      <c r="E25" s="26">
        <f t="shared" si="3"/>
        <v>0</v>
      </c>
      <c r="F25" s="11">
        <f t="shared" si="1"/>
        <v>0</v>
      </c>
      <c r="G25" s="26">
        <f t="shared" si="4"/>
        <v>0</v>
      </c>
      <c r="H25" s="11">
        <f t="shared" si="2"/>
        <v>0</v>
      </c>
      <c r="I25" s="26">
        <f t="shared" si="5"/>
        <v>0</v>
      </c>
      <c r="J25" s="55"/>
      <c r="K25" s="56"/>
      <c r="L25" s="58">
        <v>9</v>
      </c>
      <c r="M25" s="26">
        <f>'Default parameters'!D22</f>
        <v>3.8766212000000001E-2</v>
      </c>
      <c r="N25" s="11">
        <f t="shared" si="6"/>
        <v>0</v>
      </c>
      <c r="O25" s="26">
        <f t="shared" si="7"/>
        <v>0</v>
      </c>
      <c r="P25" s="11">
        <f t="shared" si="8"/>
        <v>0</v>
      </c>
      <c r="Q25" s="26">
        <f t="shared" si="9"/>
        <v>0</v>
      </c>
      <c r="R25" s="11">
        <f t="shared" si="10"/>
        <v>0</v>
      </c>
      <c r="S25" s="26">
        <f t="shared" si="11"/>
        <v>0</v>
      </c>
    </row>
    <row r="26" spans="2:19" x14ac:dyDescent="0.2">
      <c r="B26" s="58">
        <v>10</v>
      </c>
      <c r="C26" s="26">
        <f>'Default parameters'!C23</f>
        <v>3.5085999999999999E-2</v>
      </c>
      <c r="D26" s="11">
        <f t="shared" si="0"/>
        <v>0</v>
      </c>
      <c r="E26" s="26">
        <f t="shared" si="3"/>
        <v>0</v>
      </c>
      <c r="F26" s="11">
        <f t="shared" si="1"/>
        <v>0</v>
      </c>
      <c r="G26" s="26">
        <f t="shared" si="4"/>
        <v>0</v>
      </c>
      <c r="H26" s="11">
        <f t="shared" si="2"/>
        <v>0</v>
      </c>
      <c r="I26" s="26">
        <f t="shared" si="5"/>
        <v>0</v>
      </c>
      <c r="J26" s="55"/>
      <c r="K26" s="56"/>
      <c r="L26" s="58">
        <v>10</v>
      </c>
      <c r="M26" s="26">
        <f>'Default parameters'!D23</f>
        <v>3.4957323999999998E-2</v>
      </c>
      <c r="N26" s="11">
        <f t="shared" si="6"/>
        <v>0</v>
      </c>
      <c r="O26" s="26">
        <f t="shared" si="7"/>
        <v>0</v>
      </c>
      <c r="P26" s="11">
        <f t="shared" si="8"/>
        <v>0</v>
      </c>
      <c r="Q26" s="26">
        <f t="shared" si="9"/>
        <v>0</v>
      </c>
      <c r="R26" s="11">
        <f t="shared" si="10"/>
        <v>0</v>
      </c>
      <c r="S26" s="26">
        <f t="shared" si="11"/>
        <v>0</v>
      </c>
    </row>
    <row r="27" spans="2:19" x14ac:dyDescent="0.2">
      <c r="B27" s="58">
        <v>11</v>
      </c>
      <c r="C27" s="26">
        <f>'Default parameters'!C24</f>
        <v>3.1916E-2</v>
      </c>
      <c r="D27" s="11">
        <f t="shared" si="0"/>
        <v>0</v>
      </c>
      <c r="E27" s="26">
        <f t="shared" si="3"/>
        <v>0</v>
      </c>
      <c r="F27" s="11">
        <f t="shared" si="1"/>
        <v>0</v>
      </c>
      <c r="G27" s="26">
        <f t="shared" si="4"/>
        <v>0</v>
      </c>
      <c r="H27" s="11">
        <f t="shared" si="2"/>
        <v>0</v>
      </c>
      <c r="I27" s="26">
        <f t="shared" si="5"/>
        <v>0</v>
      </c>
      <c r="J27" s="55"/>
      <c r="K27" s="56"/>
      <c r="L27" s="58">
        <v>11</v>
      </c>
      <c r="M27" s="26">
        <f>'Default parameters'!D24</f>
        <v>3.1522453999999998E-2</v>
      </c>
      <c r="N27" s="11">
        <f t="shared" si="6"/>
        <v>0</v>
      </c>
      <c r="O27" s="26">
        <f t="shared" si="7"/>
        <v>0</v>
      </c>
      <c r="P27" s="11">
        <f t="shared" si="8"/>
        <v>0</v>
      </c>
      <c r="Q27" s="26">
        <f t="shared" si="9"/>
        <v>0</v>
      </c>
      <c r="R27" s="11">
        <f t="shared" si="10"/>
        <v>0</v>
      </c>
      <c r="S27" s="26">
        <f t="shared" si="11"/>
        <v>0</v>
      </c>
    </row>
    <row r="28" spans="2:19" x14ac:dyDescent="0.2">
      <c r="B28" s="58">
        <v>12</v>
      </c>
      <c r="C28" s="26">
        <f>'Default parameters'!C25</f>
        <v>2.9031000000000001E-2</v>
      </c>
      <c r="D28" s="11">
        <f t="shared" si="0"/>
        <v>0</v>
      </c>
      <c r="E28" s="26">
        <f t="shared" si="3"/>
        <v>0</v>
      </c>
      <c r="F28" s="11">
        <f t="shared" si="1"/>
        <v>0</v>
      </c>
      <c r="G28" s="26">
        <f t="shared" si="4"/>
        <v>0</v>
      </c>
      <c r="H28" s="11">
        <f t="shared" si="2"/>
        <v>0</v>
      </c>
      <c r="I28" s="26">
        <f t="shared" si="5"/>
        <v>0</v>
      </c>
      <c r="J28" s="55"/>
      <c r="K28" s="56"/>
      <c r="L28" s="58">
        <v>12</v>
      </c>
      <c r="M28" s="26">
        <f>'Default parameters'!D25</f>
        <v>2.8424866999999999E-2</v>
      </c>
      <c r="N28" s="11">
        <f t="shared" si="6"/>
        <v>0</v>
      </c>
      <c r="O28" s="26">
        <f t="shared" si="7"/>
        <v>0</v>
      </c>
      <c r="P28" s="11">
        <f t="shared" si="8"/>
        <v>0</v>
      </c>
      <c r="Q28" s="26">
        <f t="shared" si="9"/>
        <v>0</v>
      </c>
      <c r="R28" s="11">
        <f t="shared" si="10"/>
        <v>0</v>
      </c>
      <c r="S28" s="26">
        <f t="shared" si="11"/>
        <v>0</v>
      </c>
    </row>
    <row r="29" spans="2:19" x14ac:dyDescent="0.2">
      <c r="B29" s="58">
        <v>13</v>
      </c>
      <c r="C29" s="26">
        <f>'Default parameters'!C26</f>
        <v>2.6407E-2</v>
      </c>
      <c r="D29" s="11">
        <f t="shared" si="0"/>
        <v>0</v>
      </c>
      <c r="E29" s="26">
        <f t="shared" si="3"/>
        <v>0</v>
      </c>
      <c r="F29" s="11">
        <f t="shared" si="1"/>
        <v>0</v>
      </c>
      <c r="G29" s="26">
        <f t="shared" si="4"/>
        <v>0</v>
      </c>
      <c r="H29" s="11">
        <f t="shared" si="2"/>
        <v>0</v>
      </c>
      <c r="I29" s="26">
        <f t="shared" si="5"/>
        <v>0</v>
      </c>
      <c r="J29" s="55"/>
      <c r="K29" s="56"/>
      <c r="L29" s="58">
        <v>13</v>
      </c>
      <c r="M29" s="26">
        <f>'Default parameters'!D26</f>
        <v>2.5631437999999999E-2</v>
      </c>
      <c r="N29" s="11">
        <f t="shared" si="6"/>
        <v>0</v>
      </c>
      <c r="O29" s="26">
        <f t="shared" si="7"/>
        <v>0</v>
      </c>
      <c r="P29" s="11">
        <f t="shared" si="8"/>
        <v>0</v>
      </c>
      <c r="Q29" s="26">
        <f t="shared" si="9"/>
        <v>0</v>
      </c>
      <c r="R29" s="11">
        <f t="shared" si="10"/>
        <v>0</v>
      </c>
      <c r="S29" s="26">
        <f t="shared" si="11"/>
        <v>0</v>
      </c>
    </row>
    <row r="30" spans="2:19" x14ac:dyDescent="0.2">
      <c r="B30" s="58">
        <v>14</v>
      </c>
      <c r="C30" s="26">
        <f>'Default parameters'!C27</f>
        <v>2.402E-2</v>
      </c>
      <c r="D30" s="11">
        <f t="shared" si="0"/>
        <v>0</v>
      </c>
      <c r="E30" s="26">
        <f t="shared" si="3"/>
        <v>0</v>
      </c>
      <c r="F30" s="11">
        <f t="shared" si="1"/>
        <v>0</v>
      </c>
      <c r="G30" s="26">
        <f t="shared" si="4"/>
        <v>0</v>
      </c>
      <c r="H30" s="11">
        <f t="shared" si="2"/>
        <v>0</v>
      </c>
      <c r="I30" s="26">
        <f t="shared" si="5"/>
        <v>0</v>
      </c>
      <c r="J30" s="55"/>
      <c r="K30" s="56"/>
      <c r="L30" s="58">
        <v>14</v>
      </c>
      <c r="M30" s="26">
        <f>'Default parameters'!D27</f>
        <v>2.3112295000000001E-2</v>
      </c>
      <c r="N30" s="11">
        <f t="shared" si="6"/>
        <v>0</v>
      </c>
      <c r="O30" s="26">
        <f t="shared" si="7"/>
        <v>0</v>
      </c>
      <c r="P30" s="11">
        <f t="shared" si="8"/>
        <v>0</v>
      </c>
      <c r="Q30" s="26">
        <f t="shared" si="9"/>
        <v>0</v>
      </c>
      <c r="R30" s="11">
        <f t="shared" si="10"/>
        <v>0</v>
      </c>
      <c r="S30" s="26">
        <f t="shared" si="11"/>
        <v>0</v>
      </c>
    </row>
    <row r="31" spans="2:19" x14ac:dyDescent="0.2">
      <c r="B31" s="58">
        <v>15</v>
      </c>
      <c r="C31" s="26">
        <f>'Default parameters'!C28</f>
        <v>2.1849E-2</v>
      </c>
      <c r="D31" s="11">
        <f t="shared" si="0"/>
        <v>0</v>
      </c>
      <c r="E31" s="26">
        <f t="shared" si="3"/>
        <v>0</v>
      </c>
      <c r="F31" s="11">
        <f t="shared" si="1"/>
        <v>0</v>
      </c>
      <c r="G31" s="26">
        <f t="shared" si="4"/>
        <v>0</v>
      </c>
      <c r="H31" s="11">
        <f t="shared" si="2"/>
        <v>0</v>
      </c>
      <c r="I31" s="26">
        <f t="shared" si="5"/>
        <v>0</v>
      </c>
      <c r="J31" s="55"/>
      <c r="K31" s="56"/>
      <c r="L31" s="58">
        <v>15</v>
      </c>
      <c r="M31" s="26">
        <f>'Default parameters'!D28</f>
        <v>2.0840503999999999E-2</v>
      </c>
      <c r="N31" s="11">
        <f t="shared" si="6"/>
        <v>0</v>
      </c>
      <c r="O31" s="26">
        <f t="shared" si="7"/>
        <v>0</v>
      </c>
      <c r="P31" s="11">
        <f t="shared" si="8"/>
        <v>0</v>
      </c>
      <c r="Q31" s="26">
        <f t="shared" si="9"/>
        <v>0</v>
      </c>
      <c r="R31" s="11">
        <f t="shared" si="10"/>
        <v>0</v>
      </c>
      <c r="S31" s="26">
        <f t="shared" si="11"/>
        <v>0</v>
      </c>
    </row>
    <row r="32" spans="2:19" x14ac:dyDescent="0.2">
      <c r="B32" s="58">
        <v>16</v>
      </c>
      <c r="C32" s="26">
        <f>'Default parameters'!C29</f>
        <v>1.9872999999999998E-2</v>
      </c>
      <c r="D32" s="11">
        <f t="shared" si="0"/>
        <v>0</v>
      </c>
      <c r="E32" s="26">
        <f t="shared" si="3"/>
        <v>0</v>
      </c>
      <c r="F32" s="11">
        <f t="shared" si="1"/>
        <v>0</v>
      </c>
      <c r="G32" s="26">
        <f t="shared" si="4"/>
        <v>0</v>
      </c>
      <c r="H32" s="11">
        <f t="shared" si="2"/>
        <v>0</v>
      </c>
      <c r="I32" s="26">
        <f t="shared" si="5"/>
        <v>0</v>
      </c>
      <c r="J32" s="55"/>
      <c r="K32" s="56"/>
      <c r="L32" s="58">
        <v>16</v>
      </c>
      <c r="M32" s="26">
        <f>'Default parameters'!D29</f>
        <v>1.8791776E-2</v>
      </c>
      <c r="N32" s="11">
        <f t="shared" si="6"/>
        <v>0</v>
      </c>
      <c r="O32" s="26">
        <f t="shared" si="7"/>
        <v>0</v>
      </c>
      <c r="P32" s="11">
        <f t="shared" si="8"/>
        <v>0</v>
      </c>
      <c r="Q32" s="26">
        <f t="shared" si="9"/>
        <v>0</v>
      </c>
      <c r="R32" s="11">
        <f t="shared" si="10"/>
        <v>0</v>
      </c>
      <c r="S32" s="26">
        <f t="shared" si="11"/>
        <v>0</v>
      </c>
    </row>
    <row r="33" spans="2:19" x14ac:dyDescent="0.2">
      <c r="B33" s="58">
        <v>17</v>
      </c>
      <c r="C33" s="26">
        <f>'Default parameters'!C30</f>
        <v>1.8075999999999998E-2</v>
      </c>
      <c r="D33" s="11">
        <f t="shared" si="0"/>
        <v>0</v>
      </c>
      <c r="E33" s="26">
        <f t="shared" si="3"/>
        <v>0</v>
      </c>
      <c r="F33" s="11">
        <f t="shared" si="1"/>
        <v>0</v>
      </c>
      <c r="G33" s="26">
        <f t="shared" si="4"/>
        <v>0</v>
      </c>
      <c r="H33" s="11">
        <f t="shared" si="2"/>
        <v>0</v>
      </c>
      <c r="I33" s="26">
        <f t="shared" si="5"/>
        <v>0</v>
      </c>
      <c r="J33" s="55"/>
      <c r="K33" s="56"/>
      <c r="L33" s="58">
        <v>17</v>
      </c>
      <c r="M33" s="26">
        <f>'Default parameters'!D30</f>
        <v>1.6944207999999999E-2</v>
      </c>
      <c r="N33" s="11">
        <f t="shared" si="6"/>
        <v>0</v>
      </c>
      <c r="O33" s="26">
        <f t="shared" si="7"/>
        <v>0</v>
      </c>
      <c r="P33" s="11">
        <f t="shared" si="8"/>
        <v>0</v>
      </c>
      <c r="Q33" s="26">
        <f t="shared" si="9"/>
        <v>0</v>
      </c>
      <c r="R33" s="11">
        <f t="shared" si="10"/>
        <v>0</v>
      </c>
      <c r="S33" s="26">
        <f t="shared" si="11"/>
        <v>0</v>
      </c>
    </row>
    <row r="34" spans="2:19" x14ac:dyDescent="0.2">
      <c r="B34" s="58">
        <v>18</v>
      </c>
      <c r="C34" s="26">
        <f>'Default parameters'!C31</f>
        <v>1.6441000000000001E-2</v>
      </c>
      <c r="D34" s="11">
        <f t="shared" si="0"/>
        <v>0</v>
      </c>
      <c r="E34" s="26">
        <f t="shared" si="3"/>
        <v>0</v>
      </c>
      <c r="F34" s="11">
        <f t="shared" si="1"/>
        <v>0</v>
      </c>
      <c r="G34" s="26">
        <f t="shared" si="4"/>
        <v>0</v>
      </c>
      <c r="H34" s="11">
        <f t="shared" si="2"/>
        <v>0</v>
      </c>
      <c r="I34" s="26">
        <f t="shared" si="5"/>
        <v>0</v>
      </c>
      <c r="J34" s="55"/>
      <c r="K34" s="56"/>
      <c r="L34" s="58">
        <v>18</v>
      </c>
      <c r="M34" s="26">
        <f>'Default parameters'!D31</f>
        <v>1.527805E-2</v>
      </c>
      <c r="N34" s="11">
        <f t="shared" si="6"/>
        <v>0</v>
      </c>
      <c r="O34" s="26">
        <f t="shared" si="7"/>
        <v>0</v>
      </c>
      <c r="P34" s="11">
        <f t="shared" si="8"/>
        <v>0</v>
      </c>
      <c r="Q34" s="26">
        <f t="shared" si="9"/>
        <v>0</v>
      </c>
      <c r="R34" s="11">
        <f t="shared" si="10"/>
        <v>0</v>
      </c>
      <c r="S34" s="26">
        <f t="shared" si="11"/>
        <v>0</v>
      </c>
    </row>
    <row r="35" spans="2:19" x14ac:dyDescent="0.2">
      <c r="B35" s="58">
        <v>19</v>
      </c>
      <c r="C35" s="26">
        <f>'Default parameters'!C32</f>
        <v>1.4954E-2</v>
      </c>
      <c r="D35" s="11">
        <f t="shared" si="0"/>
        <v>0</v>
      </c>
      <c r="E35" s="26">
        <f t="shared" si="3"/>
        <v>0</v>
      </c>
      <c r="F35" s="11">
        <f t="shared" si="1"/>
        <v>0</v>
      </c>
      <c r="G35" s="26">
        <f t="shared" si="4"/>
        <v>0</v>
      </c>
      <c r="H35" s="11">
        <f t="shared" si="2"/>
        <v>0</v>
      </c>
      <c r="I35" s="26">
        <f t="shared" si="5"/>
        <v>0</v>
      </c>
      <c r="J35" s="55"/>
      <c r="K35" s="56"/>
      <c r="L35" s="58">
        <v>19</v>
      </c>
      <c r="M35" s="26">
        <f>'Default parameters'!D32</f>
        <v>1.3775492E-2</v>
      </c>
      <c r="N35" s="11">
        <f t="shared" si="6"/>
        <v>0</v>
      </c>
      <c r="O35" s="26">
        <f t="shared" si="7"/>
        <v>0</v>
      </c>
      <c r="P35" s="11">
        <f t="shared" si="8"/>
        <v>0</v>
      </c>
      <c r="Q35" s="26">
        <f t="shared" si="9"/>
        <v>0</v>
      </c>
      <c r="R35" s="11">
        <f t="shared" si="10"/>
        <v>0</v>
      </c>
      <c r="S35" s="26">
        <f t="shared" si="11"/>
        <v>0</v>
      </c>
    </row>
    <row r="36" spans="2:19" x14ac:dyDescent="0.2">
      <c r="B36" s="58">
        <v>20</v>
      </c>
      <c r="C36" s="26">
        <f>'Default parameters'!C33</f>
        <v>1.3601E-2</v>
      </c>
      <c r="D36" s="11">
        <f t="shared" si="0"/>
        <v>0</v>
      </c>
      <c r="E36" s="26">
        <f t="shared" si="3"/>
        <v>0</v>
      </c>
      <c r="F36" s="11">
        <f t="shared" si="1"/>
        <v>0</v>
      </c>
      <c r="G36" s="26">
        <f t="shared" si="4"/>
        <v>0</v>
      </c>
      <c r="H36" s="11">
        <f t="shared" si="2"/>
        <v>0</v>
      </c>
      <c r="I36" s="26">
        <f t="shared" si="5"/>
        <v>0</v>
      </c>
      <c r="J36" s="55"/>
      <c r="K36" s="56"/>
      <c r="L36" s="58">
        <v>20</v>
      </c>
      <c r="M36" s="26">
        <f>'Default parameters'!D33</f>
        <v>1.2420471000000001E-2</v>
      </c>
      <c r="N36" s="11">
        <f t="shared" si="6"/>
        <v>0</v>
      </c>
      <c r="O36" s="26">
        <f t="shared" si="7"/>
        <v>0</v>
      </c>
      <c r="P36" s="11">
        <f t="shared" si="8"/>
        <v>0</v>
      </c>
      <c r="Q36" s="26">
        <f t="shared" si="9"/>
        <v>0</v>
      </c>
      <c r="R36" s="11">
        <f t="shared" si="10"/>
        <v>0</v>
      </c>
      <c r="S36" s="26">
        <f t="shared" si="11"/>
        <v>0</v>
      </c>
    </row>
    <row r="37" spans="2:19" x14ac:dyDescent="0.2">
      <c r="B37" s="58">
        <v>21</v>
      </c>
      <c r="C37" s="26">
        <f>'Default parameters'!C34</f>
        <v>1.2370000000000001E-2</v>
      </c>
      <c r="D37" s="11">
        <f t="shared" si="0"/>
        <v>0</v>
      </c>
      <c r="E37" s="26">
        <f t="shared" si="3"/>
        <v>0</v>
      </c>
      <c r="F37" s="11">
        <f t="shared" si="1"/>
        <v>0</v>
      </c>
      <c r="G37" s="26">
        <f t="shared" si="4"/>
        <v>0</v>
      </c>
      <c r="H37" s="11">
        <f t="shared" si="2"/>
        <v>0</v>
      </c>
      <c r="I37" s="26">
        <f t="shared" si="5"/>
        <v>0</v>
      </c>
      <c r="J37" s="55"/>
      <c r="K37" s="56"/>
      <c r="L37" s="58">
        <v>21</v>
      </c>
      <c r="M37" s="26">
        <f>'Default parameters'!D34</f>
        <v>1.1198506E-2</v>
      </c>
      <c r="N37" s="11">
        <f t="shared" si="6"/>
        <v>0</v>
      </c>
      <c r="O37" s="26">
        <f t="shared" si="7"/>
        <v>0</v>
      </c>
      <c r="P37" s="11">
        <f t="shared" si="8"/>
        <v>0</v>
      </c>
      <c r="Q37" s="26">
        <f t="shared" si="9"/>
        <v>0</v>
      </c>
      <c r="R37" s="11">
        <f t="shared" si="10"/>
        <v>0</v>
      </c>
      <c r="S37" s="26">
        <f t="shared" si="11"/>
        <v>0</v>
      </c>
    </row>
    <row r="38" spans="2:19" x14ac:dyDescent="0.2">
      <c r="B38" s="58">
        <v>22</v>
      </c>
      <c r="C38" s="26">
        <f>'Default parameters'!C35</f>
        <v>1.1251000000000001E-2</v>
      </c>
      <c r="D38" s="11">
        <f t="shared" si="0"/>
        <v>0</v>
      </c>
      <c r="E38" s="26">
        <f t="shared" si="3"/>
        <v>0</v>
      </c>
      <c r="F38" s="11">
        <f t="shared" si="1"/>
        <v>0</v>
      </c>
      <c r="G38" s="26">
        <f t="shared" si="4"/>
        <v>0</v>
      </c>
      <c r="H38" s="11">
        <f t="shared" si="2"/>
        <v>0</v>
      </c>
      <c r="I38" s="26">
        <f t="shared" si="5"/>
        <v>0</v>
      </c>
      <c r="J38" s="55"/>
      <c r="K38" s="56"/>
      <c r="L38" s="58">
        <v>22</v>
      </c>
      <c r="M38" s="26">
        <f>'Default parameters'!D35</f>
        <v>1.0096536E-2</v>
      </c>
      <c r="N38" s="11">
        <f t="shared" si="6"/>
        <v>0</v>
      </c>
      <c r="O38" s="26">
        <f t="shared" si="7"/>
        <v>0</v>
      </c>
      <c r="P38" s="11">
        <f t="shared" si="8"/>
        <v>0</v>
      </c>
      <c r="Q38" s="26">
        <f t="shared" si="9"/>
        <v>0</v>
      </c>
      <c r="R38" s="11">
        <f t="shared" si="10"/>
        <v>0</v>
      </c>
      <c r="S38" s="26">
        <f t="shared" si="11"/>
        <v>0</v>
      </c>
    </row>
    <row r="39" spans="2:19" x14ac:dyDescent="0.2">
      <c r="B39" s="58">
        <v>23</v>
      </c>
      <c r="C39" s="26">
        <f>'Default parameters'!C36</f>
        <v>1.0232E-2</v>
      </c>
      <c r="D39" s="11">
        <f t="shared" si="0"/>
        <v>0</v>
      </c>
      <c r="E39" s="26">
        <f t="shared" si="3"/>
        <v>0</v>
      </c>
      <c r="F39" s="11">
        <f t="shared" si="1"/>
        <v>0</v>
      </c>
      <c r="G39" s="26">
        <f t="shared" si="4"/>
        <v>0</v>
      </c>
      <c r="H39" s="11">
        <f t="shared" si="2"/>
        <v>0</v>
      </c>
      <c r="I39" s="26">
        <f t="shared" si="5"/>
        <v>0</v>
      </c>
      <c r="J39" s="55"/>
      <c r="K39" s="56"/>
      <c r="L39" s="58">
        <v>23</v>
      </c>
      <c r="M39" s="26">
        <f>'Default parameters'!D36</f>
        <v>9.1027810000000008E-3</v>
      </c>
      <c r="N39" s="11">
        <f t="shared" si="6"/>
        <v>0</v>
      </c>
      <c r="O39" s="26">
        <f t="shared" si="7"/>
        <v>0</v>
      </c>
      <c r="P39" s="11">
        <f t="shared" si="8"/>
        <v>0</v>
      </c>
      <c r="Q39" s="26">
        <f t="shared" si="9"/>
        <v>0</v>
      </c>
      <c r="R39" s="11">
        <f t="shared" si="10"/>
        <v>0</v>
      </c>
      <c r="S39" s="26">
        <f t="shared" si="11"/>
        <v>0</v>
      </c>
    </row>
    <row r="40" spans="2:19" x14ac:dyDescent="0.2">
      <c r="B40" s="58">
        <v>24</v>
      </c>
      <c r="C40" s="26">
        <f>'Default parameters'!C37</f>
        <v>9.3050000000000008E-3</v>
      </c>
      <c r="D40" s="11">
        <f t="shared" si="0"/>
        <v>0</v>
      </c>
      <c r="E40" s="26">
        <f t="shared" si="3"/>
        <v>0</v>
      </c>
      <c r="F40" s="11">
        <f t="shared" si="1"/>
        <v>0</v>
      </c>
      <c r="G40" s="26">
        <f t="shared" si="4"/>
        <v>0</v>
      </c>
      <c r="H40" s="11">
        <f t="shared" si="2"/>
        <v>0</v>
      </c>
      <c r="I40" s="26">
        <f t="shared" si="5"/>
        <v>0</v>
      </c>
      <c r="J40" s="55"/>
      <c r="K40" s="56"/>
      <c r="L40" s="58">
        <v>24</v>
      </c>
      <c r="M40" s="26">
        <f>'Default parameters'!D37</f>
        <v>8.2066220000000002E-3</v>
      </c>
      <c r="N40" s="11">
        <f t="shared" si="6"/>
        <v>0</v>
      </c>
      <c r="O40" s="26">
        <f t="shared" si="7"/>
        <v>0</v>
      </c>
      <c r="P40" s="11">
        <f t="shared" si="8"/>
        <v>0</v>
      </c>
      <c r="Q40" s="26">
        <f t="shared" si="9"/>
        <v>0</v>
      </c>
      <c r="R40" s="11">
        <f t="shared" si="10"/>
        <v>0</v>
      </c>
      <c r="S40" s="26">
        <f t="shared" si="11"/>
        <v>0</v>
      </c>
    </row>
    <row r="41" spans="2:19" x14ac:dyDescent="0.2">
      <c r="B41" s="58">
        <v>25</v>
      </c>
      <c r="C41" s="26">
        <f>'Default parameters'!C38</f>
        <v>8.4620000000000008E-3</v>
      </c>
      <c r="D41" s="11">
        <f t="shared" si="0"/>
        <v>0</v>
      </c>
      <c r="E41" s="26">
        <f t="shared" si="3"/>
        <v>0</v>
      </c>
      <c r="F41" s="11">
        <f t="shared" si="1"/>
        <v>0</v>
      </c>
      <c r="G41" s="26">
        <f t="shared" si="4"/>
        <v>0</v>
      </c>
      <c r="H41" s="11">
        <f t="shared" si="2"/>
        <v>0</v>
      </c>
      <c r="I41" s="26">
        <f t="shared" si="5"/>
        <v>0</v>
      </c>
      <c r="J41" s="55"/>
      <c r="K41" s="56"/>
      <c r="L41" s="58">
        <v>25</v>
      </c>
      <c r="M41" s="26">
        <f>'Default parameters'!D38</f>
        <v>7.3984799999999998E-3</v>
      </c>
      <c r="N41" s="11">
        <f t="shared" si="6"/>
        <v>0</v>
      </c>
      <c r="O41" s="26">
        <f t="shared" si="7"/>
        <v>0</v>
      </c>
      <c r="P41" s="11">
        <f t="shared" si="8"/>
        <v>0</v>
      </c>
      <c r="Q41" s="26">
        <f t="shared" si="9"/>
        <v>0</v>
      </c>
      <c r="R41" s="11">
        <f t="shared" si="10"/>
        <v>0</v>
      </c>
      <c r="S41" s="26">
        <f t="shared" si="11"/>
        <v>0</v>
      </c>
    </row>
    <row r="42" spans="2:19" x14ac:dyDescent="0.2">
      <c r="B42" s="58">
        <v>26</v>
      </c>
      <c r="C42" s="26">
        <f>'Default parameters'!C39</f>
        <v>7.6959999999999997E-3</v>
      </c>
      <c r="D42" s="11">
        <f t="shared" si="0"/>
        <v>0</v>
      </c>
      <c r="E42" s="26">
        <f t="shared" si="3"/>
        <v>0</v>
      </c>
      <c r="F42" s="11">
        <f t="shared" si="1"/>
        <v>0</v>
      </c>
      <c r="G42" s="26">
        <f t="shared" si="4"/>
        <v>0</v>
      </c>
      <c r="H42" s="11">
        <f t="shared" si="2"/>
        <v>0</v>
      </c>
      <c r="I42" s="26">
        <f t="shared" si="5"/>
        <v>0</v>
      </c>
      <c r="J42" s="55"/>
      <c r="K42" s="56"/>
      <c r="L42" s="58">
        <v>26</v>
      </c>
      <c r="M42" s="26">
        <f>'Default parameters'!D39</f>
        <v>6.669716E-3</v>
      </c>
      <c r="N42" s="11">
        <f t="shared" si="6"/>
        <v>0</v>
      </c>
      <c r="O42" s="26">
        <f t="shared" si="7"/>
        <v>0</v>
      </c>
      <c r="P42" s="11">
        <f t="shared" si="8"/>
        <v>0</v>
      </c>
      <c r="Q42" s="26">
        <f t="shared" si="9"/>
        <v>0</v>
      </c>
      <c r="R42" s="11">
        <f t="shared" si="10"/>
        <v>0</v>
      </c>
      <c r="S42" s="26">
        <f t="shared" si="11"/>
        <v>0</v>
      </c>
    </row>
    <row r="43" spans="2:19" x14ac:dyDescent="0.2">
      <c r="B43" s="58">
        <v>27</v>
      </c>
      <c r="C43" s="26">
        <f>'Default parameters'!C40</f>
        <v>6.9979999999999999E-3</v>
      </c>
      <c r="D43" s="11">
        <f t="shared" si="0"/>
        <v>0</v>
      </c>
      <c r="E43" s="26">
        <f t="shared" si="3"/>
        <v>0</v>
      </c>
      <c r="F43" s="11">
        <f t="shared" si="1"/>
        <v>0</v>
      </c>
      <c r="G43" s="26">
        <f t="shared" si="4"/>
        <v>0</v>
      </c>
      <c r="H43" s="11">
        <f t="shared" si="2"/>
        <v>0</v>
      </c>
      <c r="I43" s="26">
        <f t="shared" si="5"/>
        <v>0</v>
      </c>
      <c r="J43" s="55"/>
      <c r="K43" s="56"/>
      <c r="L43" s="58">
        <v>27</v>
      </c>
      <c r="M43" s="26">
        <f>'Default parameters'!D40</f>
        <v>6.0125400000000002E-3</v>
      </c>
      <c r="N43" s="11">
        <f t="shared" si="6"/>
        <v>0</v>
      </c>
      <c r="O43" s="26">
        <f t="shared" si="7"/>
        <v>0</v>
      </c>
      <c r="P43" s="11">
        <f t="shared" si="8"/>
        <v>0</v>
      </c>
      <c r="Q43" s="26">
        <f t="shared" si="9"/>
        <v>0</v>
      </c>
      <c r="R43" s="11">
        <f t="shared" si="10"/>
        <v>0</v>
      </c>
      <c r="S43" s="26">
        <f t="shared" si="11"/>
        <v>0</v>
      </c>
    </row>
    <row r="44" spans="2:19" x14ac:dyDescent="0.2">
      <c r="B44" s="58">
        <v>28</v>
      </c>
      <c r="C44" s="26">
        <f>'Default parameters'!C41</f>
        <v>6.3639999999999999E-3</v>
      </c>
      <c r="D44" s="11">
        <f t="shared" si="0"/>
        <v>0</v>
      </c>
      <c r="E44" s="26">
        <f t="shared" si="3"/>
        <v>0</v>
      </c>
      <c r="F44" s="11">
        <f t="shared" si="1"/>
        <v>0</v>
      </c>
      <c r="G44" s="26">
        <f t="shared" si="4"/>
        <v>0</v>
      </c>
      <c r="H44" s="11">
        <f t="shared" si="2"/>
        <v>0</v>
      </c>
      <c r="I44" s="26">
        <f t="shared" si="5"/>
        <v>0</v>
      </c>
      <c r="J44" s="55"/>
      <c r="K44" s="56"/>
      <c r="L44" s="58">
        <v>28</v>
      </c>
      <c r="M44" s="26">
        <f>'Default parameters'!D41</f>
        <v>5.4199280000000001E-3</v>
      </c>
      <c r="N44" s="11">
        <f t="shared" si="6"/>
        <v>0</v>
      </c>
      <c r="O44" s="26">
        <f t="shared" si="7"/>
        <v>0</v>
      </c>
      <c r="P44" s="11">
        <f t="shared" si="8"/>
        <v>0</v>
      </c>
      <c r="Q44" s="26">
        <f t="shared" si="9"/>
        <v>0</v>
      </c>
      <c r="R44" s="11">
        <f t="shared" si="10"/>
        <v>0</v>
      </c>
      <c r="S44" s="26">
        <f t="shared" si="11"/>
        <v>0</v>
      </c>
    </row>
    <row r="45" spans="2:19" x14ac:dyDescent="0.2">
      <c r="B45" s="58">
        <v>29</v>
      </c>
      <c r="C45" s="26">
        <f>'Default parameters'!C42</f>
        <v>5.7860000000000003E-3</v>
      </c>
      <c r="D45" s="11">
        <f t="shared" si="0"/>
        <v>0</v>
      </c>
      <c r="E45" s="26">
        <f t="shared" si="3"/>
        <v>0</v>
      </c>
      <c r="F45" s="11">
        <f t="shared" si="1"/>
        <v>0</v>
      </c>
      <c r="G45" s="26">
        <f t="shared" si="4"/>
        <v>0</v>
      </c>
      <c r="H45" s="11">
        <f t="shared" si="2"/>
        <v>0</v>
      </c>
      <c r="I45" s="26">
        <f t="shared" si="5"/>
        <v>0</v>
      </c>
      <c r="J45" s="55"/>
      <c r="K45" s="56"/>
      <c r="L45" s="58">
        <v>29</v>
      </c>
      <c r="M45" s="26">
        <f>'Default parameters'!D42</f>
        <v>4.8855440000000003E-3</v>
      </c>
      <c r="N45" s="11">
        <f t="shared" si="6"/>
        <v>0</v>
      </c>
      <c r="O45" s="26">
        <f t="shared" si="7"/>
        <v>0</v>
      </c>
      <c r="P45" s="11">
        <f t="shared" si="8"/>
        <v>0</v>
      </c>
      <c r="Q45" s="26">
        <f t="shared" si="9"/>
        <v>0</v>
      </c>
      <c r="R45" s="11">
        <f t="shared" si="10"/>
        <v>0</v>
      </c>
      <c r="S45" s="26">
        <f t="shared" si="11"/>
        <v>0</v>
      </c>
    </row>
    <row r="46" spans="2:19" x14ac:dyDescent="0.2">
      <c r="B46" s="58">
        <v>30</v>
      </c>
      <c r="C46" s="26">
        <f>'Default parameters'!C43</f>
        <v>5.2610000000000001E-3</v>
      </c>
      <c r="D46" s="11">
        <f t="shared" si="0"/>
        <v>0</v>
      </c>
      <c r="E46" s="26">
        <f t="shared" si="3"/>
        <v>0</v>
      </c>
      <c r="F46" s="11">
        <f t="shared" si="1"/>
        <v>0</v>
      </c>
      <c r="G46" s="26">
        <f t="shared" si="4"/>
        <v>0</v>
      </c>
      <c r="H46" s="11">
        <f t="shared" si="2"/>
        <v>0</v>
      </c>
      <c r="I46" s="26">
        <f t="shared" si="5"/>
        <v>0</v>
      </c>
      <c r="J46" s="55"/>
      <c r="K46" s="56"/>
      <c r="L46" s="58">
        <v>30</v>
      </c>
      <c r="M46" s="26">
        <f>'Default parameters'!D43</f>
        <v>4.4036730000000003E-3</v>
      </c>
      <c r="N46" s="11">
        <f t="shared" si="6"/>
        <v>0</v>
      </c>
      <c r="O46" s="26">
        <f t="shared" si="7"/>
        <v>0</v>
      </c>
      <c r="P46" s="11">
        <f t="shared" si="8"/>
        <v>0</v>
      </c>
      <c r="Q46" s="26">
        <f t="shared" si="9"/>
        <v>0</v>
      </c>
      <c r="R46" s="11">
        <f t="shared" si="10"/>
        <v>0</v>
      </c>
      <c r="S46" s="26">
        <f t="shared" si="11"/>
        <v>0</v>
      </c>
    </row>
    <row r="47" spans="2:19" x14ac:dyDescent="0.2">
      <c r="B47" s="58">
        <v>31</v>
      </c>
      <c r="C47" s="26">
        <f>'Default parameters'!C44</f>
        <v>4.7840000000000001E-3</v>
      </c>
      <c r="D47" s="11">
        <f t="shared" si="0"/>
        <v>0</v>
      </c>
      <c r="E47" s="26">
        <f t="shared" si="3"/>
        <v>0</v>
      </c>
      <c r="F47" s="11">
        <f t="shared" si="1"/>
        <v>0</v>
      </c>
      <c r="G47" s="26">
        <f t="shared" si="4"/>
        <v>0</v>
      </c>
      <c r="H47" s="11">
        <f t="shared" si="2"/>
        <v>0</v>
      </c>
      <c r="I47" s="26">
        <f t="shared" si="5"/>
        <v>0</v>
      </c>
      <c r="J47" s="55"/>
      <c r="K47" s="56"/>
      <c r="L47" s="58">
        <v>31</v>
      </c>
      <c r="M47" s="26">
        <f>'Default parameters'!D44</f>
        <v>3.9691630000000004E-3</v>
      </c>
      <c r="N47" s="11">
        <f t="shared" si="6"/>
        <v>0</v>
      </c>
      <c r="O47" s="26">
        <f t="shared" si="7"/>
        <v>0</v>
      </c>
      <c r="P47" s="11">
        <f t="shared" si="8"/>
        <v>0</v>
      </c>
      <c r="Q47" s="26">
        <f t="shared" si="9"/>
        <v>0</v>
      </c>
      <c r="R47" s="11">
        <f t="shared" si="10"/>
        <v>0</v>
      </c>
      <c r="S47" s="26">
        <f t="shared" si="11"/>
        <v>0</v>
      </c>
    </row>
    <row r="48" spans="2:19" x14ac:dyDescent="0.2">
      <c r="B48" s="58">
        <v>32</v>
      </c>
      <c r="C48" s="26">
        <f>'Default parameters'!C45</f>
        <v>4.3489999999999996E-3</v>
      </c>
      <c r="D48" s="11">
        <f t="shared" ref="D48:D79" si="12">IF(AND(B48&gt;($D$8-1), B48&lt;$D$9),1,0)</f>
        <v>0</v>
      </c>
      <c r="E48" s="26">
        <f t="shared" si="3"/>
        <v>0</v>
      </c>
      <c r="F48" s="11">
        <f t="shared" ref="F48:F79" si="13">IF(AND(B48&gt;($E$8-1), B48&lt;$E$9),1,0)</f>
        <v>0</v>
      </c>
      <c r="G48" s="26">
        <f t="shared" si="4"/>
        <v>0</v>
      </c>
      <c r="H48" s="11">
        <f t="shared" ref="H48:H79" si="14">IF(AND(B48&gt;($F$8-1), B48&lt;$F$9),1,0)</f>
        <v>0</v>
      </c>
      <c r="I48" s="26">
        <f t="shared" si="5"/>
        <v>0</v>
      </c>
      <c r="J48" s="55"/>
      <c r="K48" s="56"/>
      <c r="L48" s="58">
        <v>32</v>
      </c>
      <c r="M48" s="26">
        <f>'Default parameters'!D45</f>
        <v>3.5773670000000001E-3</v>
      </c>
      <c r="N48" s="11">
        <f t="shared" si="6"/>
        <v>0</v>
      </c>
      <c r="O48" s="26">
        <f t="shared" si="7"/>
        <v>0</v>
      </c>
      <c r="P48" s="11">
        <f t="shared" si="8"/>
        <v>0</v>
      </c>
      <c r="Q48" s="26">
        <f t="shared" si="9"/>
        <v>0</v>
      </c>
      <c r="R48" s="11">
        <f t="shared" si="10"/>
        <v>0</v>
      </c>
      <c r="S48" s="26">
        <f t="shared" si="11"/>
        <v>0</v>
      </c>
    </row>
    <row r="49" spans="2:19" x14ac:dyDescent="0.2">
      <c r="B49" s="58">
        <v>33</v>
      </c>
      <c r="C49" s="26">
        <f>'Default parameters'!C46</f>
        <v>3.954E-3</v>
      </c>
      <c r="D49" s="11">
        <f t="shared" si="12"/>
        <v>0</v>
      </c>
      <c r="E49" s="26">
        <f t="shared" si="3"/>
        <v>0</v>
      </c>
      <c r="F49" s="11">
        <f t="shared" si="13"/>
        <v>0</v>
      </c>
      <c r="G49" s="26">
        <f t="shared" si="4"/>
        <v>0</v>
      </c>
      <c r="H49" s="11">
        <f t="shared" si="14"/>
        <v>0</v>
      </c>
      <c r="I49" s="26">
        <f t="shared" si="5"/>
        <v>0</v>
      </c>
      <c r="J49" s="55"/>
      <c r="K49" s="56"/>
      <c r="L49" s="58">
        <v>33</v>
      </c>
      <c r="M49" s="26">
        <f>'Default parameters'!D46</f>
        <v>3.2240910000000001E-3</v>
      </c>
      <c r="N49" s="11">
        <f t="shared" si="6"/>
        <v>0</v>
      </c>
      <c r="O49" s="26">
        <f t="shared" si="7"/>
        <v>0</v>
      </c>
      <c r="P49" s="11">
        <f t="shared" si="8"/>
        <v>0</v>
      </c>
      <c r="Q49" s="26">
        <f t="shared" si="9"/>
        <v>0</v>
      </c>
      <c r="R49" s="11">
        <f t="shared" si="10"/>
        <v>0</v>
      </c>
      <c r="S49" s="26">
        <f t="shared" si="11"/>
        <v>0</v>
      </c>
    </row>
    <row r="50" spans="2:19" x14ac:dyDescent="0.2">
      <c r="B50" s="58">
        <v>34</v>
      </c>
      <c r="C50" s="26">
        <f>'Default parameters'!C47</f>
        <v>3.5950000000000001E-3</v>
      </c>
      <c r="D50" s="11">
        <f t="shared" si="12"/>
        <v>0</v>
      </c>
      <c r="E50" s="26">
        <f t="shared" si="3"/>
        <v>0</v>
      </c>
      <c r="F50" s="11">
        <f t="shared" si="13"/>
        <v>0</v>
      </c>
      <c r="G50" s="26">
        <f t="shared" si="4"/>
        <v>0</v>
      </c>
      <c r="H50" s="11">
        <f t="shared" si="14"/>
        <v>0</v>
      </c>
      <c r="I50" s="26">
        <f t="shared" si="5"/>
        <v>0</v>
      </c>
      <c r="J50" s="55"/>
      <c r="K50" s="56"/>
      <c r="L50" s="58">
        <v>34</v>
      </c>
      <c r="M50" s="26">
        <f>'Default parameters'!D47</f>
        <v>2.9055579999999999E-3</v>
      </c>
      <c r="N50" s="11">
        <f t="shared" si="6"/>
        <v>0</v>
      </c>
      <c r="O50" s="26">
        <f t="shared" si="7"/>
        <v>0</v>
      </c>
      <c r="P50" s="11">
        <f t="shared" si="8"/>
        <v>0</v>
      </c>
      <c r="Q50" s="26">
        <f t="shared" si="9"/>
        <v>0</v>
      </c>
      <c r="R50" s="11">
        <f t="shared" si="10"/>
        <v>0</v>
      </c>
      <c r="S50" s="26">
        <f t="shared" si="11"/>
        <v>0</v>
      </c>
    </row>
    <row r="51" spans="2:19" x14ac:dyDescent="0.2">
      <c r="B51" s="58">
        <v>35</v>
      </c>
      <c r="C51" s="26">
        <f>'Default parameters'!C48</f>
        <v>3.2680000000000001E-3</v>
      </c>
      <c r="D51" s="11">
        <f t="shared" si="12"/>
        <v>0</v>
      </c>
      <c r="E51" s="26">
        <f t="shared" si="3"/>
        <v>0</v>
      </c>
      <c r="F51" s="11">
        <f t="shared" si="13"/>
        <v>0</v>
      </c>
      <c r="G51" s="26">
        <f t="shared" si="4"/>
        <v>0</v>
      </c>
      <c r="H51" s="11">
        <f t="shared" si="14"/>
        <v>0</v>
      </c>
      <c r="I51" s="26">
        <f t="shared" si="5"/>
        <v>0</v>
      </c>
      <c r="J51" s="55"/>
      <c r="K51" s="56"/>
      <c r="L51" s="58">
        <v>35</v>
      </c>
      <c r="M51" s="26">
        <f>'Default parameters'!D48</f>
        <v>2.6183560000000001E-3</v>
      </c>
      <c r="N51" s="11">
        <f t="shared" si="6"/>
        <v>0</v>
      </c>
      <c r="O51" s="26">
        <f t="shared" si="7"/>
        <v>0</v>
      </c>
      <c r="P51" s="11">
        <f t="shared" si="8"/>
        <v>0</v>
      </c>
      <c r="Q51" s="26">
        <f t="shared" si="9"/>
        <v>0</v>
      </c>
      <c r="R51" s="11">
        <f t="shared" si="10"/>
        <v>0</v>
      </c>
      <c r="S51" s="26">
        <f t="shared" si="11"/>
        <v>0</v>
      </c>
    </row>
    <row r="52" spans="2:19" x14ac:dyDescent="0.2">
      <c r="B52" s="58">
        <v>36</v>
      </c>
      <c r="C52" s="26">
        <f>'Default parameters'!C49</f>
        <v>2.97E-3</v>
      </c>
      <c r="D52" s="11">
        <f t="shared" si="12"/>
        <v>0</v>
      </c>
      <c r="E52" s="26">
        <f t="shared" si="3"/>
        <v>0</v>
      </c>
      <c r="F52" s="11">
        <f t="shared" si="13"/>
        <v>0</v>
      </c>
      <c r="G52" s="26">
        <f t="shared" si="4"/>
        <v>0</v>
      </c>
      <c r="H52" s="11">
        <f t="shared" si="14"/>
        <v>0</v>
      </c>
      <c r="I52" s="26">
        <f t="shared" si="5"/>
        <v>0</v>
      </c>
      <c r="J52" s="55"/>
      <c r="K52" s="56"/>
      <c r="L52" s="58">
        <v>36</v>
      </c>
      <c r="M52" s="26">
        <f>'Default parameters'!D49</f>
        <v>2.3594110000000001E-3</v>
      </c>
      <c r="N52" s="11">
        <f t="shared" si="6"/>
        <v>0</v>
      </c>
      <c r="O52" s="26">
        <f t="shared" si="7"/>
        <v>0</v>
      </c>
      <c r="P52" s="11">
        <f t="shared" si="8"/>
        <v>0</v>
      </c>
      <c r="Q52" s="26">
        <f t="shared" si="9"/>
        <v>0</v>
      </c>
      <c r="R52" s="11">
        <f t="shared" si="10"/>
        <v>0</v>
      </c>
      <c r="S52" s="26">
        <f t="shared" si="11"/>
        <v>0</v>
      </c>
    </row>
    <row r="53" spans="2:19" x14ac:dyDescent="0.2">
      <c r="B53" s="58">
        <v>37</v>
      </c>
      <c r="C53" s="26">
        <f>'Default parameters'!C50</f>
        <v>2.7000000000000001E-3</v>
      </c>
      <c r="D53" s="11">
        <f t="shared" si="12"/>
        <v>0</v>
      </c>
      <c r="E53" s="26">
        <f t="shared" si="3"/>
        <v>0</v>
      </c>
      <c r="F53" s="11">
        <f t="shared" si="13"/>
        <v>0</v>
      </c>
      <c r="G53" s="26">
        <f t="shared" si="4"/>
        <v>0</v>
      </c>
      <c r="H53" s="11">
        <f t="shared" si="14"/>
        <v>0</v>
      </c>
      <c r="I53" s="26">
        <f t="shared" si="5"/>
        <v>0</v>
      </c>
      <c r="J53" s="55"/>
      <c r="K53" s="56"/>
      <c r="L53" s="58">
        <v>37</v>
      </c>
      <c r="M53" s="26">
        <f>'Default parameters'!D50</f>
        <v>2.1259500000000001E-3</v>
      </c>
      <c r="N53" s="11">
        <f t="shared" si="6"/>
        <v>0</v>
      </c>
      <c r="O53" s="26">
        <f t="shared" si="7"/>
        <v>0</v>
      </c>
      <c r="P53" s="11">
        <f t="shared" si="8"/>
        <v>0</v>
      </c>
      <c r="Q53" s="26">
        <f t="shared" si="9"/>
        <v>0</v>
      </c>
      <c r="R53" s="11">
        <f t="shared" si="10"/>
        <v>0</v>
      </c>
      <c r="S53" s="26">
        <f t="shared" si="11"/>
        <v>0</v>
      </c>
    </row>
    <row r="54" spans="2:19" x14ac:dyDescent="0.2">
      <c r="B54" s="58">
        <v>38</v>
      </c>
      <c r="C54" s="26">
        <f>'Default parameters'!C51</f>
        <v>2.454E-3</v>
      </c>
      <c r="D54" s="11">
        <f t="shared" si="12"/>
        <v>0</v>
      </c>
      <c r="E54" s="26">
        <f t="shared" si="3"/>
        <v>0</v>
      </c>
      <c r="F54" s="11">
        <f t="shared" si="13"/>
        <v>0</v>
      </c>
      <c r="G54" s="26">
        <f t="shared" si="4"/>
        <v>0</v>
      </c>
      <c r="H54" s="11">
        <f t="shared" si="14"/>
        <v>0</v>
      </c>
      <c r="I54" s="26">
        <f t="shared" si="5"/>
        <v>0</v>
      </c>
      <c r="J54" s="55"/>
      <c r="K54" s="56"/>
      <c r="L54" s="58">
        <v>38</v>
      </c>
      <c r="M54" s="26">
        <f>'Default parameters'!D51</f>
        <v>1.915471E-3</v>
      </c>
      <c r="N54" s="11">
        <f t="shared" si="6"/>
        <v>0</v>
      </c>
      <c r="O54" s="26">
        <f t="shared" si="7"/>
        <v>0</v>
      </c>
      <c r="P54" s="11">
        <f t="shared" si="8"/>
        <v>0</v>
      </c>
      <c r="Q54" s="26">
        <f t="shared" si="9"/>
        <v>0</v>
      </c>
      <c r="R54" s="11">
        <f t="shared" si="10"/>
        <v>0</v>
      </c>
      <c r="S54" s="26">
        <f t="shared" si="11"/>
        <v>0</v>
      </c>
    </row>
    <row r="55" spans="2:19" x14ac:dyDescent="0.2">
      <c r="B55" s="58">
        <v>39</v>
      </c>
      <c r="C55" s="26">
        <f>'Default parameters'!C52</f>
        <v>2.2300000000000002E-3</v>
      </c>
      <c r="D55" s="11">
        <f t="shared" si="12"/>
        <v>0</v>
      </c>
      <c r="E55" s="26">
        <f t="shared" si="3"/>
        <v>0</v>
      </c>
      <c r="F55" s="11">
        <f t="shared" si="13"/>
        <v>0</v>
      </c>
      <c r="G55" s="26">
        <f t="shared" si="4"/>
        <v>0</v>
      </c>
      <c r="H55" s="11">
        <f t="shared" si="14"/>
        <v>0</v>
      </c>
      <c r="I55" s="26">
        <f t="shared" si="5"/>
        <v>0</v>
      </c>
      <c r="J55" s="55"/>
      <c r="K55" s="56"/>
      <c r="L55" s="58">
        <v>39</v>
      </c>
      <c r="M55" s="26">
        <f>'Default parameters'!D52</f>
        <v>1.7257189999999999E-3</v>
      </c>
      <c r="N55" s="11">
        <f t="shared" si="6"/>
        <v>0</v>
      </c>
      <c r="O55" s="26">
        <f t="shared" si="7"/>
        <v>0</v>
      </c>
      <c r="P55" s="11">
        <f t="shared" si="8"/>
        <v>0</v>
      </c>
      <c r="Q55" s="26">
        <f t="shared" si="9"/>
        <v>0</v>
      </c>
      <c r="R55" s="11">
        <f t="shared" si="10"/>
        <v>0</v>
      </c>
      <c r="S55" s="26">
        <f t="shared" si="11"/>
        <v>0</v>
      </c>
    </row>
    <row r="56" spans="2:19" x14ac:dyDescent="0.2">
      <c r="B56" s="58">
        <v>40</v>
      </c>
      <c r="C56" s="26">
        <f>'Default parameters'!C53</f>
        <v>2.0270000000000002E-3</v>
      </c>
      <c r="D56" s="11">
        <f t="shared" si="12"/>
        <v>0</v>
      </c>
      <c r="E56" s="26">
        <f t="shared" si="3"/>
        <v>0</v>
      </c>
      <c r="F56" s="11">
        <f t="shared" si="13"/>
        <v>0</v>
      </c>
      <c r="G56" s="26">
        <f t="shared" si="4"/>
        <v>0</v>
      </c>
      <c r="H56" s="11">
        <f t="shared" si="14"/>
        <v>0</v>
      </c>
      <c r="I56" s="26">
        <f t="shared" si="5"/>
        <v>0</v>
      </c>
      <c r="J56" s="55"/>
      <c r="K56" s="56"/>
      <c r="L56" s="58">
        <v>40</v>
      </c>
      <c r="M56" s="26">
        <f>'Default parameters'!D53</f>
        <v>1.554658E-3</v>
      </c>
      <c r="N56" s="11">
        <f t="shared" si="6"/>
        <v>0</v>
      </c>
      <c r="O56" s="26">
        <f t="shared" si="7"/>
        <v>0</v>
      </c>
      <c r="P56" s="11">
        <f t="shared" si="8"/>
        <v>0</v>
      </c>
      <c r="Q56" s="26">
        <f t="shared" si="9"/>
        <v>0</v>
      </c>
      <c r="R56" s="11">
        <f t="shared" si="10"/>
        <v>0</v>
      </c>
      <c r="S56" s="26">
        <f t="shared" si="11"/>
        <v>0</v>
      </c>
    </row>
    <row r="57" spans="2:19" x14ac:dyDescent="0.2">
      <c r="B57" s="58">
        <v>41</v>
      </c>
      <c r="C57" s="26">
        <f>'Default parameters'!C54</f>
        <v>1.8420000000000001E-3</v>
      </c>
      <c r="D57" s="11">
        <f t="shared" si="12"/>
        <v>0</v>
      </c>
      <c r="E57" s="26">
        <f t="shared" si="3"/>
        <v>0</v>
      </c>
      <c r="F57" s="11">
        <f t="shared" si="13"/>
        <v>0</v>
      </c>
      <c r="G57" s="26">
        <f t="shared" si="4"/>
        <v>0</v>
      </c>
      <c r="H57" s="11">
        <f t="shared" si="14"/>
        <v>0</v>
      </c>
      <c r="I57" s="26">
        <f t="shared" si="5"/>
        <v>0</v>
      </c>
      <c r="J57" s="55"/>
      <c r="K57" s="56"/>
      <c r="L57" s="58">
        <v>41</v>
      </c>
      <c r="M57" s="26">
        <f>'Default parameters'!D54</f>
        <v>1.400454E-3</v>
      </c>
      <c r="N57" s="11">
        <f t="shared" si="6"/>
        <v>0</v>
      </c>
      <c r="O57" s="26">
        <f t="shared" si="7"/>
        <v>0</v>
      </c>
      <c r="P57" s="11">
        <f t="shared" si="8"/>
        <v>0</v>
      </c>
      <c r="Q57" s="26">
        <f t="shared" si="9"/>
        <v>0</v>
      </c>
      <c r="R57" s="11">
        <f t="shared" si="10"/>
        <v>0</v>
      </c>
      <c r="S57" s="26">
        <f t="shared" si="11"/>
        <v>0</v>
      </c>
    </row>
    <row r="58" spans="2:19" x14ac:dyDescent="0.2">
      <c r="B58" s="58">
        <v>42</v>
      </c>
      <c r="C58" s="26">
        <f>'Default parameters'!C55</f>
        <v>1.6739999999999999E-3</v>
      </c>
      <c r="D58" s="11">
        <f t="shared" si="12"/>
        <v>0</v>
      </c>
      <c r="E58" s="26">
        <f t="shared" si="3"/>
        <v>0</v>
      </c>
      <c r="F58" s="11">
        <f t="shared" si="13"/>
        <v>0</v>
      </c>
      <c r="G58" s="26">
        <f t="shared" si="4"/>
        <v>0</v>
      </c>
      <c r="H58" s="11">
        <f t="shared" si="14"/>
        <v>0</v>
      </c>
      <c r="I58" s="26">
        <f t="shared" si="5"/>
        <v>0</v>
      </c>
      <c r="J58" s="55"/>
      <c r="K58" s="56"/>
      <c r="L58" s="58">
        <v>42</v>
      </c>
      <c r="M58" s="26">
        <f>'Default parameters'!D55</f>
        <v>1.261451E-3</v>
      </c>
      <c r="N58" s="11">
        <f t="shared" si="6"/>
        <v>0</v>
      </c>
      <c r="O58" s="26">
        <f t="shared" si="7"/>
        <v>0</v>
      </c>
      <c r="P58" s="11">
        <f t="shared" si="8"/>
        <v>0</v>
      </c>
      <c r="Q58" s="26">
        <f t="shared" si="9"/>
        <v>0</v>
      </c>
      <c r="R58" s="11">
        <f t="shared" si="10"/>
        <v>0</v>
      </c>
      <c r="S58" s="26">
        <f t="shared" si="11"/>
        <v>0</v>
      </c>
    </row>
    <row r="59" spans="2:19" x14ac:dyDescent="0.2">
      <c r="B59" s="58">
        <v>43</v>
      </c>
      <c r="C59" s="26">
        <f>'Default parameters'!C56</f>
        <v>1.521E-3</v>
      </c>
      <c r="D59" s="11">
        <f t="shared" si="12"/>
        <v>0</v>
      </c>
      <c r="E59" s="26">
        <f t="shared" si="3"/>
        <v>0</v>
      </c>
      <c r="F59" s="11">
        <f t="shared" si="13"/>
        <v>0</v>
      </c>
      <c r="G59" s="26">
        <f t="shared" si="4"/>
        <v>0</v>
      </c>
      <c r="H59" s="11">
        <f t="shared" si="14"/>
        <v>0</v>
      </c>
      <c r="I59" s="26">
        <f t="shared" si="5"/>
        <v>0</v>
      </c>
      <c r="J59" s="55"/>
      <c r="K59" s="56"/>
      <c r="L59" s="58">
        <v>43</v>
      </c>
      <c r="M59" s="26">
        <f>'Default parameters'!D56</f>
        <v>1.1361559999999999E-3</v>
      </c>
      <c r="N59" s="11">
        <f t="shared" si="6"/>
        <v>0</v>
      </c>
      <c r="O59" s="26">
        <f t="shared" si="7"/>
        <v>0</v>
      </c>
      <c r="P59" s="11">
        <f t="shared" si="8"/>
        <v>0</v>
      </c>
      <c r="Q59" s="26">
        <f t="shared" si="9"/>
        <v>0</v>
      </c>
      <c r="R59" s="11">
        <f t="shared" si="10"/>
        <v>0</v>
      </c>
      <c r="S59" s="26">
        <f t="shared" si="11"/>
        <v>0</v>
      </c>
    </row>
    <row r="60" spans="2:19" x14ac:dyDescent="0.2">
      <c r="B60" s="58">
        <v>44</v>
      </c>
      <c r="C60" s="26">
        <f>'Default parameters'!C57</f>
        <v>1.382E-3</v>
      </c>
      <c r="D60" s="11">
        <f t="shared" si="12"/>
        <v>0</v>
      </c>
      <c r="E60" s="26">
        <f t="shared" si="3"/>
        <v>0</v>
      </c>
      <c r="F60" s="11">
        <f t="shared" si="13"/>
        <v>0</v>
      </c>
      <c r="G60" s="26">
        <f t="shared" si="4"/>
        <v>0</v>
      </c>
      <c r="H60" s="11">
        <f t="shared" si="14"/>
        <v>0</v>
      </c>
      <c r="I60" s="26">
        <f t="shared" si="5"/>
        <v>0</v>
      </c>
      <c r="J60" s="55"/>
      <c r="K60" s="56"/>
      <c r="L60" s="58">
        <v>44</v>
      </c>
      <c r="M60" s="26">
        <f>'Default parameters'!D57</f>
        <v>1.0232220000000001E-3</v>
      </c>
      <c r="N60" s="11">
        <f t="shared" si="6"/>
        <v>0</v>
      </c>
      <c r="O60" s="26">
        <f t="shared" si="7"/>
        <v>0</v>
      </c>
      <c r="P60" s="11">
        <f t="shared" si="8"/>
        <v>0</v>
      </c>
      <c r="Q60" s="26">
        <f t="shared" si="9"/>
        <v>0</v>
      </c>
      <c r="R60" s="11">
        <f t="shared" si="10"/>
        <v>0</v>
      </c>
      <c r="S60" s="26">
        <f t="shared" si="11"/>
        <v>0</v>
      </c>
    </row>
    <row r="61" spans="2:19" x14ac:dyDescent="0.2">
      <c r="B61" s="58">
        <v>45</v>
      </c>
      <c r="C61" s="26">
        <f>'Default parameters'!C58</f>
        <v>1.255E-3</v>
      </c>
      <c r="D61" s="11">
        <f t="shared" si="12"/>
        <v>0</v>
      </c>
      <c r="E61" s="26">
        <f t="shared" si="3"/>
        <v>0</v>
      </c>
      <c r="F61" s="11">
        <f t="shared" si="13"/>
        <v>0</v>
      </c>
      <c r="G61" s="26">
        <f t="shared" si="4"/>
        <v>0</v>
      </c>
      <c r="H61" s="11">
        <f t="shared" si="14"/>
        <v>0</v>
      </c>
      <c r="I61" s="26">
        <f t="shared" si="5"/>
        <v>0</v>
      </c>
      <c r="J61" s="55"/>
      <c r="K61" s="56"/>
      <c r="L61" s="58">
        <v>45</v>
      </c>
      <c r="M61" s="26">
        <f>'Default parameters'!D58</f>
        <v>9.2143599999999998E-4</v>
      </c>
      <c r="N61" s="11">
        <f t="shared" si="6"/>
        <v>0</v>
      </c>
      <c r="O61" s="26">
        <f t="shared" si="7"/>
        <v>0</v>
      </c>
      <c r="P61" s="11">
        <f t="shared" si="8"/>
        <v>0</v>
      </c>
      <c r="Q61" s="26">
        <f t="shared" si="9"/>
        <v>0</v>
      </c>
      <c r="R61" s="11">
        <f t="shared" si="10"/>
        <v>0</v>
      </c>
      <c r="S61" s="26">
        <f t="shared" si="11"/>
        <v>0</v>
      </c>
    </row>
    <row r="62" spans="2:19" x14ac:dyDescent="0.2">
      <c r="B62" s="58">
        <v>46</v>
      </c>
      <c r="C62" s="26">
        <f>'Default parameters'!C59</f>
        <v>1.14E-3</v>
      </c>
      <c r="D62" s="11">
        <f t="shared" si="12"/>
        <v>0</v>
      </c>
      <c r="E62" s="26">
        <f t="shared" si="3"/>
        <v>0</v>
      </c>
      <c r="F62" s="11">
        <f t="shared" si="13"/>
        <v>0</v>
      </c>
      <c r="G62" s="26">
        <f t="shared" si="4"/>
        <v>0</v>
      </c>
      <c r="H62" s="11">
        <f t="shared" si="14"/>
        <v>0</v>
      </c>
      <c r="I62" s="26">
        <f t="shared" si="5"/>
        <v>0</v>
      </c>
      <c r="J62" s="55"/>
      <c r="K62" s="56"/>
      <c r="L62" s="58">
        <v>46</v>
      </c>
      <c r="M62" s="26">
        <f>'Default parameters'!D59</f>
        <v>8.2970099999999996E-4</v>
      </c>
      <c r="N62" s="11">
        <f t="shared" si="6"/>
        <v>0</v>
      </c>
      <c r="O62" s="26">
        <f t="shared" si="7"/>
        <v>0</v>
      </c>
      <c r="P62" s="11">
        <f t="shared" si="8"/>
        <v>0</v>
      </c>
      <c r="Q62" s="26">
        <f t="shared" si="9"/>
        <v>0</v>
      </c>
      <c r="R62" s="11">
        <f t="shared" si="10"/>
        <v>0</v>
      </c>
      <c r="S62" s="26">
        <f t="shared" si="11"/>
        <v>0</v>
      </c>
    </row>
    <row r="63" spans="2:19" x14ac:dyDescent="0.2">
      <c r="B63" s="58">
        <v>47</v>
      </c>
      <c r="C63" s="26">
        <f>'Default parameters'!C60</f>
        <v>1.036E-3</v>
      </c>
      <c r="D63" s="11">
        <f t="shared" si="12"/>
        <v>0</v>
      </c>
      <c r="E63" s="26">
        <f t="shared" si="3"/>
        <v>0</v>
      </c>
      <c r="F63" s="11">
        <f t="shared" si="13"/>
        <v>0</v>
      </c>
      <c r="G63" s="26">
        <f t="shared" si="4"/>
        <v>0</v>
      </c>
      <c r="H63" s="11">
        <f t="shared" si="14"/>
        <v>0</v>
      </c>
      <c r="I63" s="26">
        <f t="shared" si="5"/>
        <v>0</v>
      </c>
      <c r="J63" s="55"/>
      <c r="K63" s="56"/>
      <c r="L63" s="58">
        <v>47</v>
      </c>
      <c r="M63" s="26">
        <f>'Default parameters'!D60</f>
        <v>7.4702899999999997E-4</v>
      </c>
      <c r="N63" s="11">
        <f t="shared" si="6"/>
        <v>0</v>
      </c>
      <c r="O63" s="26">
        <f t="shared" si="7"/>
        <v>0</v>
      </c>
      <c r="P63" s="11">
        <f t="shared" si="8"/>
        <v>0</v>
      </c>
      <c r="Q63" s="26">
        <f t="shared" si="9"/>
        <v>0</v>
      </c>
      <c r="R63" s="11">
        <f t="shared" si="10"/>
        <v>0</v>
      </c>
      <c r="S63" s="26">
        <f t="shared" si="11"/>
        <v>0</v>
      </c>
    </row>
    <row r="64" spans="2:19" x14ac:dyDescent="0.2">
      <c r="B64" s="58">
        <v>48</v>
      </c>
      <c r="C64" s="26">
        <f>'Default parameters'!C61</f>
        <v>9.3999999999999997E-4</v>
      </c>
      <c r="D64" s="11">
        <f t="shared" si="12"/>
        <v>0</v>
      </c>
      <c r="E64" s="26">
        <f t="shared" si="3"/>
        <v>0</v>
      </c>
      <c r="F64" s="11">
        <f t="shared" si="13"/>
        <v>0</v>
      </c>
      <c r="G64" s="26">
        <f t="shared" si="4"/>
        <v>0</v>
      </c>
      <c r="H64" s="11">
        <f t="shared" si="14"/>
        <v>0</v>
      </c>
      <c r="I64" s="26">
        <f t="shared" si="5"/>
        <v>0</v>
      </c>
      <c r="J64" s="55"/>
      <c r="K64" s="56"/>
      <c r="L64" s="58">
        <v>48</v>
      </c>
      <c r="M64" s="26">
        <f>'Default parameters'!D61</f>
        <v>6.7253099999999998E-4</v>
      </c>
      <c r="N64" s="11">
        <f t="shared" si="6"/>
        <v>0</v>
      </c>
      <c r="O64" s="26">
        <f t="shared" si="7"/>
        <v>0</v>
      </c>
      <c r="P64" s="11">
        <f t="shared" si="8"/>
        <v>0</v>
      </c>
      <c r="Q64" s="26">
        <f t="shared" si="9"/>
        <v>0</v>
      </c>
      <c r="R64" s="11">
        <f t="shared" si="10"/>
        <v>0</v>
      </c>
      <c r="S64" s="26">
        <f t="shared" si="11"/>
        <v>0</v>
      </c>
    </row>
    <row r="65" spans="2:19" x14ac:dyDescent="0.2">
      <c r="B65" s="58">
        <v>49</v>
      </c>
      <c r="C65" s="26">
        <f>'Default parameters'!C62</f>
        <v>8.5400000000000005E-4</v>
      </c>
      <c r="D65" s="11">
        <f t="shared" si="12"/>
        <v>0</v>
      </c>
      <c r="E65" s="26">
        <f t="shared" si="3"/>
        <v>0</v>
      </c>
      <c r="F65" s="11">
        <f t="shared" si="13"/>
        <v>0</v>
      </c>
      <c r="G65" s="26">
        <f t="shared" si="4"/>
        <v>0</v>
      </c>
      <c r="H65" s="11">
        <f t="shared" si="14"/>
        <v>0</v>
      </c>
      <c r="I65" s="26">
        <f t="shared" si="5"/>
        <v>0</v>
      </c>
      <c r="J65" s="55"/>
      <c r="K65" s="56"/>
      <c r="L65" s="58">
        <v>49</v>
      </c>
      <c r="M65" s="26">
        <f>'Default parameters'!D62</f>
        <v>6.0540099999999999E-4</v>
      </c>
      <c r="N65" s="11">
        <f t="shared" si="6"/>
        <v>0</v>
      </c>
      <c r="O65" s="26">
        <f t="shared" si="7"/>
        <v>0</v>
      </c>
      <c r="P65" s="11">
        <f t="shared" si="8"/>
        <v>0</v>
      </c>
      <c r="Q65" s="26">
        <f t="shared" si="9"/>
        <v>0</v>
      </c>
      <c r="R65" s="11">
        <f t="shared" si="10"/>
        <v>0</v>
      </c>
      <c r="S65" s="26">
        <f t="shared" si="11"/>
        <v>0</v>
      </c>
    </row>
    <row r="66" spans="2:19" x14ac:dyDescent="0.2">
      <c r="B66" s="58">
        <v>50</v>
      </c>
      <c r="C66" s="26">
        <f>'Default parameters'!C63</f>
        <v>7.76E-4</v>
      </c>
      <c r="D66" s="11">
        <f t="shared" si="12"/>
        <v>0</v>
      </c>
      <c r="E66" s="26">
        <f t="shared" si="3"/>
        <v>0</v>
      </c>
      <c r="F66" s="11">
        <f t="shared" si="13"/>
        <v>0</v>
      </c>
      <c r="G66" s="26">
        <f t="shared" si="4"/>
        <v>0</v>
      </c>
      <c r="H66" s="11">
        <f t="shared" si="14"/>
        <v>0</v>
      </c>
      <c r="I66" s="26">
        <f t="shared" si="5"/>
        <v>0</v>
      </c>
      <c r="J66" s="55"/>
      <c r="K66" s="56"/>
      <c r="L66" s="58">
        <v>50</v>
      </c>
      <c r="M66" s="26">
        <f>'Default parameters'!D63</f>
        <v>5.4491499999999998E-4</v>
      </c>
      <c r="N66" s="11">
        <f t="shared" si="6"/>
        <v>0</v>
      </c>
      <c r="O66" s="26">
        <f t="shared" si="7"/>
        <v>0</v>
      </c>
      <c r="P66" s="11">
        <f t="shared" si="8"/>
        <v>0</v>
      </c>
      <c r="Q66" s="26">
        <f t="shared" si="9"/>
        <v>0</v>
      </c>
      <c r="R66" s="11">
        <f t="shared" si="10"/>
        <v>0</v>
      </c>
      <c r="S66" s="26">
        <f t="shared" si="11"/>
        <v>0</v>
      </c>
    </row>
    <row r="67" spans="2:19" x14ac:dyDescent="0.2">
      <c r="B67" s="58">
        <v>51</v>
      </c>
      <c r="C67" s="26">
        <f>'Default parameters'!C64</f>
        <v>7.0399999999999998E-4</v>
      </c>
      <c r="D67" s="11">
        <f t="shared" si="12"/>
        <v>0</v>
      </c>
      <c r="E67" s="26">
        <f t="shared" si="3"/>
        <v>0</v>
      </c>
      <c r="F67" s="11">
        <f t="shared" si="13"/>
        <v>0</v>
      </c>
      <c r="G67" s="26">
        <f t="shared" si="4"/>
        <v>0</v>
      </c>
      <c r="H67" s="11">
        <f t="shared" si="14"/>
        <v>0</v>
      </c>
      <c r="I67" s="26">
        <f t="shared" si="5"/>
        <v>0</v>
      </c>
      <c r="J67" s="55"/>
      <c r="K67" s="56"/>
      <c r="L67" s="58">
        <v>51</v>
      </c>
      <c r="M67" s="26">
        <f>'Default parameters'!D64</f>
        <v>4.9041899999999997E-4</v>
      </c>
      <c r="N67" s="11">
        <f t="shared" si="6"/>
        <v>0</v>
      </c>
      <c r="O67" s="26">
        <f t="shared" si="7"/>
        <v>0</v>
      </c>
      <c r="P67" s="11">
        <f t="shared" si="8"/>
        <v>0</v>
      </c>
      <c r="Q67" s="26">
        <f t="shared" si="9"/>
        <v>0</v>
      </c>
      <c r="R67" s="11">
        <f t="shared" si="10"/>
        <v>0</v>
      </c>
      <c r="S67" s="26">
        <f t="shared" si="11"/>
        <v>0</v>
      </c>
    </row>
    <row r="68" spans="2:19" x14ac:dyDescent="0.2">
      <c r="B68" s="58">
        <v>52</v>
      </c>
      <c r="C68" s="26">
        <f>'Default parameters'!C65</f>
        <v>6.3900000000000003E-4</v>
      </c>
      <c r="D68" s="11">
        <f t="shared" si="12"/>
        <v>0</v>
      </c>
      <c r="E68" s="26">
        <f t="shared" si="3"/>
        <v>0</v>
      </c>
      <c r="F68" s="11">
        <f t="shared" si="13"/>
        <v>0</v>
      </c>
      <c r="G68" s="26">
        <f t="shared" si="4"/>
        <v>0</v>
      </c>
      <c r="H68" s="11">
        <f t="shared" si="14"/>
        <v>0</v>
      </c>
      <c r="I68" s="26">
        <f t="shared" si="5"/>
        <v>0</v>
      </c>
      <c r="J68" s="55"/>
      <c r="K68" s="56"/>
      <c r="L68" s="58">
        <v>52</v>
      </c>
      <c r="M68" s="26">
        <f>'Default parameters'!D65</f>
        <v>4.4132299999999998E-4</v>
      </c>
      <c r="N68" s="11">
        <f t="shared" si="6"/>
        <v>0</v>
      </c>
      <c r="O68" s="26">
        <f t="shared" si="7"/>
        <v>0</v>
      </c>
      <c r="P68" s="11">
        <f t="shared" si="8"/>
        <v>0</v>
      </c>
      <c r="Q68" s="26">
        <f t="shared" si="9"/>
        <v>0</v>
      </c>
      <c r="R68" s="11">
        <f t="shared" si="10"/>
        <v>0</v>
      </c>
      <c r="S68" s="26">
        <f t="shared" si="11"/>
        <v>0</v>
      </c>
    </row>
    <row r="69" spans="2:19" x14ac:dyDescent="0.2">
      <c r="B69" s="58">
        <v>53</v>
      </c>
      <c r="C69" s="26">
        <f>'Default parameters'!C66</f>
        <v>5.8E-4</v>
      </c>
      <c r="D69" s="11">
        <f t="shared" si="12"/>
        <v>0</v>
      </c>
      <c r="E69" s="26">
        <f t="shared" si="3"/>
        <v>0</v>
      </c>
      <c r="F69" s="11">
        <f t="shared" si="13"/>
        <v>0</v>
      </c>
      <c r="G69" s="26">
        <f t="shared" si="4"/>
        <v>0</v>
      </c>
      <c r="H69" s="11">
        <f t="shared" si="14"/>
        <v>0</v>
      </c>
      <c r="I69" s="26">
        <f t="shared" si="5"/>
        <v>0</v>
      </c>
      <c r="J69" s="55"/>
      <c r="K69" s="56"/>
      <c r="L69" s="58">
        <v>53</v>
      </c>
      <c r="M69" s="26">
        <f>'Default parameters'!D66</f>
        <v>3.9709599999999999E-4</v>
      </c>
      <c r="N69" s="11">
        <f t="shared" si="6"/>
        <v>0</v>
      </c>
      <c r="O69" s="26">
        <f t="shared" si="7"/>
        <v>0</v>
      </c>
      <c r="P69" s="11">
        <f t="shared" si="8"/>
        <v>0</v>
      </c>
      <c r="Q69" s="26">
        <f t="shared" si="9"/>
        <v>0</v>
      </c>
      <c r="R69" s="11">
        <f t="shared" si="10"/>
        <v>0</v>
      </c>
      <c r="S69" s="26">
        <f t="shared" si="11"/>
        <v>0</v>
      </c>
    </row>
    <row r="70" spans="2:19" x14ac:dyDescent="0.2">
      <c r="B70" s="58">
        <v>54</v>
      </c>
      <c r="C70" s="26">
        <f>'Default parameters'!C67</f>
        <v>5.2700000000000002E-4</v>
      </c>
      <c r="D70" s="11">
        <f t="shared" si="12"/>
        <v>0</v>
      </c>
      <c r="E70" s="26">
        <f t="shared" si="3"/>
        <v>0</v>
      </c>
      <c r="F70" s="11">
        <f t="shared" si="13"/>
        <v>0</v>
      </c>
      <c r="G70" s="26">
        <f t="shared" si="4"/>
        <v>0</v>
      </c>
      <c r="H70" s="11">
        <f t="shared" si="14"/>
        <v>0</v>
      </c>
      <c r="I70" s="26">
        <f t="shared" si="5"/>
        <v>0</v>
      </c>
      <c r="J70" s="55"/>
      <c r="K70" s="56"/>
      <c r="L70" s="58">
        <v>54</v>
      </c>
      <c r="M70" s="26">
        <f>'Default parameters'!D67</f>
        <v>3.57258E-4</v>
      </c>
      <c r="N70" s="11">
        <f t="shared" si="6"/>
        <v>0</v>
      </c>
      <c r="O70" s="26">
        <f t="shared" si="7"/>
        <v>0</v>
      </c>
      <c r="P70" s="11">
        <f t="shared" si="8"/>
        <v>0</v>
      </c>
      <c r="Q70" s="26">
        <f t="shared" si="9"/>
        <v>0</v>
      </c>
      <c r="R70" s="11">
        <f t="shared" si="10"/>
        <v>0</v>
      </c>
      <c r="S70" s="26">
        <f t="shared" si="11"/>
        <v>0</v>
      </c>
    </row>
    <row r="71" spans="2:19" x14ac:dyDescent="0.2">
      <c r="B71" s="58">
        <v>55</v>
      </c>
      <c r="C71" s="26">
        <f>'Default parameters'!C68</f>
        <v>4.7800000000000002E-4</v>
      </c>
      <c r="D71" s="11">
        <f t="shared" si="12"/>
        <v>0</v>
      </c>
      <c r="E71" s="26">
        <f t="shared" si="3"/>
        <v>0</v>
      </c>
      <c r="F71" s="11">
        <f t="shared" si="13"/>
        <v>0</v>
      </c>
      <c r="G71" s="26">
        <f t="shared" si="4"/>
        <v>0</v>
      </c>
      <c r="H71" s="11">
        <f t="shared" si="14"/>
        <v>0</v>
      </c>
      <c r="I71" s="26">
        <f t="shared" si="5"/>
        <v>0</v>
      </c>
      <c r="J71" s="55"/>
      <c r="K71" s="56"/>
      <c r="L71" s="58">
        <v>55</v>
      </c>
      <c r="M71" s="26">
        <f>'Default parameters'!D68</f>
        <v>3.2137700000000002E-4</v>
      </c>
      <c r="N71" s="11">
        <f t="shared" si="6"/>
        <v>0</v>
      </c>
      <c r="O71" s="26">
        <f t="shared" si="7"/>
        <v>0</v>
      </c>
      <c r="P71" s="11">
        <f t="shared" si="8"/>
        <v>0</v>
      </c>
      <c r="Q71" s="26">
        <f t="shared" si="9"/>
        <v>0</v>
      </c>
      <c r="R71" s="11">
        <f t="shared" si="10"/>
        <v>0</v>
      </c>
      <c r="S71" s="26">
        <f t="shared" si="11"/>
        <v>0</v>
      </c>
    </row>
    <row r="72" spans="2:19" x14ac:dyDescent="0.2">
      <c r="B72" s="58">
        <v>56</v>
      </c>
      <c r="C72" s="26">
        <f>'Default parameters'!C69</f>
        <v>4.3399999999999998E-4</v>
      </c>
      <c r="D72" s="11">
        <f t="shared" si="12"/>
        <v>0</v>
      </c>
      <c r="E72" s="26">
        <f t="shared" si="3"/>
        <v>0</v>
      </c>
      <c r="F72" s="11">
        <f t="shared" si="13"/>
        <v>0</v>
      </c>
      <c r="G72" s="26">
        <f t="shared" si="4"/>
        <v>0</v>
      </c>
      <c r="H72" s="11">
        <f t="shared" si="14"/>
        <v>0</v>
      </c>
      <c r="I72" s="26">
        <f t="shared" si="5"/>
        <v>0</v>
      </c>
      <c r="J72" s="55"/>
      <c r="K72" s="56"/>
      <c r="L72" s="58">
        <v>56</v>
      </c>
      <c r="M72" s="26">
        <f>'Default parameters'!D69</f>
        <v>2.8906199999999998E-4</v>
      </c>
      <c r="N72" s="11">
        <f t="shared" si="6"/>
        <v>0</v>
      </c>
      <c r="O72" s="26">
        <f t="shared" si="7"/>
        <v>0</v>
      </c>
      <c r="P72" s="11">
        <f t="shared" si="8"/>
        <v>0</v>
      </c>
      <c r="Q72" s="26">
        <f t="shared" si="9"/>
        <v>0</v>
      </c>
      <c r="R72" s="11">
        <f t="shared" si="10"/>
        <v>0</v>
      </c>
      <c r="S72" s="26">
        <f t="shared" si="11"/>
        <v>0</v>
      </c>
    </row>
    <row r="73" spans="2:19" x14ac:dyDescent="0.2">
      <c r="B73" s="58">
        <v>57</v>
      </c>
      <c r="C73" s="26">
        <f>'Default parameters'!C70</f>
        <v>3.9399999999999998E-4</v>
      </c>
      <c r="D73" s="11">
        <f t="shared" si="12"/>
        <v>0</v>
      </c>
      <c r="E73" s="26">
        <f t="shared" si="3"/>
        <v>0</v>
      </c>
      <c r="F73" s="11">
        <f t="shared" si="13"/>
        <v>0</v>
      </c>
      <c r="G73" s="26">
        <f t="shared" si="4"/>
        <v>0</v>
      </c>
      <c r="H73" s="11">
        <f t="shared" si="14"/>
        <v>0</v>
      </c>
      <c r="I73" s="26">
        <f t="shared" si="5"/>
        <v>0</v>
      </c>
      <c r="J73" s="55"/>
      <c r="K73" s="56"/>
      <c r="L73" s="58">
        <v>57</v>
      </c>
      <c r="M73" s="26">
        <f>'Default parameters'!D70</f>
        <v>2.5996100000000001E-4</v>
      </c>
      <c r="N73" s="11">
        <f t="shared" si="6"/>
        <v>0</v>
      </c>
      <c r="O73" s="26">
        <f t="shared" si="7"/>
        <v>0</v>
      </c>
      <c r="P73" s="11">
        <f t="shared" si="8"/>
        <v>0</v>
      </c>
      <c r="Q73" s="26">
        <f t="shared" si="9"/>
        <v>0</v>
      </c>
      <c r="R73" s="11">
        <f t="shared" si="10"/>
        <v>0</v>
      </c>
      <c r="S73" s="26">
        <f t="shared" si="11"/>
        <v>0</v>
      </c>
    </row>
    <row r="74" spans="2:19" x14ac:dyDescent="0.2">
      <c r="B74" s="58">
        <v>58</v>
      </c>
      <c r="C74" s="26">
        <f>'Default parameters'!C71</f>
        <v>3.57E-4</v>
      </c>
      <c r="D74" s="11">
        <f t="shared" si="12"/>
        <v>0</v>
      </c>
      <c r="E74" s="26">
        <f t="shared" si="3"/>
        <v>0</v>
      </c>
      <c r="F74" s="11">
        <f t="shared" si="13"/>
        <v>0</v>
      </c>
      <c r="G74" s="26">
        <f t="shared" si="4"/>
        <v>0</v>
      </c>
      <c r="H74" s="11">
        <f t="shared" si="14"/>
        <v>0</v>
      </c>
      <c r="I74" s="26">
        <f t="shared" si="5"/>
        <v>0</v>
      </c>
      <c r="J74" s="55"/>
      <c r="K74" s="56"/>
      <c r="L74" s="58">
        <v>58</v>
      </c>
      <c r="M74" s="26">
        <f>'Default parameters'!D71</f>
        <v>2.3375800000000001E-4</v>
      </c>
      <c r="N74" s="11">
        <f t="shared" si="6"/>
        <v>0</v>
      </c>
      <c r="O74" s="26">
        <f t="shared" si="7"/>
        <v>0</v>
      </c>
      <c r="P74" s="11">
        <f t="shared" si="8"/>
        <v>0</v>
      </c>
      <c r="Q74" s="26">
        <f t="shared" si="9"/>
        <v>0</v>
      </c>
      <c r="R74" s="11">
        <f t="shared" si="10"/>
        <v>0</v>
      </c>
      <c r="S74" s="26">
        <f t="shared" si="11"/>
        <v>0</v>
      </c>
    </row>
    <row r="75" spans="2:19" x14ac:dyDescent="0.2">
      <c r="B75" s="58">
        <v>59</v>
      </c>
      <c r="C75" s="26">
        <f>'Default parameters'!C72</f>
        <v>3.2400000000000001E-4</v>
      </c>
      <c r="D75" s="11">
        <f t="shared" si="12"/>
        <v>0</v>
      </c>
      <c r="E75" s="26">
        <f t="shared" si="3"/>
        <v>0</v>
      </c>
      <c r="F75" s="11">
        <f t="shared" si="13"/>
        <v>0</v>
      </c>
      <c r="G75" s="26">
        <f t="shared" si="4"/>
        <v>0</v>
      </c>
      <c r="H75" s="11">
        <f t="shared" si="14"/>
        <v>0</v>
      </c>
      <c r="I75" s="26">
        <f t="shared" si="5"/>
        <v>0</v>
      </c>
      <c r="J75" s="55"/>
      <c r="K75" s="56"/>
      <c r="L75" s="58">
        <v>59</v>
      </c>
      <c r="M75" s="26">
        <f>'Default parameters'!D72</f>
        <v>2.10165E-4</v>
      </c>
      <c r="N75" s="11">
        <f t="shared" si="6"/>
        <v>0</v>
      </c>
      <c r="O75" s="26">
        <f t="shared" si="7"/>
        <v>0</v>
      </c>
      <c r="P75" s="11">
        <f t="shared" si="8"/>
        <v>0</v>
      </c>
      <c r="Q75" s="26">
        <f t="shared" si="9"/>
        <v>0</v>
      </c>
      <c r="R75" s="11">
        <f t="shared" si="10"/>
        <v>0</v>
      </c>
      <c r="S75" s="26">
        <f t="shared" si="11"/>
        <v>0</v>
      </c>
    </row>
    <row r="76" spans="2:19" x14ac:dyDescent="0.2">
      <c r="B76" s="58">
        <v>60</v>
      </c>
      <c r="C76" s="26">
        <f>'Default parameters'!C73</f>
        <v>2.9399999999999999E-4</v>
      </c>
      <c r="D76" s="11">
        <f t="shared" si="12"/>
        <v>0</v>
      </c>
      <c r="E76" s="26">
        <f t="shared" si="3"/>
        <v>0</v>
      </c>
      <c r="F76" s="11">
        <f t="shared" si="13"/>
        <v>0</v>
      </c>
      <c r="G76" s="26">
        <f t="shared" si="4"/>
        <v>0</v>
      </c>
      <c r="H76" s="11">
        <f t="shared" si="14"/>
        <v>0</v>
      </c>
      <c r="I76" s="26">
        <f t="shared" si="5"/>
        <v>0</v>
      </c>
      <c r="J76" s="55"/>
      <c r="K76" s="56"/>
      <c r="L76" s="58">
        <v>60</v>
      </c>
      <c r="M76" s="26">
        <f>'Default parameters'!D73</f>
        <v>1.8892599999999999E-4</v>
      </c>
      <c r="N76" s="11">
        <f t="shared" si="6"/>
        <v>0</v>
      </c>
      <c r="O76" s="26">
        <f t="shared" si="7"/>
        <v>0</v>
      </c>
      <c r="P76" s="11">
        <f t="shared" si="8"/>
        <v>0</v>
      </c>
      <c r="Q76" s="26">
        <f t="shared" si="9"/>
        <v>0</v>
      </c>
      <c r="R76" s="11">
        <f t="shared" si="10"/>
        <v>0</v>
      </c>
      <c r="S76" s="26">
        <f t="shared" si="11"/>
        <v>0</v>
      </c>
    </row>
    <row r="77" spans="2:19" x14ac:dyDescent="0.2">
      <c r="B77" s="58">
        <v>61</v>
      </c>
      <c r="C77" s="26">
        <f>'Default parameters'!C74</f>
        <v>2.6600000000000001E-4</v>
      </c>
      <c r="D77" s="11">
        <f t="shared" si="12"/>
        <v>0</v>
      </c>
      <c r="E77" s="26">
        <f t="shared" si="3"/>
        <v>0</v>
      </c>
      <c r="F77" s="11">
        <f t="shared" si="13"/>
        <v>0</v>
      </c>
      <c r="G77" s="26">
        <f t="shared" si="4"/>
        <v>0</v>
      </c>
      <c r="H77" s="11">
        <f t="shared" si="14"/>
        <v>0</v>
      </c>
      <c r="I77" s="26">
        <f t="shared" si="5"/>
        <v>0</v>
      </c>
      <c r="J77" s="55"/>
      <c r="K77" s="56"/>
      <c r="L77" s="58">
        <v>61</v>
      </c>
      <c r="M77" s="26">
        <f>'Default parameters'!D74</f>
        <v>1.6980700000000001E-4</v>
      </c>
      <c r="N77" s="11">
        <f t="shared" si="6"/>
        <v>0</v>
      </c>
      <c r="O77" s="26">
        <f t="shared" si="7"/>
        <v>0</v>
      </c>
      <c r="P77" s="11">
        <f t="shared" si="8"/>
        <v>0</v>
      </c>
      <c r="Q77" s="26">
        <f t="shared" si="9"/>
        <v>0</v>
      </c>
      <c r="R77" s="11">
        <f t="shared" si="10"/>
        <v>0</v>
      </c>
      <c r="S77" s="26">
        <f t="shared" si="11"/>
        <v>0</v>
      </c>
    </row>
    <row r="78" spans="2:19" x14ac:dyDescent="0.2">
      <c r="B78" s="58">
        <v>62</v>
      </c>
      <c r="C78" s="26">
        <f>'Default parameters'!C75</f>
        <v>2.41E-4</v>
      </c>
      <c r="D78" s="11">
        <f t="shared" si="12"/>
        <v>0</v>
      </c>
      <c r="E78" s="26">
        <f t="shared" si="3"/>
        <v>0</v>
      </c>
      <c r="F78" s="11">
        <f t="shared" si="13"/>
        <v>0</v>
      </c>
      <c r="G78" s="26">
        <f t="shared" si="4"/>
        <v>0</v>
      </c>
      <c r="H78" s="11">
        <f t="shared" si="14"/>
        <v>0</v>
      </c>
      <c r="I78" s="26">
        <f t="shared" si="5"/>
        <v>0</v>
      </c>
      <c r="J78" s="55"/>
      <c r="K78" s="56"/>
      <c r="L78" s="58">
        <v>62</v>
      </c>
      <c r="M78" s="26">
        <f>'Default parameters'!D75</f>
        <v>1.5259900000000001E-4</v>
      </c>
      <c r="N78" s="11">
        <f t="shared" si="6"/>
        <v>0</v>
      </c>
      <c r="O78" s="26">
        <f t="shared" si="7"/>
        <v>0</v>
      </c>
      <c r="P78" s="11">
        <f t="shared" si="8"/>
        <v>0</v>
      </c>
      <c r="Q78" s="26">
        <f t="shared" si="9"/>
        <v>0</v>
      </c>
      <c r="R78" s="11">
        <f t="shared" si="10"/>
        <v>0</v>
      </c>
      <c r="S78" s="26">
        <f t="shared" si="11"/>
        <v>0</v>
      </c>
    </row>
    <row r="79" spans="2:19" x14ac:dyDescent="0.2">
      <c r="B79" s="58">
        <v>63</v>
      </c>
      <c r="C79" s="26">
        <f>'Default parameters'!C76</f>
        <v>2.1900000000000001E-4</v>
      </c>
      <c r="D79" s="11">
        <f t="shared" si="12"/>
        <v>0</v>
      </c>
      <c r="E79" s="26">
        <f t="shared" si="3"/>
        <v>0</v>
      </c>
      <c r="F79" s="11">
        <f t="shared" si="13"/>
        <v>0</v>
      </c>
      <c r="G79" s="26">
        <f t="shared" si="4"/>
        <v>0</v>
      </c>
      <c r="H79" s="11">
        <f t="shared" si="14"/>
        <v>0</v>
      </c>
      <c r="I79" s="26">
        <f t="shared" si="5"/>
        <v>0</v>
      </c>
      <c r="J79" s="55"/>
      <c r="K79" s="56"/>
      <c r="L79" s="58">
        <v>63</v>
      </c>
      <c r="M79" s="26">
        <f>'Default parameters'!D76</f>
        <v>1.3711300000000001E-4</v>
      </c>
      <c r="N79" s="11">
        <f t="shared" si="6"/>
        <v>0</v>
      </c>
      <c r="O79" s="26">
        <f t="shared" si="7"/>
        <v>0</v>
      </c>
      <c r="P79" s="11">
        <f t="shared" si="8"/>
        <v>0</v>
      </c>
      <c r="Q79" s="26">
        <f t="shared" si="9"/>
        <v>0</v>
      </c>
      <c r="R79" s="11">
        <f t="shared" si="10"/>
        <v>0</v>
      </c>
      <c r="S79" s="26">
        <f t="shared" si="11"/>
        <v>0</v>
      </c>
    </row>
    <row r="80" spans="2:19" x14ac:dyDescent="0.2">
      <c r="B80" s="58">
        <v>64</v>
      </c>
      <c r="C80" s="26">
        <f>'Default parameters'!C77</f>
        <v>1.9799999999999999E-4</v>
      </c>
      <c r="D80" s="11">
        <f t="shared" ref="D80:D111" si="15">IF(AND(B80&gt;($D$8-1), B80&lt;$D$9),1,0)</f>
        <v>0</v>
      </c>
      <c r="E80" s="26">
        <f t="shared" si="3"/>
        <v>0</v>
      </c>
      <c r="F80" s="11">
        <f t="shared" ref="F80:F111" si="16">IF(AND(B80&gt;($E$8-1), B80&lt;$E$9),1,0)</f>
        <v>0</v>
      </c>
      <c r="G80" s="26">
        <f t="shared" si="4"/>
        <v>0</v>
      </c>
      <c r="H80" s="11">
        <f t="shared" ref="H80:H111" si="17">IF(AND(B80&gt;($F$8-1), B80&lt;$F$9),1,0)</f>
        <v>0</v>
      </c>
      <c r="I80" s="26">
        <f t="shared" si="5"/>
        <v>0</v>
      </c>
      <c r="J80" s="55"/>
      <c r="K80" s="56"/>
      <c r="L80" s="58">
        <v>64</v>
      </c>
      <c r="M80" s="26">
        <f>'Default parameters'!D77</f>
        <v>1.23177E-4</v>
      </c>
      <c r="N80" s="11">
        <f t="shared" si="6"/>
        <v>0</v>
      </c>
      <c r="O80" s="26">
        <f t="shared" si="7"/>
        <v>0</v>
      </c>
      <c r="P80" s="11">
        <f t="shared" si="8"/>
        <v>0</v>
      </c>
      <c r="Q80" s="26">
        <f t="shared" si="9"/>
        <v>0</v>
      </c>
      <c r="R80" s="11">
        <f t="shared" si="10"/>
        <v>0</v>
      </c>
      <c r="S80" s="26">
        <f t="shared" si="11"/>
        <v>0</v>
      </c>
    </row>
    <row r="81" spans="2:19" x14ac:dyDescent="0.2">
      <c r="B81" s="58">
        <v>65</v>
      </c>
      <c r="C81" s="26">
        <f>'Default parameters'!C78</f>
        <v>1.8000000000000001E-4</v>
      </c>
      <c r="D81" s="11">
        <f t="shared" si="15"/>
        <v>0</v>
      </c>
      <c r="E81" s="26">
        <f t="shared" ref="E81:E144" si="18">D81*C81</f>
        <v>0</v>
      </c>
      <c r="F81" s="11">
        <f t="shared" si="16"/>
        <v>0</v>
      </c>
      <c r="G81" s="26">
        <f t="shared" ref="G81:G144" si="19">F81*C81</f>
        <v>0</v>
      </c>
      <c r="H81" s="11">
        <f t="shared" si="17"/>
        <v>0</v>
      </c>
      <c r="I81" s="26">
        <f t="shared" ref="I81:I144" si="20">H81*C81</f>
        <v>0</v>
      </c>
      <c r="J81" s="55"/>
      <c r="K81" s="56"/>
      <c r="L81" s="58">
        <v>65</v>
      </c>
      <c r="M81" s="26">
        <f>'Default parameters'!D78</f>
        <v>1.10639E-4</v>
      </c>
      <c r="N81" s="11">
        <f t="shared" ref="N81:N144" si="21">IF(AND(L81&gt;($N$8-1), L81&lt;$N$9),1,0)</f>
        <v>0</v>
      </c>
      <c r="O81" s="26">
        <f t="shared" ref="O81:O144" si="22">N81*M81</f>
        <v>0</v>
      </c>
      <c r="P81" s="11">
        <f t="shared" ref="P81:P144" si="23">IF(AND(L81&gt;($O$8-1), L81&lt;$O$9),1,0)</f>
        <v>0</v>
      </c>
      <c r="Q81" s="26">
        <f t="shared" ref="Q81:Q144" si="24">P81*M81</f>
        <v>0</v>
      </c>
      <c r="R81" s="11">
        <f t="shared" ref="R81:R144" si="25">IF(AND(L81&gt;($P$8-1), L81&lt;$P$9),1,0)</f>
        <v>0</v>
      </c>
      <c r="S81" s="26">
        <f t="shared" ref="S81:S144" si="26">R81*M81</f>
        <v>0</v>
      </c>
    </row>
    <row r="82" spans="2:19" x14ac:dyDescent="0.2">
      <c r="B82" s="58">
        <v>66</v>
      </c>
      <c r="C82" s="26">
        <f>'Default parameters'!C79</f>
        <v>1.63E-4</v>
      </c>
      <c r="D82" s="11">
        <f t="shared" si="15"/>
        <v>0</v>
      </c>
      <c r="E82" s="26">
        <f t="shared" si="18"/>
        <v>0</v>
      </c>
      <c r="F82" s="11">
        <f t="shared" si="16"/>
        <v>0</v>
      </c>
      <c r="G82" s="26">
        <f t="shared" si="19"/>
        <v>0</v>
      </c>
      <c r="H82" s="11">
        <f t="shared" si="17"/>
        <v>0</v>
      </c>
      <c r="I82" s="26">
        <f t="shared" si="20"/>
        <v>0</v>
      </c>
      <c r="J82" s="55"/>
      <c r="K82" s="56"/>
      <c r="L82" s="58">
        <v>66</v>
      </c>
      <c r="M82" s="26">
        <f>'Default parameters'!D79</f>
        <v>9.9400000000000004E-5</v>
      </c>
      <c r="N82" s="11">
        <f t="shared" si="21"/>
        <v>0</v>
      </c>
      <c r="O82" s="26">
        <f t="shared" si="22"/>
        <v>0</v>
      </c>
      <c r="P82" s="11">
        <f t="shared" si="23"/>
        <v>0</v>
      </c>
      <c r="Q82" s="26">
        <f t="shared" si="24"/>
        <v>0</v>
      </c>
      <c r="R82" s="11">
        <f t="shared" si="25"/>
        <v>0</v>
      </c>
      <c r="S82" s="26">
        <f t="shared" si="26"/>
        <v>0</v>
      </c>
    </row>
    <row r="83" spans="2:19" x14ac:dyDescent="0.2">
      <c r="B83" s="58">
        <v>67</v>
      </c>
      <c r="C83" s="26">
        <f>'Default parameters'!C80</f>
        <v>1.4799999999999999E-4</v>
      </c>
      <c r="D83" s="11">
        <f t="shared" si="15"/>
        <v>0</v>
      </c>
      <c r="E83" s="26">
        <f t="shared" si="18"/>
        <v>0</v>
      </c>
      <c r="F83" s="11">
        <f t="shared" si="16"/>
        <v>0</v>
      </c>
      <c r="G83" s="26">
        <f t="shared" si="19"/>
        <v>0</v>
      </c>
      <c r="H83" s="11">
        <f t="shared" si="17"/>
        <v>0</v>
      </c>
      <c r="I83" s="26">
        <f t="shared" si="20"/>
        <v>0</v>
      </c>
      <c r="J83" s="55"/>
      <c r="K83" s="56"/>
      <c r="L83" s="58">
        <v>67</v>
      </c>
      <c r="M83" s="26">
        <f>'Default parameters'!D80</f>
        <v>8.92E-5</v>
      </c>
      <c r="N83" s="11">
        <f t="shared" si="21"/>
        <v>0</v>
      </c>
      <c r="O83" s="26">
        <f t="shared" si="22"/>
        <v>0</v>
      </c>
      <c r="P83" s="11">
        <f t="shared" si="23"/>
        <v>0</v>
      </c>
      <c r="Q83" s="26">
        <f t="shared" si="24"/>
        <v>0</v>
      </c>
      <c r="R83" s="11">
        <f t="shared" si="25"/>
        <v>0</v>
      </c>
      <c r="S83" s="26">
        <f t="shared" si="26"/>
        <v>0</v>
      </c>
    </row>
    <row r="84" spans="2:19" x14ac:dyDescent="0.2">
      <c r="B84" s="58">
        <v>68</v>
      </c>
      <c r="C84" s="26">
        <f>'Default parameters'!C81</f>
        <v>1.34E-4</v>
      </c>
      <c r="D84" s="11">
        <f t="shared" si="15"/>
        <v>0</v>
      </c>
      <c r="E84" s="26">
        <f t="shared" si="18"/>
        <v>0</v>
      </c>
      <c r="F84" s="11">
        <f t="shared" si="16"/>
        <v>0</v>
      </c>
      <c r="G84" s="26">
        <f t="shared" si="19"/>
        <v>0</v>
      </c>
      <c r="H84" s="11">
        <f t="shared" si="17"/>
        <v>0</v>
      </c>
      <c r="I84" s="26">
        <f t="shared" si="20"/>
        <v>0</v>
      </c>
      <c r="J84" s="55"/>
      <c r="K84" s="56"/>
      <c r="L84" s="58">
        <v>68</v>
      </c>
      <c r="M84" s="26">
        <f>'Default parameters'!D81</f>
        <v>8.0099999999999995E-5</v>
      </c>
      <c r="N84" s="11">
        <f t="shared" si="21"/>
        <v>0</v>
      </c>
      <c r="O84" s="26">
        <f t="shared" si="22"/>
        <v>0</v>
      </c>
      <c r="P84" s="11">
        <f t="shared" si="23"/>
        <v>0</v>
      </c>
      <c r="Q84" s="26">
        <f t="shared" si="24"/>
        <v>0</v>
      </c>
      <c r="R84" s="11">
        <f t="shared" si="25"/>
        <v>0</v>
      </c>
      <c r="S84" s="26">
        <f t="shared" si="26"/>
        <v>0</v>
      </c>
    </row>
    <row r="85" spans="2:19" x14ac:dyDescent="0.2">
      <c r="B85" s="58">
        <v>69</v>
      </c>
      <c r="C85" s="26">
        <f>'Default parameters'!C82</f>
        <v>1.21E-4</v>
      </c>
      <c r="D85" s="11">
        <f t="shared" si="15"/>
        <v>0</v>
      </c>
      <c r="E85" s="26">
        <f t="shared" si="18"/>
        <v>0</v>
      </c>
      <c r="F85" s="11">
        <f t="shared" si="16"/>
        <v>0</v>
      </c>
      <c r="G85" s="26">
        <f t="shared" si="19"/>
        <v>0</v>
      </c>
      <c r="H85" s="11">
        <f t="shared" si="17"/>
        <v>0</v>
      </c>
      <c r="I85" s="26">
        <f t="shared" si="20"/>
        <v>0</v>
      </c>
      <c r="J85" s="55"/>
      <c r="K85" s="56"/>
      <c r="L85" s="58">
        <v>69</v>
      </c>
      <c r="M85" s="26">
        <f>'Default parameters'!D82</f>
        <v>7.1899999999999999E-5</v>
      </c>
      <c r="N85" s="11">
        <f t="shared" si="21"/>
        <v>0</v>
      </c>
      <c r="O85" s="26">
        <f t="shared" si="22"/>
        <v>0</v>
      </c>
      <c r="P85" s="11">
        <f t="shared" si="23"/>
        <v>0</v>
      </c>
      <c r="Q85" s="26">
        <f t="shared" si="24"/>
        <v>0</v>
      </c>
      <c r="R85" s="11">
        <f t="shared" si="25"/>
        <v>0</v>
      </c>
      <c r="S85" s="26">
        <f t="shared" si="26"/>
        <v>0</v>
      </c>
    </row>
    <row r="86" spans="2:19" x14ac:dyDescent="0.2">
      <c r="B86" s="58">
        <v>70</v>
      </c>
      <c r="C86" s="26">
        <f>'Default parameters'!C83</f>
        <v>1.1E-4</v>
      </c>
      <c r="D86" s="11">
        <f t="shared" si="15"/>
        <v>0</v>
      </c>
      <c r="E86" s="26">
        <f t="shared" si="18"/>
        <v>0</v>
      </c>
      <c r="F86" s="11">
        <f t="shared" si="16"/>
        <v>0</v>
      </c>
      <c r="G86" s="26">
        <f t="shared" si="19"/>
        <v>0</v>
      </c>
      <c r="H86" s="11">
        <f t="shared" si="17"/>
        <v>0</v>
      </c>
      <c r="I86" s="26">
        <f t="shared" si="20"/>
        <v>0</v>
      </c>
      <c r="J86" s="55"/>
      <c r="K86" s="56"/>
      <c r="L86" s="58">
        <v>70</v>
      </c>
      <c r="M86" s="26">
        <f>'Default parameters'!D83</f>
        <v>6.4499999999999996E-5</v>
      </c>
      <c r="N86" s="11">
        <f t="shared" si="21"/>
        <v>0</v>
      </c>
      <c r="O86" s="26">
        <f t="shared" si="22"/>
        <v>0</v>
      </c>
      <c r="P86" s="11">
        <f t="shared" si="23"/>
        <v>0</v>
      </c>
      <c r="Q86" s="26">
        <f t="shared" si="24"/>
        <v>0</v>
      </c>
      <c r="R86" s="11">
        <f t="shared" si="25"/>
        <v>0</v>
      </c>
      <c r="S86" s="26">
        <f t="shared" si="26"/>
        <v>0</v>
      </c>
    </row>
    <row r="87" spans="2:19" x14ac:dyDescent="0.2">
      <c r="B87" s="58">
        <v>71</v>
      </c>
      <c r="C87" s="26">
        <f>'Default parameters'!C84</f>
        <v>9.9300000000000001E-5</v>
      </c>
      <c r="D87" s="11">
        <f t="shared" si="15"/>
        <v>0</v>
      </c>
      <c r="E87" s="26">
        <f t="shared" si="18"/>
        <v>0</v>
      </c>
      <c r="F87" s="11">
        <f t="shared" si="16"/>
        <v>0</v>
      </c>
      <c r="G87" s="26">
        <f t="shared" si="19"/>
        <v>0</v>
      </c>
      <c r="H87" s="11">
        <f t="shared" si="17"/>
        <v>0</v>
      </c>
      <c r="I87" s="26">
        <f t="shared" si="20"/>
        <v>0</v>
      </c>
      <c r="J87" s="55"/>
      <c r="K87" s="56"/>
      <c r="L87" s="58">
        <v>71</v>
      </c>
      <c r="M87" s="26">
        <f>'Default parameters'!D84</f>
        <v>5.7899999999999998E-5</v>
      </c>
      <c r="N87" s="11">
        <f t="shared" si="21"/>
        <v>0</v>
      </c>
      <c r="O87" s="26">
        <f t="shared" si="22"/>
        <v>0</v>
      </c>
      <c r="P87" s="11">
        <f t="shared" si="23"/>
        <v>0</v>
      </c>
      <c r="Q87" s="26">
        <f t="shared" si="24"/>
        <v>0</v>
      </c>
      <c r="R87" s="11">
        <f t="shared" si="25"/>
        <v>0</v>
      </c>
      <c r="S87" s="26">
        <f t="shared" si="26"/>
        <v>0</v>
      </c>
    </row>
    <row r="88" spans="2:19" x14ac:dyDescent="0.2">
      <c r="B88" s="58">
        <v>72</v>
      </c>
      <c r="C88" s="26">
        <f>'Default parameters'!C85</f>
        <v>8.9800000000000001E-5</v>
      </c>
      <c r="D88" s="11">
        <f t="shared" si="15"/>
        <v>0</v>
      </c>
      <c r="E88" s="26">
        <f t="shared" si="18"/>
        <v>0</v>
      </c>
      <c r="F88" s="11">
        <f t="shared" si="16"/>
        <v>0</v>
      </c>
      <c r="G88" s="26">
        <f t="shared" si="19"/>
        <v>0</v>
      </c>
      <c r="H88" s="11">
        <f t="shared" si="17"/>
        <v>0</v>
      </c>
      <c r="I88" s="26">
        <f t="shared" si="20"/>
        <v>0</v>
      </c>
      <c r="J88" s="55"/>
      <c r="K88" s="56"/>
      <c r="L88" s="58">
        <v>72</v>
      </c>
      <c r="M88" s="26">
        <f>'Default parameters'!D85</f>
        <v>5.1900000000000001E-5</v>
      </c>
      <c r="N88" s="11">
        <f t="shared" si="21"/>
        <v>0</v>
      </c>
      <c r="O88" s="26">
        <f t="shared" si="22"/>
        <v>0</v>
      </c>
      <c r="P88" s="11">
        <f t="shared" si="23"/>
        <v>0</v>
      </c>
      <c r="Q88" s="26">
        <f t="shared" si="24"/>
        <v>0</v>
      </c>
      <c r="R88" s="11">
        <f t="shared" si="25"/>
        <v>0</v>
      </c>
      <c r="S88" s="26">
        <f t="shared" si="26"/>
        <v>0</v>
      </c>
    </row>
    <row r="89" spans="2:19" x14ac:dyDescent="0.2">
      <c r="B89" s="58">
        <v>73</v>
      </c>
      <c r="C89" s="26">
        <f>'Default parameters'!C86</f>
        <v>8.1299999999999997E-5</v>
      </c>
      <c r="D89" s="11">
        <f t="shared" si="15"/>
        <v>0</v>
      </c>
      <c r="E89" s="26">
        <f t="shared" si="18"/>
        <v>0</v>
      </c>
      <c r="F89" s="11">
        <f t="shared" si="16"/>
        <v>0</v>
      </c>
      <c r="G89" s="26">
        <f t="shared" si="19"/>
        <v>0</v>
      </c>
      <c r="H89" s="11">
        <f t="shared" si="17"/>
        <v>0</v>
      </c>
      <c r="I89" s="26">
        <f t="shared" si="20"/>
        <v>0</v>
      </c>
      <c r="J89" s="55"/>
      <c r="K89" s="56"/>
      <c r="L89" s="58">
        <v>73</v>
      </c>
      <c r="M89" s="26">
        <f>'Default parameters'!D86</f>
        <v>4.6600000000000001E-5</v>
      </c>
      <c r="N89" s="11">
        <f t="shared" si="21"/>
        <v>0</v>
      </c>
      <c r="O89" s="26">
        <f t="shared" si="22"/>
        <v>0</v>
      </c>
      <c r="P89" s="11">
        <f t="shared" si="23"/>
        <v>0</v>
      </c>
      <c r="Q89" s="26">
        <f t="shared" si="24"/>
        <v>0</v>
      </c>
      <c r="R89" s="11">
        <f t="shared" si="25"/>
        <v>0</v>
      </c>
      <c r="S89" s="26">
        <f t="shared" si="26"/>
        <v>0</v>
      </c>
    </row>
    <row r="90" spans="2:19" x14ac:dyDescent="0.2">
      <c r="B90" s="58">
        <v>74</v>
      </c>
      <c r="C90" s="26">
        <f>'Default parameters'!C87</f>
        <v>7.36E-5</v>
      </c>
      <c r="D90" s="11">
        <f t="shared" si="15"/>
        <v>0</v>
      </c>
      <c r="E90" s="26">
        <f t="shared" si="18"/>
        <v>0</v>
      </c>
      <c r="F90" s="11">
        <f t="shared" si="16"/>
        <v>0</v>
      </c>
      <c r="G90" s="26">
        <f t="shared" si="19"/>
        <v>0</v>
      </c>
      <c r="H90" s="11">
        <f t="shared" si="17"/>
        <v>0</v>
      </c>
      <c r="I90" s="26">
        <f t="shared" si="20"/>
        <v>0</v>
      </c>
      <c r="J90" s="55"/>
      <c r="K90" s="56"/>
      <c r="L90" s="58">
        <v>74</v>
      </c>
      <c r="M90" s="26">
        <f>'Default parameters'!D87</f>
        <v>4.1699999999999997E-5</v>
      </c>
      <c r="N90" s="11">
        <f t="shared" si="21"/>
        <v>0</v>
      </c>
      <c r="O90" s="26">
        <f t="shared" si="22"/>
        <v>0</v>
      </c>
      <c r="P90" s="11">
        <f t="shared" si="23"/>
        <v>0</v>
      </c>
      <c r="Q90" s="26">
        <f t="shared" si="24"/>
        <v>0</v>
      </c>
      <c r="R90" s="11">
        <f t="shared" si="25"/>
        <v>0</v>
      </c>
      <c r="S90" s="26">
        <f t="shared" si="26"/>
        <v>0</v>
      </c>
    </row>
    <row r="91" spans="2:19" x14ac:dyDescent="0.2">
      <c r="B91" s="58">
        <v>75</v>
      </c>
      <c r="C91" s="26">
        <f>'Default parameters'!C88</f>
        <v>6.6500000000000004E-5</v>
      </c>
      <c r="D91" s="11">
        <f t="shared" si="15"/>
        <v>0</v>
      </c>
      <c r="E91" s="26">
        <f t="shared" si="18"/>
        <v>0</v>
      </c>
      <c r="F91" s="11">
        <f t="shared" si="16"/>
        <v>0</v>
      </c>
      <c r="G91" s="26">
        <f t="shared" si="19"/>
        <v>0</v>
      </c>
      <c r="H91" s="11">
        <f t="shared" si="17"/>
        <v>0</v>
      </c>
      <c r="I91" s="26">
        <f t="shared" si="20"/>
        <v>0</v>
      </c>
      <c r="J91" s="55"/>
      <c r="K91" s="56"/>
      <c r="L91" s="58">
        <v>75</v>
      </c>
      <c r="M91" s="26">
        <f>'Default parameters'!D88</f>
        <v>3.7400000000000001E-5</v>
      </c>
      <c r="N91" s="11">
        <f t="shared" si="21"/>
        <v>0</v>
      </c>
      <c r="O91" s="26">
        <f t="shared" si="22"/>
        <v>0</v>
      </c>
      <c r="P91" s="11">
        <f t="shared" si="23"/>
        <v>0</v>
      </c>
      <c r="Q91" s="26">
        <f t="shared" si="24"/>
        <v>0</v>
      </c>
      <c r="R91" s="11">
        <f t="shared" si="25"/>
        <v>0</v>
      </c>
      <c r="S91" s="26">
        <f t="shared" si="26"/>
        <v>0</v>
      </c>
    </row>
    <row r="92" spans="2:19" x14ac:dyDescent="0.2">
      <c r="B92" s="58">
        <v>76</v>
      </c>
      <c r="C92" s="26">
        <f>'Default parameters'!C89</f>
        <v>6.02E-5</v>
      </c>
      <c r="D92" s="11">
        <f t="shared" si="15"/>
        <v>0</v>
      </c>
      <c r="E92" s="26">
        <f t="shared" si="18"/>
        <v>0</v>
      </c>
      <c r="F92" s="11">
        <f t="shared" si="16"/>
        <v>0</v>
      </c>
      <c r="G92" s="26">
        <f t="shared" si="19"/>
        <v>0</v>
      </c>
      <c r="H92" s="11">
        <f t="shared" si="17"/>
        <v>0</v>
      </c>
      <c r="I92" s="26">
        <f t="shared" si="20"/>
        <v>0</v>
      </c>
      <c r="J92" s="55"/>
      <c r="K92" s="56"/>
      <c r="L92" s="58">
        <v>76</v>
      </c>
      <c r="M92" s="26">
        <f>'Default parameters'!D89</f>
        <v>3.3500000000000001E-5</v>
      </c>
      <c r="N92" s="11">
        <f t="shared" si="21"/>
        <v>0</v>
      </c>
      <c r="O92" s="26">
        <f t="shared" si="22"/>
        <v>0</v>
      </c>
      <c r="P92" s="11">
        <f t="shared" si="23"/>
        <v>0</v>
      </c>
      <c r="Q92" s="26">
        <f t="shared" si="24"/>
        <v>0</v>
      </c>
      <c r="R92" s="11">
        <f t="shared" si="25"/>
        <v>0</v>
      </c>
      <c r="S92" s="26">
        <f t="shared" si="26"/>
        <v>0</v>
      </c>
    </row>
    <row r="93" spans="2:19" x14ac:dyDescent="0.2">
      <c r="B93" s="58">
        <v>77</v>
      </c>
      <c r="C93" s="26">
        <f>'Default parameters'!C90</f>
        <v>5.4400000000000001E-5</v>
      </c>
      <c r="D93" s="11">
        <f t="shared" si="15"/>
        <v>0</v>
      </c>
      <c r="E93" s="26">
        <f t="shared" si="18"/>
        <v>0</v>
      </c>
      <c r="F93" s="11">
        <f t="shared" si="16"/>
        <v>0</v>
      </c>
      <c r="G93" s="26">
        <f t="shared" si="19"/>
        <v>0</v>
      </c>
      <c r="H93" s="11">
        <f t="shared" si="17"/>
        <v>0</v>
      </c>
      <c r="I93" s="26">
        <f t="shared" si="20"/>
        <v>0</v>
      </c>
      <c r="J93" s="55"/>
      <c r="K93" s="56"/>
      <c r="L93" s="58">
        <v>77</v>
      </c>
      <c r="M93" s="26">
        <f>'Default parameters'!D90</f>
        <v>3.0000000000000001E-5</v>
      </c>
      <c r="N93" s="11">
        <f t="shared" si="21"/>
        <v>0</v>
      </c>
      <c r="O93" s="26">
        <f t="shared" si="22"/>
        <v>0</v>
      </c>
      <c r="P93" s="11">
        <f t="shared" si="23"/>
        <v>0</v>
      </c>
      <c r="Q93" s="26">
        <f t="shared" si="24"/>
        <v>0</v>
      </c>
      <c r="R93" s="11">
        <f t="shared" si="25"/>
        <v>0</v>
      </c>
      <c r="S93" s="26">
        <f t="shared" si="26"/>
        <v>0</v>
      </c>
    </row>
    <row r="94" spans="2:19" x14ac:dyDescent="0.2">
      <c r="B94" s="58">
        <v>78</v>
      </c>
      <c r="C94" s="26">
        <f>'Default parameters'!C91</f>
        <v>4.9200000000000003E-5</v>
      </c>
      <c r="D94" s="11">
        <f t="shared" si="15"/>
        <v>0</v>
      </c>
      <c r="E94" s="26">
        <f t="shared" si="18"/>
        <v>0</v>
      </c>
      <c r="F94" s="11">
        <f t="shared" si="16"/>
        <v>0</v>
      </c>
      <c r="G94" s="26">
        <f t="shared" si="19"/>
        <v>0</v>
      </c>
      <c r="H94" s="11">
        <f t="shared" si="17"/>
        <v>0</v>
      </c>
      <c r="I94" s="26">
        <f t="shared" si="20"/>
        <v>0</v>
      </c>
      <c r="J94" s="55"/>
      <c r="K94" s="56"/>
      <c r="L94" s="58">
        <v>78</v>
      </c>
      <c r="M94" s="26">
        <f>'Default parameters'!D91</f>
        <v>2.69E-5</v>
      </c>
      <c r="N94" s="11">
        <f t="shared" si="21"/>
        <v>0</v>
      </c>
      <c r="O94" s="26">
        <f t="shared" si="22"/>
        <v>0</v>
      </c>
      <c r="P94" s="11">
        <f t="shared" si="23"/>
        <v>0</v>
      </c>
      <c r="Q94" s="26">
        <f t="shared" si="24"/>
        <v>0</v>
      </c>
      <c r="R94" s="11">
        <f t="shared" si="25"/>
        <v>0</v>
      </c>
      <c r="S94" s="26">
        <f t="shared" si="26"/>
        <v>0</v>
      </c>
    </row>
    <row r="95" spans="2:19" x14ac:dyDescent="0.2">
      <c r="B95" s="58">
        <v>79</v>
      </c>
      <c r="C95" s="26">
        <f>'Default parameters'!C92</f>
        <v>4.4400000000000002E-5</v>
      </c>
      <c r="D95" s="11">
        <f t="shared" si="15"/>
        <v>0</v>
      </c>
      <c r="E95" s="26">
        <f t="shared" si="18"/>
        <v>0</v>
      </c>
      <c r="F95" s="11">
        <f t="shared" si="16"/>
        <v>0</v>
      </c>
      <c r="G95" s="26">
        <f t="shared" si="19"/>
        <v>0</v>
      </c>
      <c r="H95" s="11">
        <f t="shared" si="17"/>
        <v>0</v>
      </c>
      <c r="I95" s="26">
        <f t="shared" si="20"/>
        <v>0</v>
      </c>
      <c r="J95" s="55"/>
      <c r="K95" s="56"/>
      <c r="L95" s="58">
        <v>79</v>
      </c>
      <c r="M95" s="26">
        <f>'Default parameters'!D92</f>
        <v>2.41E-5</v>
      </c>
      <c r="N95" s="11">
        <f t="shared" si="21"/>
        <v>0</v>
      </c>
      <c r="O95" s="26">
        <f t="shared" si="22"/>
        <v>0</v>
      </c>
      <c r="P95" s="11">
        <f t="shared" si="23"/>
        <v>0</v>
      </c>
      <c r="Q95" s="26">
        <f t="shared" si="24"/>
        <v>0</v>
      </c>
      <c r="R95" s="11">
        <f t="shared" si="25"/>
        <v>0</v>
      </c>
      <c r="S95" s="26">
        <f t="shared" si="26"/>
        <v>0</v>
      </c>
    </row>
    <row r="96" spans="2:19" x14ac:dyDescent="0.2">
      <c r="B96" s="58">
        <v>80</v>
      </c>
      <c r="C96" s="26">
        <f>'Default parameters'!C93</f>
        <v>4.0200000000000001E-5</v>
      </c>
      <c r="D96" s="11">
        <f t="shared" si="15"/>
        <v>0</v>
      </c>
      <c r="E96" s="26">
        <f t="shared" si="18"/>
        <v>0</v>
      </c>
      <c r="F96" s="11">
        <f t="shared" si="16"/>
        <v>0</v>
      </c>
      <c r="G96" s="26">
        <f t="shared" si="19"/>
        <v>0</v>
      </c>
      <c r="H96" s="11">
        <f t="shared" si="17"/>
        <v>0</v>
      </c>
      <c r="I96" s="26">
        <f t="shared" si="20"/>
        <v>0</v>
      </c>
      <c r="J96" s="55"/>
      <c r="K96" s="56"/>
      <c r="L96" s="58">
        <v>80</v>
      </c>
      <c r="M96" s="26">
        <f>'Default parameters'!D93</f>
        <v>2.16E-5</v>
      </c>
      <c r="N96" s="11">
        <f t="shared" si="21"/>
        <v>0</v>
      </c>
      <c r="O96" s="26">
        <f t="shared" si="22"/>
        <v>0</v>
      </c>
      <c r="P96" s="11">
        <f t="shared" si="23"/>
        <v>0</v>
      </c>
      <c r="Q96" s="26">
        <f t="shared" si="24"/>
        <v>0</v>
      </c>
      <c r="R96" s="11">
        <f t="shared" si="25"/>
        <v>0</v>
      </c>
      <c r="S96" s="26">
        <f t="shared" si="26"/>
        <v>0</v>
      </c>
    </row>
    <row r="97" spans="2:19" x14ac:dyDescent="0.2">
      <c r="B97" s="58">
        <v>81</v>
      </c>
      <c r="C97" s="26">
        <f>'Default parameters'!C94</f>
        <v>3.6300000000000001E-5</v>
      </c>
      <c r="D97" s="11">
        <f t="shared" si="15"/>
        <v>0</v>
      </c>
      <c r="E97" s="26">
        <f t="shared" si="18"/>
        <v>0</v>
      </c>
      <c r="F97" s="11">
        <f t="shared" si="16"/>
        <v>0</v>
      </c>
      <c r="G97" s="26">
        <f t="shared" si="19"/>
        <v>0</v>
      </c>
      <c r="H97" s="11">
        <f t="shared" si="17"/>
        <v>0</v>
      </c>
      <c r="I97" s="26">
        <f t="shared" si="20"/>
        <v>0</v>
      </c>
      <c r="J97" s="55"/>
      <c r="K97" s="56"/>
      <c r="L97" s="58">
        <v>81</v>
      </c>
      <c r="M97" s="26">
        <f>'Default parameters'!D94</f>
        <v>1.9300000000000002E-5</v>
      </c>
      <c r="N97" s="11">
        <f t="shared" si="21"/>
        <v>0</v>
      </c>
      <c r="O97" s="26">
        <f t="shared" si="22"/>
        <v>0</v>
      </c>
      <c r="P97" s="11">
        <f t="shared" si="23"/>
        <v>0</v>
      </c>
      <c r="Q97" s="26">
        <f t="shared" si="24"/>
        <v>0</v>
      </c>
      <c r="R97" s="11">
        <f t="shared" si="25"/>
        <v>0</v>
      </c>
      <c r="S97" s="26">
        <f t="shared" si="26"/>
        <v>0</v>
      </c>
    </row>
    <row r="98" spans="2:19" x14ac:dyDescent="0.2">
      <c r="B98" s="58">
        <v>82</v>
      </c>
      <c r="C98" s="26">
        <f>'Default parameters'!C95</f>
        <v>3.2799999999999998E-5</v>
      </c>
      <c r="D98" s="11">
        <f t="shared" si="15"/>
        <v>0</v>
      </c>
      <c r="E98" s="26">
        <f t="shared" si="18"/>
        <v>0</v>
      </c>
      <c r="F98" s="11">
        <f t="shared" si="16"/>
        <v>0</v>
      </c>
      <c r="G98" s="26">
        <f t="shared" si="19"/>
        <v>0</v>
      </c>
      <c r="H98" s="11">
        <f t="shared" si="17"/>
        <v>0</v>
      </c>
      <c r="I98" s="26">
        <f t="shared" si="20"/>
        <v>0</v>
      </c>
      <c r="J98" s="55"/>
      <c r="K98" s="56"/>
      <c r="L98" s="58">
        <v>82</v>
      </c>
      <c r="M98" s="26">
        <f>'Default parameters'!D95</f>
        <v>1.73E-5</v>
      </c>
      <c r="N98" s="11">
        <f t="shared" si="21"/>
        <v>0</v>
      </c>
      <c r="O98" s="26">
        <f t="shared" si="22"/>
        <v>0</v>
      </c>
      <c r="P98" s="11">
        <f t="shared" si="23"/>
        <v>0</v>
      </c>
      <c r="Q98" s="26">
        <f t="shared" si="24"/>
        <v>0</v>
      </c>
      <c r="R98" s="11">
        <f t="shared" si="25"/>
        <v>0</v>
      </c>
      <c r="S98" s="26">
        <f t="shared" si="26"/>
        <v>0</v>
      </c>
    </row>
    <row r="99" spans="2:19" x14ac:dyDescent="0.2">
      <c r="B99" s="58">
        <v>83</v>
      </c>
      <c r="C99" s="26">
        <f>'Default parameters'!C96</f>
        <v>2.9600000000000001E-5</v>
      </c>
      <c r="D99" s="11">
        <f t="shared" si="15"/>
        <v>0</v>
      </c>
      <c r="E99" s="26">
        <f t="shared" si="18"/>
        <v>0</v>
      </c>
      <c r="F99" s="11">
        <f t="shared" si="16"/>
        <v>0</v>
      </c>
      <c r="G99" s="26">
        <f t="shared" si="19"/>
        <v>0</v>
      </c>
      <c r="H99" s="11">
        <f t="shared" si="17"/>
        <v>0</v>
      </c>
      <c r="I99" s="26">
        <f t="shared" si="20"/>
        <v>0</v>
      </c>
      <c r="J99" s="55"/>
      <c r="K99" s="56"/>
      <c r="L99" s="58">
        <v>83</v>
      </c>
      <c r="M99" s="26">
        <f>'Default parameters'!D96</f>
        <v>1.5500000000000001E-5</v>
      </c>
      <c r="N99" s="11">
        <f t="shared" si="21"/>
        <v>0</v>
      </c>
      <c r="O99" s="26">
        <f t="shared" si="22"/>
        <v>0</v>
      </c>
      <c r="P99" s="11">
        <f t="shared" si="23"/>
        <v>0</v>
      </c>
      <c r="Q99" s="26">
        <f t="shared" si="24"/>
        <v>0</v>
      </c>
      <c r="R99" s="11">
        <f t="shared" si="25"/>
        <v>0</v>
      </c>
      <c r="S99" s="26">
        <f t="shared" si="26"/>
        <v>0</v>
      </c>
    </row>
    <row r="100" spans="2:19" x14ac:dyDescent="0.2">
      <c r="B100" s="58">
        <v>84</v>
      </c>
      <c r="C100" s="26">
        <f>'Default parameters'!C97</f>
        <v>2.6699999999999998E-5</v>
      </c>
      <c r="D100" s="11">
        <f t="shared" si="15"/>
        <v>0</v>
      </c>
      <c r="E100" s="26">
        <f t="shared" si="18"/>
        <v>0</v>
      </c>
      <c r="F100" s="11">
        <f t="shared" si="16"/>
        <v>0</v>
      </c>
      <c r="G100" s="26">
        <f t="shared" si="19"/>
        <v>0</v>
      </c>
      <c r="H100" s="11">
        <f t="shared" si="17"/>
        <v>0</v>
      </c>
      <c r="I100" s="26">
        <f t="shared" si="20"/>
        <v>0</v>
      </c>
      <c r="J100" s="55"/>
      <c r="K100" s="56"/>
      <c r="L100" s="58">
        <v>84</v>
      </c>
      <c r="M100" s="26">
        <f>'Default parameters'!D97</f>
        <v>1.38E-5</v>
      </c>
      <c r="N100" s="11">
        <f t="shared" si="21"/>
        <v>0</v>
      </c>
      <c r="O100" s="26">
        <f t="shared" si="22"/>
        <v>0</v>
      </c>
      <c r="P100" s="11">
        <f t="shared" si="23"/>
        <v>0</v>
      </c>
      <c r="Q100" s="26">
        <f t="shared" si="24"/>
        <v>0</v>
      </c>
      <c r="R100" s="11">
        <f t="shared" si="25"/>
        <v>0</v>
      </c>
      <c r="S100" s="26">
        <f t="shared" si="26"/>
        <v>0</v>
      </c>
    </row>
    <row r="101" spans="2:19" x14ac:dyDescent="0.2">
      <c r="B101" s="58">
        <v>85</v>
      </c>
      <c r="C101" s="26">
        <f>'Default parameters'!C98</f>
        <v>2.41E-5</v>
      </c>
      <c r="D101" s="11">
        <f t="shared" si="15"/>
        <v>0</v>
      </c>
      <c r="E101" s="26">
        <f t="shared" si="18"/>
        <v>0</v>
      </c>
      <c r="F101" s="11">
        <f t="shared" si="16"/>
        <v>0</v>
      </c>
      <c r="G101" s="26">
        <f t="shared" si="19"/>
        <v>0</v>
      </c>
      <c r="H101" s="11">
        <f t="shared" si="17"/>
        <v>0</v>
      </c>
      <c r="I101" s="26">
        <f t="shared" si="20"/>
        <v>0</v>
      </c>
      <c r="J101" s="55"/>
      <c r="K101" s="56"/>
      <c r="L101" s="58">
        <v>85</v>
      </c>
      <c r="M101" s="26">
        <f>'Default parameters'!D98</f>
        <v>1.24E-5</v>
      </c>
      <c r="N101" s="11">
        <f t="shared" si="21"/>
        <v>0</v>
      </c>
      <c r="O101" s="26">
        <f t="shared" si="22"/>
        <v>0</v>
      </c>
      <c r="P101" s="11">
        <f t="shared" si="23"/>
        <v>0</v>
      </c>
      <c r="Q101" s="26">
        <f t="shared" si="24"/>
        <v>0</v>
      </c>
      <c r="R101" s="11">
        <f t="shared" si="25"/>
        <v>0</v>
      </c>
      <c r="S101" s="26">
        <f t="shared" si="26"/>
        <v>0</v>
      </c>
    </row>
    <row r="102" spans="2:19" x14ac:dyDescent="0.2">
      <c r="B102" s="58">
        <v>86</v>
      </c>
      <c r="C102" s="26">
        <f>'Default parameters'!C99</f>
        <v>2.1699999999999999E-5</v>
      </c>
      <c r="D102" s="11">
        <f t="shared" si="15"/>
        <v>0</v>
      </c>
      <c r="E102" s="26">
        <f t="shared" si="18"/>
        <v>0</v>
      </c>
      <c r="F102" s="11">
        <f t="shared" si="16"/>
        <v>0</v>
      </c>
      <c r="G102" s="26">
        <f t="shared" si="19"/>
        <v>0</v>
      </c>
      <c r="H102" s="11">
        <f t="shared" si="17"/>
        <v>0</v>
      </c>
      <c r="I102" s="26">
        <f t="shared" si="20"/>
        <v>0</v>
      </c>
      <c r="J102" s="55"/>
      <c r="K102" s="56"/>
      <c r="L102" s="58">
        <v>86</v>
      </c>
      <c r="M102" s="26">
        <f>'Default parameters'!D99</f>
        <v>1.1E-5</v>
      </c>
      <c r="N102" s="11">
        <f t="shared" si="21"/>
        <v>0</v>
      </c>
      <c r="O102" s="26">
        <f t="shared" si="22"/>
        <v>0</v>
      </c>
      <c r="P102" s="11">
        <f t="shared" si="23"/>
        <v>0</v>
      </c>
      <c r="Q102" s="26">
        <f t="shared" si="24"/>
        <v>0</v>
      </c>
      <c r="R102" s="11">
        <f t="shared" si="25"/>
        <v>0</v>
      </c>
      <c r="S102" s="26">
        <f t="shared" si="26"/>
        <v>0</v>
      </c>
    </row>
    <row r="103" spans="2:19" x14ac:dyDescent="0.2">
      <c r="B103" s="58">
        <v>87</v>
      </c>
      <c r="C103" s="26">
        <f>'Default parameters'!C100</f>
        <v>1.9599999999999999E-5</v>
      </c>
      <c r="D103" s="11">
        <f t="shared" si="15"/>
        <v>0</v>
      </c>
      <c r="E103" s="26">
        <f t="shared" si="18"/>
        <v>0</v>
      </c>
      <c r="F103" s="11">
        <f t="shared" si="16"/>
        <v>0</v>
      </c>
      <c r="G103" s="26">
        <f t="shared" si="19"/>
        <v>0</v>
      </c>
      <c r="H103" s="11">
        <f t="shared" si="17"/>
        <v>0</v>
      </c>
      <c r="I103" s="26">
        <f t="shared" si="20"/>
        <v>0</v>
      </c>
      <c r="J103" s="55"/>
      <c r="K103" s="56"/>
      <c r="L103" s="58">
        <v>87</v>
      </c>
      <c r="M103" s="26">
        <f>'Default parameters'!D100</f>
        <v>9.8700000000000004E-6</v>
      </c>
      <c r="N103" s="11">
        <f t="shared" si="21"/>
        <v>0</v>
      </c>
      <c r="O103" s="26">
        <f t="shared" si="22"/>
        <v>0</v>
      </c>
      <c r="P103" s="11">
        <f t="shared" si="23"/>
        <v>0</v>
      </c>
      <c r="Q103" s="26">
        <f t="shared" si="24"/>
        <v>0</v>
      </c>
      <c r="R103" s="11">
        <f t="shared" si="25"/>
        <v>0</v>
      </c>
      <c r="S103" s="26">
        <f t="shared" si="26"/>
        <v>0</v>
      </c>
    </row>
    <row r="104" spans="2:19" x14ac:dyDescent="0.2">
      <c r="B104" s="58">
        <v>88</v>
      </c>
      <c r="C104" s="26">
        <f>'Default parameters'!C101</f>
        <v>1.77E-5</v>
      </c>
      <c r="D104" s="11">
        <f t="shared" si="15"/>
        <v>0</v>
      </c>
      <c r="E104" s="26">
        <f t="shared" si="18"/>
        <v>0</v>
      </c>
      <c r="F104" s="11">
        <f t="shared" si="16"/>
        <v>0</v>
      </c>
      <c r="G104" s="26">
        <f t="shared" si="19"/>
        <v>0</v>
      </c>
      <c r="H104" s="11">
        <f t="shared" si="17"/>
        <v>0</v>
      </c>
      <c r="I104" s="26">
        <f t="shared" si="20"/>
        <v>0</v>
      </c>
      <c r="J104" s="55"/>
      <c r="K104" s="56"/>
      <c r="L104" s="58">
        <v>88</v>
      </c>
      <c r="M104" s="26">
        <f>'Default parameters'!D101</f>
        <v>8.8200000000000003E-6</v>
      </c>
      <c r="N104" s="11">
        <f t="shared" si="21"/>
        <v>0</v>
      </c>
      <c r="O104" s="26">
        <f t="shared" si="22"/>
        <v>0</v>
      </c>
      <c r="P104" s="11">
        <f t="shared" si="23"/>
        <v>0</v>
      </c>
      <c r="Q104" s="26">
        <f t="shared" si="24"/>
        <v>0</v>
      </c>
      <c r="R104" s="11">
        <f t="shared" si="25"/>
        <v>0</v>
      </c>
      <c r="S104" s="26">
        <f t="shared" si="26"/>
        <v>0</v>
      </c>
    </row>
    <row r="105" spans="2:19" x14ac:dyDescent="0.2">
      <c r="B105" s="58">
        <v>89</v>
      </c>
      <c r="C105" s="26">
        <f>'Default parameters'!C102</f>
        <v>1.59E-5</v>
      </c>
      <c r="D105" s="11">
        <f t="shared" si="15"/>
        <v>0</v>
      </c>
      <c r="E105" s="26">
        <f t="shared" si="18"/>
        <v>0</v>
      </c>
      <c r="F105" s="11">
        <f t="shared" si="16"/>
        <v>0</v>
      </c>
      <c r="G105" s="26">
        <f t="shared" si="19"/>
        <v>0</v>
      </c>
      <c r="H105" s="11">
        <f t="shared" si="17"/>
        <v>0</v>
      </c>
      <c r="I105" s="26">
        <f t="shared" si="20"/>
        <v>0</v>
      </c>
      <c r="J105" s="55"/>
      <c r="K105" s="56"/>
      <c r="L105" s="58">
        <v>89</v>
      </c>
      <c r="M105" s="26">
        <f>'Default parameters'!D102</f>
        <v>7.8699999999999992E-6</v>
      </c>
      <c r="N105" s="11">
        <f t="shared" si="21"/>
        <v>0</v>
      </c>
      <c r="O105" s="26">
        <f t="shared" si="22"/>
        <v>0</v>
      </c>
      <c r="P105" s="11">
        <f t="shared" si="23"/>
        <v>0</v>
      </c>
      <c r="Q105" s="26">
        <f t="shared" si="24"/>
        <v>0</v>
      </c>
      <c r="R105" s="11">
        <f t="shared" si="25"/>
        <v>0</v>
      </c>
      <c r="S105" s="26">
        <f t="shared" si="26"/>
        <v>0</v>
      </c>
    </row>
    <row r="106" spans="2:19" x14ac:dyDescent="0.2">
      <c r="B106" s="58">
        <v>90</v>
      </c>
      <c r="C106" s="26">
        <f>'Default parameters'!C103</f>
        <v>1.43E-5</v>
      </c>
      <c r="D106" s="11">
        <f t="shared" si="15"/>
        <v>0</v>
      </c>
      <c r="E106" s="26">
        <f t="shared" si="18"/>
        <v>0</v>
      </c>
      <c r="F106" s="11">
        <f t="shared" si="16"/>
        <v>0</v>
      </c>
      <c r="G106" s="26">
        <f t="shared" si="19"/>
        <v>0</v>
      </c>
      <c r="H106" s="11">
        <f t="shared" si="17"/>
        <v>0</v>
      </c>
      <c r="I106" s="26">
        <f t="shared" si="20"/>
        <v>0</v>
      </c>
      <c r="J106" s="55"/>
      <c r="K106" s="56"/>
      <c r="L106" s="58">
        <v>90</v>
      </c>
      <c r="M106" s="26">
        <f>'Default parameters'!D103</f>
        <v>7.0299999999999996E-6</v>
      </c>
      <c r="N106" s="11">
        <f t="shared" si="21"/>
        <v>0</v>
      </c>
      <c r="O106" s="26">
        <f t="shared" si="22"/>
        <v>0</v>
      </c>
      <c r="P106" s="11">
        <f t="shared" si="23"/>
        <v>0</v>
      </c>
      <c r="Q106" s="26">
        <f t="shared" si="24"/>
        <v>0</v>
      </c>
      <c r="R106" s="11">
        <f t="shared" si="25"/>
        <v>0</v>
      </c>
      <c r="S106" s="26">
        <f t="shared" si="26"/>
        <v>0</v>
      </c>
    </row>
    <row r="107" spans="2:19" x14ac:dyDescent="0.2">
      <c r="B107" s="58">
        <v>91</v>
      </c>
      <c r="C107" s="26">
        <f>'Default parameters'!C104</f>
        <v>1.29E-5</v>
      </c>
      <c r="D107" s="11">
        <f t="shared" si="15"/>
        <v>0</v>
      </c>
      <c r="E107" s="26">
        <f t="shared" si="18"/>
        <v>0</v>
      </c>
      <c r="F107" s="11">
        <f t="shared" si="16"/>
        <v>0</v>
      </c>
      <c r="G107" s="26">
        <f t="shared" si="19"/>
        <v>0</v>
      </c>
      <c r="H107" s="11">
        <f t="shared" si="17"/>
        <v>0</v>
      </c>
      <c r="I107" s="26">
        <f t="shared" si="20"/>
        <v>0</v>
      </c>
      <c r="J107" s="55"/>
      <c r="K107" s="56"/>
      <c r="L107" s="58">
        <v>91</v>
      </c>
      <c r="M107" s="26">
        <f>'Default parameters'!D104</f>
        <v>6.2700000000000001E-6</v>
      </c>
      <c r="N107" s="11">
        <f t="shared" si="21"/>
        <v>0</v>
      </c>
      <c r="O107" s="26">
        <f t="shared" si="22"/>
        <v>0</v>
      </c>
      <c r="P107" s="11">
        <f t="shared" si="23"/>
        <v>0</v>
      </c>
      <c r="Q107" s="26">
        <f t="shared" si="24"/>
        <v>0</v>
      </c>
      <c r="R107" s="11">
        <f t="shared" si="25"/>
        <v>0</v>
      </c>
      <c r="S107" s="26">
        <f t="shared" si="26"/>
        <v>0</v>
      </c>
    </row>
    <row r="108" spans="2:19" x14ac:dyDescent="0.2">
      <c r="B108" s="58">
        <v>92</v>
      </c>
      <c r="C108" s="26">
        <f>'Default parameters'!C105</f>
        <v>1.1600000000000001E-5</v>
      </c>
      <c r="D108" s="11">
        <f t="shared" si="15"/>
        <v>0</v>
      </c>
      <c r="E108" s="26">
        <f t="shared" si="18"/>
        <v>0</v>
      </c>
      <c r="F108" s="11">
        <f t="shared" si="16"/>
        <v>0</v>
      </c>
      <c r="G108" s="26">
        <f t="shared" si="19"/>
        <v>0</v>
      </c>
      <c r="H108" s="11">
        <f t="shared" si="17"/>
        <v>0</v>
      </c>
      <c r="I108" s="26">
        <f t="shared" si="20"/>
        <v>0</v>
      </c>
      <c r="J108" s="55"/>
      <c r="K108" s="56"/>
      <c r="L108" s="58">
        <v>92</v>
      </c>
      <c r="M108" s="26">
        <f>'Default parameters'!D105</f>
        <v>5.5899999999999998E-6</v>
      </c>
      <c r="N108" s="11">
        <f t="shared" si="21"/>
        <v>0</v>
      </c>
      <c r="O108" s="26">
        <f t="shared" si="22"/>
        <v>0</v>
      </c>
      <c r="P108" s="11">
        <f t="shared" si="23"/>
        <v>0</v>
      </c>
      <c r="Q108" s="26">
        <f t="shared" si="24"/>
        <v>0</v>
      </c>
      <c r="R108" s="11">
        <f t="shared" si="25"/>
        <v>0</v>
      </c>
      <c r="S108" s="26">
        <f t="shared" si="26"/>
        <v>0</v>
      </c>
    </row>
    <row r="109" spans="2:19" x14ac:dyDescent="0.2">
      <c r="B109" s="58">
        <v>93</v>
      </c>
      <c r="C109" s="26">
        <f>'Default parameters'!C106</f>
        <v>1.0499999999999999E-5</v>
      </c>
      <c r="D109" s="11">
        <f t="shared" si="15"/>
        <v>0</v>
      </c>
      <c r="E109" s="26">
        <f t="shared" si="18"/>
        <v>0</v>
      </c>
      <c r="F109" s="11">
        <f t="shared" si="16"/>
        <v>0</v>
      </c>
      <c r="G109" s="26">
        <f t="shared" si="19"/>
        <v>0</v>
      </c>
      <c r="H109" s="11">
        <f t="shared" si="17"/>
        <v>0</v>
      </c>
      <c r="I109" s="26">
        <f t="shared" si="20"/>
        <v>0</v>
      </c>
      <c r="J109" s="55"/>
      <c r="K109" s="56"/>
      <c r="L109" s="58">
        <v>93</v>
      </c>
      <c r="M109" s="26">
        <f>'Default parameters'!D106</f>
        <v>4.9899999999999997E-6</v>
      </c>
      <c r="N109" s="11">
        <f t="shared" si="21"/>
        <v>0</v>
      </c>
      <c r="O109" s="26">
        <f t="shared" si="22"/>
        <v>0</v>
      </c>
      <c r="P109" s="11">
        <f t="shared" si="23"/>
        <v>0</v>
      </c>
      <c r="Q109" s="26">
        <f t="shared" si="24"/>
        <v>0</v>
      </c>
      <c r="R109" s="11">
        <f t="shared" si="25"/>
        <v>0</v>
      </c>
      <c r="S109" s="26">
        <f t="shared" si="26"/>
        <v>0</v>
      </c>
    </row>
    <row r="110" spans="2:19" x14ac:dyDescent="0.2">
      <c r="B110" s="58">
        <v>94</v>
      </c>
      <c r="C110" s="26">
        <f>'Default parameters'!C107</f>
        <v>9.4299999999999995E-6</v>
      </c>
      <c r="D110" s="11">
        <f t="shared" si="15"/>
        <v>0</v>
      </c>
      <c r="E110" s="26">
        <f t="shared" si="18"/>
        <v>0</v>
      </c>
      <c r="F110" s="11">
        <f t="shared" si="16"/>
        <v>0</v>
      </c>
      <c r="G110" s="26">
        <f t="shared" si="19"/>
        <v>0</v>
      </c>
      <c r="H110" s="11">
        <f t="shared" si="17"/>
        <v>0</v>
      </c>
      <c r="I110" s="26">
        <f t="shared" si="20"/>
        <v>0</v>
      </c>
      <c r="J110" s="55"/>
      <c r="K110" s="56"/>
      <c r="L110" s="58">
        <v>94</v>
      </c>
      <c r="M110" s="26">
        <f>'Default parameters'!D107</f>
        <v>4.4499999999999997E-6</v>
      </c>
      <c r="N110" s="11">
        <f t="shared" si="21"/>
        <v>0</v>
      </c>
      <c r="O110" s="26">
        <f t="shared" si="22"/>
        <v>0</v>
      </c>
      <c r="P110" s="11">
        <f t="shared" si="23"/>
        <v>0</v>
      </c>
      <c r="Q110" s="26">
        <f t="shared" si="24"/>
        <v>0</v>
      </c>
      <c r="R110" s="11">
        <f t="shared" si="25"/>
        <v>0</v>
      </c>
      <c r="S110" s="26">
        <f t="shared" si="26"/>
        <v>0</v>
      </c>
    </row>
    <row r="111" spans="2:19" x14ac:dyDescent="0.2">
      <c r="B111" s="58">
        <v>95</v>
      </c>
      <c r="C111" s="26">
        <f>'Default parameters'!C108</f>
        <v>8.4800000000000001E-6</v>
      </c>
      <c r="D111" s="11">
        <f t="shared" si="15"/>
        <v>0</v>
      </c>
      <c r="E111" s="26">
        <f t="shared" si="18"/>
        <v>0</v>
      </c>
      <c r="F111" s="11">
        <f t="shared" si="16"/>
        <v>0</v>
      </c>
      <c r="G111" s="26">
        <f t="shared" si="19"/>
        <v>0</v>
      </c>
      <c r="H111" s="11">
        <f t="shared" si="17"/>
        <v>0</v>
      </c>
      <c r="I111" s="26">
        <f t="shared" si="20"/>
        <v>0</v>
      </c>
      <c r="J111" s="55"/>
      <c r="K111" s="56"/>
      <c r="L111" s="58">
        <v>95</v>
      </c>
      <c r="M111" s="26">
        <f>'Default parameters'!D108</f>
        <v>3.9600000000000002E-6</v>
      </c>
      <c r="N111" s="11">
        <f t="shared" si="21"/>
        <v>0</v>
      </c>
      <c r="O111" s="26">
        <f t="shared" si="22"/>
        <v>0</v>
      </c>
      <c r="P111" s="11">
        <f t="shared" si="23"/>
        <v>0</v>
      </c>
      <c r="Q111" s="26">
        <f t="shared" si="24"/>
        <v>0</v>
      </c>
      <c r="R111" s="11">
        <f t="shared" si="25"/>
        <v>0</v>
      </c>
      <c r="S111" s="26">
        <f t="shared" si="26"/>
        <v>0</v>
      </c>
    </row>
    <row r="112" spans="2:19" x14ac:dyDescent="0.2">
      <c r="B112" s="58">
        <v>96</v>
      </c>
      <c r="C112" s="26">
        <f>'Default parameters'!C109</f>
        <v>7.6299999999999998E-6</v>
      </c>
      <c r="D112" s="11">
        <f t="shared" ref="D112:D143" si="27">IF(AND(B112&gt;($D$8-1), B112&lt;$D$9),1,0)</f>
        <v>0</v>
      </c>
      <c r="E112" s="26">
        <f t="shared" si="18"/>
        <v>0</v>
      </c>
      <c r="F112" s="11">
        <f t="shared" ref="F112:F143" si="28">IF(AND(B112&gt;($E$8-1), B112&lt;$E$9),1,0)</f>
        <v>0</v>
      </c>
      <c r="G112" s="26">
        <f t="shared" si="19"/>
        <v>0</v>
      </c>
      <c r="H112" s="11">
        <f t="shared" ref="H112:H143" si="29">IF(AND(B112&gt;($F$8-1), B112&lt;$F$9),1,0)</f>
        <v>0</v>
      </c>
      <c r="I112" s="26">
        <f t="shared" si="20"/>
        <v>0</v>
      </c>
      <c r="J112" s="55"/>
      <c r="K112" s="56"/>
      <c r="L112" s="58">
        <v>96</v>
      </c>
      <c r="M112" s="26">
        <f>'Default parameters'!D109</f>
        <v>3.5300000000000001E-6</v>
      </c>
      <c r="N112" s="11">
        <f t="shared" si="21"/>
        <v>0</v>
      </c>
      <c r="O112" s="26">
        <f t="shared" si="22"/>
        <v>0</v>
      </c>
      <c r="P112" s="11">
        <f t="shared" si="23"/>
        <v>0</v>
      </c>
      <c r="Q112" s="26">
        <f t="shared" si="24"/>
        <v>0</v>
      </c>
      <c r="R112" s="11">
        <f t="shared" si="25"/>
        <v>0</v>
      </c>
      <c r="S112" s="26">
        <f t="shared" si="26"/>
        <v>0</v>
      </c>
    </row>
    <row r="113" spans="2:19" x14ac:dyDescent="0.2">
      <c r="B113" s="58">
        <v>97</v>
      </c>
      <c r="C113" s="26">
        <f>'Default parameters'!C110</f>
        <v>6.8600000000000004E-6</v>
      </c>
      <c r="D113" s="11">
        <f t="shared" si="27"/>
        <v>0</v>
      </c>
      <c r="E113" s="26">
        <f t="shared" si="18"/>
        <v>0</v>
      </c>
      <c r="F113" s="11">
        <f t="shared" si="28"/>
        <v>0</v>
      </c>
      <c r="G113" s="26">
        <f t="shared" si="19"/>
        <v>0</v>
      </c>
      <c r="H113" s="11">
        <f t="shared" si="29"/>
        <v>0</v>
      </c>
      <c r="I113" s="26">
        <f t="shared" si="20"/>
        <v>0</v>
      </c>
      <c r="J113" s="55"/>
      <c r="K113" s="56"/>
      <c r="L113" s="58">
        <v>97</v>
      </c>
      <c r="M113" s="26">
        <f>'Default parameters'!D110</f>
        <v>3.14E-6</v>
      </c>
      <c r="N113" s="11">
        <f t="shared" si="21"/>
        <v>0</v>
      </c>
      <c r="O113" s="26">
        <f t="shared" si="22"/>
        <v>0</v>
      </c>
      <c r="P113" s="11">
        <f t="shared" si="23"/>
        <v>0</v>
      </c>
      <c r="Q113" s="26">
        <f t="shared" si="24"/>
        <v>0</v>
      </c>
      <c r="R113" s="11">
        <f t="shared" si="25"/>
        <v>0</v>
      </c>
      <c r="S113" s="26">
        <f t="shared" si="26"/>
        <v>0</v>
      </c>
    </row>
    <row r="114" spans="2:19" x14ac:dyDescent="0.2">
      <c r="B114" s="58">
        <v>98</v>
      </c>
      <c r="C114" s="26">
        <f>'Default parameters'!C111</f>
        <v>6.1600000000000003E-6</v>
      </c>
      <c r="D114" s="11">
        <f t="shared" si="27"/>
        <v>0</v>
      </c>
      <c r="E114" s="26">
        <f t="shared" si="18"/>
        <v>0</v>
      </c>
      <c r="F114" s="11">
        <f t="shared" si="28"/>
        <v>0</v>
      </c>
      <c r="G114" s="26">
        <f t="shared" si="19"/>
        <v>0</v>
      </c>
      <c r="H114" s="11">
        <f t="shared" si="29"/>
        <v>0</v>
      </c>
      <c r="I114" s="26">
        <f t="shared" si="20"/>
        <v>0</v>
      </c>
      <c r="J114" s="55"/>
      <c r="K114" s="56"/>
      <c r="L114" s="58">
        <v>98</v>
      </c>
      <c r="M114" s="26">
        <f>'Default parameters'!D111</f>
        <v>2.7999999999999999E-6</v>
      </c>
      <c r="N114" s="11">
        <f t="shared" si="21"/>
        <v>0</v>
      </c>
      <c r="O114" s="26">
        <f t="shared" si="22"/>
        <v>0</v>
      </c>
      <c r="P114" s="11">
        <f t="shared" si="23"/>
        <v>0</v>
      </c>
      <c r="Q114" s="26">
        <f t="shared" si="24"/>
        <v>0</v>
      </c>
      <c r="R114" s="11">
        <f t="shared" si="25"/>
        <v>0</v>
      </c>
      <c r="S114" s="26">
        <f t="shared" si="26"/>
        <v>0</v>
      </c>
    </row>
    <row r="115" spans="2:19" x14ac:dyDescent="0.2">
      <c r="B115" s="58">
        <v>99</v>
      </c>
      <c r="C115" s="26">
        <f>'Default parameters'!C112</f>
        <v>5.5400000000000003E-6</v>
      </c>
      <c r="D115" s="11">
        <f t="shared" si="27"/>
        <v>0</v>
      </c>
      <c r="E115" s="26">
        <f t="shared" si="18"/>
        <v>0</v>
      </c>
      <c r="F115" s="11">
        <f t="shared" si="28"/>
        <v>0</v>
      </c>
      <c r="G115" s="26">
        <f t="shared" si="19"/>
        <v>0</v>
      </c>
      <c r="H115" s="11">
        <f t="shared" si="29"/>
        <v>0</v>
      </c>
      <c r="I115" s="26">
        <f t="shared" si="20"/>
        <v>0</v>
      </c>
      <c r="J115" s="55"/>
      <c r="K115" s="56"/>
      <c r="L115" s="58">
        <v>99</v>
      </c>
      <c r="M115" s="26">
        <f>'Default parameters'!D112</f>
        <v>2.4899999999999999E-6</v>
      </c>
      <c r="N115" s="11">
        <f t="shared" si="21"/>
        <v>0</v>
      </c>
      <c r="O115" s="26">
        <f t="shared" si="22"/>
        <v>0</v>
      </c>
      <c r="P115" s="11">
        <f t="shared" si="23"/>
        <v>0</v>
      </c>
      <c r="Q115" s="26">
        <f t="shared" si="24"/>
        <v>0</v>
      </c>
      <c r="R115" s="11">
        <f t="shared" si="25"/>
        <v>0</v>
      </c>
      <c r="S115" s="26">
        <f t="shared" si="26"/>
        <v>0</v>
      </c>
    </row>
    <row r="116" spans="2:19" x14ac:dyDescent="0.2">
      <c r="B116" s="58">
        <v>100</v>
      </c>
      <c r="C116" s="26">
        <f>'Default parameters'!C113</f>
        <v>4.9699999999999998E-6</v>
      </c>
      <c r="D116" s="11">
        <f t="shared" si="27"/>
        <v>0</v>
      </c>
      <c r="E116" s="26">
        <f t="shared" si="18"/>
        <v>0</v>
      </c>
      <c r="F116" s="11">
        <f t="shared" si="28"/>
        <v>0</v>
      </c>
      <c r="G116" s="26">
        <f t="shared" si="19"/>
        <v>0</v>
      </c>
      <c r="H116" s="11">
        <f t="shared" si="29"/>
        <v>0</v>
      </c>
      <c r="I116" s="26">
        <f t="shared" si="20"/>
        <v>0</v>
      </c>
      <c r="J116" s="55"/>
      <c r="K116" s="56"/>
      <c r="L116" s="58">
        <v>100</v>
      </c>
      <c r="M116" s="26">
        <f>'Default parameters'!D113</f>
        <v>2.21E-6</v>
      </c>
      <c r="N116" s="11">
        <f t="shared" si="21"/>
        <v>0</v>
      </c>
      <c r="O116" s="26">
        <f t="shared" si="22"/>
        <v>0</v>
      </c>
      <c r="P116" s="11">
        <f t="shared" si="23"/>
        <v>0</v>
      </c>
      <c r="Q116" s="26">
        <f t="shared" si="24"/>
        <v>0</v>
      </c>
      <c r="R116" s="11">
        <f t="shared" si="25"/>
        <v>0</v>
      </c>
      <c r="S116" s="26">
        <f t="shared" si="26"/>
        <v>0</v>
      </c>
    </row>
    <row r="117" spans="2:19" x14ac:dyDescent="0.2">
      <c r="B117" s="58">
        <v>101</v>
      </c>
      <c r="C117" s="26">
        <f>'Default parameters'!C114</f>
        <v>4.4599999999999996E-6</v>
      </c>
      <c r="D117" s="11">
        <f t="shared" si="27"/>
        <v>0</v>
      </c>
      <c r="E117" s="26">
        <f t="shared" si="18"/>
        <v>0</v>
      </c>
      <c r="F117" s="11">
        <f t="shared" si="28"/>
        <v>0</v>
      </c>
      <c r="G117" s="26">
        <f t="shared" si="19"/>
        <v>0</v>
      </c>
      <c r="H117" s="11">
        <f t="shared" si="29"/>
        <v>0</v>
      </c>
      <c r="I117" s="26">
        <f t="shared" si="20"/>
        <v>0</v>
      </c>
      <c r="J117" s="55"/>
      <c r="K117" s="56"/>
      <c r="L117" s="58">
        <v>101</v>
      </c>
      <c r="M117" s="26">
        <f>'Default parameters'!D114</f>
        <v>1.9700000000000002E-6</v>
      </c>
      <c r="N117" s="11">
        <f t="shared" si="21"/>
        <v>0</v>
      </c>
      <c r="O117" s="26">
        <f t="shared" si="22"/>
        <v>0</v>
      </c>
      <c r="P117" s="11">
        <f t="shared" si="23"/>
        <v>0</v>
      </c>
      <c r="Q117" s="26">
        <f t="shared" si="24"/>
        <v>0</v>
      </c>
      <c r="R117" s="11">
        <f t="shared" si="25"/>
        <v>0</v>
      </c>
      <c r="S117" s="26">
        <f t="shared" si="26"/>
        <v>0</v>
      </c>
    </row>
    <row r="118" spans="2:19" x14ac:dyDescent="0.2">
      <c r="B118" s="58">
        <v>102</v>
      </c>
      <c r="C118" s="26">
        <f>'Default parameters'!C115</f>
        <v>3.9999999999999998E-6</v>
      </c>
      <c r="D118" s="11">
        <f t="shared" si="27"/>
        <v>0</v>
      </c>
      <c r="E118" s="26">
        <f t="shared" si="18"/>
        <v>0</v>
      </c>
      <c r="F118" s="11">
        <f t="shared" si="28"/>
        <v>0</v>
      </c>
      <c r="G118" s="26">
        <f t="shared" si="19"/>
        <v>0</v>
      </c>
      <c r="H118" s="11">
        <f t="shared" si="29"/>
        <v>0</v>
      </c>
      <c r="I118" s="26">
        <f t="shared" si="20"/>
        <v>0</v>
      </c>
      <c r="J118" s="55"/>
      <c r="K118" s="56"/>
      <c r="L118" s="58">
        <v>102</v>
      </c>
      <c r="M118" s="26">
        <f>'Default parameters'!D115</f>
        <v>1.75E-6</v>
      </c>
      <c r="N118" s="11">
        <f t="shared" si="21"/>
        <v>0</v>
      </c>
      <c r="O118" s="26">
        <f t="shared" si="22"/>
        <v>0</v>
      </c>
      <c r="P118" s="11">
        <f t="shared" si="23"/>
        <v>0</v>
      </c>
      <c r="Q118" s="26">
        <f t="shared" si="24"/>
        <v>0</v>
      </c>
      <c r="R118" s="11">
        <f t="shared" si="25"/>
        <v>0</v>
      </c>
      <c r="S118" s="26">
        <f t="shared" si="26"/>
        <v>0</v>
      </c>
    </row>
    <row r="119" spans="2:19" x14ac:dyDescent="0.2">
      <c r="B119" s="58">
        <v>103</v>
      </c>
      <c r="C119" s="26">
        <f>'Default parameters'!C116</f>
        <v>3.5899999999999999E-6</v>
      </c>
      <c r="D119" s="11">
        <f t="shared" si="27"/>
        <v>0</v>
      </c>
      <c r="E119" s="26">
        <f t="shared" si="18"/>
        <v>0</v>
      </c>
      <c r="F119" s="11">
        <f t="shared" si="28"/>
        <v>0</v>
      </c>
      <c r="G119" s="26">
        <f t="shared" si="19"/>
        <v>0</v>
      </c>
      <c r="H119" s="11">
        <f t="shared" si="29"/>
        <v>0</v>
      </c>
      <c r="I119" s="26">
        <f t="shared" si="20"/>
        <v>0</v>
      </c>
      <c r="J119" s="55"/>
      <c r="K119" s="56"/>
      <c r="L119" s="58">
        <v>103</v>
      </c>
      <c r="M119" s="26">
        <f>'Default parameters'!D116</f>
        <v>1.55E-6</v>
      </c>
      <c r="N119" s="11">
        <f t="shared" si="21"/>
        <v>0</v>
      </c>
      <c r="O119" s="26">
        <f t="shared" si="22"/>
        <v>0</v>
      </c>
      <c r="P119" s="11">
        <f t="shared" si="23"/>
        <v>0</v>
      </c>
      <c r="Q119" s="26">
        <f t="shared" si="24"/>
        <v>0</v>
      </c>
      <c r="R119" s="11">
        <f t="shared" si="25"/>
        <v>0</v>
      </c>
      <c r="S119" s="26">
        <f t="shared" si="26"/>
        <v>0</v>
      </c>
    </row>
    <row r="120" spans="2:19" x14ac:dyDescent="0.2">
      <c r="B120" s="58">
        <v>104</v>
      </c>
      <c r="C120" s="26">
        <f>'Default parameters'!C117</f>
        <v>3.2200000000000001E-6</v>
      </c>
      <c r="D120" s="11">
        <f t="shared" si="27"/>
        <v>0</v>
      </c>
      <c r="E120" s="26">
        <f t="shared" si="18"/>
        <v>0</v>
      </c>
      <c r="F120" s="11">
        <f t="shared" si="28"/>
        <v>0</v>
      </c>
      <c r="G120" s="26">
        <f t="shared" si="19"/>
        <v>0</v>
      </c>
      <c r="H120" s="11">
        <f t="shared" si="29"/>
        <v>0</v>
      </c>
      <c r="I120" s="26">
        <f t="shared" si="20"/>
        <v>0</v>
      </c>
      <c r="J120" s="55"/>
      <c r="K120" s="56"/>
      <c r="L120" s="58">
        <v>104</v>
      </c>
      <c r="M120" s="26">
        <f>'Default parameters'!D117</f>
        <v>1.3799999999999999E-6</v>
      </c>
      <c r="N120" s="11">
        <f t="shared" si="21"/>
        <v>0</v>
      </c>
      <c r="O120" s="26">
        <f t="shared" si="22"/>
        <v>0</v>
      </c>
      <c r="P120" s="11">
        <f t="shared" si="23"/>
        <v>0</v>
      </c>
      <c r="Q120" s="26">
        <f t="shared" si="24"/>
        <v>0</v>
      </c>
      <c r="R120" s="11">
        <f t="shared" si="25"/>
        <v>0</v>
      </c>
      <c r="S120" s="26">
        <f t="shared" si="26"/>
        <v>0</v>
      </c>
    </row>
    <row r="121" spans="2:19" x14ac:dyDescent="0.2">
      <c r="B121" s="58">
        <v>105</v>
      </c>
      <c r="C121" s="26">
        <f>'Default parameters'!C118</f>
        <v>2.8899999999999999E-6</v>
      </c>
      <c r="D121" s="11">
        <f t="shared" si="27"/>
        <v>0</v>
      </c>
      <c r="E121" s="26">
        <f t="shared" si="18"/>
        <v>0</v>
      </c>
      <c r="F121" s="11">
        <f t="shared" si="28"/>
        <v>0</v>
      </c>
      <c r="G121" s="26">
        <f t="shared" si="19"/>
        <v>0</v>
      </c>
      <c r="H121" s="11">
        <f t="shared" si="29"/>
        <v>0</v>
      </c>
      <c r="I121" s="26">
        <f t="shared" si="20"/>
        <v>0</v>
      </c>
      <c r="J121" s="55"/>
      <c r="K121" s="56"/>
      <c r="L121" s="58">
        <v>105</v>
      </c>
      <c r="M121" s="26">
        <f>'Default parameters'!D118</f>
        <v>1.22E-6</v>
      </c>
      <c r="N121" s="11">
        <f t="shared" si="21"/>
        <v>0</v>
      </c>
      <c r="O121" s="26">
        <f t="shared" si="22"/>
        <v>0</v>
      </c>
      <c r="P121" s="11">
        <f t="shared" si="23"/>
        <v>0</v>
      </c>
      <c r="Q121" s="26">
        <f t="shared" si="24"/>
        <v>0</v>
      </c>
      <c r="R121" s="11">
        <f t="shared" si="25"/>
        <v>0</v>
      </c>
      <c r="S121" s="26">
        <f t="shared" si="26"/>
        <v>0</v>
      </c>
    </row>
    <row r="122" spans="2:19" x14ac:dyDescent="0.2">
      <c r="B122" s="58">
        <v>106</v>
      </c>
      <c r="C122" s="26">
        <f>'Default parameters'!C119</f>
        <v>2.5900000000000002E-6</v>
      </c>
      <c r="D122" s="11">
        <f t="shared" si="27"/>
        <v>0</v>
      </c>
      <c r="E122" s="26">
        <f t="shared" si="18"/>
        <v>0</v>
      </c>
      <c r="F122" s="11">
        <f t="shared" si="28"/>
        <v>0</v>
      </c>
      <c r="G122" s="26">
        <f t="shared" si="19"/>
        <v>0</v>
      </c>
      <c r="H122" s="11">
        <f t="shared" si="29"/>
        <v>0</v>
      </c>
      <c r="I122" s="26">
        <f t="shared" si="20"/>
        <v>0</v>
      </c>
      <c r="J122" s="55"/>
      <c r="K122" s="56"/>
      <c r="L122" s="58">
        <v>106</v>
      </c>
      <c r="M122" s="26">
        <f>'Default parameters'!D119</f>
        <v>1.0899999999999999E-6</v>
      </c>
      <c r="N122" s="11">
        <f t="shared" si="21"/>
        <v>0</v>
      </c>
      <c r="O122" s="26">
        <f t="shared" si="22"/>
        <v>0</v>
      </c>
      <c r="P122" s="11">
        <f t="shared" si="23"/>
        <v>0</v>
      </c>
      <c r="Q122" s="26">
        <f t="shared" si="24"/>
        <v>0</v>
      </c>
      <c r="R122" s="11">
        <f t="shared" si="25"/>
        <v>0</v>
      </c>
      <c r="S122" s="26">
        <f t="shared" si="26"/>
        <v>0</v>
      </c>
    </row>
    <row r="123" spans="2:19" x14ac:dyDescent="0.2">
      <c r="B123" s="58">
        <v>107</v>
      </c>
      <c r="C123" s="26">
        <f>'Default parameters'!C120</f>
        <v>2.3199999999999998E-6</v>
      </c>
      <c r="D123" s="11">
        <f t="shared" si="27"/>
        <v>0</v>
      </c>
      <c r="E123" s="26">
        <f t="shared" si="18"/>
        <v>0</v>
      </c>
      <c r="F123" s="11">
        <f t="shared" si="28"/>
        <v>0</v>
      </c>
      <c r="G123" s="26">
        <f t="shared" si="19"/>
        <v>0</v>
      </c>
      <c r="H123" s="11">
        <f t="shared" si="29"/>
        <v>0</v>
      </c>
      <c r="I123" s="26">
        <f t="shared" si="20"/>
        <v>0</v>
      </c>
      <c r="J123" s="55"/>
      <c r="K123" s="56"/>
      <c r="L123" s="58">
        <v>107</v>
      </c>
      <c r="M123" s="26">
        <f>'Default parameters'!D120</f>
        <v>9.6299999999999993E-7</v>
      </c>
      <c r="N123" s="11">
        <f t="shared" si="21"/>
        <v>0</v>
      </c>
      <c r="O123" s="26">
        <f t="shared" si="22"/>
        <v>0</v>
      </c>
      <c r="P123" s="11">
        <f t="shared" si="23"/>
        <v>0</v>
      </c>
      <c r="Q123" s="26">
        <f t="shared" si="24"/>
        <v>0</v>
      </c>
      <c r="R123" s="11">
        <f t="shared" si="25"/>
        <v>0</v>
      </c>
      <c r="S123" s="26">
        <f t="shared" si="26"/>
        <v>0</v>
      </c>
    </row>
    <row r="124" spans="2:19" x14ac:dyDescent="0.2">
      <c r="B124" s="58">
        <v>108</v>
      </c>
      <c r="C124" s="26">
        <f>'Default parameters'!C121</f>
        <v>2.0700000000000001E-6</v>
      </c>
      <c r="D124" s="11">
        <f t="shared" si="27"/>
        <v>0</v>
      </c>
      <c r="E124" s="26">
        <f t="shared" si="18"/>
        <v>0</v>
      </c>
      <c r="F124" s="11">
        <f t="shared" si="28"/>
        <v>0</v>
      </c>
      <c r="G124" s="26">
        <f t="shared" si="19"/>
        <v>0</v>
      </c>
      <c r="H124" s="11">
        <f t="shared" si="29"/>
        <v>0</v>
      </c>
      <c r="I124" s="26">
        <f t="shared" si="20"/>
        <v>0</v>
      </c>
      <c r="J124" s="55"/>
      <c r="K124" s="56"/>
      <c r="L124" s="58">
        <v>108</v>
      </c>
      <c r="M124" s="26">
        <f>'Default parameters'!D121</f>
        <v>8.5300000000000003E-7</v>
      </c>
      <c r="N124" s="11">
        <f t="shared" si="21"/>
        <v>0</v>
      </c>
      <c r="O124" s="26">
        <f t="shared" si="22"/>
        <v>0</v>
      </c>
      <c r="P124" s="11">
        <f t="shared" si="23"/>
        <v>0</v>
      </c>
      <c r="Q124" s="26">
        <f t="shared" si="24"/>
        <v>0</v>
      </c>
      <c r="R124" s="11">
        <f t="shared" si="25"/>
        <v>0</v>
      </c>
      <c r="S124" s="26">
        <f t="shared" si="26"/>
        <v>0</v>
      </c>
    </row>
    <row r="125" spans="2:19" x14ac:dyDescent="0.2">
      <c r="B125" s="58">
        <v>109</v>
      </c>
      <c r="C125" s="26">
        <f>'Default parameters'!C122</f>
        <v>1.8500000000000001E-6</v>
      </c>
      <c r="D125" s="11">
        <f t="shared" si="27"/>
        <v>0</v>
      </c>
      <c r="E125" s="26">
        <f t="shared" si="18"/>
        <v>0</v>
      </c>
      <c r="F125" s="11">
        <f t="shared" si="28"/>
        <v>0</v>
      </c>
      <c r="G125" s="26">
        <f t="shared" si="19"/>
        <v>0</v>
      </c>
      <c r="H125" s="11">
        <f t="shared" si="29"/>
        <v>0</v>
      </c>
      <c r="I125" s="26">
        <f t="shared" si="20"/>
        <v>0</v>
      </c>
      <c r="J125" s="55"/>
      <c r="K125" s="56"/>
      <c r="L125" s="58">
        <v>109</v>
      </c>
      <c r="M125" s="26">
        <f>'Default parameters'!D122</f>
        <v>7.5600000000000005E-7</v>
      </c>
      <c r="N125" s="11">
        <f t="shared" si="21"/>
        <v>0</v>
      </c>
      <c r="O125" s="26">
        <f t="shared" si="22"/>
        <v>0</v>
      </c>
      <c r="P125" s="11">
        <f t="shared" si="23"/>
        <v>0</v>
      </c>
      <c r="Q125" s="26">
        <f t="shared" si="24"/>
        <v>0</v>
      </c>
      <c r="R125" s="11">
        <f t="shared" si="25"/>
        <v>0</v>
      </c>
      <c r="S125" s="26">
        <f t="shared" si="26"/>
        <v>0</v>
      </c>
    </row>
    <row r="126" spans="2:19" x14ac:dyDescent="0.2">
      <c r="B126" s="58">
        <v>110</v>
      </c>
      <c r="C126" s="26">
        <f>'Default parameters'!C123</f>
        <v>1.66E-6</v>
      </c>
      <c r="D126" s="11">
        <f t="shared" si="27"/>
        <v>0</v>
      </c>
      <c r="E126" s="26">
        <f t="shared" si="18"/>
        <v>0</v>
      </c>
      <c r="F126" s="11">
        <f t="shared" si="28"/>
        <v>0</v>
      </c>
      <c r="G126" s="26">
        <f t="shared" si="19"/>
        <v>0</v>
      </c>
      <c r="H126" s="11">
        <f t="shared" si="29"/>
        <v>0</v>
      </c>
      <c r="I126" s="26">
        <f t="shared" si="20"/>
        <v>0</v>
      </c>
      <c r="J126" s="55"/>
      <c r="K126" s="56"/>
      <c r="L126" s="58">
        <v>110</v>
      </c>
      <c r="M126" s="26">
        <f>'Default parameters'!D123</f>
        <v>6.6899999999999997E-7</v>
      </c>
      <c r="N126" s="11">
        <f t="shared" si="21"/>
        <v>0</v>
      </c>
      <c r="O126" s="26">
        <f t="shared" si="22"/>
        <v>0</v>
      </c>
      <c r="P126" s="11">
        <f t="shared" si="23"/>
        <v>0</v>
      </c>
      <c r="Q126" s="26">
        <f t="shared" si="24"/>
        <v>0</v>
      </c>
      <c r="R126" s="11">
        <f t="shared" si="25"/>
        <v>0</v>
      </c>
      <c r="S126" s="26">
        <f t="shared" si="26"/>
        <v>0</v>
      </c>
    </row>
    <row r="127" spans="2:19" x14ac:dyDescent="0.2">
      <c r="B127" s="58">
        <v>111</v>
      </c>
      <c r="C127" s="26">
        <f>'Default parameters'!C124</f>
        <v>1.48E-6</v>
      </c>
      <c r="D127" s="11">
        <f t="shared" si="27"/>
        <v>0</v>
      </c>
      <c r="E127" s="26">
        <f t="shared" si="18"/>
        <v>0</v>
      </c>
      <c r="F127" s="11">
        <f t="shared" si="28"/>
        <v>0</v>
      </c>
      <c r="G127" s="26">
        <f t="shared" si="19"/>
        <v>0</v>
      </c>
      <c r="H127" s="11">
        <f t="shared" si="29"/>
        <v>0</v>
      </c>
      <c r="I127" s="26">
        <f t="shared" si="20"/>
        <v>0</v>
      </c>
      <c r="J127" s="55"/>
      <c r="K127" s="56"/>
      <c r="L127" s="58">
        <v>111</v>
      </c>
      <c r="M127" s="26">
        <f>'Default parameters'!D124</f>
        <v>5.9200000000000001E-7</v>
      </c>
      <c r="N127" s="11">
        <f t="shared" si="21"/>
        <v>0</v>
      </c>
      <c r="O127" s="26">
        <f t="shared" si="22"/>
        <v>0</v>
      </c>
      <c r="P127" s="11">
        <f t="shared" si="23"/>
        <v>0</v>
      </c>
      <c r="Q127" s="26">
        <f t="shared" si="24"/>
        <v>0</v>
      </c>
      <c r="R127" s="11">
        <f t="shared" si="25"/>
        <v>0</v>
      </c>
      <c r="S127" s="26">
        <f t="shared" si="26"/>
        <v>0</v>
      </c>
    </row>
    <row r="128" spans="2:19" x14ac:dyDescent="0.2">
      <c r="B128" s="58">
        <v>112</v>
      </c>
      <c r="C128" s="26">
        <f>'Default parameters'!C125</f>
        <v>1.3200000000000001E-6</v>
      </c>
      <c r="D128" s="11">
        <f t="shared" si="27"/>
        <v>0</v>
      </c>
      <c r="E128" s="26">
        <f t="shared" si="18"/>
        <v>0</v>
      </c>
      <c r="F128" s="11">
        <f t="shared" si="28"/>
        <v>0</v>
      </c>
      <c r="G128" s="26">
        <f t="shared" si="19"/>
        <v>0</v>
      </c>
      <c r="H128" s="11">
        <f t="shared" si="29"/>
        <v>0</v>
      </c>
      <c r="I128" s="26">
        <f t="shared" si="20"/>
        <v>0</v>
      </c>
      <c r="J128" s="55"/>
      <c r="K128" s="56"/>
      <c r="L128" s="58">
        <v>112</v>
      </c>
      <c r="M128" s="26">
        <f>'Default parameters'!D125</f>
        <v>5.2399999999999998E-7</v>
      </c>
      <c r="N128" s="11">
        <f t="shared" si="21"/>
        <v>0</v>
      </c>
      <c r="O128" s="26">
        <f t="shared" si="22"/>
        <v>0</v>
      </c>
      <c r="P128" s="11">
        <f t="shared" si="23"/>
        <v>0</v>
      </c>
      <c r="Q128" s="26">
        <f t="shared" si="24"/>
        <v>0</v>
      </c>
      <c r="R128" s="11">
        <f t="shared" si="25"/>
        <v>0</v>
      </c>
      <c r="S128" s="26">
        <f t="shared" si="26"/>
        <v>0</v>
      </c>
    </row>
    <row r="129" spans="2:19" x14ac:dyDescent="0.2">
      <c r="B129" s="58">
        <v>113</v>
      </c>
      <c r="C129" s="26">
        <f>'Default parameters'!C126</f>
        <v>1.1799999999999999E-6</v>
      </c>
      <c r="D129" s="11">
        <f t="shared" si="27"/>
        <v>0</v>
      </c>
      <c r="E129" s="26">
        <f t="shared" si="18"/>
        <v>0</v>
      </c>
      <c r="F129" s="11">
        <f t="shared" si="28"/>
        <v>0</v>
      </c>
      <c r="G129" s="26">
        <f t="shared" si="19"/>
        <v>0</v>
      </c>
      <c r="H129" s="11">
        <f t="shared" si="29"/>
        <v>0</v>
      </c>
      <c r="I129" s="26">
        <f t="shared" si="20"/>
        <v>0</v>
      </c>
      <c r="J129" s="55"/>
      <c r="K129" s="56"/>
      <c r="L129" s="58">
        <v>113</v>
      </c>
      <c r="M129" s="26">
        <f>'Default parameters'!D126</f>
        <v>4.63E-7</v>
      </c>
      <c r="N129" s="11">
        <f t="shared" si="21"/>
        <v>0</v>
      </c>
      <c r="O129" s="26">
        <f t="shared" si="22"/>
        <v>0</v>
      </c>
      <c r="P129" s="11">
        <f t="shared" si="23"/>
        <v>0</v>
      </c>
      <c r="Q129" s="26">
        <f t="shared" si="24"/>
        <v>0</v>
      </c>
      <c r="R129" s="11">
        <f t="shared" si="25"/>
        <v>0</v>
      </c>
      <c r="S129" s="26">
        <f t="shared" si="26"/>
        <v>0</v>
      </c>
    </row>
    <row r="130" spans="2:19" x14ac:dyDescent="0.2">
      <c r="B130" s="58">
        <v>114</v>
      </c>
      <c r="C130" s="26">
        <f>'Default parameters'!C127</f>
        <v>1.06E-6</v>
      </c>
      <c r="D130" s="11">
        <f t="shared" si="27"/>
        <v>0</v>
      </c>
      <c r="E130" s="26">
        <f t="shared" si="18"/>
        <v>0</v>
      </c>
      <c r="F130" s="11">
        <f t="shared" si="28"/>
        <v>0</v>
      </c>
      <c r="G130" s="26">
        <f t="shared" si="19"/>
        <v>0</v>
      </c>
      <c r="H130" s="11">
        <f t="shared" si="29"/>
        <v>0</v>
      </c>
      <c r="I130" s="26">
        <f t="shared" si="20"/>
        <v>0</v>
      </c>
      <c r="J130" s="55"/>
      <c r="K130" s="56"/>
      <c r="L130" s="58">
        <v>114</v>
      </c>
      <c r="M130" s="26">
        <f>'Default parameters'!D127</f>
        <v>4.0900000000000002E-7</v>
      </c>
      <c r="N130" s="11">
        <f t="shared" si="21"/>
        <v>0</v>
      </c>
      <c r="O130" s="26">
        <f t="shared" si="22"/>
        <v>0</v>
      </c>
      <c r="P130" s="11">
        <f t="shared" si="23"/>
        <v>0</v>
      </c>
      <c r="Q130" s="26">
        <f t="shared" si="24"/>
        <v>0</v>
      </c>
      <c r="R130" s="11">
        <f t="shared" si="25"/>
        <v>0</v>
      </c>
      <c r="S130" s="26">
        <f t="shared" si="26"/>
        <v>0</v>
      </c>
    </row>
    <row r="131" spans="2:19" x14ac:dyDescent="0.2">
      <c r="B131" s="58">
        <v>115</v>
      </c>
      <c r="C131" s="26">
        <f>'Default parameters'!C128</f>
        <v>9.4200000000000004E-7</v>
      </c>
      <c r="D131" s="11">
        <f t="shared" si="27"/>
        <v>0</v>
      </c>
      <c r="E131" s="26">
        <f t="shared" si="18"/>
        <v>0</v>
      </c>
      <c r="F131" s="11">
        <f t="shared" si="28"/>
        <v>0</v>
      </c>
      <c r="G131" s="26">
        <f t="shared" si="19"/>
        <v>0</v>
      </c>
      <c r="H131" s="11">
        <f t="shared" si="29"/>
        <v>0</v>
      </c>
      <c r="I131" s="26">
        <f t="shared" si="20"/>
        <v>0</v>
      </c>
      <c r="J131" s="55"/>
      <c r="K131" s="56"/>
      <c r="L131" s="58">
        <v>115</v>
      </c>
      <c r="M131" s="26">
        <f>'Default parameters'!D128</f>
        <v>3.6100000000000002E-7</v>
      </c>
      <c r="N131" s="11">
        <f t="shared" si="21"/>
        <v>0</v>
      </c>
      <c r="O131" s="26">
        <f t="shared" si="22"/>
        <v>0</v>
      </c>
      <c r="P131" s="11">
        <f t="shared" si="23"/>
        <v>0</v>
      </c>
      <c r="Q131" s="26">
        <f t="shared" si="24"/>
        <v>0</v>
      </c>
      <c r="R131" s="11">
        <f t="shared" si="25"/>
        <v>0</v>
      </c>
      <c r="S131" s="26">
        <f t="shared" si="26"/>
        <v>0</v>
      </c>
    </row>
    <row r="132" spans="2:19" x14ac:dyDescent="0.2">
      <c r="B132" s="58">
        <v>116</v>
      </c>
      <c r="C132" s="26">
        <f>'Default parameters'!C129</f>
        <v>8.4E-7</v>
      </c>
      <c r="D132" s="11">
        <f t="shared" si="27"/>
        <v>0</v>
      </c>
      <c r="E132" s="26">
        <f t="shared" si="18"/>
        <v>0</v>
      </c>
      <c r="F132" s="11">
        <f t="shared" si="28"/>
        <v>0</v>
      </c>
      <c r="G132" s="26">
        <f t="shared" si="19"/>
        <v>0</v>
      </c>
      <c r="H132" s="11">
        <f t="shared" si="29"/>
        <v>0</v>
      </c>
      <c r="I132" s="26">
        <f t="shared" si="20"/>
        <v>0</v>
      </c>
      <c r="J132" s="55"/>
      <c r="K132" s="56"/>
      <c r="L132" s="58">
        <v>116</v>
      </c>
      <c r="M132" s="26">
        <f>'Default parameters'!D129</f>
        <v>3.1899999999999998E-7</v>
      </c>
      <c r="N132" s="11">
        <f t="shared" si="21"/>
        <v>0</v>
      </c>
      <c r="O132" s="26">
        <f t="shared" si="22"/>
        <v>0</v>
      </c>
      <c r="P132" s="11">
        <f t="shared" si="23"/>
        <v>0</v>
      </c>
      <c r="Q132" s="26">
        <f t="shared" si="24"/>
        <v>0</v>
      </c>
      <c r="R132" s="11">
        <f t="shared" si="25"/>
        <v>0</v>
      </c>
      <c r="S132" s="26">
        <f t="shared" si="26"/>
        <v>0</v>
      </c>
    </row>
    <row r="133" spans="2:19" x14ac:dyDescent="0.2">
      <c r="B133" s="58">
        <v>117</v>
      </c>
      <c r="C133" s="26">
        <f>'Default parameters'!C130</f>
        <v>7.4900000000000005E-7</v>
      </c>
      <c r="D133" s="11">
        <f t="shared" si="27"/>
        <v>0</v>
      </c>
      <c r="E133" s="26">
        <f t="shared" si="18"/>
        <v>0</v>
      </c>
      <c r="F133" s="11">
        <f t="shared" si="28"/>
        <v>0</v>
      </c>
      <c r="G133" s="26">
        <f t="shared" si="19"/>
        <v>0</v>
      </c>
      <c r="H133" s="11">
        <f t="shared" si="29"/>
        <v>0</v>
      </c>
      <c r="I133" s="26">
        <f t="shared" si="20"/>
        <v>0</v>
      </c>
      <c r="J133" s="55"/>
      <c r="K133" s="56"/>
      <c r="L133" s="58">
        <v>117</v>
      </c>
      <c r="M133" s="26">
        <f>'Default parameters'!D130</f>
        <v>2.8099999999999999E-7</v>
      </c>
      <c r="N133" s="11">
        <f t="shared" si="21"/>
        <v>0</v>
      </c>
      <c r="O133" s="26">
        <f t="shared" si="22"/>
        <v>0</v>
      </c>
      <c r="P133" s="11">
        <f t="shared" si="23"/>
        <v>0</v>
      </c>
      <c r="Q133" s="26">
        <f t="shared" si="24"/>
        <v>0</v>
      </c>
      <c r="R133" s="11">
        <f t="shared" si="25"/>
        <v>0</v>
      </c>
      <c r="S133" s="26">
        <f t="shared" si="26"/>
        <v>0</v>
      </c>
    </row>
    <row r="134" spans="2:19" x14ac:dyDescent="0.2">
      <c r="B134" s="58">
        <v>118</v>
      </c>
      <c r="C134" s="26">
        <f>'Default parameters'!C131</f>
        <v>6.6700000000000003E-7</v>
      </c>
      <c r="D134" s="11">
        <f t="shared" si="27"/>
        <v>0</v>
      </c>
      <c r="E134" s="26">
        <f t="shared" si="18"/>
        <v>0</v>
      </c>
      <c r="F134" s="11">
        <f t="shared" si="28"/>
        <v>0</v>
      </c>
      <c r="G134" s="26">
        <f t="shared" si="19"/>
        <v>0</v>
      </c>
      <c r="H134" s="11">
        <f t="shared" si="29"/>
        <v>0</v>
      </c>
      <c r="I134" s="26">
        <f t="shared" si="20"/>
        <v>0</v>
      </c>
      <c r="J134" s="55"/>
      <c r="K134" s="56"/>
      <c r="L134" s="58">
        <v>118</v>
      </c>
      <c r="M134" s="26">
        <f>'Default parameters'!D131</f>
        <v>2.48E-7</v>
      </c>
      <c r="N134" s="11">
        <f t="shared" si="21"/>
        <v>0</v>
      </c>
      <c r="O134" s="26">
        <f t="shared" si="22"/>
        <v>0</v>
      </c>
      <c r="P134" s="11">
        <f t="shared" si="23"/>
        <v>0</v>
      </c>
      <c r="Q134" s="26">
        <f t="shared" si="24"/>
        <v>0</v>
      </c>
      <c r="R134" s="11">
        <f t="shared" si="25"/>
        <v>0</v>
      </c>
      <c r="S134" s="26">
        <f t="shared" si="26"/>
        <v>0</v>
      </c>
    </row>
    <row r="135" spans="2:19" x14ac:dyDescent="0.2">
      <c r="B135" s="58">
        <v>119</v>
      </c>
      <c r="C135" s="26">
        <f>'Default parameters'!C132</f>
        <v>5.9400000000000005E-7</v>
      </c>
      <c r="D135" s="11">
        <f t="shared" si="27"/>
        <v>0</v>
      </c>
      <c r="E135" s="26">
        <f t="shared" si="18"/>
        <v>0</v>
      </c>
      <c r="F135" s="11">
        <f t="shared" si="28"/>
        <v>0</v>
      </c>
      <c r="G135" s="26">
        <f t="shared" si="19"/>
        <v>0</v>
      </c>
      <c r="H135" s="11">
        <f t="shared" si="29"/>
        <v>0</v>
      </c>
      <c r="I135" s="26">
        <f t="shared" si="20"/>
        <v>0</v>
      </c>
      <c r="J135" s="55"/>
      <c r="K135" s="56"/>
      <c r="L135" s="58">
        <v>119</v>
      </c>
      <c r="M135" s="26">
        <f>'Default parameters'!D132</f>
        <v>2.1899999999999999E-7</v>
      </c>
      <c r="N135" s="11">
        <f t="shared" si="21"/>
        <v>0</v>
      </c>
      <c r="O135" s="26">
        <f t="shared" si="22"/>
        <v>0</v>
      </c>
      <c r="P135" s="11">
        <f t="shared" si="23"/>
        <v>0</v>
      </c>
      <c r="Q135" s="26">
        <f t="shared" si="24"/>
        <v>0</v>
      </c>
      <c r="R135" s="11">
        <f t="shared" si="25"/>
        <v>0</v>
      </c>
      <c r="S135" s="26">
        <f t="shared" si="26"/>
        <v>0</v>
      </c>
    </row>
    <row r="136" spans="2:19" x14ac:dyDescent="0.2">
      <c r="B136" s="58">
        <v>120</v>
      </c>
      <c r="C136" s="26">
        <f>'Default parameters'!C133</f>
        <v>5.2900000000000004E-7</v>
      </c>
      <c r="D136" s="11">
        <f t="shared" si="27"/>
        <v>0</v>
      </c>
      <c r="E136" s="26">
        <f t="shared" si="18"/>
        <v>0</v>
      </c>
      <c r="F136" s="11">
        <f t="shared" si="28"/>
        <v>0</v>
      </c>
      <c r="G136" s="26">
        <f t="shared" si="19"/>
        <v>0</v>
      </c>
      <c r="H136" s="11">
        <f t="shared" si="29"/>
        <v>0</v>
      </c>
      <c r="I136" s="26">
        <f t="shared" si="20"/>
        <v>0</v>
      </c>
      <c r="J136" s="55"/>
      <c r="K136" s="56"/>
      <c r="L136" s="58">
        <v>120</v>
      </c>
      <c r="M136" s="26">
        <f>'Default parameters'!D133</f>
        <v>1.9299999999999999E-7</v>
      </c>
      <c r="N136" s="11">
        <f t="shared" si="21"/>
        <v>0</v>
      </c>
      <c r="O136" s="26">
        <f t="shared" si="22"/>
        <v>0</v>
      </c>
      <c r="P136" s="11">
        <f t="shared" si="23"/>
        <v>0</v>
      </c>
      <c r="Q136" s="26">
        <f t="shared" si="24"/>
        <v>0</v>
      </c>
      <c r="R136" s="11">
        <f t="shared" si="25"/>
        <v>0</v>
      </c>
      <c r="S136" s="26">
        <f t="shared" si="26"/>
        <v>0</v>
      </c>
    </row>
    <row r="137" spans="2:19" x14ac:dyDescent="0.2">
      <c r="B137" s="58">
        <v>121</v>
      </c>
      <c r="C137" s="26">
        <f>'Default parameters'!C134</f>
        <v>4.7E-7</v>
      </c>
      <c r="D137" s="11">
        <f t="shared" si="27"/>
        <v>0</v>
      </c>
      <c r="E137" s="26">
        <f t="shared" si="18"/>
        <v>0</v>
      </c>
      <c r="F137" s="11">
        <f t="shared" si="28"/>
        <v>0</v>
      </c>
      <c r="G137" s="26">
        <f t="shared" si="19"/>
        <v>0</v>
      </c>
      <c r="H137" s="11">
        <f t="shared" si="29"/>
        <v>0</v>
      </c>
      <c r="I137" s="26">
        <f t="shared" si="20"/>
        <v>0</v>
      </c>
      <c r="J137" s="55"/>
      <c r="K137" s="56"/>
      <c r="L137" s="58">
        <v>121</v>
      </c>
      <c r="M137" s="26">
        <f>'Default parameters'!D134</f>
        <v>1.6999999999999999E-7</v>
      </c>
      <c r="N137" s="11">
        <f t="shared" si="21"/>
        <v>0</v>
      </c>
      <c r="O137" s="26">
        <f t="shared" si="22"/>
        <v>0</v>
      </c>
      <c r="P137" s="11">
        <f t="shared" si="23"/>
        <v>0</v>
      </c>
      <c r="Q137" s="26">
        <f t="shared" si="24"/>
        <v>0</v>
      </c>
      <c r="R137" s="11">
        <f t="shared" si="25"/>
        <v>0</v>
      </c>
      <c r="S137" s="26">
        <f t="shared" si="26"/>
        <v>0</v>
      </c>
    </row>
    <row r="138" spans="2:19" x14ac:dyDescent="0.2">
      <c r="B138" s="58">
        <v>122</v>
      </c>
      <c r="C138" s="26">
        <f>'Default parameters'!C135</f>
        <v>4.1800000000000001E-7</v>
      </c>
      <c r="D138" s="11">
        <f t="shared" si="27"/>
        <v>0</v>
      </c>
      <c r="E138" s="26">
        <f t="shared" si="18"/>
        <v>0</v>
      </c>
      <c r="F138" s="11">
        <f t="shared" si="28"/>
        <v>0</v>
      </c>
      <c r="G138" s="26">
        <f t="shared" si="19"/>
        <v>0</v>
      </c>
      <c r="H138" s="11">
        <f t="shared" si="29"/>
        <v>0</v>
      </c>
      <c r="I138" s="26">
        <f t="shared" si="20"/>
        <v>0</v>
      </c>
      <c r="J138" s="55"/>
      <c r="K138" s="56"/>
      <c r="L138" s="58">
        <v>122</v>
      </c>
      <c r="M138" s="26">
        <f>'Default parameters'!D135</f>
        <v>1.49E-7</v>
      </c>
      <c r="N138" s="11">
        <f t="shared" si="21"/>
        <v>0</v>
      </c>
      <c r="O138" s="26">
        <f t="shared" si="22"/>
        <v>0</v>
      </c>
      <c r="P138" s="11">
        <f t="shared" si="23"/>
        <v>0</v>
      </c>
      <c r="Q138" s="26">
        <f t="shared" si="24"/>
        <v>0</v>
      </c>
      <c r="R138" s="11">
        <f t="shared" si="25"/>
        <v>0</v>
      </c>
      <c r="S138" s="26">
        <f t="shared" si="26"/>
        <v>0</v>
      </c>
    </row>
    <row r="139" spans="2:19" x14ac:dyDescent="0.2">
      <c r="B139" s="58">
        <v>123</v>
      </c>
      <c r="C139" s="26">
        <f>'Default parameters'!C136</f>
        <v>3.7099999999999997E-7</v>
      </c>
      <c r="D139" s="11">
        <f t="shared" si="27"/>
        <v>0</v>
      </c>
      <c r="E139" s="26">
        <f t="shared" si="18"/>
        <v>0</v>
      </c>
      <c r="F139" s="11">
        <f t="shared" si="28"/>
        <v>0</v>
      </c>
      <c r="G139" s="26">
        <f t="shared" si="19"/>
        <v>0</v>
      </c>
      <c r="H139" s="11">
        <f t="shared" si="29"/>
        <v>0</v>
      </c>
      <c r="I139" s="26">
        <f t="shared" si="20"/>
        <v>0</v>
      </c>
      <c r="J139" s="55"/>
      <c r="K139" s="56"/>
      <c r="L139" s="58">
        <v>123</v>
      </c>
      <c r="M139" s="26">
        <f>'Default parameters'!D136</f>
        <v>1.31E-7</v>
      </c>
      <c r="N139" s="11">
        <f t="shared" si="21"/>
        <v>0</v>
      </c>
      <c r="O139" s="26">
        <f t="shared" si="22"/>
        <v>0</v>
      </c>
      <c r="P139" s="11">
        <f t="shared" si="23"/>
        <v>0</v>
      </c>
      <c r="Q139" s="26">
        <f t="shared" si="24"/>
        <v>0</v>
      </c>
      <c r="R139" s="11">
        <f t="shared" si="25"/>
        <v>0</v>
      </c>
      <c r="S139" s="26">
        <f t="shared" si="26"/>
        <v>0</v>
      </c>
    </row>
    <row r="140" spans="2:19" x14ac:dyDescent="0.2">
      <c r="B140" s="58">
        <v>124</v>
      </c>
      <c r="C140" s="26">
        <f>'Default parameters'!C137</f>
        <v>3.3000000000000002E-7</v>
      </c>
      <c r="D140" s="11">
        <f t="shared" si="27"/>
        <v>0</v>
      </c>
      <c r="E140" s="26">
        <f t="shared" si="18"/>
        <v>0</v>
      </c>
      <c r="F140" s="11">
        <f t="shared" si="28"/>
        <v>0</v>
      </c>
      <c r="G140" s="26">
        <f t="shared" si="19"/>
        <v>0</v>
      </c>
      <c r="H140" s="11">
        <f t="shared" si="29"/>
        <v>0</v>
      </c>
      <c r="I140" s="26">
        <f t="shared" si="20"/>
        <v>0</v>
      </c>
      <c r="J140" s="55"/>
      <c r="K140" s="56"/>
      <c r="L140" s="58">
        <v>124</v>
      </c>
      <c r="M140" s="26">
        <f>'Default parameters'!D137</f>
        <v>1.15E-7</v>
      </c>
      <c r="N140" s="11">
        <f t="shared" si="21"/>
        <v>0</v>
      </c>
      <c r="O140" s="26">
        <f t="shared" si="22"/>
        <v>0</v>
      </c>
      <c r="P140" s="11">
        <f t="shared" si="23"/>
        <v>0</v>
      </c>
      <c r="Q140" s="26">
        <f t="shared" si="24"/>
        <v>0</v>
      </c>
      <c r="R140" s="11">
        <f t="shared" si="25"/>
        <v>0</v>
      </c>
      <c r="S140" s="26">
        <f t="shared" si="26"/>
        <v>0</v>
      </c>
    </row>
    <row r="141" spans="2:19" x14ac:dyDescent="0.2">
      <c r="B141" s="58">
        <v>125</v>
      </c>
      <c r="C141" s="26">
        <f>'Default parameters'!C138</f>
        <v>2.9299999999999999E-7</v>
      </c>
      <c r="D141" s="11">
        <f t="shared" si="27"/>
        <v>0</v>
      </c>
      <c r="E141" s="26">
        <f t="shared" si="18"/>
        <v>0</v>
      </c>
      <c r="F141" s="11">
        <f t="shared" si="28"/>
        <v>0</v>
      </c>
      <c r="G141" s="26">
        <f t="shared" si="19"/>
        <v>0</v>
      </c>
      <c r="H141" s="11">
        <f t="shared" si="29"/>
        <v>0</v>
      </c>
      <c r="I141" s="26">
        <f t="shared" si="20"/>
        <v>0</v>
      </c>
      <c r="J141" s="55"/>
      <c r="K141" s="56"/>
      <c r="L141" s="58">
        <v>125</v>
      </c>
      <c r="M141" s="26">
        <f>'Default parameters'!D138</f>
        <v>1.01E-7</v>
      </c>
      <c r="N141" s="11">
        <f t="shared" si="21"/>
        <v>0</v>
      </c>
      <c r="O141" s="26">
        <f t="shared" si="22"/>
        <v>0</v>
      </c>
      <c r="P141" s="11">
        <f t="shared" si="23"/>
        <v>0</v>
      </c>
      <c r="Q141" s="26">
        <f t="shared" si="24"/>
        <v>0</v>
      </c>
      <c r="R141" s="11">
        <f t="shared" si="25"/>
        <v>0</v>
      </c>
      <c r="S141" s="26">
        <f t="shared" si="26"/>
        <v>0</v>
      </c>
    </row>
    <row r="142" spans="2:19" x14ac:dyDescent="0.2">
      <c r="B142" s="58">
        <v>126</v>
      </c>
      <c r="C142" s="26">
        <f>'Default parameters'!C139</f>
        <v>2.6E-7</v>
      </c>
      <c r="D142" s="11">
        <f t="shared" si="27"/>
        <v>0</v>
      </c>
      <c r="E142" s="26">
        <f t="shared" si="18"/>
        <v>0</v>
      </c>
      <c r="F142" s="11">
        <f t="shared" si="28"/>
        <v>0</v>
      </c>
      <c r="G142" s="26">
        <f t="shared" si="19"/>
        <v>0</v>
      </c>
      <c r="H142" s="11">
        <f t="shared" si="29"/>
        <v>0</v>
      </c>
      <c r="I142" s="26">
        <f t="shared" si="20"/>
        <v>0</v>
      </c>
      <c r="J142" s="55"/>
      <c r="K142" s="56"/>
      <c r="L142" s="58">
        <v>126</v>
      </c>
      <c r="M142" s="26">
        <f>'Default parameters'!D139</f>
        <v>8.8699999999999994E-8</v>
      </c>
      <c r="N142" s="11">
        <f t="shared" si="21"/>
        <v>0</v>
      </c>
      <c r="O142" s="26">
        <f t="shared" si="22"/>
        <v>0</v>
      </c>
      <c r="P142" s="11">
        <f t="shared" si="23"/>
        <v>0</v>
      </c>
      <c r="Q142" s="26">
        <f t="shared" si="24"/>
        <v>0</v>
      </c>
      <c r="R142" s="11">
        <f t="shared" si="25"/>
        <v>0</v>
      </c>
      <c r="S142" s="26">
        <f t="shared" si="26"/>
        <v>0</v>
      </c>
    </row>
    <row r="143" spans="2:19" x14ac:dyDescent="0.2">
      <c r="B143" s="58">
        <v>127</v>
      </c>
      <c r="C143" s="26">
        <f>'Default parameters'!C140</f>
        <v>2.2999999999999999E-7</v>
      </c>
      <c r="D143" s="11">
        <f t="shared" si="27"/>
        <v>0</v>
      </c>
      <c r="E143" s="26">
        <f t="shared" si="18"/>
        <v>0</v>
      </c>
      <c r="F143" s="11">
        <f t="shared" si="28"/>
        <v>0</v>
      </c>
      <c r="G143" s="26">
        <f t="shared" si="19"/>
        <v>0</v>
      </c>
      <c r="H143" s="11">
        <f t="shared" si="29"/>
        <v>0</v>
      </c>
      <c r="I143" s="26">
        <f t="shared" si="20"/>
        <v>0</v>
      </c>
      <c r="J143" s="55"/>
      <c r="K143" s="56"/>
      <c r="L143" s="58">
        <v>127</v>
      </c>
      <c r="M143" s="26">
        <f>'Default parameters'!D140</f>
        <v>7.7799999999999995E-8</v>
      </c>
      <c r="N143" s="11">
        <f t="shared" si="21"/>
        <v>0</v>
      </c>
      <c r="O143" s="26">
        <f t="shared" si="22"/>
        <v>0</v>
      </c>
      <c r="P143" s="11">
        <f t="shared" si="23"/>
        <v>0</v>
      </c>
      <c r="Q143" s="26">
        <f t="shared" si="24"/>
        <v>0</v>
      </c>
      <c r="R143" s="11">
        <f t="shared" si="25"/>
        <v>0</v>
      </c>
      <c r="S143" s="26">
        <f t="shared" si="26"/>
        <v>0</v>
      </c>
    </row>
    <row r="144" spans="2:19" x14ac:dyDescent="0.2">
      <c r="B144" s="58">
        <v>128</v>
      </c>
      <c r="C144" s="26">
        <f>'Default parameters'!C141</f>
        <v>2.04E-7</v>
      </c>
      <c r="D144" s="11">
        <f t="shared" ref="D144:D171" si="30">IF(AND(B144&gt;($D$8-1), B144&lt;$D$9),1,0)</f>
        <v>0</v>
      </c>
      <c r="E144" s="26">
        <f t="shared" si="18"/>
        <v>0</v>
      </c>
      <c r="F144" s="11">
        <f t="shared" ref="F144:F171" si="31">IF(AND(B144&gt;($E$8-1), B144&lt;$E$9),1,0)</f>
        <v>0</v>
      </c>
      <c r="G144" s="26">
        <f t="shared" si="19"/>
        <v>0</v>
      </c>
      <c r="H144" s="11">
        <f t="shared" ref="H144:H171" si="32">IF(AND(B144&gt;($F$8-1), B144&lt;$F$9),1,0)</f>
        <v>0</v>
      </c>
      <c r="I144" s="26">
        <f t="shared" si="20"/>
        <v>0</v>
      </c>
      <c r="J144" s="55"/>
      <c r="K144" s="56"/>
      <c r="L144" s="58">
        <v>128</v>
      </c>
      <c r="M144" s="26">
        <f>'Default parameters'!D141</f>
        <v>6.8200000000000002E-8</v>
      </c>
      <c r="N144" s="11">
        <f t="shared" si="21"/>
        <v>0</v>
      </c>
      <c r="O144" s="26">
        <f t="shared" si="22"/>
        <v>0</v>
      </c>
      <c r="P144" s="11">
        <f t="shared" si="23"/>
        <v>0</v>
      </c>
      <c r="Q144" s="26">
        <f t="shared" si="24"/>
        <v>0</v>
      </c>
      <c r="R144" s="11">
        <f t="shared" si="25"/>
        <v>0</v>
      </c>
      <c r="S144" s="26">
        <f t="shared" si="26"/>
        <v>0</v>
      </c>
    </row>
    <row r="145" spans="2:19" x14ac:dyDescent="0.2">
      <c r="B145" s="58">
        <v>129</v>
      </c>
      <c r="C145" s="26">
        <f>'Default parameters'!C142</f>
        <v>1.8099999999999999E-7</v>
      </c>
      <c r="D145" s="11">
        <f t="shared" si="30"/>
        <v>0</v>
      </c>
      <c r="E145" s="26">
        <f t="shared" ref="E145:E170" si="33">D145*C145</f>
        <v>0</v>
      </c>
      <c r="F145" s="11">
        <f t="shared" si="31"/>
        <v>0</v>
      </c>
      <c r="G145" s="26">
        <f t="shared" ref="G145:G171" si="34">F145*C145</f>
        <v>0</v>
      </c>
      <c r="H145" s="11">
        <f t="shared" si="32"/>
        <v>0</v>
      </c>
      <c r="I145" s="26">
        <f t="shared" ref="I145:I171" si="35">H145*C145</f>
        <v>0</v>
      </c>
      <c r="J145" s="55"/>
      <c r="K145" s="56"/>
      <c r="L145" s="58">
        <v>129</v>
      </c>
      <c r="M145" s="26">
        <f>'Default parameters'!D142</f>
        <v>5.9699999999999999E-8</v>
      </c>
      <c r="N145" s="11">
        <f t="shared" ref="N145:N171" si="36">IF(AND(L145&gt;($N$8-1), L145&lt;$N$9),1,0)</f>
        <v>0</v>
      </c>
      <c r="O145" s="26">
        <f t="shared" ref="O145:O171" si="37">N145*M145</f>
        <v>0</v>
      </c>
      <c r="P145" s="11">
        <f t="shared" ref="P145:P171" si="38">IF(AND(L145&gt;($O$8-1), L145&lt;$O$9),1,0)</f>
        <v>0</v>
      </c>
      <c r="Q145" s="26">
        <f t="shared" ref="Q145:Q171" si="39">P145*M145</f>
        <v>0</v>
      </c>
      <c r="R145" s="11">
        <f t="shared" ref="R145:R171" si="40">IF(AND(L145&gt;($P$8-1), L145&lt;$P$9),1,0)</f>
        <v>0</v>
      </c>
      <c r="S145" s="26">
        <f t="shared" ref="S145:S171" si="41">R145*M145</f>
        <v>0</v>
      </c>
    </row>
    <row r="146" spans="2:19" x14ac:dyDescent="0.2">
      <c r="B146" s="58">
        <v>130</v>
      </c>
      <c r="C146" s="26">
        <f>'Default parameters'!C143</f>
        <v>1.6E-7</v>
      </c>
      <c r="D146" s="11">
        <f t="shared" si="30"/>
        <v>0</v>
      </c>
      <c r="E146" s="26">
        <f t="shared" si="33"/>
        <v>0</v>
      </c>
      <c r="F146" s="11">
        <f t="shared" si="31"/>
        <v>0</v>
      </c>
      <c r="G146" s="26">
        <f t="shared" si="34"/>
        <v>0</v>
      </c>
      <c r="H146" s="11">
        <f t="shared" si="32"/>
        <v>0</v>
      </c>
      <c r="I146" s="26">
        <f t="shared" si="35"/>
        <v>0</v>
      </c>
      <c r="J146" s="55"/>
      <c r="K146" s="56"/>
      <c r="L146" s="58">
        <v>130</v>
      </c>
      <c r="M146" s="26">
        <f>'Default parameters'!D143</f>
        <v>5.2299999999999998E-8</v>
      </c>
      <c r="N146" s="11">
        <f t="shared" si="36"/>
        <v>0</v>
      </c>
      <c r="O146" s="26">
        <f t="shared" si="37"/>
        <v>0</v>
      </c>
      <c r="P146" s="11">
        <f t="shared" si="38"/>
        <v>0</v>
      </c>
      <c r="Q146" s="26">
        <f t="shared" si="39"/>
        <v>0</v>
      </c>
      <c r="R146" s="11">
        <f t="shared" si="40"/>
        <v>0</v>
      </c>
      <c r="S146" s="26">
        <f t="shared" si="41"/>
        <v>0</v>
      </c>
    </row>
    <row r="147" spans="2:19" x14ac:dyDescent="0.2">
      <c r="B147" s="58">
        <v>131</v>
      </c>
      <c r="C147" s="26">
        <f>'Default parameters'!C144</f>
        <v>1.4100000000000001E-7</v>
      </c>
      <c r="D147" s="11">
        <f t="shared" si="30"/>
        <v>0</v>
      </c>
      <c r="E147" s="26">
        <f t="shared" si="33"/>
        <v>0</v>
      </c>
      <c r="F147" s="11">
        <f t="shared" si="31"/>
        <v>0</v>
      </c>
      <c r="G147" s="26">
        <f t="shared" si="34"/>
        <v>0</v>
      </c>
      <c r="H147" s="11">
        <f t="shared" si="32"/>
        <v>0</v>
      </c>
      <c r="I147" s="26">
        <f t="shared" si="35"/>
        <v>0</v>
      </c>
      <c r="J147" s="55"/>
      <c r="K147" s="56"/>
      <c r="L147" s="58">
        <v>131</v>
      </c>
      <c r="M147" s="26">
        <f>'Default parameters'!D144</f>
        <v>4.5699999999999999E-8</v>
      </c>
      <c r="N147" s="11">
        <f t="shared" si="36"/>
        <v>0</v>
      </c>
      <c r="O147" s="26">
        <f t="shared" si="37"/>
        <v>0</v>
      </c>
      <c r="P147" s="11">
        <f t="shared" si="38"/>
        <v>0</v>
      </c>
      <c r="Q147" s="26">
        <f t="shared" si="39"/>
        <v>0</v>
      </c>
      <c r="R147" s="11">
        <f t="shared" si="40"/>
        <v>0</v>
      </c>
      <c r="S147" s="26">
        <f t="shared" si="41"/>
        <v>0</v>
      </c>
    </row>
    <row r="148" spans="2:19" x14ac:dyDescent="0.2">
      <c r="B148" s="58">
        <v>132</v>
      </c>
      <c r="C148" s="26">
        <f>'Default parameters'!C145</f>
        <v>1.2499999999999999E-7</v>
      </c>
      <c r="D148" s="11">
        <f t="shared" si="30"/>
        <v>0</v>
      </c>
      <c r="E148" s="26">
        <f t="shared" si="33"/>
        <v>0</v>
      </c>
      <c r="F148" s="11">
        <f t="shared" si="31"/>
        <v>0</v>
      </c>
      <c r="G148" s="26">
        <f t="shared" si="34"/>
        <v>0</v>
      </c>
      <c r="H148" s="11">
        <f t="shared" si="32"/>
        <v>0</v>
      </c>
      <c r="I148" s="26">
        <f t="shared" si="35"/>
        <v>0</v>
      </c>
      <c r="J148" s="55"/>
      <c r="K148" s="56"/>
      <c r="L148" s="58">
        <v>132</v>
      </c>
      <c r="M148" s="26">
        <f>'Default parameters'!D145</f>
        <v>4.0000000000000001E-8</v>
      </c>
      <c r="N148" s="11">
        <f t="shared" si="36"/>
        <v>0</v>
      </c>
      <c r="O148" s="26">
        <f t="shared" si="37"/>
        <v>0</v>
      </c>
      <c r="P148" s="11">
        <f t="shared" si="38"/>
        <v>0</v>
      </c>
      <c r="Q148" s="26">
        <f t="shared" si="39"/>
        <v>0</v>
      </c>
      <c r="R148" s="11">
        <f t="shared" si="40"/>
        <v>0</v>
      </c>
      <c r="S148" s="26">
        <f t="shared" si="41"/>
        <v>0</v>
      </c>
    </row>
    <row r="149" spans="2:19" x14ac:dyDescent="0.2">
      <c r="B149" s="58">
        <v>133</v>
      </c>
      <c r="C149" s="26">
        <f>'Default parameters'!C146</f>
        <v>1.1000000000000001E-7</v>
      </c>
      <c r="D149" s="11">
        <f t="shared" si="30"/>
        <v>0</v>
      </c>
      <c r="E149" s="26">
        <f t="shared" si="33"/>
        <v>0</v>
      </c>
      <c r="F149" s="11">
        <f t="shared" si="31"/>
        <v>0</v>
      </c>
      <c r="G149" s="26">
        <f t="shared" si="34"/>
        <v>0</v>
      </c>
      <c r="H149" s="11">
        <f t="shared" si="32"/>
        <v>0</v>
      </c>
      <c r="I149" s="26">
        <f t="shared" si="35"/>
        <v>0</v>
      </c>
      <c r="J149" s="55"/>
      <c r="K149" s="56"/>
      <c r="L149" s="58">
        <v>133</v>
      </c>
      <c r="M149" s="26">
        <f>'Default parameters'!D146</f>
        <v>3.4900000000000001E-8</v>
      </c>
      <c r="N149" s="11">
        <f t="shared" si="36"/>
        <v>0</v>
      </c>
      <c r="O149" s="26">
        <f t="shared" si="37"/>
        <v>0</v>
      </c>
      <c r="P149" s="11">
        <f t="shared" si="38"/>
        <v>0</v>
      </c>
      <c r="Q149" s="26">
        <f t="shared" si="39"/>
        <v>0</v>
      </c>
      <c r="R149" s="11">
        <f t="shared" si="40"/>
        <v>0</v>
      </c>
      <c r="S149" s="26">
        <f t="shared" si="41"/>
        <v>0</v>
      </c>
    </row>
    <row r="150" spans="2:19" x14ac:dyDescent="0.2">
      <c r="B150" s="58">
        <v>134</v>
      </c>
      <c r="C150" s="26">
        <f>'Default parameters'!C147</f>
        <v>9.7300000000000004E-8</v>
      </c>
      <c r="D150" s="11">
        <f t="shared" si="30"/>
        <v>0</v>
      </c>
      <c r="E150" s="26">
        <f t="shared" si="33"/>
        <v>0</v>
      </c>
      <c r="F150" s="11">
        <f t="shared" si="31"/>
        <v>0</v>
      </c>
      <c r="G150" s="26">
        <f t="shared" si="34"/>
        <v>0</v>
      </c>
      <c r="H150" s="11">
        <f t="shared" si="32"/>
        <v>0</v>
      </c>
      <c r="I150" s="26">
        <f t="shared" si="35"/>
        <v>0</v>
      </c>
      <c r="J150" s="55"/>
      <c r="K150" s="56"/>
      <c r="L150" s="58">
        <v>134</v>
      </c>
      <c r="M150" s="26">
        <f>'Default parameters'!D147</f>
        <v>3.0500000000000002E-8</v>
      </c>
      <c r="N150" s="11">
        <f t="shared" si="36"/>
        <v>0</v>
      </c>
      <c r="O150" s="26">
        <f t="shared" si="37"/>
        <v>0</v>
      </c>
      <c r="P150" s="11">
        <f t="shared" si="38"/>
        <v>0</v>
      </c>
      <c r="Q150" s="26">
        <f t="shared" si="39"/>
        <v>0</v>
      </c>
      <c r="R150" s="11">
        <f t="shared" si="40"/>
        <v>0</v>
      </c>
      <c r="S150" s="26">
        <f t="shared" si="41"/>
        <v>0</v>
      </c>
    </row>
    <row r="151" spans="2:19" x14ac:dyDescent="0.2">
      <c r="B151" s="58">
        <v>135</v>
      </c>
      <c r="C151" s="26">
        <f>'Default parameters'!C148</f>
        <v>8.5800000000000001E-8</v>
      </c>
      <c r="D151" s="11">
        <f t="shared" si="30"/>
        <v>0</v>
      </c>
      <c r="E151" s="26">
        <f t="shared" si="33"/>
        <v>0</v>
      </c>
      <c r="F151" s="11">
        <f t="shared" si="31"/>
        <v>0</v>
      </c>
      <c r="G151" s="26">
        <f t="shared" si="34"/>
        <v>0</v>
      </c>
      <c r="H151" s="11">
        <f t="shared" si="32"/>
        <v>0</v>
      </c>
      <c r="I151" s="26">
        <f t="shared" si="35"/>
        <v>0</v>
      </c>
      <c r="J151" s="55"/>
      <c r="K151" s="56"/>
      <c r="L151" s="58">
        <v>135</v>
      </c>
      <c r="M151" s="26">
        <f>'Default parameters'!D148</f>
        <v>2.66E-8</v>
      </c>
      <c r="N151" s="11">
        <f t="shared" si="36"/>
        <v>0</v>
      </c>
      <c r="O151" s="26">
        <f t="shared" si="37"/>
        <v>0</v>
      </c>
      <c r="P151" s="11">
        <f t="shared" si="38"/>
        <v>0</v>
      </c>
      <c r="Q151" s="26">
        <f t="shared" si="39"/>
        <v>0</v>
      </c>
      <c r="R151" s="11">
        <f t="shared" si="40"/>
        <v>0</v>
      </c>
      <c r="S151" s="26">
        <f t="shared" si="41"/>
        <v>0</v>
      </c>
    </row>
    <row r="152" spans="2:19" x14ac:dyDescent="0.2">
      <c r="B152" s="58">
        <v>136</v>
      </c>
      <c r="C152" s="26">
        <f>'Default parameters'!C149</f>
        <v>7.5600000000000002E-8</v>
      </c>
      <c r="D152" s="11">
        <f t="shared" si="30"/>
        <v>0</v>
      </c>
      <c r="E152" s="26">
        <f t="shared" si="33"/>
        <v>0</v>
      </c>
      <c r="F152" s="11">
        <f t="shared" si="31"/>
        <v>0</v>
      </c>
      <c r="G152" s="26">
        <f t="shared" si="34"/>
        <v>0</v>
      </c>
      <c r="H152" s="11">
        <f t="shared" si="32"/>
        <v>0</v>
      </c>
      <c r="I152" s="26">
        <f t="shared" si="35"/>
        <v>0</v>
      </c>
      <c r="J152" s="55"/>
      <c r="K152" s="56"/>
      <c r="L152" s="58">
        <v>136</v>
      </c>
      <c r="M152" s="26">
        <f>'Default parameters'!D149</f>
        <v>2.3199999999999999E-8</v>
      </c>
      <c r="N152" s="11">
        <f t="shared" si="36"/>
        <v>0</v>
      </c>
      <c r="O152" s="26">
        <f t="shared" si="37"/>
        <v>0</v>
      </c>
      <c r="P152" s="11">
        <f t="shared" si="38"/>
        <v>0</v>
      </c>
      <c r="Q152" s="26">
        <f t="shared" si="39"/>
        <v>0</v>
      </c>
      <c r="R152" s="11">
        <f t="shared" si="40"/>
        <v>0</v>
      </c>
      <c r="S152" s="26">
        <f t="shared" si="41"/>
        <v>0</v>
      </c>
    </row>
    <row r="153" spans="2:19" x14ac:dyDescent="0.2">
      <c r="B153" s="58">
        <v>137</v>
      </c>
      <c r="C153" s="26">
        <f>'Default parameters'!C150</f>
        <v>6.6600000000000001E-8</v>
      </c>
      <c r="D153" s="11">
        <f t="shared" si="30"/>
        <v>0</v>
      </c>
      <c r="E153" s="26">
        <f t="shared" si="33"/>
        <v>0</v>
      </c>
      <c r="F153" s="11">
        <f t="shared" si="31"/>
        <v>0</v>
      </c>
      <c r="G153" s="26">
        <f t="shared" si="34"/>
        <v>0</v>
      </c>
      <c r="H153" s="11">
        <f t="shared" si="32"/>
        <v>0</v>
      </c>
      <c r="I153" s="26">
        <f t="shared" si="35"/>
        <v>0</v>
      </c>
      <c r="J153" s="55"/>
      <c r="K153" s="56"/>
      <c r="L153" s="58">
        <v>137</v>
      </c>
      <c r="M153" s="26">
        <f>'Default parameters'!D150</f>
        <v>2.0199999999999999E-8</v>
      </c>
      <c r="N153" s="11">
        <f t="shared" si="36"/>
        <v>0</v>
      </c>
      <c r="O153" s="26">
        <f t="shared" si="37"/>
        <v>0</v>
      </c>
      <c r="P153" s="11">
        <f t="shared" si="38"/>
        <v>0</v>
      </c>
      <c r="Q153" s="26">
        <f t="shared" si="39"/>
        <v>0</v>
      </c>
      <c r="R153" s="11">
        <f t="shared" si="40"/>
        <v>0</v>
      </c>
      <c r="S153" s="26">
        <f t="shared" si="41"/>
        <v>0</v>
      </c>
    </row>
    <row r="154" spans="2:19" x14ac:dyDescent="0.2">
      <c r="B154" s="58">
        <v>138</v>
      </c>
      <c r="C154" s="26">
        <f>'Default parameters'!C151</f>
        <v>5.8600000000000002E-8</v>
      </c>
      <c r="D154" s="11">
        <f t="shared" si="30"/>
        <v>0</v>
      </c>
      <c r="E154" s="26">
        <f t="shared" si="33"/>
        <v>0</v>
      </c>
      <c r="F154" s="11">
        <f t="shared" si="31"/>
        <v>0</v>
      </c>
      <c r="G154" s="26">
        <f t="shared" si="34"/>
        <v>0</v>
      </c>
      <c r="H154" s="11">
        <f t="shared" si="32"/>
        <v>0</v>
      </c>
      <c r="I154" s="26">
        <f t="shared" si="35"/>
        <v>0</v>
      </c>
      <c r="J154" s="55"/>
      <c r="K154" s="56"/>
      <c r="L154" s="58">
        <v>138</v>
      </c>
      <c r="M154" s="26">
        <f>'Default parameters'!D151</f>
        <v>1.7500000000000001E-8</v>
      </c>
      <c r="N154" s="11">
        <f t="shared" si="36"/>
        <v>0</v>
      </c>
      <c r="O154" s="26">
        <f t="shared" si="37"/>
        <v>0</v>
      </c>
      <c r="P154" s="11">
        <f t="shared" si="38"/>
        <v>0</v>
      </c>
      <c r="Q154" s="26">
        <f t="shared" si="39"/>
        <v>0</v>
      </c>
      <c r="R154" s="11">
        <f t="shared" si="40"/>
        <v>0</v>
      </c>
      <c r="S154" s="26">
        <f t="shared" si="41"/>
        <v>0</v>
      </c>
    </row>
    <row r="155" spans="2:19" x14ac:dyDescent="0.2">
      <c r="B155" s="58">
        <v>139</v>
      </c>
      <c r="C155" s="26">
        <f>'Default parameters'!C152</f>
        <v>5.1599999999999999E-8</v>
      </c>
      <c r="D155" s="11">
        <f t="shared" si="30"/>
        <v>0</v>
      </c>
      <c r="E155" s="26">
        <f t="shared" si="33"/>
        <v>0</v>
      </c>
      <c r="F155" s="11">
        <f t="shared" si="31"/>
        <v>0</v>
      </c>
      <c r="G155" s="26">
        <f t="shared" si="34"/>
        <v>0</v>
      </c>
      <c r="H155" s="11">
        <f t="shared" si="32"/>
        <v>0</v>
      </c>
      <c r="I155" s="26">
        <f t="shared" si="35"/>
        <v>0</v>
      </c>
      <c r="J155" s="55"/>
      <c r="K155" s="56"/>
      <c r="L155" s="58">
        <v>139</v>
      </c>
      <c r="M155" s="26">
        <f>'Default parameters'!D152</f>
        <v>1.5300000000000001E-8</v>
      </c>
      <c r="N155" s="11">
        <f t="shared" si="36"/>
        <v>0</v>
      </c>
      <c r="O155" s="26">
        <f t="shared" si="37"/>
        <v>0</v>
      </c>
      <c r="P155" s="11">
        <f t="shared" si="38"/>
        <v>0</v>
      </c>
      <c r="Q155" s="26">
        <f t="shared" si="39"/>
        <v>0</v>
      </c>
      <c r="R155" s="11">
        <f t="shared" si="40"/>
        <v>0</v>
      </c>
      <c r="S155" s="26">
        <f t="shared" si="41"/>
        <v>0</v>
      </c>
    </row>
    <row r="156" spans="2:19" x14ac:dyDescent="0.2">
      <c r="B156" s="58">
        <v>140</v>
      </c>
      <c r="C156" s="26">
        <f>'Default parameters'!C153</f>
        <v>4.5300000000000002E-8</v>
      </c>
      <c r="D156" s="11">
        <f t="shared" si="30"/>
        <v>0</v>
      </c>
      <c r="E156" s="26">
        <f t="shared" si="33"/>
        <v>0</v>
      </c>
      <c r="F156" s="11">
        <f t="shared" si="31"/>
        <v>0</v>
      </c>
      <c r="G156" s="26">
        <f t="shared" si="34"/>
        <v>0</v>
      </c>
      <c r="H156" s="11">
        <f t="shared" si="32"/>
        <v>0</v>
      </c>
      <c r="I156" s="26">
        <f t="shared" si="35"/>
        <v>0</v>
      </c>
      <c r="J156" s="55"/>
      <c r="K156" s="56"/>
      <c r="L156" s="58">
        <v>140</v>
      </c>
      <c r="M156" s="26">
        <f>'Default parameters'!D153</f>
        <v>1.33E-8</v>
      </c>
      <c r="N156" s="11">
        <f t="shared" si="36"/>
        <v>0</v>
      </c>
      <c r="O156" s="26">
        <f t="shared" si="37"/>
        <v>0</v>
      </c>
      <c r="P156" s="11">
        <f t="shared" si="38"/>
        <v>0</v>
      </c>
      <c r="Q156" s="26">
        <f t="shared" si="39"/>
        <v>0</v>
      </c>
      <c r="R156" s="11">
        <f t="shared" si="40"/>
        <v>0</v>
      </c>
      <c r="S156" s="26">
        <f t="shared" si="41"/>
        <v>0</v>
      </c>
    </row>
    <row r="157" spans="2:19" x14ac:dyDescent="0.2">
      <c r="B157" s="58">
        <v>141</v>
      </c>
      <c r="C157" s="26">
        <f>'Default parameters'!C154</f>
        <v>3.9799999999999999E-8</v>
      </c>
      <c r="D157" s="11">
        <f t="shared" si="30"/>
        <v>0</v>
      </c>
      <c r="E157" s="26">
        <f t="shared" si="33"/>
        <v>0</v>
      </c>
      <c r="F157" s="11">
        <f t="shared" si="31"/>
        <v>0</v>
      </c>
      <c r="G157" s="26">
        <f t="shared" si="34"/>
        <v>0</v>
      </c>
      <c r="H157" s="11">
        <f t="shared" si="32"/>
        <v>0</v>
      </c>
      <c r="I157" s="26">
        <f t="shared" si="35"/>
        <v>0</v>
      </c>
      <c r="J157" s="55"/>
      <c r="K157" s="56"/>
      <c r="L157" s="58">
        <v>141</v>
      </c>
      <c r="M157" s="26">
        <f>'Default parameters'!D154</f>
        <v>1.15E-8</v>
      </c>
      <c r="N157" s="11">
        <f t="shared" si="36"/>
        <v>0</v>
      </c>
      <c r="O157" s="26">
        <f t="shared" si="37"/>
        <v>0</v>
      </c>
      <c r="P157" s="11">
        <f t="shared" si="38"/>
        <v>0</v>
      </c>
      <c r="Q157" s="26">
        <f t="shared" si="39"/>
        <v>0</v>
      </c>
      <c r="R157" s="11">
        <f t="shared" si="40"/>
        <v>0</v>
      </c>
      <c r="S157" s="26">
        <f t="shared" si="41"/>
        <v>0</v>
      </c>
    </row>
    <row r="158" spans="2:19" x14ac:dyDescent="0.2">
      <c r="B158" s="58">
        <v>142</v>
      </c>
      <c r="C158" s="26">
        <f>'Default parameters'!C155</f>
        <v>3.5000000000000002E-8</v>
      </c>
      <c r="D158" s="11">
        <f t="shared" si="30"/>
        <v>0</v>
      </c>
      <c r="E158" s="26">
        <f t="shared" si="33"/>
        <v>0</v>
      </c>
      <c r="F158" s="11">
        <f t="shared" si="31"/>
        <v>0</v>
      </c>
      <c r="G158" s="26">
        <f t="shared" si="34"/>
        <v>0</v>
      </c>
      <c r="H158" s="11">
        <f t="shared" si="32"/>
        <v>0</v>
      </c>
      <c r="I158" s="26">
        <f t="shared" si="35"/>
        <v>0</v>
      </c>
      <c r="J158" s="55"/>
      <c r="K158" s="56"/>
      <c r="L158" s="58">
        <v>142</v>
      </c>
      <c r="M158" s="26">
        <f>'Default parameters'!D155</f>
        <v>9.9800000000000007E-9</v>
      </c>
      <c r="N158" s="11">
        <f t="shared" si="36"/>
        <v>0</v>
      </c>
      <c r="O158" s="26">
        <f t="shared" si="37"/>
        <v>0</v>
      </c>
      <c r="P158" s="11">
        <f t="shared" si="38"/>
        <v>0</v>
      </c>
      <c r="Q158" s="26">
        <f t="shared" si="39"/>
        <v>0</v>
      </c>
      <c r="R158" s="11">
        <f t="shared" si="40"/>
        <v>0</v>
      </c>
      <c r="S158" s="26">
        <f t="shared" si="41"/>
        <v>0</v>
      </c>
    </row>
    <row r="159" spans="2:19" x14ac:dyDescent="0.2">
      <c r="B159" s="58">
        <v>143</v>
      </c>
      <c r="C159" s="26">
        <f>'Default parameters'!C156</f>
        <v>3.0699999999999997E-8</v>
      </c>
      <c r="D159" s="11">
        <f t="shared" si="30"/>
        <v>0</v>
      </c>
      <c r="E159" s="26">
        <f t="shared" si="33"/>
        <v>0</v>
      </c>
      <c r="F159" s="11">
        <f t="shared" si="31"/>
        <v>0</v>
      </c>
      <c r="G159" s="26">
        <f t="shared" si="34"/>
        <v>0</v>
      </c>
      <c r="H159" s="11">
        <f t="shared" si="32"/>
        <v>0</v>
      </c>
      <c r="I159" s="26">
        <f t="shared" si="35"/>
        <v>0</v>
      </c>
      <c r="J159" s="55"/>
      <c r="K159" s="56"/>
      <c r="L159" s="58">
        <v>143</v>
      </c>
      <c r="M159" s="26">
        <f>'Default parameters'!D156</f>
        <v>8.6499999999999997E-9</v>
      </c>
      <c r="N159" s="11">
        <f t="shared" si="36"/>
        <v>0</v>
      </c>
      <c r="O159" s="26">
        <f t="shared" si="37"/>
        <v>0</v>
      </c>
      <c r="P159" s="11">
        <f t="shared" si="38"/>
        <v>0</v>
      </c>
      <c r="Q159" s="26">
        <f t="shared" si="39"/>
        <v>0</v>
      </c>
      <c r="R159" s="11">
        <f t="shared" si="40"/>
        <v>0</v>
      </c>
      <c r="S159" s="26">
        <f t="shared" si="41"/>
        <v>0</v>
      </c>
    </row>
    <row r="160" spans="2:19" x14ac:dyDescent="0.2">
      <c r="B160" s="58">
        <v>144</v>
      </c>
      <c r="C160" s="26">
        <f>'Default parameters'!C157</f>
        <v>2.6899999999999999E-8</v>
      </c>
      <c r="D160" s="11">
        <f t="shared" si="30"/>
        <v>0</v>
      </c>
      <c r="E160" s="26">
        <f t="shared" si="33"/>
        <v>0</v>
      </c>
      <c r="F160" s="11">
        <f t="shared" si="31"/>
        <v>0</v>
      </c>
      <c r="G160" s="26">
        <f t="shared" si="34"/>
        <v>0</v>
      </c>
      <c r="H160" s="11">
        <f t="shared" si="32"/>
        <v>0</v>
      </c>
      <c r="I160" s="26">
        <f t="shared" si="35"/>
        <v>0</v>
      </c>
      <c r="J160" s="55"/>
      <c r="K160" s="56"/>
      <c r="L160" s="58">
        <v>144</v>
      </c>
      <c r="M160" s="26">
        <f>'Default parameters'!D157</f>
        <v>7.4899999999999996E-9</v>
      </c>
      <c r="N160" s="11">
        <f t="shared" si="36"/>
        <v>0</v>
      </c>
      <c r="O160" s="26">
        <f t="shared" si="37"/>
        <v>0</v>
      </c>
      <c r="P160" s="11">
        <f t="shared" si="38"/>
        <v>0</v>
      </c>
      <c r="Q160" s="26">
        <f t="shared" si="39"/>
        <v>0</v>
      </c>
      <c r="R160" s="11">
        <f t="shared" si="40"/>
        <v>0</v>
      </c>
      <c r="S160" s="26">
        <f t="shared" si="41"/>
        <v>0</v>
      </c>
    </row>
    <row r="161" spans="2:19" x14ac:dyDescent="0.2">
      <c r="B161" s="58">
        <v>145</v>
      </c>
      <c r="C161" s="26">
        <f>'Default parameters'!C158</f>
        <v>2.3499999999999999E-8</v>
      </c>
      <c r="D161" s="11">
        <f t="shared" si="30"/>
        <v>0</v>
      </c>
      <c r="E161" s="26">
        <f t="shared" si="33"/>
        <v>0</v>
      </c>
      <c r="F161" s="11">
        <f t="shared" si="31"/>
        <v>0</v>
      </c>
      <c r="G161" s="26">
        <f t="shared" si="34"/>
        <v>0</v>
      </c>
      <c r="H161" s="11">
        <f t="shared" si="32"/>
        <v>0</v>
      </c>
      <c r="I161" s="26">
        <f t="shared" si="35"/>
        <v>0</v>
      </c>
      <c r="J161" s="55"/>
      <c r="K161" s="56"/>
      <c r="L161" s="58">
        <v>145</v>
      </c>
      <c r="M161" s="26">
        <f>'Default parameters'!D158</f>
        <v>6.4899999999999997E-9</v>
      </c>
      <c r="N161" s="11">
        <f t="shared" si="36"/>
        <v>0</v>
      </c>
      <c r="O161" s="26">
        <f t="shared" si="37"/>
        <v>0</v>
      </c>
      <c r="P161" s="11">
        <f t="shared" si="38"/>
        <v>0</v>
      </c>
      <c r="Q161" s="26">
        <f t="shared" si="39"/>
        <v>0</v>
      </c>
      <c r="R161" s="11">
        <f t="shared" si="40"/>
        <v>0</v>
      </c>
      <c r="S161" s="26">
        <f t="shared" si="41"/>
        <v>0</v>
      </c>
    </row>
    <row r="162" spans="2:19" x14ac:dyDescent="0.2">
      <c r="B162" s="58">
        <v>146</v>
      </c>
      <c r="C162" s="26">
        <f>'Default parameters'!C159</f>
        <v>2.0599999999999999E-8</v>
      </c>
      <c r="D162" s="11">
        <f t="shared" si="30"/>
        <v>0</v>
      </c>
      <c r="E162" s="26">
        <f t="shared" si="33"/>
        <v>0</v>
      </c>
      <c r="F162" s="11">
        <f t="shared" si="31"/>
        <v>0</v>
      </c>
      <c r="G162" s="26">
        <f t="shared" si="34"/>
        <v>0</v>
      </c>
      <c r="H162" s="11">
        <f t="shared" si="32"/>
        <v>0</v>
      </c>
      <c r="I162" s="26">
        <f t="shared" si="35"/>
        <v>0</v>
      </c>
      <c r="J162" s="55"/>
      <c r="K162" s="56"/>
      <c r="L162" s="58">
        <v>146</v>
      </c>
      <c r="M162" s="26">
        <f>'Default parameters'!D159</f>
        <v>5.6100000000000003E-9</v>
      </c>
      <c r="N162" s="11">
        <f t="shared" si="36"/>
        <v>0</v>
      </c>
      <c r="O162" s="26">
        <f t="shared" si="37"/>
        <v>0</v>
      </c>
      <c r="P162" s="11">
        <f t="shared" si="38"/>
        <v>0</v>
      </c>
      <c r="Q162" s="26">
        <f t="shared" si="39"/>
        <v>0</v>
      </c>
      <c r="R162" s="11">
        <f t="shared" si="40"/>
        <v>0</v>
      </c>
      <c r="S162" s="26">
        <f t="shared" si="41"/>
        <v>0</v>
      </c>
    </row>
    <row r="163" spans="2:19" x14ac:dyDescent="0.2">
      <c r="B163" s="58">
        <v>147</v>
      </c>
      <c r="C163" s="26">
        <f>'Default parameters'!C160</f>
        <v>1.7999999999999999E-8</v>
      </c>
      <c r="D163" s="11">
        <f t="shared" si="30"/>
        <v>0</v>
      </c>
      <c r="E163" s="26">
        <f t="shared" si="33"/>
        <v>0</v>
      </c>
      <c r="F163" s="11">
        <f t="shared" si="31"/>
        <v>0</v>
      </c>
      <c r="G163" s="26">
        <f t="shared" si="34"/>
        <v>0</v>
      </c>
      <c r="H163" s="11">
        <f t="shared" si="32"/>
        <v>0</v>
      </c>
      <c r="I163" s="26">
        <f t="shared" si="35"/>
        <v>0</v>
      </c>
      <c r="J163" s="55"/>
      <c r="K163" s="56"/>
      <c r="L163" s="58">
        <v>147</v>
      </c>
      <c r="M163" s="26">
        <f>'Default parameters'!D160</f>
        <v>4.8399999999999998E-9</v>
      </c>
      <c r="N163" s="11">
        <f t="shared" si="36"/>
        <v>0</v>
      </c>
      <c r="O163" s="26">
        <f t="shared" si="37"/>
        <v>0</v>
      </c>
      <c r="P163" s="11">
        <f t="shared" si="38"/>
        <v>0</v>
      </c>
      <c r="Q163" s="26">
        <f t="shared" si="39"/>
        <v>0</v>
      </c>
      <c r="R163" s="11">
        <f t="shared" si="40"/>
        <v>0</v>
      </c>
      <c r="S163" s="26">
        <f t="shared" si="41"/>
        <v>0</v>
      </c>
    </row>
    <row r="164" spans="2:19" x14ac:dyDescent="0.2">
      <c r="B164" s="58">
        <v>148</v>
      </c>
      <c r="C164" s="26">
        <f>'Default parameters'!C161</f>
        <v>1.5700000000000002E-8</v>
      </c>
      <c r="D164" s="11">
        <f t="shared" si="30"/>
        <v>0</v>
      </c>
      <c r="E164" s="26">
        <f t="shared" si="33"/>
        <v>0</v>
      </c>
      <c r="F164" s="11">
        <f t="shared" si="31"/>
        <v>0</v>
      </c>
      <c r="G164" s="26">
        <f t="shared" si="34"/>
        <v>0</v>
      </c>
      <c r="H164" s="11">
        <f t="shared" si="32"/>
        <v>0</v>
      </c>
      <c r="I164" s="26">
        <f t="shared" si="35"/>
        <v>0</v>
      </c>
      <c r="J164" s="55"/>
      <c r="K164" s="56"/>
      <c r="L164" s="58">
        <v>148</v>
      </c>
      <c r="M164" s="26">
        <f>'Default parameters'!D161</f>
        <v>4.18E-9</v>
      </c>
      <c r="N164" s="11">
        <f t="shared" si="36"/>
        <v>0</v>
      </c>
      <c r="O164" s="26">
        <f t="shared" si="37"/>
        <v>0</v>
      </c>
      <c r="P164" s="11">
        <f t="shared" si="38"/>
        <v>0</v>
      </c>
      <c r="Q164" s="26">
        <f t="shared" si="39"/>
        <v>0</v>
      </c>
      <c r="R164" s="11">
        <f t="shared" si="40"/>
        <v>0</v>
      </c>
      <c r="S164" s="26">
        <f t="shared" si="41"/>
        <v>0</v>
      </c>
    </row>
    <row r="165" spans="2:19" x14ac:dyDescent="0.2">
      <c r="B165" s="58">
        <v>149</v>
      </c>
      <c r="C165" s="26">
        <f>'Default parameters'!C162</f>
        <v>1.37E-8</v>
      </c>
      <c r="D165" s="11">
        <f t="shared" si="30"/>
        <v>0</v>
      </c>
      <c r="E165" s="26">
        <f t="shared" si="33"/>
        <v>0</v>
      </c>
      <c r="F165" s="11">
        <f t="shared" si="31"/>
        <v>0</v>
      </c>
      <c r="G165" s="26">
        <f t="shared" si="34"/>
        <v>0</v>
      </c>
      <c r="H165" s="11">
        <f t="shared" si="32"/>
        <v>0</v>
      </c>
      <c r="I165" s="26">
        <f t="shared" si="35"/>
        <v>0</v>
      </c>
      <c r="J165" s="55"/>
      <c r="K165" s="56"/>
      <c r="L165" s="58">
        <v>149</v>
      </c>
      <c r="M165" s="26">
        <f>'Default parameters'!D162</f>
        <v>3.6100000000000001E-9</v>
      </c>
      <c r="N165" s="11">
        <f t="shared" si="36"/>
        <v>0</v>
      </c>
      <c r="O165" s="26">
        <f t="shared" si="37"/>
        <v>0</v>
      </c>
      <c r="P165" s="11">
        <f t="shared" si="38"/>
        <v>0</v>
      </c>
      <c r="Q165" s="26">
        <f t="shared" si="39"/>
        <v>0</v>
      </c>
      <c r="R165" s="11">
        <f t="shared" si="40"/>
        <v>0</v>
      </c>
      <c r="S165" s="26">
        <f t="shared" si="41"/>
        <v>0</v>
      </c>
    </row>
    <row r="166" spans="2:19" x14ac:dyDescent="0.2">
      <c r="B166" s="58">
        <v>150</v>
      </c>
      <c r="C166" s="26">
        <f>'Default parameters'!C163</f>
        <v>1.2E-8</v>
      </c>
      <c r="D166" s="11">
        <f t="shared" si="30"/>
        <v>0</v>
      </c>
      <c r="E166" s="26">
        <f t="shared" si="33"/>
        <v>0</v>
      </c>
      <c r="F166" s="11">
        <f t="shared" si="31"/>
        <v>0</v>
      </c>
      <c r="G166" s="26">
        <f t="shared" si="34"/>
        <v>0</v>
      </c>
      <c r="H166" s="11">
        <f t="shared" si="32"/>
        <v>0</v>
      </c>
      <c r="I166" s="26">
        <f t="shared" si="35"/>
        <v>0</v>
      </c>
      <c r="J166" s="55"/>
      <c r="K166" s="56"/>
      <c r="L166" s="58">
        <v>150</v>
      </c>
      <c r="M166" s="26">
        <f>'Default parameters'!D163</f>
        <v>3.1099999999999998E-9</v>
      </c>
      <c r="N166" s="11">
        <f t="shared" si="36"/>
        <v>0</v>
      </c>
      <c r="O166" s="26">
        <f t="shared" si="37"/>
        <v>0</v>
      </c>
      <c r="P166" s="11">
        <f t="shared" si="38"/>
        <v>0</v>
      </c>
      <c r="Q166" s="26">
        <f t="shared" si="39"/>
        <v>0</v>
      </c>
      <c r="R166" s="11">
        <f t="shared" si="40"/>
        <v>0</v>
      </c>
      <c r="S166" s="26">
        <f t="shared" si="41"/>
        <v>0</v>
      </c>
    </row>
    <row r="167" spans="2:19" x14ac:dyDescent="0.2">
      <c r="B167" s="58">
        <v>151</v>
      </c>
      <c r="C167" s="26">
        <f>'Default parameters'!C164</f>
        <v>1.04E-8</v>
      </c>
      <c r="D167" s="11">
        <f t="shared" si="30"/>
        <v>0</v>
      </c>
      <c r="E167" s="26">
        <f t="shared" si="33"/>
        <v>0</v>
      </c>
      <c r="F167" s="11">
        <f t="shared" si="31"/>
        <v>0</v>
      </c>
      <c r="G167" s="26">
        <f t="shared" si="34"/>
        <v>0</v>
      </c>
      <c r="H167" s="11">
        <f t="shared" si="32"/>
        <v>0</v>
      </c>
      <c r="I167" s="26">
        <f t="shared" si="35"/>
        <v>0</v>
      </c>
      <c r="J167" s="55"/>
      <c r="K167" s="56"/>
      <c r="L167" s="58">
        <v>151</v>
      </c>
      <c r="M167" s="26">
        <f>'Default parameters'!D164</f>
        <v>2.6700000000000001E-9</v>
      </c>
      <c r="N167" s="11">
        <f t="shared" si="36"/>
        <v>0</v>
      </c>
      <c r="O167" s="26">
        <f t="shared" si="37"/>
        <v>0</v>
      </c>
      <c r="P167" s="11">
        <f t="shared" si="38"/>
        <v>0</v>
      </c>
      <c r="Q167" s="26">
        <f t="shared" si="39"/>
        <v>0</v>
      </c>
      <c r="R167" s="11">
        <f t="shared" si="40"/>
        <v>0</v>
      </c>
      <c r="S167" s="26">
        <f t="shared" si="41"/>
        <v>0</v>
      </c>
    </row>
    <row r="168" spans="2:19" x14ac:dyDescent="0.2">
      <c r="B168" s="58">
        <v>152</v>
      </c>
      <c r="C168" s="26">
        <f>'Default parameters'!C165</f>
        <v>9.0900000000000007E-9</v>
      </c>
      <c r="D168" s="11">
        <f t="shared" si="30"/>
        <v>0</v>
      </c>
      <c r="E168" s="26">
        <f t="shared" si="33"/>
        <v>0</v>
      </c>
      <c r="F168" s="11">
        <f t="shared" si="31"/>
        <v>0</v>
      </c>
      <c r="G168" s="26">
        <f t="shared" si="34"/>
        <v>0</v>
      </c>
      <c r="H168" s="11">
        <f t="shared" si="32"/>
        <v>0</v>
      </c>
      <c r="I168" s="26">
        <f t="shared" si="35"/>
        <v>0</v>
      </c>
      <c r="J168" s="55"/>
      <c r="K168" s="56"/>
      <c r="L168" s="58">
        <v>152</v>
      </c>
      <c r="M168" s="26">
        <f>'Default parameters'!D165</f>
        <v>2.2999999999999999E-9</v>
      </c>
      <c r="N168" s="11">
        <f t="shared" si="36"/>
        <v>0</v>
      </c>
      <c r="O168" s="26">
        <f t="shared" si="37"/>
        <v>0</v>
      </c>
      <c r="P168" s="11">
        <f t="shared" si="38"/>
        <v>0</v>
      </c>
      <c r="Q168" s="26">
        <f t="shared" si="39"/>
        <v>0</v>
      </c>
      <c r="R168" s="11">
        <f t="shared" si="40"/>
        <v>0</v>
      </c>
      <c r="S168" s="26">
        <f t="shared" si="41"/>
        <v>0</v>
      </c>
    </row>
    <row r="169" spans="2:19" x14ac:dyDescent="0.2">
      <c r="B169" s="58">
        <v>153</v>
      </c>
      <c r="C169" s="26">
        <f>'Default parameters'!C166</f>
        <v>7.9099999999999994E-9</v>
      </c>
      <c r="D169" s="11">
        <f t="shared" si="30"/>
        <v>0</v>
      </c>
      <c r="E169" s="26">
        <f t="shared" si="33"/>
        <v>0</v>
      </c>
      <c r="F169" s="11">
        <f t="shared" si="31"/>
        <v>0</v>
      </c>
      <c r="G169" s="26">
        <f t="shared" si="34"/>
        <v>0</v>
      </c>
      <c r="H169" s="11">
        <f t="shared" si="32"/>
        <v>0</v>
      </c>
      <c r="I169" s="26">
        <f t="shared" si="35"/>
        <v>0</v>
      </c>
      <c r="J169" s="55"/>
      <c r="K169" s="56"/>
      <c r="L169" s="58">
        <v>153</v>
      </c>
      <c r="M169" s="26">
        <f>'Default parameters'!D166</f>
        <v>1.9800000000000002E-9</v>
      </c>
      <c r="N169" s="11">
        <f t="shared" si="36"/>
        <v>0</v>
      </c>
      <c r="O169" s="26">
        <f t="shared" si="37"/>
        <v>0</v>
      </c>
      <c r="P169" s="11">
        <f t="shared" si="38"/>
        <v>0</v>
      </c>
      <c r="Q169" s="26">
        <f t="shared" si="39"/>
        <v>0</v>
      </c>
      <c r="R169" s="11">
        <f t="shared" si="40"/>
        <v>0</v>
      </c>
      <c r="S169" s="26">
        <f t="shared" si="41"/>
        <v>0</v>
      </c>
    </row>
    <row r="170" spans="2:19" x14ac:dyDescent="0.2">
      <c r="B170" s="58">
        <v>154</v>
      </c>
      <c r="C170" s="26">
        <f>'Default parameters'!C167</f>
        <v>6.8699999999999996E-9</v>
      </c>
      <c r="D170" s="11">
        <f t="shared" si="30"/>
        <v>0</v>
      </c>
      <c r="E170" s="26">
        <f t="shared" si="33"/>
        <v>0</v>
      </c>
      <c r="F170" s="11">
        <f t="shared" si="31"/>
        <v>0</v>
      </c>
      <c r="G170" s="26">
        <f t="shared" si="34"/>
        <v>0</v>
      </c>
      <c r="H170" s="11">
        <f t="shared" si="32"/>
        <v>0</v>
      </c>
      <c r="I170" s="26">
        <f t="shared" si="35"/>
        <v>0</v>
      </c>
      <c r="J170" s="55"/>
      <c r="K170" s="56"/>
      <c r="L170" s="58">
        <v>154</v>
      </c>
      <c r="M170" s="26">
        <f>'Default parameters'!D167</f>
        <v>1.6999999999999999E-9</v>
      </c>
      <c r="N170" s="11">
        <f t="shared" si="36"/>
        <v>0</v>
      </c>
      <c r="O170" s="26">
        <f t="shared" si="37"/>
        <v>0</v>
      </c>
      <c r="P170" s="11">
        <f t="shared" si="38"/>
        <v>0</v>
      </c>
      <c r="Q170" s="26">
        <f t="shared" si="39"/>
        <v>0</v>
      </c>
      <c r="R170" s="11">
        <f t="shared" si="40"/>
        <v>0</v>
      </c>
      <c r="S170" s="26">
        <f t="shared" si="41"/>
        <v>0</v>
      </c>
    </row>
    <row r="171" spans="2:19" x14ac:dyDescent="0.2">
      <c r="B171" s="58">
        <v>155</v>
      </c>
      <c r="C171" s="26">
        <f>'Default parameters'!C168</f>
        <v>5.9699999999999999E-9</v>
      </c>
      <c r="D171" s="11">
        <f t="shared" si="30"/>
        <v>0</v>
      </c>
      <c r="E171" s="26">
        <f>D171*C171</f>
        <v>0</v>
      </c>
      <c r="F171" s="11">
        <f t="shared" si="31"/>
        <v>0</v>
      </c>
      <c r="G171" s="26">
        <f t="shared" si="34"/>
        <v>0</v>
      </c>
      <c r="H171" s="11">
        <f t="shared" si="32"/>
        <v>0</v>
      </c>
      <c r="I171" s="26">
        <f t="shared" si="35"/>
        <v>0</v>
      </c>
      <c r="J171" s="55"/>
      <c r="K171" s="56"/>
      <c r="L171" s="58">
        <v>155</v>
      </c>
      <c r="M171" s="26">
        <f>'Default parameters'!D168</f>
        <v>1.4599999999999999E-9</v>
      </c>
      <c r="N171" s="11">
        <f t="shared" si="36"/>
        <v>0</v>
      </c>
      <c r="O171" s="26">
        <f t="shared" si="37"/>
        <v>0</v>
      </c>
      <c r="P171" s="11">
        <f t="shared" si="38"/>
        <v>0</v>
      </c>
      <c r="Q171" s="26">
        <f t="shared" si="39"/>
        <v>0</v>
      </c>
      <c r="R171" s="11">
        <f t="shared" si="40"/>
        <v>0</v>
      </c>
      <c r="S171" s="26">
        <f t="shared" si="41"/>
        <v>0</v>
      </c>
    </row>
    <row r="172" spans="2:19" x14ac:dyDescent="0.2">
      <c r="B172" s="58">
        <v>156</v>
      </c>
      <c r="C172" s="26">
        <f>'Default parameters'!C169</f>
        <v>5.1799999999999999E-9</v>
      </c>
      <c r="D172" s="11">
        <f t="shared" ref="D172:D235" si="42">IF(AND(B172&gt;($D$8-1), B172&lt;$D$9),1,0)</f>
        <v>0</v>
      </c>
      <c r="E172" s="26">
        <f t="shared" ref="E172:E235" si="43">D172*C172</f>
        <v>0</v>
      </c>
      <c r="F172" s="11">
        <f t="shared" ref="F172:F235" si="44">IF(AND(B172&gt;($E$8-1), B172&lt;$E$9),1,0)</f>
        <v>0</v>
      </c>
      <c r="G172" s="26">
        <f t="shared" ref="G172:G235" si="45">F172*C172</f>
        <v>0</v>
      </c>
      <c r="H172" s="11">
        <f t="shared" ref="H172:H235" si="46">IF(AND(B172&gt;($F$8-1), B172&lt;$F$9),1,0)</f>
        <v>0</v>
      </c>
      <c r="I172" s="26">
        <f t="shared" ref="I172:I235" si="47">H172*C172</f>
        <v>0</v>
      </c>
      <c r="J172" s="55"/>
      <c r="K172" s="56"/>
      <c r="L172" s="58">
        <v>156</v>
      </c>
      <c r="M172" s="26">
        <f>'Default parameters'!D169</f>
        <v>1.25E-9</v>
      </c>
      <c r="N172" s="11">
        <f t="shared" ref="N172:N235" si="48">IF(AND(L172&gt;($N$8-1), L172&lt;$N$9),1,0)</f>
        <v>0</v>
      </c>
      <c r="O172" s="26">
        <f t="shared" ref="O172:O235" si="49">N172*M172</f>
        <v>0</v>
      </c>
      <c r="P172" s="11">
        <f t="shared" ref="P172:P235" si="50">IF(AND(L172&gt;($O$8-1), L172&lt;$O$9),1,0)</f>
        <v>0</v>
      </c>
      <c r="Q172" s="26">
        <f t="shared" ref="Q172:Q235" si="51">P172*M172</f>
        <v>0</v>
      </c>
      <c r="R172" s="11">
        <f t="shared" ref="R172:R235" si="52">IF(AND(L172&gt;($P$8-1), L172&lt;$P$9),1,0)</f>
        <v>0</v>
      </c>
      <c r="S172" s="26">
        <f t="shared" ref="S172:S235" si="53">R172*M172</f>
        <v>0</v>
      </c>
    </row>
    <row r="173" spans="2:19" x14ac:dyDescent="0.2">
      <c r="B173" s="58">
        <v>157</v>
      </c>
      <c r="C173" s="26">
        <f>'Default parameters'!C170</f>
        <v>4.49E-9</v>
      </c>
      <c r="D173" s="11">
        <f t="shared" si="42"/>
        <v>0</v>
      </c>
      <c r="E173" s="26">
        <f t="shared" si="43"/>
        <v>0</v>
      </c>
      <c r="F173" s="11">
        <f t="shared" si="44"/>
        <v>0</v>
      </c>
      <c r="G173" s="26">
        <f t="shared" si="45"/>
        <v>0</v>
      </c>
      <c r="H173" s="11">
        <f t="shared" si="46"/>
        <v>0</v>
      </c>
      <c r="I173" s="26">
        <f t="shared" si="47"/>
        <v>0</v>
      </c>
      <c r="J173" s="55"/>
      <c r="K173" s="56"/>
      <c r="L173" s="58">
        <v>157</v>
      </c>
      <c r="M173" s="26">
        <f>'Default parameters'!D170</f>
        <v>1.07E-9</v>
      </c>
      <c r="N173" s="11">
        <f t="shared" si="48"/>
        <v>0</v>
      </c>
      <c r="O173" s="26">
        <f t="shared" si="49"/>
        <v>0</v>
      </c>
      <c r="P173" s="11">
        <f t="shared" si="50"/>
        <v>0</v>
      </c>
      <c r="Q173" s="26">
        <f t="shared" si="51"/>
        <v>0</v>
      </c>
      <c r="R173" s="11">
        <f t="shared" si="52"/>
        <v>0</v>
      </c>
      <c r="S173" s="26">
        <f t="shared" si="53"/>
        <v>0</v>
      </c>
    </row>
    <row r="174" spans="2:19" x14ac:dyDescent="0.2">
      <c r="B174" s="58">
        <v>158</v>
      </c>
      <c r="C174" s="26">
        <f>'Default parameters'!C171</f>
        <v>3.8899999999999996E-9</v>
      </c>
      <c r="D174" s="11">
        <f t="shared" si="42"/>
        <v>0</v>
      </c>
      <c r="E174" s="26">
        <f t="shared" si="43"/>
        <v>0</v>
      </c>
      <c r="F174" s="11">
        <f t="shared" si="44"/>
        <v>0</v>
      </c>
      <c r="G174" s="26">
        <f t="shared" si="45"/>
        <v>0</v>
      </c>
      <c r="H174" s="11">
        <f t="shared" si="46"/>
        <v>0</v>
      </c>
      <c r="I174" s="26">
        <f t="shared" si="47"/>
        <v>0</v>
      </c>
      <c r="J174" s="55"/>
      <c r="K174" s="56"/>
      <c r="L174" s="58">
        <v>158</v>
      </c>
      <c r="M174" s="26">
        <f>'Default parameters'!D171</f>
        <v>9.1199999999999995E-10</v>
      </c>
      <c r="N174" s="11">
        <f t="shared" si="48"/>
        <v>0</v>
      </c>
      <c r="O174" s="26">
        <f t="shared" si="49"/>
        <v>0</v>
      </c>
      <c r="P174" s="11">
        <f t="shared" si="50"/>
        <v>0</v>
      </c>
      <c r="Q174" s="26">
        <f t="shared" si="51"/>
        <v>0</v>
      </c>
      <c r="R174" s="11">
        <f t="shared" si="52"/>
        <v>0</v>
      </c>
      <c r="S174" s="26">
        <f t="shared" si="53"/>
        <v>0</v>
      </c>
    </row>
    <row r="175" spans="2:19" x14ac:dyDescent="0.2">
      <c r="B175" s="58">
        <v>159</v>
      </c>
      <c r="C175" s="26">
        <f>'Default parameters'!C172</f>
        <v>3.3700000000000001E-9</v>
      </c>
      <c r="D175" s="11">
        <f t="shared" si="42"/>
        <v>0</v>
      </c>
      <c r="E175" s="26">
        <f t="shared" si="43"/>
        <v>0</v>
      </c>
      <c r="F175" s="11">
        <f t="shared" si="44"/>
        <v>0</v>
      </c>
      <c r="G175" s="26">
        <f t="shared" si="45"/>
        <v>0</v>
      </c>
      <c r="H175" s="11">
        <f t="shared" si="46"/>
        <v>0</v>
      </c>
      <c r="I175" s="26">
        <f t="shared" si="47"/>
        <v>0</v>
      </c>
      <c r="J175" s="55"/>
      <c r="K175" s="56"/>
      <c r="L175" s="58">
        <v>159</v>
      </c>
      <c r="M175" s="26">
        <f>'Default parameters'!D172</f>
        <v>7.7999999999999999E-10</v>
      </c>
      <c r="N175" s="11">
        <f t="shared" si="48"/>
        <v>0</v>
      </c>
      <c r="O175" s="26">
        <f t="shared" si="49"/>
        <v>0</v>
      </c>
      <c r="P175" s="11">
        <f t="shared" si="50"/>
        <v>0</v>
      </c>
      <c r="Q175" s="26">
        <f t="shared" si="51"/>
        <v>0</v>
      </c>
      <c r="R175" s="11">
        <f t="shared" si="52"/>
        <v>0</v>
      </c>
      <c r="S175" s="26">
        <f t="shared" si="53"/>
        <v>0</v>
      </c>
    </row>
    <row r="176" spans="2:19" x14ac:dyDescent="0.2">
      <c r="B176" s="58">
        <v>160</v>
      </c>
      <c r="C176" s="26">
        <f>'Default parameters'!C173</f>
        <v>2.9100000000000001E-9</v>
      </c>
      <c r="D176" s="11">
        <f t="shared" si="42"/>
        <v>0</v>
      </c>
      <c r="E176" s="26">
        <f t="shared" si="43"/>
        <v>0</v>
      </c>
      <c r="F176" s="11">
        <f t="shared" si="44"/>
        <v>0</v>
      </c>
      <c r="G176" s="26">
        <f t="shared" si="45"/>
        <v>0</v>
      </c>
      <c r="H176" s="11">
        <f t="shared" si="46"/>
        <v>0</v>
      </c>
      <c r="I176" s="26">
        <f t="shared" si="47"/>
        <v>0</v>
      </c>
      <c r="J176" s="55"/>
      <c r="K176" s="56"/>
      <c r="L176" s="58">
        <v>160</v>
      </c>
      <c r="M176" s="26">
        <f>'Default parameters'!D173</f>
        <v>6.6499999999999998E-10</v>
      </c>
      <c r="N176" s="11">
        <f t="shared" si="48"/>
        <v>0</v>
      </c>
      <c r="O176" s="26">
        <f t="shared" si="49"/>
        <v>0</v>
      </c>
      <c r="P176" s="11">
        <f t="shared" si="50"/>
        <v>0</v>
      </c>
      <c r="Q176" s="26">
        <f t="shared" si="51"/>
        <v>0</v>
      </c>
      <c r="R176" s="11">
        <f t="shared" si="52"/>
        <v>0</v>
      </c>
      <c r="S176" s="26">
        <f t="shared" si="53"/>
        <v>0</v>
      </c>
    </row>
    <row r="177" spans="2:19" x14ac:dyDescent="0.2">
      <c r="B177" s="58">
        <v>161</v>
      </c>
      <c r="C177" s="26">
        <f>'Default parameters'!C174</f>
        <v>2.5099999999999998E-9</v>
      </c>
      <c r="D177" s="11">
        <f t="shared" si="42"/>
        <v>0</v>
      </c>
      <c r="E177" s="26">
        <f t="shared" si="43"/>
        <v>0</v>
      </c>
      <c r="F177" s="11">
        <f t="shared" si="44"/>
        <v>0</v>
      </c>
      <c r="G177" s="26">
        <f t="shared" si="45"/>
        <v>0</v>
      </c>
      <c r="H177" s="11">
        <f t="shared" si="46"/>
        <v>0</v>
      </c>
      <c r="I177" s="26">
        <f t="shared" si="47"/>
        <v>0</v>
      </c>
      <c r="J177" s="55"/>
      <c r="K177" s="56"/>
      <c r="L177" s="58">
        <v>161</v>
      </c>
      <c r="M177" s="26">
        <f>'Default parameters'!D174</f>
        <v>5.6700000000000001E-10</v>
      </c>
      <c r="N177" s="11">
        <f t="shared" si="48"/>
        <v>0</v>
      </c>
      <c r="O177" s="26">
        <f t="shared" si="49"/>
        <v>0</v>
      </c>
      <c r="P177" s="11">
        <f t="shared" si="50"/>
        <v>0</v>
      </c>
      <c r="Q177" s="26">
        <f t="shared" si="51"/>
        <v>0</v>
      </c>
      <c r="R177" s="11">
        <f t="shared" si="52"/>
        <v>0</v>
      </c>
      <c r="S177" s="26">
        <f t="shared" si="53"/>
        <v>0</v>
      </c>
    </row>
    <row r="178" spans="2:19" x14ac:dyDescent="0.2">
      <c r="B178" s="58">
        <v>162</v>
      </c>
      <c r="C178" s="26">
        <f>'Default parameters'!C175</f>
        <v>2.1700000000000002E-9</v>
      </c>
      <c r="D178" s="11">
        <f t="shared" si="42"/>
        <v>0</v>
      </c>
      <c r="E178" s="26">
        <f t="shared" si="43"/>
        <v>0</v>
      </c>
      <c r="F178" s="11">
        <f t="shared" si="44"/>
        <v>0</v>
      </c>
      <c r="G178" s="26">
        <f t="shared" si="45"/>
        <v>0</v>
      </c>
      <c r="H178" s="11">
        <f t="shared" si="46"/>
        <v>0</v>
      </c>
      <c r="I178" s="26">
        <f t="shared" si="47"/>
        <v>0</v>
      </c>
      <c r="J178" s="55"/>
      <c r="K178" s="56"/>
      <c r="L178" s="58">
        <v>162</v>
      </c>
      <c r="M178" s="26">
        <f>'Default parameters'!D175</f>
        <v>4.8299999999999999E-10</v>
      </c>
      <c r="N178" s="11">
        <f t="shared" si="48"/>
        <v>0</v>
      </c>
      <c r="O178" s="26">
        <f t="shared" si="49"/>
        <v>0</v>
      </c>
      <c r="P178" s="11">
        <f t="shared" si="50"/>
        <v>0</v>
      </c>
      <c r="Q178" s="26">
        <f t="shared" si="51"/>
        <v>0</v>
      </c>
      <c r="R178" s="11">
        <f t="shared" si="52"/>
        <v>0</v>
      </c>
      <c r="S178" s="26">
        <f t="shared" si="53"/>
        <v>0</v>
      </c>
    </row>
    <row r="179" spans="2:19" x14ac:dyDescent="0.2">
      <c r="B179" s="58">
        <v>163</v>
      </c>
      <c r="C179" s="26">
        <f>'Default parameters'!C176</f>
        <v>1.87E-9</v>
      </c>
      <c r="D179" s="11">
        <f t="shared" si="42"/>
        <v>0</v>
      </c>
      <c r="E179" s="26">
        <f t="shared" si="43"/>
        <v>0</v>
      </c>
      <c r="F179" s="11">
        <f t="shared" si="44"/>
        <v>0</v>
      </c>
      <c r="G179" s="26">
        <f t="shared" si="45"/>
        <v>0</v>
      </c>
      <c r="H179" s="11">
        <f t="shared" si="46"/>
        <v>0</v>
      </c>
      <c r="I179" s="26">
        <f t="shared" si="47"/>
        <v>0</v>
      </c>
      <c r="J179" s="55"/>
      <c r="K179" s="56"/>
      <c r="L179" s="58">
        <v>163</v>
      </c>
      <c r="M179" s="26">
        <f>'Default parameters'!D176</f>
        <v>4.1099999999999998E-10</v>
      </c>
      <c r="N179" s="11">
        <f t="shared" si="48"/>
        <v>0</v>
      </c>
      <c r="O179" s="26">
        <f t="shared" si="49"/>
        <v>0</v>
      </c>
      <c r="P179" s="11">
        <f t="shared" si="50"/>
        <v>0</v>
      </c>
      <c r="Q179" s="26">
        <f t="shared" si="51"/>
        <v>0</v>
      </c>
      <c r="R179" s="11">
        <f t="shared" si="52"/>
        <v>0</v>
      </c>
      <c r="S179" s="26">
        <f t="shared" si="53"/>
        <v>0</v>
      </c>
    </row>
    <row r="180" spans="2:19" x14ac:dyDescent="0.2">
      <c r="B180" s="58">
        <v>164</v>
      </c>
      <c r="C180" s="26">
        <f>'Default parameters'!C177</f>
        <v>1.61E-9</v>
      </c>
      <c r="D180" s="11">
        <f t="shared" si="42"/>
        <v>0</v>
      </c>
      <c r="E180" s="26">
        <f t="shared" si="43"/>
        <v>0</v>
      </c>
      <c r="F180" s="11">
        <f t="shared" si="44"/>
        <v>0</v>
      </c>
      <c r="G180" s="26">
        <f t="shared" si="45"/>
        <v>0</v>
      </c>
      <c r="H180" s="11">
        <f t="shared" si="46"/>
        <v>0</v>
      </c>
      <c r="I180" s="26">
        <f t="shared" si="47"/>
        <v>0</v>
      </c>
      <c r="J180" s="55"/>
      <c r="K180" s="56"/>
      <c r="L180" s="58">
        <v>164</v>
      </c>
      <c r="M180" s="26">
        <f>'Default parameters'!D177</f>
        <v>3.4899999999999998E-10</v>
      </c>
      <c r="N180" s="11">
        <f t="shared" si="48"/>
        <v>0</v>
      </c>
      <c r="O180" s="26">
        <f t="shared" si="49"/>
        <v>0</v>
      </c>
      <c r="P180" s="11">
        <f t="shared" si="50"/>
        <v>0</v>
      </c>
      <c r="Q180" s="26">
        <f t="shared" si="51"/>
        <v>0</v>
      </c>
      <c r="R180" s="11">
        <f t="shared" si="52"/>
        <v>0</v>
      </c>
      <c r="S180" s="26">
        <f t="shared" si="53"/>
        <v>0</v>
      </c>
    </row>
    <row r="181" spans="2:19" x14ac:dyDescent="0.2">
      <c r="B181" s="58">
        <v>165</v>
      </c>
      <c r="C181" s="26">
        <f>'Default parameters'!C178</f>
        <v>1.39E-9</v>
      </c>
      <c r="D181" s="11">
        <f t="shared" si="42"/>
        <v>0</v>
      </c>
      <c r="E181" s="26">
        <f t="shared" si="43"/>
        <v>0</v>
      </c>
      <c r="F181" s="11">
        <f t="shared" si="44"/>
        <v>0</v>
      </c>
      <c r="G181" s="26">
        <f t="shared" si="45"/>
        <v>0</v>
      </c>
      <c r="H181" s="11">
        <f t="shared" si="46"/>
        <v>0</v>
      </c>
      <c r="I181" s="26">
        <f t="shared" si="47"/>
        <v>0</v>
      </c>
      <c r="J181" s="55"/>
      <c r="K181" s="56"/>
      <c r="L181" s="58">
        <v>165</v>
      </c>
      <c r="M181" s="26">
        <f>'Default parameters'!D178</f>
        <v>2.9600000000000001E-10</v>
      </c>
      <c r="N181" s="11">
        <f t="shared" si="48"/>
        <v>0</v>
      </c>
      <c r="O181" s="26">
        <f t="shared" si="49"/>
        <v>0</v>
      </c>
      <c r="P181" s="11">
        <f t="shared" si="50"/>
        <v>0</v>
      </c>
      <c r="Q181" s="26">
        <f t="shared" si="51"/>
        <v>0</v>
      </c>
      <c r="R181" s="11">
        <f t="shared" si="52"/>
        <v>0</v>
      </c>
      <c r="S181" s="26">
        <f t="shared" si="53"/>
        <v>0</v>
      </c>
    </row>
    <row r="182" spans="2:19" x14ac:dyDescent="0.2">
      <c r="B182" s="58">
        <v>166</v>
      </c>
      <c r="C182" s="26">
        <f>'Default parameters'!C179</f>
        <v>1.19E-9</v>
      </c>
      <c r="D182" s="11">
        <f t="shared" si="42"/>
        <v>0</v>
      </c>
      <c r="E182" s="26">
        <f t="shared" si="43"/>
        <v>0</v>
      </c>
      <c r="F182" s="11">
        <f t="shared" si="44"/>
        <v>0</v>
      </c>
      <c r="G182" s="26">
        <f t="shared" si="45"/>
        <v>0</v>
      </c>
      <c r="H182" s="11">
        <f t="shared" si="46"/>
        <v>0</v>
      </c>
      <c r="I182" s="26">
        <f t="shared" si="47"/>
        <v>0</v>
      </c>
      <c r="J182" s="55"/>
      <c r="K182" s="56"/>
      <c r="L182" s="58">
        <v>166</v>
      </c>
      <c r="M182" s="26">
        <f>'Default parameters'!D179</f>
        <v>2.5100000000000001E-10</v>
      </c>
      <c r="N182" s="11">
        <f t="shared" si="48"/>
        <v>0</v>
      </c>
      <c r="O182" s="26">
        <f t="shared" si="49"/>
        <v>0</v>
      </c>
      <c r="P182" s="11">
        <f t="shared" si="50"/>
        <v>0</v>
      </c>
      <c r="Q182" s="26">
        <f t="shared" si="51"/>
        <v>0</v>
      </c>
      <c r="R182" s="11">
        <f t="shared" si="52"/>
        <v>0</v>
      </c>
      <c r="S182" s="26">
        <f t="shared" si="53"/>
        <v>0</v>
      </c>
    </row>
    <row r="183" spans="2:19" x14ac:dyDescent="0.2">
      <c r="B183" s="58">
        <v>167</v>
      </c>
      <c r="C183" s="26">
        <f>'Default parameters'!C180</f>
        <v>1.02E-9</v>
      </c>
      <c r="D183" s="11">
        <f t="shared" si="42"/>
        <v>0</v>
      </c>
      <c r="E183" s="26">
        <f t="shared" si="43"/>
        <v>0</v>
      </c>
      <c r="F183" s="11">
        <f t="shared" si="44"/>
        <v>0</v>
      </c>
      <c r="G183" s="26">
        <f t="shared" si="45"/>
        <v>0</v>
      </c>
      <c r="H183" s="11">
        <f t="shared" si="46"/>
        <v>0</v>
      </c>
      <c r="I183" s="26">
        <f t="shared" si="47"/>
        <v>0</v>
      </c>
      <c r="J183" s="55"/>
      <c r="K183" s="56"/>
      <c r="L183" s="58">
        <v>167</v>
      </c>
      <c r="M183" s="26">
        <f>'Default parameters'!D180</f>
        <v>2.1299999999999999E-10</v>
      </c>
      <c r="N183" s="11">
        <f t="shared" si="48"/>
        <v>0</v>
      </c>
      <c r="O183" s="26">
        <f t="shared" si="49"/>
        <v>0</v>
      </c>
      <c r="P183" s="11">
        <f t="shared" si="50"/>
        <v>0</v>
      </c>
      <c r="Q183" s="26">
        <f t="shared" si="51"/>
        <v>0</v>
      </c>
      <c r="R183" s="11">
        <f t="shared" si="52"/>
        <v>0</v>
      </c>
      <c r="S183" s="26">
        <f t="shared" si="53"/>
        <v>0</v>
      </c>
    </row>
    <row r="184" spans="2:19" x14ac:dyDescent="0.2">
      <c r="B184" s="58">
        <v>168</v>
      </c>
      <c r="C184" s="26">
        <f>'Default parameters'!C181</f>
        <v>8.7799999999999997E-10</v>
      </c>
      <c r="D184" s="11">
        <f t="shared" si="42"/>
        <v>0</v>
      </c>
      <c r="E184" s="26">
        <f t="shared" si="43"/>
        <v>0</v>
      </c>
      <c r="F184" s="11">
        <f t="shared" si="44"/>
        <v>0</v>
      </c>
      <c r="G184" s="26">
        <f t="shared" si="45"/>
        <v>0</v>
      </c>
      <c r="H184" s="11">
        <f t="shared" si="46"/>
        <v>0</v>
      </c>
      <c r="I184" s="26">
        <f t="shared" si="47"/>
        <v>0</v>
      </c>
      <c r="J184" s="55"/>
      <c r="K184" s="56"/>
      <c r="L184" s="58">
        <v>168</v>
      </c>
      <c r="M184" s="26">
        <f>'Default parameters'!D181</f>
        <v>1.8E-10</v>
      </c>
      <c r="N184" s="11">
        <f t="shared" si="48"/>
        <v>0</v>
      </c>
      <c r="O184" s="26">
        <f t="shared" si="49"/>
        <v>0</v>
      </c>
      <c r="P184" s="11">
        <f t="shared" si="50"/>
        <v>0</v>
      </c>
      <c r="Q184" s="26">
        <f t="shared" si="51"/>
        <v>0</v>
      </c>
      <c r="R184" s="11">
        <f t="shared" si="52"/>
        <v>0</v>
      </c>
      <c r="S184" s="26">
        <f t="shared" si="53"/>
        <v>0</v>
      </c>
    </row>
    <row r="185" spans="2:19" x14ac:dyDescent="0.2">
      <c r="B185" s="58">
        <v>169</v>
      </c>
      <c r="C185" s="26">
        <f>'Default parameters'!C182</f>
        <v>7.5299999999999998E-10</v>
      </c>
      <c r="D185" s="11">
        <f t="shared" si="42"/>
        <v>0</v>
      </c>
      <c r="E185" s="26">
        <f t="shared" si="43"/>
        <v>0</v>
      </c>
      <c r="F185" s="11">
        <f t="shared" si="44"/>
        <v>0</v>
      </c>
      <c r="G185" s="26">
        <f t="shared" si="45"/>
        <v>0</v>
      </c>
      <c r="H185" s="11">
        <f t="shared" si="46"/>
        <v>0</v>
      </c>
      <c r="I185" s="26">
        <f t="shared" si="47"/>
        <v>0</v>
      </c>
      <c r="J185" s="55"/>
      <c r="K185" s="56"/>
      <c r="L185" s="58">
        <v>169</v>
      </c>
      <c r="M185" s="26">
        <f>'Default parameters'!D182</f>
        <v>1.5199999999999999E-10</v>
      </c>
      <c r="N185" s="11">
        <f t="shared" si="48"/>
        <v>0</v>
      </c>
      <c r="O185" s="26">
        <f t="shared" si="49"/>
        <v>0</v>
      </c>
      <c r="P185" s="11">
        <f t="shared" si="50"/>
        <v>0</v>
      </c>
      <c r="Q185" s="26">
        <f t="shared" si="51"/>
        <v>0</v>
      </c>
      <c r="R185" s="11">
        <f t="shared" si="52"/>
        <v>0</v>
      </c>
      <c r="S185" s="26">
        <f t="shared" si="53"/>
        <v>0</v>
      </c>
    </row>
    <row r="186" spans="2:19" x14ac:dyDescent="0.2">
      <c r="B186" s="58">
        <v>170</v>
      </c>
      <c r="C186" s="26">
        <f>'Default parameters'!C183</f>
        <v>6.4400000000000005E-10</v>
      </c>
      <c r="D186" s="11">
        <f t="shared" si="42"/>
        <v>0</v>
      </c>
      <c r="E186" s="26">
        <f t="shared" si="43"/>
        <v>0</v>
      </c>
      <c r="F186" s="11">
        <f t="shared" si="44"/>
        <v>0</v>
      </c>
      <c r="G186" s="26">
        <f t="shared" si="45"/>
        <v>0</v>
      </c>
      <c r="H186" s="11">
        <f t="shared" si="46"/>
        <v>0</v>
      </c>
      <c r="I186" s="26">
        <f t="shared" si="47"/>
        <v>0</v>
      </c>
      <c r="J186" s="55"/>
      <c r="K186" s="56"/>
      <c r="L186" s="58">
        <v>170</v>
      </c>
      <c r="M186" s="26">
        <f>'Default parameters'!D183</f>
        <v>1.2899999999999999E-10</v>
      </c>
      <c r="N186" s="11">
        <f t="shared" si="48"/>
        <v>0</v>
      </c>
      <c r="O186" s="26">
        <f t="shared" si="49"/>
        <v>0</v>
      </c>
      <c r="P186" s="11">
        <f t="shared" si="50"/>
        <v>0</v>
      </c>
      <c r="Q186" s="26">
        <f t="shared" si="51"/>
        <v>0</v>
      </c>
      <c r="R186" s="11">
        <f t="shared" si="52"/>
        <v>0</v>
      </c>
      <c r="S186" s="26">
        <f t="shared" si="53"/>
        <v>0</v>
      </c>
    </row>
    <row r="187" spans="2:19" x14ac:dyDescent="0.2">
      <c r="B187" s="58">
        <v>171</v>
      </c>
      <c r="C187" s="26">
        <f>'Default parameters'!C184</f>
        <v>5.5099999999999996E-10</v>
      </c>
      <c r="D187" s="11">
        <f t="shared" si="42"/>
        <v>0</v>
      </c>
      <c r="E187" s="26">
        <f t="shared" si="43"/>
        <v>0</v>
      </c>
      <c r="F187" s="11">
        <f t="shared" si="44"/>
        <v>0</v>
      </c>
      <c r="G187" s="26">
        <f t="shared" si="45"/>
        <v>0</v>
      </c>
      <c r="H187" s="11">
        <f t="shared" si="46"/>
        <v>0</v>
      </c>
      <c r="I187" s="26">
        <f t="shared" si="47"/>
        <v>0</v>
      </c>
      <c r="J187" s="55"/>
      <c r="K187" s="56"/>
      <c r="L187" s="58">
        <v>171</v>
      </c>
      <c r="M187" s="26">
        <f>'Default parameters'!D184</f>
        <v>1.08E-10</v>
      </c>
      <c r="N187" s="11">
        <f t="shared" si="48"/>
        <v>0</v>
      </c>
      <c r="O187" s="26">
        <f t="shared" si="49"/>
        <v>0</v>
      </c>
      <c r="P187" s="11">
        <f t="shared" si="50"/>
        <v>0</v>
      </c>
      <c r="Q187" s="26">
        <f t="shared" si="51"/>
        <v>0</v>
      </c>
      <c r="R187" s="11">
        <f t="shared" si="52"/>
        <v>0</v>
      </c>
      <c r="S187" s="26">
        <f t="shared" si="53"/>
        <v>0</v>
      </c>
    </row>
    <row r="188" spans="2:19" x14ac:dyDescent="0.2">
      <c r="B188" s="58">
        <v>172</v>
      </c>
      <c r="C188" s="26">
        <f>'Default parameters'!C185</f>
        <v>4.7100000000000003E-10</v>
      </c>
      <c r="D188" s="11">
        <f t="shared" si="42"/>
        <v>0</v>
      </c>
      <c r="E188" s="26">
        <f t="shared" si="43"/>
        <v>0</v>
      </c>
      <c r="F188" s="11">
        <f t="shared" si="44"/>
        <v>0</v>
      </c>
      <c r="G188" s="26">
        <f t="shared" si="45"/>
        <v>0</v>
      </c>
      <c r="H188" s="11">
        <f t="shared" si="46"/>
        <v>0</v>
      </c>
      <c r="I188" s="26">
        <f t="shared" si="47"/>
        <v>0</v>
      </c>
      <c r="J188" s="55"/>
      <c r="K188" s="56"/>
      <c r="L188" s="58">
        <v>172</v>
      </c>
      <c r="M188" s="26">
        <f>'Default parameters'!D185</f>
        <v>9.1299999999999997E-11</v>
      </c>
      <c r="N188" s="11">
        <f t="shared" si="48"/>
        <v>0</v>
      </c>
      <c r="O188" s="26">
        <f t="shared" si="49"/>
        <v>0</v>
      </c>
      <c r="P188" s="11">
        <f t="shared" si="50"/>
        <v>0</v>
      </c>
      <c r="Q188" s="26">
        <f t="shared" si="51"/>
        <v>0</v>
      </c>
      <c r="R188" s="11">
        <f t="shared" si="52"/>
        <v>0</v>
      </c>
      <c r="S188" s="26">
        <f t="shared" si="53"/>
        <v>0</v>
      </c>
    </row>
    <row r="189" spans="2:19" x14ac:dyDescent="0.2">
      <c r="B189" s="58">
        <v>173</v>
      </c>
      <c r="C189" s="26">
        <f>'Default parameters'!C186</f>
        <v>4.0200000000000001E-10</v>
      </c>
      <c r="D189" s="11">
        <f t="shared" si="42"/>
        <v>0</v>
      </c>
      <c r="E189" s="26">
        <f t="shared" si="43"/>
        <v>0</v>
      </c>
      <c r="F189" s="11">
        <f t="shared" si="44"/>
        <v>0</v>
      </c>
      <c r="G189" s="26">
        <f t="shared" si="45"/>
        <v>0</v>
      </c>
      <c r="H189" s="11">
        <f t="shared" si="46"/>
        <v>0</v>
      </c>
      <c r="I189" s="26">
        <f t="shared" si="47"/>
        <v>0</v>
      </c>
      <c r="J189" s="55"/>
      <c r="K189" s="56"/>
      <c r="L189" s="58">
        <v>173</v>
      </c>
      <c r="M189" s="26">
        <f>'Default parameters'!D186</f>
        <v>7.6799999999999996E-11</v>
      </c>
      <c r="N189" s="11">
        <f t="shared" si="48"/>
        <v>0</v>
      </c>
      <c r="O189" s="26">
        <f t="shared" si="49"/>
        <v>0</v>
      </c>
      <c r="P189" s="11">
        <f t="shared" si="50"/>
        <v>0</v>
      </c>
      <c r="Q189" s="26">
        <f t="shared" si="51"/>
        <v>0</v>
      </c>
      <c r="R189" s="11">
        <f t="shared" si="52"/>
        <v>0</v>
      </c>
      <c r="S189" s="26">
        <f t="shared" si="53"/>
        <v>0</v>
      </c>
    </row>
    <row r="190" spans="2:19" x14ac:dyDescent="0.2">
      <c r="B190" s="58">
        <v>174</v>
      </c>
      <c r="C190" s="26">
        <f>'Default parameters'!C187</f>
        <v>3.43E-10</v>
      </c>
      <c r="D190" s="11">
        <f t="shared" si="42"/>
        <v>0</v>
      </c>
      <c r="E190" s="26">
        <f t="shared" si="43"/>
        <v>0</v>
      </c>
      <c r="F190" s="11">
        <f t="shared" si="44"/>
        <v>0</v>
      </c>
      <c r="G190" s="26">
        <f t="shared" si="45"/>
        <v>0</v>
      </c>
      <c r="H190" s="11">
        <f t="shared" si="46"/>
        <v>0</v>
      </c>
      <c r="I190" s="26">
        <f t="shared" si="47"/>
        <v>0</v>
      </c>
      <c r="J190" s="55"/>
      <c r="K190" s="56"/>
      <c r="L190" s="58">
        <v>174</v>
      </c>
      <c r="M190" s="26">
        <f>'Default parameters'!D187</f>
        <v>6.4600000000000002E-11</v>
      </c>
      <c r="N190" s="11">
        <f t="shared" si="48"/>
        <v>0</v>
      </c>
      <c r="O190" s="26">
        <f t="shared" si="49"/>
        <v>0</v>
      </c>
      <c r="P190" s="11">
        <f t="shared" si="50"/>
        <v>0</v>
      </c>
      <c r="Q190" s="26">
        <f t="shared" si="51"/>
        <v>0</v>
      </c>
      <c r="R190" s="11">
        <f t="shared" si="52"/>
        <v>0</v>
      </c>
      <c r="S190" s="26">
        <f t="shared" si="53"/>
        <v>0</v>
      </c>
    </row>
    <row r="191" spans="2:19" x14ac:dyDescent="0.2">
      <c r="B191" s="58">
        <v>175</v>
      </c>
      <c r="C191" s="26">
        <f>'Default parameters'!C188</f>
        <v>2.9200000000000003E-10</v>
      </c>
      <c r="D191" s="11">
        <f t="shared" si="42"/>
        <v>0</v>
      </c>
      <c r="E191" s="26">
        <f t="shared" si="43"/>
        <v>0</v>
      </c>
      <c r="F191" s="11">
        <f t="shared" si="44"/>
        <v>0</v>
      </c>
      <c r="G191" s="26">
        <f t="shared" si="45"/>
        <v>0</v>
      </c>
      <c r="H191" s="11">
        <f t="shared" si="46"/>
        <v>0</v>
      </c>
      <c r="I191" s="26">
        <f t="shared" si="47"/>
        <v>0</v>
      </c>
      <c r="J191" s="55"/>
      <c r="K191" s="56"/>
      <c r="L191" s="58">
        <v>175</v>
      </c>
      <c r="M191" s="26">
        <f>'Default parameters'!D188</f>
        <v>5.4199999999999998E-11</v>
      </c>
      <c r="N191" s="11">
        <f t="shared" si="48"/>
        <v>0</v>
      </c>
      <c r="O191" s="26">
        <f t="shared" si="49"/>
        <v>0</v>
      </c>
      <c r="P191" s="11">
        <f t="shared" si="50"/>
        <v>0</v>
      </c>
      <c r="Q191" s="26">
        <f t="shared" si="51"/>
        <v>0</v>
      </c>
      <c r="R191" s="11">
        <f t="shared" si="52"/>
        <v>0</v>
      </c>
      <c r="S191" s="26">
        <f t="shared" si="53"/>
        <v>0</v>
      </c>
    </row>
    <row r="192" spans="2:19" x14ac:dyDescent="0.2">
      <c r="B192" s="58">
        <v>176</v>
      </c>
      <c r="C192" s="26">
        <f>'Default parameters'!C189</f>
        <v>2.4800000000000002E-10</v>
      </c>
      <c r="D192" s="11">
        <f t="shared" si="42"/>
        <v>0</v>
      </c>
      <c r="E192" s="26">
        <f t="shared" si="43"/>
        <v>0</v>
      </c>
      <c r="F192" s="11">
        <f t="shared" si="44"/>
        <v>0</v>
      </c>
      <c r="G192" s="26">
        <f t="shared" si="45"/>
        <v>0</v>
      </c>
      <c r="H192" s="11">
        <f t="shared" si="46"/>
        <v>0</v>
      </c>
      <c r="I192" s="26">
        <f t="shared" si="47"/>
        <v>0</v>
      </c>
      <c r="J192" s="55"/>
      <c r="K192" s="56"/>
      <c r="L192" s="58">
        <v>176</v>
      </c>
      <c r="M192" s="26">
        <f>'Default parameters'!D189</f>
        <v>4.54E-11</v>
      </c>
      <c r="N192" s="11">
        <f t="shared" si="48"/>
        <v>0</v>
      </c>
      <c r="O192" s="26">
        <f t="shared" si="49"/>
        <v>0</v>
      </c>
      <c r="P192" s="11">
        <f t="shared" si="50"/>
        <v>0</v>
      </c>
      <c r="Q192" s="26">
        <f t="shared" si="51"/>
        <v>0</v>
      </c>
      <c r="R192" s="11">
        <f t="shared" si="52"/>
        <v>0</v>
      </c>
      <c r="S192" s="26">
        <f t="shared" si="53"/>
        <v>0</v>
      </c>
    </row>
    <row r="193" spans="2:19" x14ac:dyDescent="0.2">
      <c r="B193" s="58">
        <v>177</v>
      </c>
      <c r="C193" s="26">
        <f>'Default parameters'!C190</f>
        <v>2.11E-10</v>
      </c>
      <c r="D193" s="11">
        <f t="shared" si="42"/>
        <v>0</v>
      </c>
      <c r="E193" s="26">
        <f t="shared" si="43"/>
        <v>0</v>
      </c>
      <c r="F193" s="11">
        <f t="shared" si="44"/>
        <v>0</v>
      </c>
      <c r="G193" s="26">
        <f t="shared" si="45"/>
        <v>0</v>
      </c>
      <c r="H193" s="11">
        <f t="shared" si="46"/>
        <v>0</v>
      </c>
      <c r="I193" s="26">
        <f t="shared" si="47"/>
        <v>0</v>
      </c>
      <c r="J193" s="55"/>
      <c r="K193" s="56"/>
      <c r="L193" s="58">
        <v>177</v>
      </c>
      <c r="M193" s="26">
        <f>'Default parameters'!D190</f>
        <v>3.7999999999999998E-11</v>
      </c>
      <c r="N193" s="11">
        <f t="shared" si="48"/>
        <v>0</v>
      </c>
      <c r="O193" s="26">
        <f t="shared" si="49"/>
        <v>0</v>
      </c>
      <c r="P193" s="11">
        <f t="shared" si="50"/>
        <v>0</v>
      </c>
      <c r="Q193" s="26">
        <f t="shared" si="51"/>
        <v>0</v>
      </c>
      <c r="R193" s="11">
        <f t="shared" si="52"/>
        <v>0</v>
      </c>
      <c r="S193" s="26">
        <f t="shared" si="53"/>
        <v>0</v>
      </c>
    </row>
    <row r="194" spans="2:19" x14ac:dyDescent="0.2">
      <c r="B194" s="58">
        <v>178</v>
      </c>
      <c r="C194" s="26">
        <f>'Default parameters'!C191</f>
        <v>1.79E-10</v>
      </c>
      <c r="D194" s="11">
        <f t="shared" si="42"/>
        <v>0</v>
      </c>
      <c r="E194" s="26">
        <f t="shared" si="43"/>
        <v>0</v>
      </c>
      <c r="F194" s="11">
        <f t="shared" si="44"/>
        <v>0</v>
      </c>
      <c r="G194" s="26">
        <f t="shared" si="45"/>
        <v>0</v>
      </c>
      <c r="H194" s="11">
        <f t="shared" si="46"/>
        <v>0</v>
      </c>
      <c r="I194" s="26">
        <f t="shared" si="47"/>
        <v>0</v>
      </c>
      <c r="J194" s="55"/>
      <c r="K194" s="56"/>
      <c r="L194" s="58">
        <v>178</v>
      </c>
      <c r="M194" s="26">
        <f>'Default parameters'!D191</f>
        <v>3.1800000000000003E-11</v>
      </c>
      <c r="N194" s="11">
        <f t="shared" si="48"/>
        <v>0</v>
      </c>
      <c r="O194" s="26">
        <f t="shared" si="49"/>
        <v>0</v>
      </c>
      <c r="P194" s="11">
        <f t="shared" si="50"/>
        <v>0</v>
      </c>
      <c r="Q194" s="26">
        <f t="shared" si="51"/>
        <v>0</v>
      </c>
      <c r="R194" s="11">
        <f t="shared" si="52"/>
        <v>0</v>
      </c>
      <c r="S194" s="26">
        <f t="shared" si="53"/>
        <v>0</v>
      </c>
    </row>
    <row r="195" spans="2:19" x14ac:dyDescent="0.2">
      <c r="B195" s="58">
        <v>179</v>
      </c>
      <c r="C195" s="26">
        <f>'Default parameters'!C192</f>
        <v>1.5199999999999999E-10</v>
      </c>
      <c r="D195" s="11">
        <f t="shared" si="42"/>
        <v>0</v>
      </c>
      <c r="E195" s="26">
        <f t="shared" si="43"/>
        <v>0</v>
      </c>
      <c r="F195" s="11">
        <f t="shared" si="44"/>
        <v>0</v>
      </c>
      <c r="G195" s="26">
        <f t="shared" si="45"/>
        <v>0</v>
      </c>
      <c r="H195" s="11">
        <f t="shared" si="46"/>
        <v>0</v>
      </c>
      <c r="I195" s="26">
        <f t="shared" si="47"/>
        <v>0</v>
      </c>
      <c r="J195" s="55"/>
      <c r="K195" s="56"/>
      <c r="L195" s="58">
        <v>179</v>
      </c>
      <c r="M195" s="26">
        <f>'Default parameters'!D192</f>
        <v>2.6600000000000001E-11</v>
      </c>
      <c r="N195" s="11">
        <f t="shared" si="48"/>
        <v>0</v>
      </c>
      <c r="O195" s="26">
        <f t="shared" si="49"/>
        <v>0</v>
      </c>
      <c r="P195" s="11">
        <f t="shared" si="50"/>
        <v>0</v>
      </c>
      <c r="Q195" s="26">
        <f t="shared" si="51"/>
        <v>0</v>
      </c>
      <c r="R195" s="11">
        <f t="shared" si="52"/>
        <v>0</v>
      </c>
      <c r="S195" s="26">
        <f t="shared" si="53"/>
        <v>0</v>
      </c>
    </row>
    <row r="196" spans="2:19" x14ac:dyDescent="0.2">
      <c r="B196" s="58">
        <v>180</v>
      </c>
      <c r="C196" s="26">
        <f>'Default parameters'!C193</f>
        <v>1.28E-10</v>
      </c>
      <c r="D196" s="11">
        <f t="shared" si="42"/>
        <v>0</v>
      </c>
      <c r="E196" s="26">
        <f t="shared" si="43"/>
        <v>0</v>
      </c>
      <c r="F196" s="11">
        <f t="shared" si="44"/>
        <v>0</v>
      </c>
      <c r="G196" s="26">
        <f t="shared" si="45"/>
        <v>0</v>
      </c>
      <c r="H196" s="11">
        <f t="shared" si="46"/>
        <v>0</v>
      </c>
      <c r="I196" s="26">
        <f t="shared" si="47"/>
        <v>0</v>
      </c>
      <c r="J196" s="55"/>
      <c r="K196" s="56"/>
      <c r="L196" s="58">
        <v>180</v>
      </c>
      <c r="M196" s="26">
        <f>'Default parameters'!D193</f>
        <v>2.21E-11</v>
      </c>
      <c r="N196" s="11">
        <f t="shared" si="48"/>
        <v>0</v>
      </c>
      <c r="O196" s="26">
        <f t="shared" si="49"/>
        <v>0</v>
      </c>
      <c r="P196" s="11">
        <f t="shared" si="50"/>
        <v>0</v>
      </c>
      <c r="Q196" s="26">
        <f t="shared" si="51"/>
        <v>0</v>
      </c>
      <c r="R196" s="11">
        <f t="shared" si="52"/>
        <v>0</v>
      </c>
      <c r="S196" s="26">
        <f t="shared" si="53"/>
        <v>0</v>
      </c>
    </row>
    <row r="197" spans="2:19" x14ac:dyDescent="0.2">
      <c r="B197" s="58">
        <v>181</v>
      </c>
      <c r="C197" s="26">
        <f>'Default parameters'!C194</f>
        <v>1.09E-10</v>
      </c>
      <c r="D197" s="11">
        <f t="shared" si="42"/>
        <v>0</v>
      </c>
      <c r="E197" s="26">
        <f t="shared" si="43"/>
        <v>0</v>
      </c>
      <c r="F197" s="11">
        <f t="shared" si="44"/>
        <v>0</v>
      </c>
      <c r="G197" s="26">
        <f t="shared" si="45"/>
        <v>0</v>
      </c>
      <c r="H197" s="11">
        <f t="shared" si="46"/>
        <v>0</v>
      </c>
      <c r="I197" s="26">
        <f t="shared" si="47"/>
        <v>0</v>
      </c>
      <c r="J197" s="55"/>
      <c r="K197" s="56"/>
      <c r="L197" s="58">
        <v>181</v>
      </c>
      <c r="M197" s="26">
        <f>'Default parameters'!D194</f>
        <v>1.8399999999999999E-11</v>
      </c>
      <c r="N197" s="11">
        <f t="shared" si="48"/>
        <v>0</v>
      </c>
      <c r="O197" s="26">
        <f t="shared" si="49"/>
        <v>0</v>
      </c>
      <c r="P197" s="11">
        <f t="shared" si="50"/>
        <v>0</v>
      </c>
      <c r="Q197" s="26">
        <f t="shared" si="51"/>
        <v>0</v>
      </c>
      <c r="R197" s="11">
        <f t="shared" si="52"/>
        <v>0</v>
      </c>
      <c r="S197" s="26">
        <f t="shared" si="53"/>
        <v>0</v>
      </c>
    </row>
    <row r="198" spans="2:19" x14ac:dyDescent="0.2">
      <c r="B198" s="58">
        <v>182</v>
      </c>
      <c r="C198" s="26">
        <f>'Default parameters'!C195</f>
        <v>9.1700000000000004E-11</v>
      </c>
      <c r="D198" s="11">
        <f t="shared" si="42"/>
        <v>0</v>
      </c>
      <c r="E198" s="26">
        <f t="shared" si="43"/>
        <v>0</v>
      </c>
      <c r="F198" s="11">
        <f t="shared" si="44"/>
        <v>0</v>
      </c>
      <c r="G198" s="26">
        <f t="shared" si="45"/>
        <v>0</v>
      </c>
      <c r="H198" s="11">
        <f t="shared" si="46"/>
        <v>0</v>
      </c>
      <c r="I198" s="26">
        <f t="shared" si="47"/>
        <v>0</v>
      </c>
      <c r="J198" s="55"/>
      <c r="K198" s="56"/>
      <c r="L198" s="58">
        <v>182</v>
      </c>
      <c r="M198" s="26">
        <f>'Default parameters'!D195</f>
        <v>1.5300000000000001E-11</v>
      </c>
      <c r="N198" s="11">
        <f t="shared" si="48"/>
        <v>0</v>
      </c>
      <c r="O198" s="26">
        <f t="shared" si="49"/>
        <v>0</v>
      </c>
      <c r="P198" s="11">
        <f t="shared" si="50"/>
        <v>0</v>
      </c>
      <c r="Q198" s="26">
        <f t="shared" si="51"/>
        <v>0</v>
      </c>
      <c r="R198" s="11">
        <f t="shared" si="52"/>
        <v>0</v>
      </c>
      <c r="S198" s="26">
        <f t="shared" si="53"/>
        <v>0</v>
      </c>
    </row>
    <row r="199" spans="2:19" x14ac:dyDescent="0.2">
      <c r="B199" s="58">
        <v>183</v>
      </c>
      <c r="C199" s="26">
        <f>'Default parameters'!C196</f>
        <v>7.7399999999999999E-11</v>
      </c>
      <c r="D199" s="11">
        <f t="shared" si="42"/>
        <v>0</v>
      </c>
      <c r="E199" s="26">
        <f t="shared" si="43"/>
        <v>0</v>
      </c>
      <c r="F199" s="11">
        <f t="shared" si="44"/>
        <v>0</v>
      </c>
      <c r="G199" s="26">
        <f t="shared" si="45"/>
        <v>0</v>
      </c>
      <c r="H199" s="11">
        <f t="shared" si="46"/>
        <v>0</v>
      </c>
      <c r="I199" s="26">
        <f t="shared" si="47"/>
        <v>0</v>
      </c>
      <c r="J199" s="55"/>
      <c r="K199" s="56"/>
      <c r="L199" s="58">
        <v>183</v>
      </c>
      <c r="M199" s="26">
        <f>'Default parameters'!D196</f>
        <v>1.27E-11</v>
      </c>
      <c r="N199" s="11">
        <f t="shared" si="48"/>
        <v>0</v>
      </c>
      <c r="O199" s="26">
        <f t="shared" si="49"/>
        <v>0</v>
      </c>
      <c r="P199" s="11">
        <f t="shared" si="50"/>
        <v>0</v>
      </c>
      <c r="Q199" s="26">
        <f t="shared" si="51"/>
        <v>0</v>
      </c>
      <c r="R199" s="11">
        <f t="shared" si="52"/>
        <v>0</v>
      </c>
      <c r="S199" s="26">
        <f t="shared" si="53"/>
        <v>0</v>
      </c>
    </row>
    <row r="200" spans="2:19" x14ac:dyDescent="0.2">
      <c r="B200" s="58">
        <v>184</v>
      </c>
      <c r="C200" s="26">
        <f>'Default parameters'!C197</f>
        <v>6.5200000000000005E-11</v>
      </c>
      <c r="D200" s="11">
        <f t="shared" si="42"/>
        <v>0</v>
      </c>
      <c r="E200" s="26">
        <f t="shared" si="43"/>
        <v>0</v>
      </c>
      <c r="F200" s="11">
        <f t="shared" si="44"/>
        <v>0</v>
      </c>
      <c r="G200" s="26">
        <f t="shared" si="45"/>
        <v>0</v>
      </c>
      <c r="H200" s="11">
        <f t="shared" si="46"/>
        <v>0</v>
      </c>
      <c r="I200" s="26">
        <f t="shared" si="47"/>
        <v>0</v>
      </c>
      <c r="J200" s="55"/>
      <c r="K200" s="56"/>
      <c r="L200" s="58">
        <v>184</v>
      </c>
      <c r="M200" s="26">
        <f>'Default parameters'!D197</f>
        <v>1.0599999999999999E-11</v>
      </c>
      <c r="N200" s="11">
        <f t="shared" si="48"/>
        <v>0</v>
      </c>
      <c r="O200" s="26">
        <f t="shared" si="49"/>
        <v>0</v>
      </c>
      <c r="P200" s="11">
        <f t="shared" si="50"/>
        <v>0</v>
      </c>
      <c r="Q200" s="26">
        <f t="shared" si="51"/>
        <v>0</v>
      </c>
      <c r="R200" s="11">
        <f t="shared" si="52"/>
        <v>0</v>
      </c>
      <c r="S200" s="26">
        <f t="shared" si="53"/>
        <v>0</v>
      </c>
    </row>
    <row r="201" spans="2:19" x14ac:dyDescent="0.2">
      <c r="B201" s="58">
        <v>185</v>
      </c>
      <c r="C201" s="26">
        <f>'Default parameters'!C198</f>
        <v>5.4899999999999999E-11</v>
      </c>
      <c r="D201" s="11">
        <f t="shared" si="42"/>
        <v>0</v>
      </c>
      <c r="E201" s="26">
        <f t="shared" si="43"/>
        <v>0</v>
      </c>
      <c r="F201" s="11">
        <f t="shared" si="44"/>
        <v>0</v>
      </c>
      <c r="G201" s="26">
        <f t="shared" si="45"/>
        <v>0</v>
      </c>
      <c r="H201" s="11">
        <f t="shared" si="46"/>
        <v>0</v>
      </c>
      <c r="I201" s="26">
        <f t="shared" si="47"/>
        <v>0</v>
      </c>
      <c r="J201" s="55"/>
      <c r="K201" s="56"/>
      <c r="L201" s="58">
        <v>185</v>
      </c>
      <c r="M201" s="26">
        <f>'Default parameters'!D198</f>
        <v>8.7600000000000006E-12</v>
      </c>
      <c r="N201" s="11">
        <f t="shared" si="48"/>
        <v>0</v>
      </c>
      <c r="O201" s="26">
        <f t="shared" si="49"/>
        <v>0</v>
      </c>
      <c r="P201" s="11">
        <f t="shared" si="50"/>
        <v>0</v>
      </c>
      <c r="Q201" s="26">
        <f t="shared" si="51"/>
        <v>0</v>
      </c>
      <c r="R201" s="11">
        <f t="shared" si="52"/>
        <v>0</v>
      </c>
      <c r="S201" s="26">
        <f t="shared" si="53"/>
        <v>0</v>
      </c>
    </row>
    <row r="202" spans="2:19" x14ac:dyDescent="0.2">
      <c r="B202" s="58">
        <v>186</v>
      </c>
      <c r="C202" s="26">
        <f>'Default parameters'!C199</f>
        <v>4.6100000000000001E-11</v>
      </c>
      <c r="D202" s="11">
        <f t="shared" si="42"/>
        <v>0</v>
      </c>
      <c r="E202" s="26">
        <f t="shared" si="43"/>
        <v>0</v>
      </c>
      <c r="F202" s="11">
        <f t="shared" si="44"/>
        <v>0</v>
      </c>
      <c r="G202" s="26">
        <f t="shared" si="45"/>
        <v>0</v>
      </c>
      <c r="H202" s="11">
        <f t="shared" si="46"/>
        <v>0</v>
      </c>
      <c r="I202" s="26">
        <f t="shared" si="47"/>
        <v>0</v>
      </c>
      <c r="J202" s="55"/>
      <c r="K202" s="56"/>
      <c r="L202" s="58">
        <v>186</v>
      </c>
      <c r="M202" s="26">
        <f>'Default parameters'!D199</f>
        <v>7.25E-12</v>
      </c>
      <c r="N202" s="11">
        <f t="shared" si="48"/>
        <v>0</v>
      </c>
      <c r="O202" s="26">
        <f t="shared" si="49"/>
        <v>0</v>
      </c>
      <c r="P202" s="11">
        <f t="shared" si="50"/>
        <v>0</v>
      </c>
      <c r="Q202" s="26">
        <f t="shared" si="51"/>
        <v>0</v>
      </c>
      <c r="R202" s="11">
        <f t="shared" si="52"/>
        <v>0</v>
      </c>
      <c r="S202" s="26">
        <f t="shared" si="53"/>
        <v>0</v>
      </c>
    </row>
    <row r="203" spans="2:19" x14ac:dyDescent="0.2">
      <c r="B203" s="58">
        <v>187</v>
      </c>
      <c r="C203" s="26">
        <f>'Default parameters'!C200</f>
        <v>3.8699999999999999E-11</v>
      </c>
      <c r="D203" s="11">
        <f t="shared" si="42"/>
        <v>0</v>
      </c>
      <c r="E203" s="26">
        <f t="shared" si="43"/>
        <v>0</v>
      </c>
      <c r="F203" s="11">
        <f t="shared" si="44"/>
        <v>0</v>
      </c>
      <c r="G203" s="26">
        <f t="shared" si="45"/>
        <v>0</v>
      </c>
      <c r="H203" s="11">
        <f t="shared" si="46"/>
        <v>0</v>
      </c>
      <c r="I203" s="26">
        <f t="shared" si="47"/>
        <v>0</v>
      </c>
      <c r="J203" s="55"/>
      <c r="K203" s="56"/>
      <c r="L203" s="58">
        <v>187</v>
      </c>
      <c r="M203" s="26">
        <f>'Default parameters'!D200</f>
        <v>5.9900000000000001E-12</v>
      </c>
      <c r="N203" s="11">
        <f t="shared" si="48"/>
        <v>0</v>
      </c>
      <c r="O203" s="26">
        <f t="shared" si="49"/>
        <v>0</v>
      </c>
      <c r="P203" s="11">
        <f t="shared" si="50"/>
        <v>0</v>
      </c>
      <c r="Q203" s="26">
        <f t="shared" si="51"/>
        <v>0</v>
      </c>
      <c r="R203" s="11">
        <f t="shared" si="52"/>
        <v>0</v>
      </c>
      <c r="S203" s="26">
        <f t="shared" si="53"/>
        <v>0</v>
      </c>
    </row>
    <row r="204" spans="2:19" x14ac:dyDescent="0.2">
      <c r="B204" s="58">
        <v>188</v>
      </c>
      <c r="C204" s="26">
        <f>'Default parameters'!C201</f>
        <v>3.2499999999999998E-11</v>
      </c>
      <c r="D204" s="11">
        <f t="shared" si="42"/>
        <v>0</v>
      </c>
      <c r="E204" s="26">
        <f t="shared" si="43"/>
        <v>0</v>
      </c>
      <c r="F204" s="11">
        <f t="shared" si="44"/>
        <v>0</v>
      </c>
      <c r="G204" s="26">
        <f t="shared" si="45"/>
        <v>0</v>
      </c>
      <c r="H204" s="11">
        <f t="shared" si="46"/>
        <v>0</v>
      </c>
      <c r="I204" s="26">
        <f t="shared" si="47"/>
        <v>0</v>
      </c>
      <c r="J204" s="55"/>
      <c r="K204" s="56"/>
      <c r="L204" s="58">
        <v>188</v>
      </c>
      <c r="M204" s="26">
        <f>'Default parameters'!D201</f>
        <v>4.9400000000000004E-12</v>
      </c>
      <c r="N204" s="11">
        <f t="shared" si="48"/>
        <v>0</v>
      </c>
      <c r="O204" s="26">
        <f t="shared" si="49"/>
        <v>0</v>
      </c>
      <c r="P204" s="11">
        <f t="shared" si="50"/>
        <v>0</v>
      </c>
      <c r="Q204" s="26">
        <f t="shared" si="51"/>
        <v>0</v>
      </c>
      <c r="R204" s="11">
        <f t="shared" si="52"/>
        <v>0</v>
      </c>
      <c r="S204" s="26">
        <f t="shared" si="53"/>
        <v>0</v>
      </c>
    </row>
    <row r="205" spans="2:19" x14ac:dyDescent="0.2">
      <c r="B205" s="58">
        <v>189</v>
      </c>
      <c r="C205" s="26">
        <f>'Default parameters'!C202</f>
        <v>2.72E-11</v>
      </c>
      <c r="D205" s="11">
        <f t="shared" si="42"/>
        <v>0</v>
      </c>
      <c r="E205" s="26">
        <f t="shared" si="43"/>
        <v>0</v>
      </c>
      <c r="F205" s="11">
        <f t="shared" si="44"/>
        <v>0</v>
      </c>
      <c r="G205" s="26">
        <f t="shared" si="45"/>
        <v>0</v>
      </c>
      <c r="H205" s="11">
        <f t="shared" si="46"/>
        <v>0</v>
      </c>
      <c r="I205" s="26">
        <f t="shared" si="47"/>
        <v>0</v>
      </c>
      <c r="J205" s="55"/>
      <c r="K205" s="56"/>
      <c r="L205" s="58">
        <v>189</v>
      </c>
      <c r="M205" s="26">
        <f>'Default parameters'!D202</f>
        <v>4.0700000000000002E-12</v>
      </c>
      <c r="N205" s="11">
        <f t="shared" si="48"/>
        <v>0</v>
      </c>
      <c r="O205" s="26">
        <f t="shared" si="49"/>
        <v>0</v>
      </c>
      <c r="P205" s="11">
        <f t="shared" si="50"/>
        <v>0</v>
      </c>
      <c r="Q205" s="26">
        <f t="shared" si="51"/>
        <v>0</v>
      </c>
      <c r="R205" s="11">
        <f t="shared" si="52"/>
        <v>0</v>
      </c>
      <c r="S205" s="26">
        <f t="shared" si="53"/>
        <v>0</v>
      </c>
    </row>
    <row r="206" spans="2:19" x14ac:dyDescent="0.2">
      <c r="B206" s="58">
        <v>190</v>
      </c>
      <c r="C206" s="26">
        <f>'Default parameters'!C203</f>
        <v>2.27E-11</v>
      </c>
      <c r="D206" s="11">
        <f t="shared" si="42"/>
        <v>0</v>
      </c>
      <c r="E206" s="26">
        <f t="shared" si="43"/>
        <v>0</v>
      </c>
      <c r="F206" s="11">
        <f t="shared" si="44"/>
        <v>0</v>
      </c>
      <c r="G206" s="26">
        <f t="shared" si="45"/>
        <v>0</v>
      </c>
      <c r="H206" s="11">
        <f t="shared" si="46"/>
        <v>0</v>
      </c>
      <c r="I206" s="26">
        <f t="shared" si="47"/>
        <v>0</v>
      </c>
      <c r="J206" s="55"/>
      <c r="K206" s="56"/>
      <c r="L206" s="58">
        <v>190</v>
      </c>
      <c r="M206" s="26">
        <f>'Default parameters'!D203</f>
        <v>3.3500000000000001E-12</v>
      </c>
      <c r="N206" s="11">
        <f t="shared" si="48"/>
        <v>0</v>
      </c>
      <c r="O206" s="26">
        <f t="shared" si="49"/>
        <v>0</v>
      </c>
      <c r="P206" s="11">
        <f t="shared" si="50"/>
        <v>0</v>
      </c>
      <c r="Q206" s="26">
        <f t="shared" si="51"/>
        <v>0</v>
      </c>
      <c r="R206" s="11">
        <f t="shared" si="52"/>
        <v>0</v>
      </c>
      <c r="S206" s="26">
        <f t="shared" si="53"/>
        <v>0</v>
      </c>
    </row>
    <row r="207" spans="2:19" x14ac:dyDescent="0.2">
      <c r="B207" s="58">
        <v>191</v>
      </c>
      <c r="C207" s="26">
        <f>'Default parameters'!C204</f>
        <v>1.8999999999999999E-11</v>
      </c>
      <c r="D207" s="11">
        <f t="shared" si="42"/>
        <v>0</v>
      </c>
      <c r="E207" s="26">
        <f t="shared" si="43"/>
        <v>0</v>
      </c>
      <c r="F207" s="11">
        <f t="shared" si="44"/>
        <v>0</v>
      </c>
      <c r="G207" s="26">
        <f t="shared" si="45"/>
        <v>0</v>
      </c>
      <c r="H207" s="11">
        <f t="shared" si="46"/>
        <v>0</v>
      </c>
      <c r="I207" s="26">
        <f t="shared" si="47"/>
        <v>0</v>
      </c>
      <c r="J207" s="55"/>
      <c r="K207" s="56"/>
      <c r="L207" s="58">
        <v>191</v>
      </c>
      <c r="M207" s="26">
        <f>'Default parameters'!D204</f>
        <v>2.7500000000000002E-12</v>
      </c>
      <c r="N207" s="11">
        <f t="shared" si="48"/>
        <v>0</v>
      </c>
      <c r="O207" s="26">
        <f t="shared" si="49"/>
        <v>0</v>
      </c>
      <c r="P207" s="11">
        <f t="shared" si="50"/>
        <v>0</v>
      </c>
      <c r="Q207" s="26">
        <f t="shared" si="51"/>
        <v>0</v>
      </c>
      <c r="R207" s="11">
        <f t="shared" si="52"/>
        <v>0</v>
      </c>
      <c r="S207" s="26">
        <f t="shared" si="53"/>
        <v>0</v>
      </c>
    </row>
    <row r="208" spans="2:19" x14ac:dyDescent="0.2">
      <c r="B208" s="58">
        <v>192</v>
      </c>
      <c r="C208" s="26">
        <f>'Default parameters'!C205</f>
        <v>1.58E-11</v>
      </c>
      <c r="D208" s="11">
        <f t="shared" si="42"/>
        <v>0</v>
      </c>
      <c r="E208" s="26">
        <f t="shared" si="43"/>
        <v>0</v>
      </c>
      <c r="F208" s="11">
        <f t="shared" si="44"/>
        <v>0</v>
      </c>
      <c r="G208" s="26">
        <f t="shared" si="45"/>
        <v>0</v>
      </c>
      <c r="H208" s="11">
        <f t="shared" si="46"/>
        <v>0</v>
      </c>
      <c r="I208" s="26">
        <f t="shared" si="47"/>
        <v>0</v>
      </c>
      <c r="J208" s="55"/>
      <c r="K208" s="56"/>
      <c r="L208" s="58">
        <v>192</v>
      </c>
      <c r="M208" s="26">
        <f>'Default parameters'!D205</f>
        <v>2.2600000000000001E-12</v>
      </c>
      <c r="N208" s="11">
        <f t="shared" si="48"/>
        <v>0</v>
      </c>
      <c r="O208" s="26">
        <f t="shared" si="49"/>
        <v>0</v>
      </c>
      <c r="P208" s="11">
        <f t="shared" si="50"/>
        <v>0</v>
      </c>
      <c r="Q208" s="26">
        <f t="shared" si="51"/>
        <v>0</v>
      </c>
      <c r="R208" s="11">
        <f t="shared" si="52"/>
        <v>0</v>
      </c>
      <c r="S208" s="26">
        <f t="shared" si="53"/>
        <v>0</v>
      </c>
    </row>
    <row r="209" spans="2:19" x14ac:dyDescent="0.2">
      <c r="B209" s="58">
        <v>193</v>
      </c>
      <c r="C209" s="26">
        <f>'Default parameters'!C206</f>
        <v>1.32E-11</v>
      </c>
      <c r="D209" s="11">
        <f t="shared" si="42"/>
        <v>0</v>
      </c>
      <c r="E209" s="26">
        <f t="shared" si="43"/>
        <v>0</v>
      </c>
      <c r="F209" s="11">
        <f t="shared" si="44"/>
        <v>0</v>
      </c>
      <c r="G209" s="26">
        <f t="shared" si="45"/>
        <v>0</v>
      </c>
      <c r="H209" s="11">
        <f t="shared" si="46"/>
        <v>0</v>
      </c>
      <c r="I209" s="26">
        <f t="shared" si="47"/>
        <v>0</v>
      </c>
      <c r="J209" s="55"/>
      <c r="K209" s="56"/>
      <c r="L209" s="58">
        <v>193</v>
      </c>
      <c r="M209" s="26">
        <f>'Default parameters'!D206</f>
        <v>1.85E-12</v>
      </c>
      <c r="N209" s="11">
        <f t="shared" si="48"/>
        <v>0</v>
      </c>
      <c r="O209" s="26">
        <f t="shared" si="49"/>
        <v>0</v>
      </c>
      <c r="P209" s="11">
        <f t="shared" si="50"/>
        <v>0</v>
      </c>
      <c r="Q209" s="26">
        <f t="shared" si="51"/>
        <v>0</v>
      </c>
      <c r="R209" s="11">
        <f t="shared" si="52"/>
        <v>0</v>
      </c>
      <c r="S209" s="26">
        <f t="shared" si="53"/>
        <v>0</v>
      </c>
    </row>
    <row r="210" spans="2:19" x14ac:dyDescent="0.2">
      <c r="B210" s="58">
        <v>194</v>
      </c>
      <c r="C210" s="26">
        <f>'Default parameters'!C207</f>
        <v>1.1000000000000001E-11</v>
      </c>
      <c r="D210" s="11">
        <f t="shared" si="42"/>
        <v>0</v>
      </c>
      <c r="E210" s="26">
        <f t="shared" si="43"/>
        <v>0</v>
      </c>
      <c r="F210" s="11">
        <f t="shared" si="44"/>
        <v>0</v>
      </c>
      <c r="G210" s="26">
        <f t="shared" si="45"/>
        <v>0</v>
      </c>
      <c r="H210" s="11">
        <f t="shared" si="46"/>
        <v>0</v>
      </c>
      <c r="I210" s="26">
        <f t="shared" si="47"/>
        <v>0</v>
      </c>
      <c r="J210" s="55"/>
      <c r="K210" s="56"/>
      <c r="L210" s="58">
        <v>194</v>
      </c>
      <c r="M210" s="26">
        <f>'Default parameters'!D207</f>
        <v>1.51E-12</v>
      </c>
      <c r="N210" s="11">
        <f t="shared" si="48"/>
        <v>0</v>
      </c>
      <c r="O210" s="26">
        <f t="shared" si="49"/>
        <v>0</v>
      </c>
      <c r="P210" s="11">
        <f t="shared" si="50"/>
        <v>0</v>
      </c>
      <c r="Q210" s="26">
        <f t="shared" si="51"/>
        <v>0</v>
      </c>
      <c r="R210" s="11">
        <f t="shared" si="52"/>
        <v>0</v>
      </c>
      <c r="S210" s="26">
        <f t="shared" si="53"/>
        <v>0</v>
      </c>
    </row>
    <row r="211" spans="2:19" x14ac:dyDescent="0.2">
      <c r="B211" s="58">
        <v>195</v>
      </c>
      <c r="C211" s="26">
        <f>'Default parameters'!C208</f>
        <v>9.1199999999999999E-12</v>
      </c>
      <c r="D211" s="11">
        <f t="shared" si="42"/>
        <v>0</v>
      </c>
      <c r="E211" s="26">
        <f t="shared" si="43"/>
        <v>0</v>
      </c>
      <c r="F211" s="11">
        <f t="shared" si="44"/>
        <v>0</v>
      </c>
      <c r="G211" s="26">
        <f t="shared" si="45"/>
        <v>0</v>
      </c>
      <c r="H211" s="11">
        <f t="shared" si="46"/>
        <v>0</v>
      </c>
      <c r="I211" s="26">
        <f t="shared" si="47"/>
        <v>0</v>
      </c>
      <c r="J211" s="55"/>
      <c r="K211" s="56"/>
      <c r="L211" s="58">
        <v>195</v>
      </c>
      <c r="M211" s="26">
        <f>'Default parameters'!D208</f>
        <v>1.24E-12</v>
      </c>
      <c r="N211" s="11">
        <f t="shared" si="48"/>
        <v>0</v>
      </c>
      <c r="O211" s="26">
        <f t="shared" si="49"/>
        <v>0</v>
      </c>
      <c r="P211" s="11">
        <f t="shared" si="50"/>
        <v>0</v>
      </c>
      <c r="Q211" s="26">
        <f t="shared" si="51"/>
        <v>0</v>
      </c>
      <c r="R211" s="11">
        <f t="shared" si="52"/>
        <v>0</v>
      </c>
      <c r="S211" s="26">
        <f t="shared" si="53"/>
        <v>0</v>
      </c>
    </row>
    <row r="212" spans="2:19" x14ac:dyDescent="0.2">
      <c r="B212" s="58">
        <v>196</v>
      </c>
      <c r="C212" s="26">
        <f>'Default parameters'!C209</f>
        <v>7.5699999999999994E-12</v>
      </c>
      <c r="D212" s="11">
        <f t="shared" si="42"/>
        <v>0</v>
      </c>
      <c r="E212" s="26">
        <f t="shared" si="43"/>
        <v>0</v>
      </c>
      <c r="F212" s="11">
        <f t="shared" si="44"/>
        <v>0</v>
      </c>
      <c r="G212" s="26">
        <f t="shared" si="45"/>
        <v>0</v>
      </c>
      <c r="H212" s="11">
        <f t="shared" si="46"/>
        <v>0</v>
      </c>
      <c r="I212" s="26">
        <f t="shared" si="47"/>
        <v>0</v>
      </c>
      <c r="J212" s="55"/>
      <c r="K212" s="56"/>
      <c r="L212" s="58">
        <v>196</v>
      </c>
      <c r="M212" s="26">
        <f>'Default parameters'!D209</f>
        <v>1.0099999999999999E-12</v>
      </c>
      <c r="N212" s="11">
        <f t="shared" si="48"/>
        <v>0</v>
      </c>
      <c r="O212" s="26">
        <f t="shared" si="49"/>
        <v>0</v>
      </c>
      <c r="P212" s="11">
        <f t="shared" si="50"/>
        <v>0</v>
      </c>
      <c r="Q212" s="26">
        <f t="shared" si="51"/>
        <v>0</v>
      </c>
      <c r="R212" s="11">
        <f t="shared" si="52"/>
        <v>0</v>
      </c>
      <c r="S212" s="26">
        <f t="shared" si="53"/>
        <v>0</v>
      </c>
    </row>
    <row r="213" spans="2:19" x14ac:dyDescent="0.2">
      <c r="B213" s="58">
        <v>197</v>
      </c>
      <c r="C213" s="26">
        <f>'Default parameters'!C210</f>
        <v>6.2699999999999997E-12</v>
      </c>
      <c r="D213" s="11">
        <f t="shared" si="42"/>
        <v>0</v>
      </c>
      <c r="E213" s="26">
        <f t="shared" si="43"/>
        <v>0</v>
      </c>
      <c r="F213" s="11">
        <f t="shared" si="44"/>
        <v>0</v>
      </c>
      <c r="G213" s="26">
        <f t="shared" si="45"/>
        <v>0</v>
      </c>
      <c r="H213" s="11">
        <f t="shared" si="46"/>
        <v>0</v>
      </c>
      <c r="I213" s="26">
        <f t="shared" si="47"/>
        <v>0</v>
      </c>
      <c r="J213" s="55"/>
      <c r="K213" s="56"/>
      <c r="L213" s="58">
        <v>197</v>
      </c>
      <c r="M213" s="26">
        <f>'Default parameters'!D210</f>
        <v>8.2200000000000003E-13</v>
      </c>
      <c r="N213" s="11">
        <f t="shared" si="48"/>
        <v>0</v>
      </c>
      <c r="O213" s="26">
        <f t="shared" si="49"/>
        <v>0</v>
      </c>
      <c r="P213" s="11">
        <f t="shared" si="50"/>
        <v>0</v>
      </c>
      <c r="Q213" s="26">
        <f t="shared" si="51"/>
        <v>0</v>
      </c>
      <c r="R213" s="11">
        <f t="shared" si="52"/>
        <v>0</v>
      </c>
      <c r="S213" s="26">
        <f t="shared" si="53"/>
        <v>0</v>
      </c>
    </row>
    <row r="214" spans="2:19" x14ac:dyDescent="0.2">
      <c r="B214" s="58">
        <v>198</v>
      </c>
      <c r="C214" s="26">
        <f>'Default parameters'!C211</f>
        <v>5.1900000000000003E-12</v>
      </c>
      <c r="D214" s="11">
        <f t="shared" si="42"/>
        <v>0</v>
      </c>
      <c r="E214" s="26">
        <f t="shared" si="43"/>
        <v>0</v>
      </c>
      <c r="F214" s="11">
        <f t="shared" si="44"/>
        <v>0</v>
      </c>
      <c r="G214" s="26">
        <f t="shared" si="45"/>
        <v>0</v>
      </c>
      <c r="H214" s="11">
        <f t="shared" si="46"/>
        <v>0</v>
      </c>
      <c r="I214" s="26">
        <f t="shared" si="47"/>
        <v>0</v>
      </c>
      <c r="J214" s="55"/>
      <c r="K214" s="56"/>
      <c r="L214" s="58">
        <v>198</v>
      </c>
      <c r="M214" s="26">
        <f>'Default parameters'!D211</f>
        <v>6.6799999999999998E-13</v>
      </c>
      <c r="N214" s="11">
        <f t="shared" si="48"/>
        <v>0</v>
      </c>
      <c r="O214" s="26">
        <f t="shared" si="49"/>
        <v>0</v>
      </c>
      <c r="P214" s="11">
        <f t="shared" si="50"/>
        <v>0</v>
      </c>
      <c r="Q214" s="26">
        <f t="shared" si="51"/>
        <v>0</v>
      </c>
      <c r="R214" s="11">
        <f t="shared" si="52"/>
        <v>0</v>
      </c>
      <c r="S214" s="26">
        <f t="shared" si="53"/>
        <v>0</v>
      </c>
    </row>
    <row r="215" spans="2:19" x14ac:dyDescent="0.2">
      <c r="B215" s="58">
        <v>199</v>
      </c>
      <c r="C215" s="26">
        <f>'Default parameters'!C212</f>
        <v>4.2800000000000003E-12</v>
      </c>
      <c r="D215" s="11">
        <f t="shared" si="42"/>
        <v>0</v>
      </c>
      <c r="E215" s="26">
        <f t="shared" si="43"/>
        <v>0</v>
      </c>
      <c r="F215" s="11">
        <f t="shared" si="44"/>
        <v>0</v>
      </c>
      <c r="G215" s="26">
        <f t="shared" si="45"/>
        <v>0</v>
      </c>
      <c r="H215" s="11">
        <f t="shared" si="46"/>
        <v>0</v>
      </c>
      <c r="I215" s="26">
        <f t="shared" si="47"/>
        <v>0</v>
      </c>
      <c r="J215" s="55"/>
      <c r="K215" s="56"/>
      <c r="L215" s="58">
        <v>199</v>
      </c>
      <c r="M215" s="26">
        <f>'Default parameters'!D212</f>
        <v>5.4200000000000001E-13</v>
      </c>
      <c r="N215" s="11">
        <f t="shared" si="48"/>
        <v>0</v>
      </c>
      <c r="O215" s="26">
        <f t="shared" si="49"/>
        <v>0</v>
      </c>
      <c r="P215" s="11">
        <f t="shared" si="50"/>
        <v>0</v>
      </c>
      <c r="Q215" s="26">
        <f t="shared" si="51"/>
        <v>0</v>
      </c>
      <c r="R215" s="11">
        <f t="shared" si="52"/>
        <v>0</v>
      </c>
      <c r="S215" s="26">
        <f t="shared" si="53"/>
        <v>0</v>
      </c>
    </row>
    <row r="216" spans="2:19" x14ac:dyDescent="0.2">
      <c r="B216" s="58">
        <v>200</v>
      </c>
      <c r="C216" s="26">
        <f>'Default parameters'!C213</f>
        <v>3.5300000000000001E-12</v>
      </c>
      <c r="D216" s="11">
        <f t="shared" si="42"/>
        <v>0</v>
      </c>
      <c r="E216" s="26">
        <f t="shared" si="43"/>
        <v>0</v>
      </c>
      <c r="F216" s="11">
        <f t="shared" si="44"/>
        <v>0</v>
      </c>
      <c r="G216" s="26">
        <f t="shared" si="45"/>
        <v>0</v>
      </c>
      <c r="H216" s="11">
        <f t="shared" si="46"/>
        <v>0</v>
      </c>
      <c r="I216" s="26">
        <f t="shared" si="47"/>
        <v>0</v>
      </c>
      <c r="J216" s="55"/>
      <c r="K216" s="56"/>
      <c r="L216" s="58">
        <v>200</v>
      </c>
      <c r="M216" s="26">
        <f>'Default parameters'!D213</f>
        <v>4.3999999999999999E-13</v>
      </c>
      <c r="N216" s="11">
        <f t="shared" si="48"/>
        <v>0</v>
      </c>
      <c r="O216" s="26">
        <f t="shared" si="49"/>
        <v>0</v>
      </c>
      <c r="P216" s="11">
        <f t="shared" si="50"/>
        <v>0</v>
      </c>
      <c r="Q216" s="26">
        <f t="shared" si="51"/>
        <v>0</v>
      </c>
      <c r="R216" s="11">
        <f t="shared" si="52"/>
        <v>0</v>
      </c>
      <c r="S216" s="26">
        <f t="shared" si="53"/>
        <v>0</v>
      </c>
    </row>
    <row r="217" spans="2:19" x14ac:dyDescent="0.2">
      <c r="B217" s="58">
        <v>201</v>
      </c>
      <c r="C217" s="26">
        <f>'Default parameters'!C214</f>
        <v>2.9099999999999999E-12</v>
      </c>
      <c r="D217" s="11">
        <f t="shared" si="42"/>
        <v>0</v>
      </c>
      <c r="E217" s="26">
        <f t="shared" si="43"/>
        <v>0</v>
      </c>
      <c r="F217" s="11">
        <f t="shared" si="44"/>
        <v>0</v>
      </c>
      <c r="G217" s="26">
        <f t="shared" si="45"/>
        <v>0</v>
      </c>
      <c r="H217" s="11">
        <f t="shared" si="46"/>
        <v>0</v>
      </c>
      <c r="I217" s="26">
        <f t="shared" si="47"/>
        <v>0</v>
      </c>
      <c r="J217" s="55"/>
      <c r="K217" s="56"/>
      <c r="L217" s="58">
        <v>201</v>
      </c>
      <c r="M217" s="26">
        <f>'Default parameters'!D214</f>
        <v>3.56E-13</v>
      </c>
      <c r="N217" s="11">
        <f t="shared" si="48"/>
        <v>0</v>
      </c>
      <c r="O217" s="26">
        <f t="shared" si="49"/>
        <v>0</v>
      </c>
      <c r="P217" s="11">
        <f t="shared" si="50"/>
        <v>0</v>
      </c>
      <c r="Q217" s="26">
        <f t="shared" si="51"/>
        <v>0</v>
      </c>
      <c r="R217" s="11">
        <f t="shared" si="52"/>
        <v>0</v>
      </c>
      <c r="S217" s="26">
        <f t="shared" si="53"/>
        <v>0</v>
      </c>
    </row>
    <row r="218" spans="2:19" x14ac:dyDescent="0.2">
      <c r="B218" s="58">
        <v>202</v>
      </c>
      <c r="C218" s="26">
        <f>'Default parameters'!C215</f>
        <v>2.3999999999999999E-12</v>
      </c>
      <c r="D218" s="11">
        <f t="shared" si="42"/>
        <v>0</v>
      </c>
      <c r="E218" s="26">
        <f t="shared" si="43"/>
        <v>0</v>
      </c>
      <c r="F218" s="11">
        <f t="shared" si="44"/>
        <v>0</v>
      </c>
      <c r="G218" s="26">
        <f t="shared" si="45"/>
        <v>0</v>
      </c>
      <c r="H218" s="11">
        <f t="shared" si="46"/>
        <v>0</v>
      </c>
      <c r="I218" s="26">
        <f t="shared" si="47"/>
        <v>0</v>
      </c>
      <c r="J218" s="55"/>
      <c r="K218" s="56"/>
      <c r="L218" s="58">
        <v>202</v>
      </c>
      <c r="M218" s="26">
        <f>'Default parameters'!D215</f>
        <v>2.8699999999999999E-13</v>
      </c>
      <c r="N218" s="11">
        <f t="shared" si="48"/>
        <v>0</v>
      </c>
      <c r="O218" s="26">
        <f t="shared" si="49"/>
        <v>0</v>
      </c>
      <c r="P218" s="11">
        <f t="shared" si="50"/>
        <v>0</v>
      </c>
      <c r="Q218" s="26">
        <f t="shared" si="51"/>
        <v>0</v>
      </c>
      <c r="R218" s="11">
        <f t="shared" si="52"/>
        <v>0</v>
      </c>
      <c r="S218" s="26">
        <f t="shared" si="53"/>
        <v>0</v>
      </c>
    </row>
    <row r="219" spans="2:19" x14ac:dyDescent="0.2">
      <c r="B219" s="58">
        <v>203</v>
      </c>
      <c r="C219" s="26">
        <f>'Default parameters'!C216</f>
        <v>1.9699999999999999E-12</v>
      </c>
      <c r="D219" s="11">
        <f t="shared" si="42"/>
        <v>0</v>
      </c>
      <c r="E219" s="26">
        <f t="shared" si="43"/>
        <v>0</v>
      </c>
      <c r="F219" s="11">
        <f t="shared" si="44"/>
        <v>0</v>
      </c>
      <c r="G219" s="26">
        <f t="shared" si="45"/>
        <v>0</v>
      </c>
      <c r="H219" s="11">
        <f t="shared" si="46"/>
        <v>0</v>
      </c>
      <c r="I219" s="26">
        <f t="shared" si="47"/>
        <v>0</v>
      </c>
      <c r="J219" s="55"/>
      <c r="K219" s="56"/>
      <c r="L219" s="58">
        <v>203</v>
      </c>
      <c r="M219" s="26">
        <f>'Default parameters'!D216</f>
        <v>2.3200000000000002E-13</v>
      </c>
      <c r="N219" s="11">
        <f t="shared" si="48"/>
        <v>0</v>
      </c>
      <c r="O219" s="26">
        <f t="shared" si="49"/>
        <v>0</v>
      </c>
      <c r="P219" s="11">
        <f t="shared" si="50"/>
        <v>0</v>
      </c>
      <c r="Q219" s="26">
        <f t="shared" si="51"/>
        <v>0</v>
      </c>
      <c r="R219" s="11">
        <f t="shared" si="52"/>
        <v>0</v>
      </c>
      <c r="S219" s="26">
        <f t="shared" si="53"/>
        <v>0</v>
      </c>
    </row>
    <row r="220" spans="2:19" x14ac:dyDescent="0.2">
      <c r="B220" s="58">
        <v>204</v>
      </c>
      <c r="C220" s="26">
        <f>'Default parameters'!C217</f>
        <v>1.61E-12</v>
      </c>
      <c r="D220" s="11">
        <f t="shared" si="42"/>
        <v>0</v>
      </c>
      <c r="E220" s="26">
        <f t="shared" si="43"/>
        <v>0</v>
      </c>
      <c r="F220" s="11">
        <f t="shared" si="44"/>
        <v>0</v>
      </c>
      <c r="G220" s="26">
        <f t="shared" si="45"/>
        <v>0</v>
      </c>
      <c r="H220" s="11">
        <f t="shared" si="46"/>
        <v>0</v>
      </c>
      <c r="I220" s="26">
        <f t="shared" si="47"/>
        <v>0</v>
      </c>
      <c r="J220" s="55"/>
      <c r="K220" s="56"/>
      <c r="L220" s="58">
        <v>204</v>
      </c>
      <c r="M220" s="26">
        <f>'Default parameters'!D217</f>
        <v>1.8700000000000001E-13</v>
      </c>
      <c r="N220" s="11">
        <f t="shared" si="48"/>
        <v>0</v>
      </c>
      <c r="O220" s="26">
        <f t="shared" si="49"/>
        <v>0</v>
      </c>
      <c r="P220" s="11">
        <f t="shared" si="50"/>
        <v>0</v>
      </c>
      <c r="Q220" s="26">
        <f t="shared" si="51"/>
        <v>0</v>
      </c>
      <c r="R220" s="11">
        <f t="shared" si="52"/>
        <v>0</v>
      </c>
      <c r="S220" s="26">
        <f t="shared" si="53"/>
        <v>0</v>
      </c>
    </row>
    <row r="221" spans="2:19" x14ac:dyDescent="0.2">
      <c r="B221" s="58">
        <v>205</v>
      </c>
      <c r="C221" s="26">
        <f>'Default parameters'!C218</f>
        <v>1.32E-12</v>
      </c>
      <c r="D221" s="11">
        <f t="shared" si="42"/>
        <v>0</v>
      </c>
      <c r="E221" s="26">
        <f t="shared" si="43"/>
        <v>0</v>
      </c>
      <c r="F221" s="11">
        <f t="shared" si="44"/>
        <v>0</v>
      </c>
      <c r="G221" s="26">
        <f t="shared" si="45"/>
        <v>0</v>
      </c>
      <c r="H221" s="11">
        <f t="shared" si="46"/>
        <v>0</v>
      </c>
      <c r="I221" s="26">
        <f t="shared" si="47"/>
        <v>0</v>
      </c>
      <c r="J221" s="55"/>
      <c r="K221" s="56"/>
      <c r="L221" s="58">
        <v>205</v>
      </c>
      <c r="M221" s="26">
        <f>'Default parameters'!D218</f>
        <v>1.4999999999999999E-13</v>
      </c>
      <c r="N221" s="11">
        <f t="shared" si="48"/>
        <v>0</v>
      </c>
      <c r="O221" s="26">
        <f t="shared" si="49"/>
        <v>0</v>
      </c>
      <c r="P221" s="11">
        <f t="shared" si="50"/>
        <v>0</v>
      </c>
      <c r="Q221" s="26">
        <f t="shared" si="51"/>
        <v>0</v>
      </c>
      <c r="R221" s="11">
        <f t="shared" si="52"/>
        <v>0</v>
      </c>
      <c r="S221" s="26">
        <f t="shared" si="53"/>
        <v>0</v>
      </c>
    </row>
    <row r="222" spans="2:19" x14ac:dyDescent="0.2">
      <c r="B222" s="58">
        <v>206</v>
      </c>
      <c r="C222" s="26">
        <f>'Default parameters'!C219</f>
        <v>1.08E-12</v>
      </c>
      <c r="D222" s="11">
        <f t="shared" si="42"/>
        <v>0</v>
      </c>
      <c r="E222" s="26">
        <f t="shared" si="43"/>
        <v>0</v>
      </c>
      <c r="F222" s="11">
        <f t="shared" si="44"/>
        <v>0</v>
      </c>
      <c r="G222" s="26">
        <f t="shared" si="45"/>
        <v>0</v>
      </c>
      <c r="H222" s="11">
        <f t="shared" si="46"/>
        <v>0</v>
      </c>
      <c r="I222" s="26">
        <f t="shared" si="47"/>
        <v>0</v>
      </c>
      <c r="J222" s="55"/>
      <c r="K222" s="56"/>
      <c r="L222" s="58">
        <v>206</v>
      </c>
      <c r="M222" s="26">
        <f>'Default parameters'!D219</f>
        <v>1.2099999999999999E-13</v>
      </c>
      <c r="N222" s="11">
        <f t="shared" si="48"/>
        <v>0</v>
      </c>
      <c r="O222" s="26">
        <f t="shared" si="49"/>
        <v>0</v>
      </c>
      <c r="P222" s="11">
        <f t="shared" si="50"/>
        <v>0</v>
      </c>
      <c r="Q222" s="26">
        <f t="shared" si="51"/>
        <v>0</v>
      </c>
      <c r="R222" s="11">
        <f t="shared" si="52"/>
        <v>0</v>
      </c>
      <c r="S222" s="26">
        <f t="shared" si="53"/>
        <v>0</v>
      </c>
    </row>
    <row r="223" spans="2:19" x14ac:dyDescent="0.2">
      <c r="B223" s="58">
        <v>207</v>
      </c>
      <c r="C223" s="26">
        <f>'Default parameters'!C220</f>
        <v>8.8199999999999998E-13</v>
      </c>
      <c r="D223" s="11">
        <f t="shared" si="42"/>
        <v>0</v>
      </c>
      <c r="E223" s="26">
        <f t="shared" si="43"/>
        <v>0</v>
      </c>
      <c r="F223" s="11">
        <f t="shared" si="44"/>
        <v>0</v>
      </c>
      <c r="G223" s="26">
        <f t="shared" si="45"/>
        <v>0</v>
      </c>
      <c r="H223" s="11">
        <f t="shared" si="46"/>
        <v>0</v>
      </c>
      <c r="I223" s="26">
        <f t="shared" si="47"/>
        <v>0</v>
      </c>
      <c r="J223" s="55"/>
      <c r="K223" s="56"/>
      <c r="L223" s="58">
        <v>207</v>
      </c>
      <c r="M223" s="26">
        <f>'Default parameters'!D220</f>
        <v>9.66E-14</v>
      </c>
      <c r="N223" s="11">
        <f t="shared" si="48"/>
        <v>0</v>
      </c>
      <c r="O223" s="26">
        <f t="shared" si="49"/>
        <v>0</v>
      </c>
      <c r="P223" s="11">
        <f t="shared" si="50"/>
        <v>0</v>
      </c>
      <c r="Q223" s="26">
        <f t="shared" si="51"/>
        <v>0</v>
      </c>
      <c r="R223" s="11">
        <f t="shared" si="52"/>
        <v>0</v>
      </c>
      <c r="S223" s="26">
        <f t="shared" si="53"/>
        <v>0</v>
      </c>
    </row>
    <row r="224" spans="2:19" x14ac:dyDescent="0.2">
      <c r="B224" s="58">
        <v>208</v>
      </c>
      <c r="C224" s="26">
        <f>'Default parameters'!C221</f>
        <v>7.1899999999999997E-13</v>
      </c>
      <c r="D224" s="11">
        <f t="shared" si="42"/>
        <v>0</v>
      </c>
      <c r="E224" s="26">
        <f t="shared" si="43"/>
        <v>0</v>
      </c>
      <c r="F224" s="11">
        <f t="shared" si="44"/>
        <v>0</v>
      </c>
      <c r="G224" s="26">
        <f t="shared" si="45"/>
        <v>0</v>
      </c>
      <c r="H224" s="11">
        <f t="shared" si="46"/>
        <v>0</v>
      </c>
      <c r="I224" s="26">
        <f t="shared" si="47"/>
        <v>0</v>
      </c>
      <c r="J224" s="55"/>
      <c r="K224" s="56"/>
      <c r="L224" s="58">
        <v>208</v>
      </c>
      <c r="M224" s="26">
        <f>'Default parameters'!D221</f>
        <v>7.7299999999999996E-14</v>
      </c>
      <c r="N224" s="11">
        <f t="shared" si="48"/>
        <v>0</v>
      </c>
      <c r="O224" s="26">
        <f t="shared" si="49"/>
        <v>0</v>
      </c>
      <c r="P224" s="11">
        <f t="shared" si="50"/>
        <v>0</v>
      </c>
      <c r="Q224" s="26">
        <f t="shared" si="51"/>
        <v>0</v>
      </c>
      <c r="R224" s="11">
        <f t="shared" si="52"/>
        <v>0</v>
      </c>
      <c r="S224" s="26">
        <f t="shared" si="53"/>
        <v>0</v>
      </c>
    </row>
    <row r="225" spans="2:19" x14ac:dyDescent="0.2">
      <c r="B225" s="58">
        <v>209</v>
      </c>
      <c r="C225" s="26">
        <f>'Default parameters'!C222</f>
        <v>5.8500000000000003E-13</v>
      </c>
      <c r="D225" s="11">
        <f t="shared" si="42"/>
        <v>0</v>
      </c>
      <c r="E225" s="26">
        <f t="shared" si="43"/>
        <v>0</v>
      </c>
      <c r="F225" s="11">
        <f t="shared" si="44"/>
        <v>0</v>
      </c>
      <c r="G225" s="26">
        <f t="shared" si="45"/>
        <v>0</v>
      </c>
      <c r="H225" s="11">
        <f t="shared" si="46"/>
        <v>0</v>
      </c>
      <c r="I225" s="26">
        <f t="shared" si="47"/>
        <v>0</v>
      </c>
      <c r="J225" s="55"/>
      <c r="K225" s="56"/>
      <c r="L225" s="58">
        <v>209</v>
      </c>
      <c r="M225" s="26">
        <f>'Default parameters'!D222</f>
        <v>6.1700000000000005E-14</v>
      </c>
      <c r="N225" s="11">
        <f t="shared" si="48"/>
        <v>0</v>
      </c>
      <c r="O225" s="26">
        <f t="shared" si="49"/>
        <v>0</v>
      </c>
      <c r="P225" s="11">
        <f t="shared" si="50"/>
        <v>0</v>
      </c>
      <c r="Q225" s="26">
        <f t="shared" si="51"/>
        <v>0</v>
      </c>
      <c r="R225" s="11">
        <f t="shared" si="52"/>
        <v>0</v>
      </c>
      <c r="S225" s="26">
        <f t="shared" si="53"/>
        <v>0</v>
      </c>
    </row>
    <row r="226" spans="2:19" x14ac:dyDescent="0.2">
      <c r="B226" s="58">
        <v>210</v>
      </c>
      <c r="C226" s="26">
        <f>'Default parameters'!C223</f>
        <v>4.75E-13</v>
      </c>
      <c r="D226" s="11">
        <f t="shared" si="42"/>
        <v>0</v>
      </c>
      <c r="E226" s="26">
        <f t="shared" si="43"/>
        <v>0</v>
      </c>
      <c r="F226" s="11">
        <f t="shared" si="44"/>
        <v>0</v>
      </c>
      <c r="G226" s="26">
        <f t="shared" si="45"/>
        <v>0</v>
      </c>
      <c r="H226" s="11">
        <f t="shared" si="46"/>
        <v>0</v>
      </c>
      <c r="I226" s="26">
        <f t="shared" si="47"/>
        <v>0</v>
      </c>
      <c r="J226" s="55"/>
      <c r="K226" s="56"/>
      <c r="L226" s="58">
        <v>210</v>
      </c>
      <c r="M226" s="26">
        <f>'Default parameters'!D223</f>
        <v>4.9200000000000001E-14</v>
      </c>
      <c r="N226" s="11">
        <f t="shared" si="48"/>
        <v>0</v>
      </c>
      <c r="O226" s="26">
        <f t="shared" si="49"/>
        <v>0</v>
      </c>
      <c r="P226" s="11">
        <f t="shared" si="50"/>
        <v>0</v>
      </c>
      <c r="Q226" s="26">
        <f t="shared" si="51"/>
        <v>0</v>
      </c>
      <c r="R226" s="11">
        <f t="shared" si="52"/>
        <v>0</v>
      </c>
      <c r="S226" s="26">
        <f t="shared" si="53"/>
        <v>0</v>
      </c>
    </row>
    <row r="227" spans="2:19" x14ac:dyDescent="0.2">
      <c r="B227" s="58">
        <v>211</v>
      </c>
      <c r="C227" s="26">
        <f>'Default parameters'!C224</f>
        <v>3.8600000000000002E-13</v>
      </c>
      <c r="D227" s="11">
        <f t="shared" si="42"/>
        <v>0</v>
      </c>
      <c r="E227" s="26">
        <f t="shared" si="43"/>
        <v>0</v>
      </c>
      <c r="F227" s="11">
        <f t="shared" si="44"/>
        <v>0</v>
      </c>
      <c r="G227" s="26">
        <f t="shared" si="45"/>
        <v>0</v>
      </c>
      <c r="H227" s="11">
        <f t="shared" si="46"/>
        <v>0</v>
      </c>
      <c r="I227" s="26">
        <f t="shared" si="47"/>
        <v>0</v>
      </c>
      <c r="J227" s="55"/>
      <c r="K227" s="56"/>
      <c r="L227" s="58">
        <v>211</v>
      </c>
      <c r="M227" s="26">
        <f>'Default parameters'!D224</f>
        <v>3.92E-14</v>
      </c>
      <c r="N227" s="11">
        <f t="shared" si="48"/>
        <v>0</v>
      </c>
      <c r="O227" s="26">
        <f t="shared" si="49"/>
        <v>0</v>
      </c>
      <c r="P227" s="11">
        <f t="shared" si="50"/>
        <v>0</v>
      </c>
      <c r="Q227" s="26">
        <f t="shared" si="51"/>
        <v>0</v>
      </c>
      <c r="R227" s="11">
        <f t="shared" si="52"/>
        <v>0</v>
      </c>
      <c r="S227" s="26">
        <f t="shared" si="53"/>
        <v>0</v>
      </c>
    </row>
    <row r="228" spans="2:19" x14ac:dyDescent="0.2">
      <c r="B228" s="58">
        <v>212</v>
      </c>
      <c r="C228" s="26">
        <f>'Default parameters'!C225</f>
        <v>3.1199999999999998E-13</v>
      </c>
      <c r="D228" s="11">
        <f t="shared" si="42"/>
        <v>0</v>
      </c>
      <c r="E228" s="26">
        <f t="shared" si="43"/>
        <v>0</v>
      </c>
      <c r="F228" s="11">
        <f t="shared" si="44"/>
        <v>0</v>
      </c>
      <c r="G228" s="26">
        <f t="shared" si="45"/>
        <v>0</v>
      </c>
      <c r="H228" s="11">
        <f t="shared" si="46"/>
        <v>0</v>
      </c>
      <c r="I228" s="26">
        <f t="shared" si="47"/>
        <v>0</v>
      </c>
      <c r="J228" s="55"/>
      <c r="K228" s="56"/>
      <c r="L228" s="58">
        <v>212</v>
      </c>
      <c r="M228" s="26">
        <f>'Default parameters'!D225</f>
        <v>3.1100000000000001E-14</v>
      </c>
      <c r="N228" s="11">
        <f t="shared" si="48"/>
        <v>0</v>
      </c>
      <c r="O228" s="26">
        <f t="shared" si="49"/>
        <v>0</v>
      </c>
      <c r="P228" s="11">
        <f t="shared" si="50"/>
        <v>0</v>
      </c>
      <c r="Q228" s="26">
        <f t="shared" si="51"/>
        <v>0</v>
      </c>
      <c r="R228" s="11">
        <f t="shared" si="52"/>
        <v>0</v>
      </c>
      <c r="S228" s="26">
        <f t="shared" si="53"/>
        <v>0</v>
      </c>
    </row>
    <row r="229" spans="2:19" x14ac:dyDescent="0.2">
      <c r="B229" s="58">
        <v>213</v>
      </c>
      <c r="C229" s="26">
        <f>'Default parameters'!C226</f>
        <v>2.5299999999999998E-13</v>
      </c>
      <c r="D229" s="11">
        <f t="shared" si="42"/>
        <v>0</v>
      </c>
      <c r="E229" s="26">
        <f t="shared" si="43"/>
        <v>0</v>
      </c>
      <c r="F229" s="11">
        <f t="shared" si="44"/>
        <v>0</v>
      </c>
      <c r="G229" s="26">
        <f t="shared" si="45"/>
        <v>0</v>
      </c>
      <c r="H229" s="11">
        <f t="shared" si="46"/>
        <v>0</v>
      </c>
      <c r="I229" s="26">
        <f t="shared" si="47"/>
        <v>0</v>
      </c>
      <c r="J229" s="55"/>
      <c r="K229" s="56"/>
      <c r="L229" s="58">
        <v>213</v>
      </c>
      <c r="M229" s="26">
        <f>'Default parameters'!D226</f>
        <v>2.4700000000000001E-14</v>
      </c>
      <c r="N229" s="11">
        <f t="shared" si="48"/>
        <v>0</v>
      </c>
      <c r="O229" s="26">
        <f t="shared" si="49"/>
        <v>0</v>
      </c>
      <c r="P229" s="11">
        <f t="shared" si="50"/>
        <v>0</v>
      </c>
      <c r="Q229" s="26">
        <f t="shared" si="51"/>
        <v>0</v>
      </c>
      <c r="R229" s="11">
        <f t="shared" si="52"/>
        <v>0</v>
      </c>
      <c r="S229" s="26">
        <f t="shared" si="53"/>
        <v>0</v>
      </c>
    </row>
    <row r="230" spans="2:19" x14ac:dyDescent="0.2">
      <c r="B230" s="58">
        <v>214</v>
      </c>
      <c r="C230" s="26">
        <f>'Default parameters'!C227</f>
        <v>2.0399999999999999E-13</v>
      </c>
      <c r="D230" s="11">
        <f t="shared" si="42"/>
        <v>0</v>
      </c>
      <c r="E230" s="26">
        <f t="shared" si="43"/>
        <v>0</v>
      </c>
      <c r="F230" s="11">
        <f t="shared" si="44"/>
        <v>0</v>
      </c>
      <c r="G230" s="26">
        <f t="shared" si="45"/>
        <v>0</v>
      </c>
      <c r="H230" s="11">
        <f t="shared" si="46"/>
        <v>0</v>
      </c>
      <c r="I230" s="26">
        <f t="shared" si="47"/>
        <v>0</v>
      </c>
      <c r="J230" s="55"/>
      <c r="K230" s="56"/>
      <c r="L230" s="58">
        <v>214</v>
      </c>
      <c r="M230" s="26">
        <f>'Default parameters'!D227</f>
        <v>1.9499999999999999E-14</v>
      </c>
      <c r="N230" s="11">
        <f t="shared" si="48"/>
        <v>0</v>
      </c>
      <c r="O230" s="26">
        <f t="shared" si="49"/>
        <v>0</v>
      </c>
      <c r="P230" s="11">
        <f t="shared" si="50"/>
        <v>0</v>
      </c>
      <c r="Q230" s="26">
        <f t="shared" si="51"/>
        <v>0</v>
      </c>
      <c r="R230" s="11">
        <f t="shared" si="52"/>
        <v>0</v>
      </c>
      <c r="S230" s="26">
        <f t="shared" si="53"/>
        <v>0</v>
      </c>
    </row>
    <row r="231" spans="2:19" x14ac:dyDescent="0.2">
      <c r="B231" s="58">
        <v>215</v>
      </c>
      <c r="C231" s="26">
        <f>'Default parameters'!C228</f>
        <v>1.6400000000000001E-13</v>
      </c>
      <c r="D231" s="11">
        <f t="shared" si="42"/>
        <v>0</v>
      </c>
      <c r="E231" s="26">
        <f t="shared" si="43"/>
        <v>0</v>
      </c>
      <c r="F231" s="11">
        <f t="shared" si="44"/>
        <v>0</v>
      </c>
      <c r="G231" s="26">
        <f t="shared" si="45"/>
        <v>0</v>
      </c>
      <c r="H231" s="11">
        <f t="shared" si="46"/>
        <v>0</v>
      </c>
      <c r="I231" s="26">
        <f t="shared" si="47"/>
        <v>0</v>
      </c>
      <c r="J231" s="55"/>
      <c r="K231" s="56"/>
      <c r="L231" s="58">
        <v>215</v>
      </c>
      <c r="M231" s="26">
        <f>'Default parameters'!D228</f>
        <v>1.5399999999999999E-14</v>
      </c>
      <c r="N231" s="11">
        <f t="shared" si="48"/>
        <v>0</v>
      </c>
      <c r="O231" s="26">
        <f t="shared" si="49"/>
        <v>0</v>
      </c>
      <c r="P231" s="11">
        <f t="shared" si="50"/>
        <v>0</v>
      </c>
      <c r="Q231" s="26">
        <f t="shared" si="51"/>
        <v>0</v>
      </c>
      <c r="R231" s="11">
        <f t="shared" si="52"/>
        <v>0</v>
      </c>
      <c r="S231" s="26">
        <f t="shared" si="53"/>
        <v>0</v>
      </c>
    </row>
    <row r="232" spans="2:19" x14ac:dyDescent="0.2">
      <c r="B232" s="58">
        <v>216</v>
      </c>
      <c r="C232" s="26">
        <f>'Default parameters'!C229</f>
        <v>1.3199999999999999E-13</v>
      </c>
      <c r="D232" s="11">
        <f t="shared" si="42"/>
        <v>0</v>
      </c>
      <c r="E232" s="26">
        <f t="shared" si="43"/>
        <v>0</v>
      </c>
      <c r="F232" s="11">
        <f t="shared" si="44"/>
        <v>0</v>
      </c>
      <c r="G232" s="26">
        <f t="shared" si="45"/>
        <v>0</v>
      </c>
      <c r="H232" s="11">
        <f t="shared" si="46"/>
        <v>0</v>
      </c>
      <c r="I232" s="26">
        <f t="shared" si="47"/>
        <v>0</v>
      </c>
      <c r="J232" s="55"/>
      <c r="K232" s="56"/>
      <c r="L232" s="58">
        <v>216</v>
      </c>
      <c r="M232" s="26">
        <f>'Default parameters'!D229</f>
        <v>1.2199999999999999E-14</v>
      </c>
      <c r="N232" s="11">
        <f t="shared" si="48"/>
        <v>0</v>
      </c>
      <c r="O232" s="26">
        <f t="shared" si="49"/>
        <v>0</v>
      </c>
      <c r="P232" s="11">
        <f t="shared" si="50"/>
        <v>0</v>
      </c>
      <c r="Q232" s="26">
        <f t="shared" si="51"/>
        <v>0</v>
      </c>
      <c r="R232" s="11">
        <f t="shared" si="52"/>
        <v>0</v>
      </c>
      <c r="S232" s="26">
        <f t="shared" si="53"/>
        <v>0</v>
      </c>
    </row>
    <row r="233" spans="2:19" x14ac:dyDescent="0.2">
      <c r="B233" s="58">
        <v>217</v>
      </c>
      <c r="C233" s="26">
        <f>'Default parameters'!C230</f>
        <v>1.06E-13</v>
      </c>
      <c r="D233" s="11">
        <f t="shared" si="42"/>
        <v>0</v>
      </c>
      <c r="E233" s="26">
        <f t="shared" si="43"/>
        <v>0</v>
      </c>
      <c r="F233" s="11">
        <f t="shared" si="44"/>
        <v>0</v>
      </c>
      <c r="G233" s="26">
        <f t="shared" si="45"/>
        <v>0</v>
      </c>
      <c r="H233" s="11">
        <f t="shared" si="46"/>
        <v>0</v>
      </c>
      <c r="I233" s="26">
        <f t="shared" si="47"/>
        <v>0</v>
      </c>
      <c r="J233" s="55"/>
      <c r="K233" s="56"/>
      <c r="L233" s="58">
        <v>217</v>
      </c>
      <c r="M233" s="26">
        <f>'Default parameters'!D230</f>
        <v>9.5800000000000003E-15</v>
      </c>
      <c r="N233" s="11">
        <f t="shared" si="48"/>
        <v>0</v>
      </c>
      <c r="O233" s="26">
        <f t="shared" si="49"/>
        <v>0</v>
      </c>
      <c r="P233" s="11">
        <f t="shared" si="50"/>
        <v>0</v>
      </c>
      <c r="Q233" s="26">
        <f t="shared" si="51"/>
        <v>0</v>
      </c>
      <c r="R233" s="11">
        <f t="shared" si="52"/>
        <v>0</v>
      </c>
      <c r="S233" s="26">
        <f t="shared" si="53"/>
        <v>0</v>
      </c>
    </row>
    <row r="234" spans="2:19" x14ac:dyDescent="0.2">
      <c r="B234" s="58">
        <v>218</v>
      </c>
      <c r="C234" s="26">
        <f>'Default parameters'!C231</f>
        <v>8.5200000000000006E-14</v>
      </c>
      <c r="D234" s="11">
        <f t="shared" si="42"/>
        <v>0</v>
      </c>
      <c r="E234" s="26">
        <f t="shared" si="43"/>
        <v>0</v>
      </c>
      <c r="F234" s="11">
        <f t="shared" si="44"/>
        <v>0</v>
      </c>
      <c r="G234" s="26">
        <f t="shared" si="45"/>
        <v>0</v>
      </c>
      <c r="H234" s="11">
        <f t="shared" si="46"/>
        <v>0</v>
      </c>
      <c r="I234" s="26">
        <f t="shared" si="47"/>
        <v>0</v>
      </c>
      <c r="J234" s="55"/>
      <c r="K234" s="56"/>
      <c r="L234" s="58">
        <v>218</v>
      </c>
      <c r="M234" s="26">
        <f>'Default parameters'!D231</f>
        <v>7.5300000000000005E-15</v>
      </c>
      <c r="N234" s="11">
        <f t="shared" si="48"/>
        <v>0</v>
      </c>
      <c r="O234" s="26">
        <f t="shared" si="49"/>
        <v>0</v>
      </c>
      <c r="P234" s="11">
        <f t="shared" si="50"/>
        <v>0</v>
      </c>
      <c r="Q234" s="26">
        <f t="shared" si="51"/>
        <v>0</v>
      </c>
      <c r="R234" s="11">
        <f t="shared" si="52"/>
        <v>0</v>
      </c>
      <c r="S234" s="26">
        <f t="shared" si="53"/>
        <v>0</v>
      </c>
    </row>
    <row r="235" spans="2:19" x14ac:dyDescent="0.2">
      <c r="B235" s="58">
        <v>219</v>
      </c>
      <c r="C235" s="26">
        <f>'Default parameters'!C232</f>
        <v>6.8200000000000002E-14</v>
      </c>
      <c r="D235" s="11">
        <f t="shared" si="42"/>
        <v>0</v>
      </c>
      <c r="E235" s="26">
        <f t="shared" si="43"/>
        <v>0</v>
      </c>
      <c r="F235" s="11">
        <f t="shared" si="44"/>
        <v>0</v>
      </c>
      <c r="G235" s="26">
        <f t="shared" si="45"/>
        <v>0</v>
      </c>
      <c r="H235" s="11">
        <f t="shared" si="46"/>
        <v>0</v>
      </c>
      <c r="I235" s="26">
        <f t="shared" si="47"/>
        <v>0</v>
      </c>
      <c r="J235" s="55"/>
      <c r="K235" s="56"/>
      <c r="L235" s="58">
        <v>219</v>
      </c>
      <c r="M235" s="26">
        <f>'Default parameters'!D232</f>
        <v>5.8999999999999996E-15</v>
      </c>
      <c r="N235" s="11">
        <f t="shared" si="48"/>
        <v>0</v>
      </c>
      <c r="O235" s="26">
        <f t="shared" si="49"/>
        <v>0</v>
      </c>
      <c r="P235" s="11">
        <f t="shared" si="50"/>
        <v>0</v>
      </c>
      <c r="Q235" s="26">
        <f t="shared" si="51"/>
        <v>0</v>
      </c>
      <c r="R235" s="11">
        <f t="shared" si="52"/>
        <v>0</v>
      </c>
      <c r="S235" s="26">
        <f t="shared" si="53"/>
        <v>0</v>
      </c>
    </row>
    <row r="236" spans="2:19" x14ac:dyDescent="0.2">
      <c r="B236" s="58">
        <v>220</v>
      </c>
      <c r="C236" s="26">
        <f>'Default parameters'!C233</f>
        <v>5.4500000000000001E-14</v>
      </c>
      <c r="D236" s="11">
        <f t="shared" ref="D236:D299" si="54">IF(AND(B236&gt;($D$8-1), B236&lt;$D$9),1,0)</f>
        <v>0</v>
      </c>
      <c r="E236" s="26">
        <f t="shared" ref="E236:E299" si="55">D236*C236</f>
        <v>0</v>
      </c>
      <c r="F236" s="11">
        <f t="shared" ref="F236:F299" si="56">IF(AND(B236&gt;($E$8-1), B236&lt;$E$9),1,0)</f>
        <v>0</v>
      </c>
      <c r="G236" s="26">
        <f t="shared" ref="G236:G299" si="57">F236*C236</f>
        <v>0</v>
      </c>
      <c r="H236" s="11">
        <f t="shared" ref="H236:H299" si="58">IF(AND(B236&gt;($F$8-1), B236&lt;$F$9),1,0)</f>
        <v>0</v>
      </c>
      <c r="I236" s="26">
        <f t="shared" ref="I236:I299" si="59">H236*C236</f>
        <v>0</v>
      </c>
      <c r="J236" s="55"/>
      <c r="K236" s="56"/>
      <c r="L236" s="58">
        <v>220</v>
      </c>
      <c r="M236" s="26">
        <f>'Default parameters'!D233</f>
        <v>4.6200000000000001E-15</v>
      </c>
      <c r="N236" s="11">
        <f t="shared" ref="N236:N299" si="60">IF(AND(L236&gt;($N$8-1), L236&lt;$N$9),1,0)</f>
        <v>0</v>
      </c>
      <c r="O236" s="26">
        <f t="shared" ref="O236:O299" si="61">N236*M236</f>
        <v>0</v>
      </c>
      <c r="P236" s="11">
        <f t="shared" ref="P236:P299" si="62">IF(AND(L236&gt;($O$8-1), L236&lt;$O$9),1,0)</f>
        <v>0</v>
      </c>
      <c r="Q236" s="26">
        <f t="shared" ref="Q236:Q299" si="63">P236*M236</f>
        <v>0</v>
      </c>
      <c r="R236" s="11">
        <f t="shared" ref="R236:R299" si="64">IF(AND(L236&gt;($P$8-1), L236&lt;$P$9),1,0)</f>
        <v>0</v>
      </c>
      <c r="S236" s="26">
        <f t="shared" ref="S236:S299" si="65">R236*M236</f>
        <v>0</v>
      </c>
    </row>
    <row r="237" spans="2:19" x14ac:dyDescent="0.2">
      <c r="B237" s="58">
        <v>221</v>
      </c>
      <c r="C237" s="26">
        <f>'Default parameters'!C234</f>
        <v>4.3499999999999998E-14</v>
      </c>
      <c r="D237" s="11">
        <f t="shared" si="54"/>
        <v>0</v>
      </c>
      <c r="E237" s="26">
        <f t="shared" si="55"/>
        <v>0</v>
      </c>
      <c r="F237" s="11">
        <f t="shared" si="56"/>
        <v>0</v>
      </c>
      <c r="G237" s="26">
        <f t="shared" si="57"/>
        <v>0</v>
      </c>
      <c r="H237" s="11">
        <f t="shared" si="58"/>
        <v>0</v>
      </c>
      <c r="I237" s="26">
        <f t="shared" si="59"/>
        <v>0</v>
      </c>
      <c r="J237" s="55"/>
      <c r="K237" s="56"/>
      <c r="L237" s="58">
        <v>221</v>
      </c>
      <c r="M237" s="26">
        <f>'Default parameters'!D234</f>
        <v>3.6099999999999999E-15</v>
      </c>
      <c r="N237" s="11">
        <f t="shared" si="60"/>
        <v>0</v>
      </c>
      <c r="O237" s="26">
        <f t="shared" si="61"/>
        <v>0</v>
      </c>
      <c r="P237" s="11">
        <f t="shared" si="62"/>
        <v>0</v>
      </c>
      <c r="Q237" s="26">
        <f t="shared" si="63"/>
        <v>0</v>
      </c>
      <c r="R237" s="11">
        <f t="shared" si="64"/>
        <v>0</v>
      </c>
      <c r="S237" s="26">
        <f t="shared" si="65"/>
        <v>0</v>
      </c>
    </row>
    <row r="238" spans="2:19" x14ac:dyDescent="0.2">
      <c r="B238" s="58">
        <v>222</v>
      </c>
      <c r="C238" s="26">
        <f>'Default parameters'!C235</f>
        <v>3.4599999999999999E-14</v>
      </c>
      <c r="D238" s="11">
        <f t="shared" si="54"/>
        <v>0</v>
      </c>
      <c r="E238" s="26">
        <f t="shared" si="55"/>
        <v>0</v>
      </c>
      <c r="F238" s="11">
        <f t="shared" si="56"/>
        <v>0</v>
      </c>
      <c r="G238" s="26">
        <f t="shared" si="57"/>
        <v>0</v>
      </c>
      <c r="H238" s="11">
        <f t="shared" si="58"/>
        <v>0</v>
      </c>
      <c r="I238" s="26">
        <f t="shared" si="59"/>
        <v>0</v>
      </c>
      <c r="J238" s="55"/>
      <c r="K238" s="56"/>
      <c r="L238" s="58">
        <v>222</v>
      </c>
      <c r="M238" s="26">
        <f>'Default parameters'!D235</f>
        <v>2.8200000000000001E-15</v>
      </c>
      <c r="N238" s="11">
        <f t="shared" si="60"/>
        <v>0</v>
      </c>
      <c r="O238" s="26">
        <f t="shared" si="61"/>
        <v>0</v>
      </c>
      <c r="P238" s="11">
        <f t="shared" si="62"/>
        <v>0</v>
      </c>
      <c r="Q238" s="26">
        <f t="shared" si="63"/>
        <v>0</v>
      </c>
      <c r="R238" s="11">
        <f t="shared" si="64"/>
        <v>0</v>
      </c>
      <c r="S238" s="26">
        <f t="shared" si="65"/>
        <v>0</v>
      </c>
    </row>
    <row r="239" spans="2:19" x14ac:dyDescent="0.2">
      <c r="B239" s="58">
        <v>223</v>
      </c>
      <c r="C239" s="26">
        <f>'Default parameters'!C236</f>
        <v>2.75E-14</v>
      </c>
      <c r="D239" s="11">
        <f t="shared" si="54"/>
        <v>0</v>
      </c>
      <c r="E239" s="26">
        <f t="shared" si="55"/>
        <v>0</v>
      </c>
      <c r="F239" s="11">
        <f t="shared" si="56"/>
        <v>0</v>
      </c>
      <c r="G239" s="26">
        <f t="shared" si="57"/>
        <v>0</v>
      </c>
      <c r="H239" s="11">
        <f t="shared" si="58"/>
        <v>0</v>
      </c>
      <c r="I239" s="26">
        <f t="shared" si="59"/>
        <v>0</v>
      </c>
      <c r="J239" s="55"/>
      <c r="K239" s="56"/>
      <c r="L239" s="58">
        <v>223</v>
      </c>
      <c r="M239" s="26">
        <f>'Default parameters'!D236</f>
        <v>2.1900000000000001E-15</v>
      </c>
      <c r="N239" s="11">
        <f t="shared" si="60"/>
        <v>0</v>
      </c>
      <c r="O239" s="26">
        <f t="shared" si="61"/>
        <v>0</v>
      </c>
      <c r="P239" s="11">
        <f t="shared" si="62"/>
        <v>0</v>
      </c>
      <c r="Q239" s="26">
        <f t="shared" si="63"/>
        <v>0</v>
      </c>
      <c r="R239" s="11">
        <f t="shared" si="64"/>
        <v>0</v>
      </c>
      <c r="S239" s="26">
        <f t="shared" si="65"/>
        <v>0</v>
      </c>
    </row>
    <row r="240" spans="2:19" x14ac:dyDescent="0.2">
      <c r="B240" s="58">
        <v>224</v>
      </c>
      <c r="C240" s="26">
        <f>'Default parameters'!C237</f>
        <v>2.1799999999999999E-14</v>
      </c>
      <c r="D240" s="11">
        <f t="shared" si="54"/>
        <v>0</v>
      </c>
      <c r="E240" s="26">
        <f t="shared" si="55"/>
        <v>0</v>
      </c>
      <c r="F240" s="11">
        <f t="shared" si="56"/>
        <v>0</v>
      </c>
      <c r="G240" s="26">
        <f t="shared" si="57"/>
        <v>0</v>
      </c>
      <c r="H240" s="11">
        <f t="shared" si="58"/>
        <v>0</v>
      </c>
      <c r="I240" s="26">
        <f t="shared" si="59"/>
        <v>0</v>
      </c>
      <c r="J240" s="55"/>
      <c r="K240" s="56"/>
      <c r="L240" s="58">
        <v>224</v>
      </c>
      <c r="M240" s="26">
        <f>'Default parameters'!D237</f>
        <v>1.7E-15</v>
      </c>
      <c r="N240" s="11">
        <f t="shared" si="60"/>
        <v>0</v>
      </c>
      <c r="O240" s="26">
        <f t="shared" si="61"/>
        <v>0</v>
      </c>
      <c r="P240" s="11">
        <f t="shared" si="62"/>
        <v>0</v>
      </c>
      <c r="Q240" s="26">
        <f t="shared" si="63"/>
        <v>0</v>
      </c>
      <c r="R240" s="11">
        <f t="shared" si="64"/>
        <v>0</v>
      </c>
      <c r="S240" s="26">
        <f t="shared" si="65"/>
        <v>0</v>
      </c>
    </row>
    <row r="241" spans="2:19" x14ac:dyDescent="0.2">
      <c r="B241" s="58">
        <v>225</v>
      </c>
      <c r="C241" s="26">
        <f>'Default parameters'!C238</f>
        <v>1.7299999999999999E-14</v>
      </c>
      <c r="D241" s="11">
        <f t="shared" si="54"/>
        <v>0</v>
      </c>
      <c r="E241" s="26">
        <f t="shared" si="55"/>
        <v>0</v>
      </c>
      <c r="F241" s="11">
        <f t="shared" si="56"/>
        <v>0</v>
      </c>
      <c r="G241" s="26">
        <f t="shared" si="57"/>
        <v>0</v>
      </c>
      <c r="H241" s="11">
        <f t="shared" si="58"/>
        <v>0</v>
      </c>
      <c r="I241" s="26">
        <f t="shared" si="59"/>
        <v>0</v>
      </c>
      <c r="J241" s="55"/>
      <c r="K241" s="56"/>
      <c r="L241" s="58">
        <v>225</v>
      </c>
      <c r="M241" s="26">
        <f>'Default parameters'!D238</f>
        <v>1.32E-15</v>
      </c>
      <c r="N241" s="11">
        <f t="shared" si="60"/>
        <v>0</v>
      </c>
      <c r="O241" s="26">
        <f t="shared" si="61"/>
        <v>0</v>
      </c>
      <c r="P241" s="11">
        <f t="shared" si="62"/>
        <v>0</v>
      </c>
      <c r="Q241" s="26">
        <f t="shared" si="63"/>
        <v>0</v>
      </c>
      <c r="R241" s="11">
        <f t="shared" si="64"/>
        <v>0</v>
      </c>
      <c r="S241" s="26">
        <f t="shared" si="65"/>
        <v>0</v>
      </c>
    </row>
    <row r="242" spans="2:19" x14ac:dyDescent="0.2">
      <c r="B242" s="58">
        <v>226</v>
      </c>
      <c r="C242" s="26">
        <f>'Default parameters'!C239</f>
        <v>1.3699999999999999E-14</v>
      </c>
      <c r="D242" s="11">
        <f t="shared" si="54"/>
        <v>0</v>
      </c>
      <c r="E242" s="26">
        <f t="shared" si="55"/>
        <v>0</v>
      </c>
      <c r="F242" s="11">
        <f t="shared" si="56"/>
        <v>0</v>
      </c>
      <c r="G242" s="26">
        <f t="shared" si="57"/>
        <v>0</v>
      </c>
      <c r="H242" s="11">
        <f t="shared" si="58"/>
        <v>0</v>
      </c>
      <c r="I242" s="26">
        <f t="shared" si="59"/>
        <v>0</v>
      </c>
      <c r="J242" s="55"/>
      <c r="K242" s="56"/>
      <c r="L242" s="58">
        <v>226</v>
      </c>
      <c r="M242" s="26">
        <f>'Default parameters'!D239</f>
        <v>1.02E-15</v>
      </c>
      <c r="N242" s="11">
        <f t="shared" si="60"/>
        <v>0</v>
      </c>
      <c r="O242" s="26">
        <f t="shared" si="61"/>
        <v>0</v>
      </c>
      <c r="P242" s="11">
        <f t="shared" si="62"/>
        <v>0</v>
      </c>
      <c r="Q242" s="26">
        <f t="shared" si="63"/>
        <v>0</v>
      </c>
      <c r="R242" s="11">
        <f t="shared" si="64"/>
        <v>0</v>
      </c>
      <c r="S242" s="26">
        <f t="shared" si="65"/>
        <v>0</v>
      </c>
    </row>
    <row r="243" spans="2:19" x14ac:dyDescent="0.2">
      <c r="B243" s="58">
        <v>227</v>
      </c>
      <c r="C243" s="26">
        <f>'Default parameters'!C240</f>
        <v>1.08E-14</v>
      </c>
      <c r="D243" s="11">
        <f t="shared" si="54"/>
        <v>0</v>
      </c>
      <c r="E243" s="26">
        <f t="shared" si="55"/>
        <v>0</v>
      </c>
      <c r="F243" s="11">
        <f t="shared" si="56"/>
        <v>0</v>
      </c>
      <c r="G243" s="26">
        <f t="shared" si="57"/>
        <v>0</v>
      </c>
      <c r="H243" s="11">
        <f t="shared" si="58"/>
        <v>0</v>
      </c>
      <c r="I243" s="26">
        <f t="shared" si="59"/>
        <v>0</v>
      </c>
      <c r="J243" s="55"/>
      <c r="K243" s="56"/>
      <c r="L243" s="58">
        <v>227</v>
      </c>
      <c r="M243" s="26">
        <f>'Default parameters'!D240</f>
        <v>7.89E-16</v>
      </c>
      <c r="N243" s="11">
        <f t="shared" si="60"/>
        <v>0</v>
      </c>
      <c r="O243" s="26">
        <f t="shared" si="61"/>
        <v>0</v>
      </c>
      <c r="P243" s="11">
        <f t="shared" si="62"/>
        <v>0</v>
      </c>
      <c r="Q243" s="26">
        <f t="shared" si="63"/>
        <v>0</v>
      </c>
      <c r="R243" s="11">
        <f t="shared" si="64"/>
        <v>0</v>
      </c>
      <c r="S243" s="26">
        <f t="shared" si="65"/>
        <v>0</v>
      </c>
    </row>
    <row r="244" spans="2:19" x14ac:dyDescent="0.2">
      <c r="B244" s="58">
        <v>228</v>
      </c>
      <c r="C244" s="26">
        <f>'Default parameters'!C241</f>
        <v>8.5099999999999998E-15</v>
      </c>
      <c r="D244" s="11">
        <f t="shared" si="54"/>
        <v>0</v>
      </c>
      <c r="E244" s="26">
        <f t="shared" si="55"/>
        <v>0</v>
      </c>
      <c r="F244" s="11">
        <f t="shared" si="56"/>
        <v>0</v>
      </c>
      <c r="G244" s="26">
        <f t="shared" si="57"/>
        <v>0</v>
      </c>
      <c r="H244" s="11">
        <f t="shared" si="58"/>
        <v>0</v>
      </c>
      <c r="I244" s="26">
        <f t="shared" si="59"/>
        <v>0</v>
      </c>
      <c r="J244" s="55"/>
      <c r="K244" s="56"/>
      <c r="L244" s="58">
        <v>228</v>
      </c>
      <c r="M244" s="26">
        <f>'Default parameters'!D241</f>
        <v>6.0800000000000002E-16</v>
      </c>
      <c r="N244" s="11">
        <f t="shared" si="60"/>
        <v>0</v>
      </c>
      <c r="O244" s="26">
        <f t="shared" si="61"/>
        <v>0</v>
      </c>
      <c r="P244" s="11">
        <f t="shared" si="62"/>
        <v>0</v>
      </c>
      <c r="Q244" s="26">
        <f t="shared" si="63"/>
        <v>0</v>
      </c>
      <c r="R244" s="11">
        <f t="shared" si="64"/>
        <v>0</v>
      </c>
      <c r="S244" s="26">
        <f t="shared" si="65"/>
        <v>0</v>
      </c>
    </row>
    <row r="245" spans="2:19" x14ac:dyDescent="0.2">
      <c r="B245" s="58">
        <v>229</v>
      </c>
      <c r="C245" s="26">
        <f>'Default parameters'!C242</f>
        <v>6.6900000000000002E-15</v>
      </c>
      <c r="D245" s="11">
        <f t="shared" si="54"/>
        <v>0</v>
      </c>
      <c r="E245" s="26">
        <f t="shared" si="55"/>
        <v>0</v>
      </c>
      <c r="F245" s="11">
        <f t="shared" si="56"/>
        <v>0</v>
      </c>
      <c r="G245" s="26">
        <f t="shared" si="57"/>
        <v>0</v>
      </c>
      <c r="H245" s="11">
        <f t="shared" si="58"/>
        <v>0</v>
      </c>
      <c r="I245" s="26">
        <f t="shared" si="59"/>
        <v>0</v>
      </c>
      <c r="J245" s="55"/>
      <c r="K245" s="56"/>
      <c r="L245" s="58">
        <v>229</v>
      </c>
      <c r="M245" s="26">
        <f>'Default parameters'!D242</f>
        <v>4.67E-16</v>
      </c>
      <c r="N245" s="11">
        <f t="shared" si="60"/>
        <v>0</v>
      </c>
      <c r="O245" s="26">
        <f t="shared" si="61"/>
        <v>0</v>
      </c>
      <c r="P245" s="11">
        <f t="shared" si="62"/>
        <v>0</v>
      </c>
      <c r="Q245" s="26">
        <f t="shared" si="63"/>
        <v>0</v>
      </c>
      <c r="R245" s="11">
        <f t="shared" si="64"/>
        <v>0</v>
      </c>
      <c r="S245" s="26">
        <f t="shared" si="65"/>
        <v>0</v>
      </c>
    </row>
    <row r="246" spans="2:19" x14ac:dyDescent="0.2">
      <c r="B246" s="58">
        <v>230</v>
      </c>
      <c r="C246" s="26">
        <f>'Default parameters'!C243</f>
        <v>5.2499999999999997E-15</v>
      </c>
      <c r="D246" s="11">
        <f t="shared" si="54"/>
        <v>0</v>
      </c>
      <c r="E246" s="26">
        <f t="shared" si="55"/>
        <v>0</v>
      </c>
      <c r="F246" s="11">
        <f t="shared" si="56"/>
        <v>0</v>
      </c>
      <c r="G246" s="26">
        <f t="shared" si="57"/>
        <v>0</v>
      </c>
      <c r="H246" s="11">
        <f t="shared" si="58"/>
        <v>0</v>
      </c>
      <c r="I246" s="26">
        <f t="shared" si="59"/>
        <v>0</v>
      </c>
      <c r="J246" s="55"/>
      <c r="K246" s="56"/>
      <c r="L246" s="58">
        <v>230</v>
      </c>
      <c r="M246" s="26">
        <f>'Default parameters'!D243</f>
        <v>3.5900000000000002E-16</v>
      </c>
      <c r="N246" s="11">
        <f t="shared" si="60"/>
        <v>0</v>
      </c>
      <c r="O246" s="26">
        <f t="shared" si="61"/>
        <v>0</v>
      </c>
      <c r="P246" s="11">
        <f t="shared" si="62"/>
        <v>0</v>
      </c>
      <c r="Q246" s="26">
        <f t="shared" si="63"/>
        <v>0</v>
      </c>
      <c r="R246" s="11">
        <f t="shared" si="64"/>
        <v>0</v>
      </c>
      <c r="S246" s="26">
        <f t="shared" si="65"/>
        <v>0</v>
      </c>
    </row>
    <row r="247" spans="2:19" x14ac:dyDescent="0.2">
      <c r="B247" s="58">
        <v>231</v>
      </c>
      <c r="C247" s="26">
        <f>'Default parameters'!C244</f>
        <v>4.1100000000000001E-15</v>
      </c>
      <c r="D247" s="11">
        <f t="shared" si="54"/>
        <v>0</v>
      </c>
      <c r="E247" s="26">
        <f t="shared" si="55"/>
        <v>0</v>
      </c>
      <c r="F247" s="11">
        <f t="shared" si="56"/>
        <v>0</v>
      </c>
      <c r="G247" s="26">
        <f t="shared" si="57"/>
        <v>0</v>
      </c>
      <c r="H247" s="11">
        <f t="shared" si="58"/>
        <v>0</v>
      </c>
      <c r="I247" s="26">
        <f t="shared" si="59"/>
        <v>0</v>
      </c>
      <c r="J247" s="55"/>
      <c r="K247" s="56"/>
      <c r="L247" s="58">
        <v>231</v>
      </c>
      <c r="M247" s="26">
        <f>'Default parameters'!D244</f>
        <v>2.7499999999999998E-16</v>
      </c>
      <c r="N247" s="11">
        <f t="shared" si="60"/>
        <v>0</v>
      </c>
      <c r="O247" s="26">
        <f t="shared" si="61"/>
        <v>0</v>
      </c>
      <c r="P247" s="11">
        <f t="shared" si="62"/>
        <v>0</v>
      </c>
      <c r="Q247" s="26">
        <f t="shared" si="63"/>
        <v>0</v>
      </c>
      <c r="R247" s="11">
        <f t="shared" si="64"/>
        <v>0</v>
      </c>
      <c r="S247" s="26">
        <f t="shared" si="65"/>
        <v>0</v>
      </c>
    </row>
    <row r="248" spans="2:19" x14ac:dyDescent="0.2">
      <c r="B248" s="58">
        <v>232</v>
      </c>
      <c r="C248" s="26">
        <f>'Default parameters'!C245</f>
        <v>3.2199999999999999E-15</v>
      </c>
      <c r="D248" s="11">
        <f t="shared" si="54"/>
        <v>0</v>
      </c>
      <c r="E248" s="26">
        <f t="shared" si="55"/>
        <v>0</v>
      </c>
      <c r="F248" s="11">
        <f t="shared" si="56"/>
        <v>0</v>
      </c>
      <c r="G248" s="26">
        <f t="shared" si="57"/>
        <v>0</v>
      </c>
      <c r="H248" s="11">
        <f t="shared" si="58"/>
        <v>0</v>
      </c>
      <c r="I248" s="26">
        <f t="shared" si="59"/>
        <v>0</v>
      </c>
      <c r="J248" s="55"/>
      <c r="K248" s="56"/>
      <c r="L248" s="58">
        <v>232</v>
      </c>
      <c r="M248" s="26">
        <f>'Default parameters'!D245</f>
        <v>2.1000000000000001E-16</v>
      </c>
      <c r="N248" s="11">
        <f t="shared" si="60"/>
        <v>0</v>
      </c>
      <c r="O248" s="26">
        <f t="shared" si="61"/>
        <v>0</v>
      </c>
      <c r="P248" s="11">
        <f t="shared" si="62"/>
        <v>0</v>
      </c>
      <c r="Q248" s="26">
        <f t="shared" si="63"/>
        <v>0</v>
      </c>
      <c r="R248" s="11">
        <f t="shared" si="64"/>
        <v>0</v>
      </c>
      <c r="S248" s="26">
        <f t="shared" si="65"/>
        <v>0</v>
      </c>
    </row>
    <row r="249" spans="2:19" x14ac:dyDescent="0.2">
      <c r="B249" s="58">
        <v>233</v>
      </c>
      <c r="C249" s="26">
        <f>'Default parameters'!C246</f>
        <v>2.5100000000000002E-15</v>
      </c>
      <c r="D249" s="11">
        <f t="shared" si="54"/>
        <v>0</v>
      </c>
      <c r="E249" s="26">
        <f t="shared" si="55"/>
        <v>0</v>
      </c>
      <c r="F249" s="11">
        <f t="shared" si="56"/>
        <v>0</v>
      </c>
      <c r="G249" s="26">
        <f t="shared" si="57"/>
        <v>0</v>
      </c>
      <c r="H249" s="11">
        <f t="shared" si="58"/>
        <v>0</v>
      </c>
      <c r="I249" s="26">
        <f t="shared" si="59"/>
        <v>0</v>
      </c>
      <c r="J249" s="55"/>
      <c r="K249" s="56"/>
      <c r="L249" s="58">
        <v>233</v>
      </c>
      <c r="M249" s="26">
        <f>'Default parameters'!D246</f>
        <v>1.6000000000000001E-16</v>
      </c>
      <c r="N249" s="11">
        <f t="shared" si="60"/>
        <v>0</v>
      </c>
      <c r="O249" s="26">
        <f t="shared" si="61"/>
        <v>0</v>
      </c>
      <c r="P249" s="11">
        <f t="shared" si="62"/>
        <v>0</v>
      </c>
      <c r="Q249" s="26">
        <f t="shared" si="63"/>
        <v>0</v>
      </c>
      <c r="R249" s="11">
        <f t="shared" si="64"/>
        <v>0</v>
      </c>
      <c r="S249" s="26">
        <f t="shared" si="65"/>
        <v>0</v>
      </c>
    </row>
    <row r="250" spans="2:19" x14ac:dyDescent="0.2">
      <c r="B250" s="58">
        <v>234</v>
      </c>
      <c r="C250" s="26">
        <f>'Default parameters'!C247</f>
        <v>1.9500000000000001E-15</v>
      </c>
      <c r="D250" s="11">
        <f t="shared" si="54"/>
        <v>0</v>
      </c>
      <c r="E250" s="26">
        <f t="shared" si="55"/>
        <v>0</v>
      </c>
      <c r="F250" s="11">
        <f t="shared" si="56"/>
        <v>0</v>
      </c>
      <c r="G250" s="26">
        <f t="shared" si="57"/>
        <v>0</v>
      </c>
      <c r="H250" s="11">
        <f t="shared" si="58"/>
        <v>0</v>
      </c>
      <c r="I250" s="26">
        <f t="shared" si="59"/>
        <v>0</v>
      </c>
      <c r="J250" s="55"/>
      <c r="K250" s="56"/>
      <c r="L250" s="58">
        <v>234</v>
      </c>
      <c r="M250" s="26">
        <f>'Default parameters'!D247</f>
        <v>1.2200000000000001E-16</v>
      </c>
      <c r="N250" s="11">
        <f t="shared" si="60"/>
        <v>0</v>
      </c>
      <c r="O250" s="26">
        <f t="shared" si="61"/>
        <v>0</v>
      </c>
      <c r="P250" s="11">
        <f t="shared" si="62"/>
        <v>0</v>
      </c>
      <c r="Q250" s="26">
        <f t="shared" si="63"/>
        <v>0</v>
      </c>
      <c r="R250" s="11">
        <f t="shared" si="64"/>
        <v>0</v>
      </c>
      <c r="S250" s="26">
        <f t="shared" si="65"/>
        <v>0</v>
      </c>
    </row>
    <row r="251" spans="2:19" x14ac:dyDescent="0.2">
      <c r="B251" s="58">
        <v>235</v>
      </c>
      <c r="C251" s="26">
        <f>'Default parameters'!C248</f>
        <v>1.52E-15</v>
      </c>
      <c r="D251" s="11">
        <f t="shared" si="54"/>
        <v>0</v>
      </c>
      <c r="E251" s="26">
        <f t="shared" si="55"/>
        <v>0</v>
      </c>
      <c r="F251" s="11">
        <f t="shared" si="56"/>
        <v>0</v>
      </c>
      <c r="G251" s="26">
        <f t="shared" si="57"/>
        <v>0</v>
      </c>
      <c r="H251" s="11">
        <f t="shared" si="58"/>
        <v>0</v>
      </c>
      <c r="I251" s="26">
        <f t="shared" si="59"/>
        <v>0</v>
      </c>
      <c r="J251" s="55"/>
      <c r="K251" s="56"/>
      <c r="L251" s="58">
        <v>235</v>
      </c>
      <c r="M251" s="26">
        <f>'Default parameters'!D248</f>
        <v>9.2399999999999995E-17</v>
      </c>
      <c r="N251" s="11">
        <f t="shared" si="60"/>
        <v>0</v>
      </c>
      <c r="O251" s="26">
        <f t="shared" si="61"/>
        <v>0</v>
      </c>
      <c r="P251" s="11">
        <f t="shared" si="62"/>
        <v>0</v>
      </c>
      <c r="Q251" s="26">
        <f t="shared" si="63"/>
        <v>0</v>
      </c>
      <c r="R251" s="11">
        <f t="shared" si="64"/>
        <v>0</v>
      </c>
      <c r="S251" s="26">
        <f t="shared" si="65"/>
        <v>0</v>
      </c>
    </row>
    <row r="252" spans="2:19" x14ac:dyDescent="0.2">
      <c r="B252" s="58">
        <v>236</v>
      </c>
      <c r="C252" s="26">
        <f>'Default parameters'!C249</f>
        <v>1.18E-15</v>
      </c>
      <c r="D252" s="11">
        <f t="shared" si="54"/>
        <v>0</v>
      </c>
      <c r="E252" s="26">
        <f t="shared" si="55"/>
        <v>0</v>
      </c>
      <c r="F252" s="11">
        <f t="shared" si="56"/>
        <v>0</v>
      </c>
      <c r="G252" s="26">
        <f t="shared" si="57"/>
        <v>0</v>
      </c>
      <c r="H252" s="11">
        <f t="shared" si="58"/>
        <v>0</v>
      </c>
      <c r="I252" s="26">
        <f t="shared" si="59"/>
        <v>0</v>
      </c>
      <c r="J252" s="55"/>
      <c r="K252" s="56"/>
      <c r="L252" s="58">
        <v>236</v>
      </c>
      <c r="M252" s="26">
        <f>'Default parameters'!D249</f>
        <v>7.0000000000000003E-17</v>
      </c>
      <c r="N252" s="11">
        <f t="shared" si="60"/>
        <v>0</v>
      </c>
      <c r="O252" s="26">
        <f t="shared" si="61"/>
        <v>0</v>
      </c>
      <c r="P252" s="11">
        <f t="shared" si="62"/>
        <v>0</v>
      </c>
      <c r="Q252" s="26">
        <f t="shared" si="63"/>
        <v>0</v>
      </c>
      <c r="R252" s="11">
        <f t="shared" si="64"/>
        <v>0</v>
      </c>
      <c r="S252" s="26">
        <f t="shared" si="65"/>
        <v>0</v>
      </c>
    </row>
    <row r="253" spans="2:19" x14ac:dyDescent="0.2">
      <c r="B253" s="58">
        <v>237</v>
      </c>
      <c r="C253" s="26">
        <f>'Default parameters'!C250</f>
        <v>9.1200000000000003E-16</v>
      </c>
      <c r="D253" s="11">
        <f t="shared" si="54"/>
        <v>0</v>
      </c>
      <c r="E253" s="26">
        <f t="shared" si="55"/>
        <v>0</v>
      </c>
      <c r="F253" s="11">
        <f t="shared" si="56"/>
        <v>0</v>
      </c>
      <c r="G253" s="26">
        <f t="shared" si="57"/>
        <v>0</v>
      </c>
      <c r="H253" s="11">
        <f t="shared" si="58"/>
        <v>0</v>
      </c>
      <c r="I253" s="26">
        <f t="shared" si="59"/>
        <v>0</v>
      </c>
      <c r="J253" s="55"/>
      <c r="K253" s="56"/>
      <c r="L253" s="58">
        <v>237</v>
      </c>
      <c r="M253" s="26">
        <f>'Default parameters'!D250</f>
        <v>5.29E-17</v>
      </c>
      <c r="N253" s="11">
        <f t="shared" si="60"/>
        <v>0</v>
      </c>
      <c r="O253" s="26">
        <f t="shared" si="61"/>
        <v>0</v>
      </c>
      <c r="P253" s="11">
        <f t="shared" si="62"/>
        <v>0</v>
      </c>
      <c r="Q253" s="26">
        <f t="shared" si="63"/>
        <v>0</v>
      </c>
      <c r="R253" s="11">
        <f t="shared" si="64"/>
        <v>0</v>
      </c>
      <c r="S253" s="26">
        <f t="shared" si="65"/>
        <v>0</v>
      </c>
    </row>
    <row r="254" spans="2:19" x14ac:dyDescent="0.2">
      <c r="B254" s="58">
        <v>238</v>
      </c>
      <c r="C254" s="26">
        <f>'Default parameters'!C251</f>
        <v>7.0500000000000002E-16</v>
      </c>
      <c r="D254" s="11">
        <f t="shared" si="54"/>
        <v>0</v>
      </c>
      <c r="E254" s="26">
        <f t="shared" si="55"/>
        <v>0</v>
      </c>
      <c r="F254" s="11">
        <f t="shared" si="56"/>
        <v>0</v>
      </c>
      <c r="G254" s="26">
        <f t="shared" si="57"/>
        <v>0</v>
      </c>
      <c r="H254" s="11">
        <f t="shared" si="58"/>
        <v>0</v>
      </c>
      <c r="I254" s="26">
        <f t="shared" si="59"/>
        <v>0</v>
      </c>
      <c r="J254" s="55"/>
      <c r="K254" s="56"/>
      <c r="L254" s="58">
        <v>238</v>
      </c>
      <c r="M254" s="26">
        <f>'Default parameters'!D251</f>
        <v>3.9899999999999999E-17</v>
      </c>
      <c r="N254" s="11">
        <f t="shared" si="60"/>
        <v>0</v>
      </c>
      <c r="O254" s="26">
        <f t="shared" si="61"/>
        <v>0</v>
      </c>
      <c r="P254" s="11">
        <f t="shared" si="62"/>
        <v>0</v>
      </c>
      <c r="Q254" s="26">
        <f t="shared" si="63"/>
        <v>0</v>
      </c>
      <c r="R254" s="11">
        <f t="shared" si="64"/>
        <v>0</v>
      </c>
      <c r="S254" s="26">
        <f t="shared" si="65"/>
        <v>0</v>
      </c>
    </row>
    <row r="255" spans="2:19" x14ac:dyDescent="0.2">
      <c r="B255" s="58">
        <v>239</v>
      </c>
      <c r="C255" s="26">
        <f>'Default parameters'!C252</f>
        <v>5.4300000000000005E-16</v>
      </c>
      <c r="D255" s="11">
        <f t="shared" si="54"/>
        <v>0</v>
      </c>
      <c r="E255" s="26">
        <f t="shared" si="55"/>
        <v>0</v>
      </c>
      <c r="F255" s="11">
        <f t="shared" si="56"/>
        <v>0</v>
      </c>
      <c r="G255" s="26">
        <f t="shared" si="57"/>
        <v>0</v>
      </c>
      <c r="H255" s="11">
        <f t="shared" si="58"/>
        <v>0</v>
      </c>
      <c r="I255" s="26">
        <f t="shared" si="59"/>
        <v>0</v>
      </c>
      <c r="J255" s="55"/>
      <c r="K255" s="56"/>
      <c r="L255" s="58">
        <v>239</v>
      </c>
      <c r="M255" s="26">
        <f>'Default parameters'!D252</f>
        <v>3.0099999999999999E-17</v>
      </c>
      <c r="N255" s="11">
        <f t="shared" si="60"/>
        <v>0</v>
      </c>
      <c r="O255" s="26">
        <f t="shared" si="61"/>
        <v>0</v>
      </c>
      <c r="P255" s="11">
        <f t="shared" si="62"/>
        <v>0</v>
      </c>
      <c r="Q255" s="26">
        <f t="shared" si="63"/>
        <v>0</v>
      </c>
      <c r="R255" s="11">
        <f t="shared" si="64"/>
        <v>0</v>
      </c>
      <c r="S255" s="26">
        <f t="shared" si="65"/>
        <v>0</v>
      </c>
    </row>
    <row r="256" spans="2:19" x14ac:dyDescent="0.2">
      <c r="B256" s="58">
        <v>240</v>
      </c>
      <c r="C256" s="26">
        <f>'Default parameters'!C253</f>
        <v>4.1799999999999999E-16</v>
      </c>
      <c r="D256" s="11">
        <f t="shared" si="54"/>
        <v>0</v>
      </c>
      <c r="E256" s="26">
        <f t="shared" si="55"/>
        <v>0</v>
      </c>
      <c r="F256" s="11">
        <f t="shared" si="56"/>
        <v>0</v>
      </c>
      <c r="G256" s="26">
        <f t="shared" si="57"/>
        <v>0</v>
      </c>
      <c r="H256" s="11">
        <f t="shared" si="58"/>
        <v>0</v>
      </c>
      <c r="I256" s="26">
        <f t="shared" si="59"/>
        <v>0</v>
      </c>
      <c r="J256" s="55"/>
      <c r="K256" s="56"/>
      <c r="L256" s="58">
        <v>240</v>
      </c>
      <c r="M256" s="26">
        <f>'Default parameters'!D253</f>
        <v>2.26E-17</v>
      </c>
      <c r="N256" s="11">
        <f t="shared" si="60"/>
        <v>0</v>
      </c>
      <c r="O256" s="26">
        <f t="shared" si="61"/>
        <v>0</v>
      </c>
      <c r="P256" s="11">
        <f t="shared" si="62"/>
        <v>0</v>
      </c>
      <c r="Q256" s="26">
        <f t="shared" si="63"/>
        <v>0</v>
      </c>
      <c r="R256" s="11">
        <f t="shared" si="64"/>
        <v>0</v>
      </c>
      <c r="S256" s="26">
        <f t="shared" si="65"/>
        <v>0</v>
      </c>
    </row>
    <row r="257" spans="2:19" x14ac:dyDescent="0.2">
      <c r="B257" s="58">
        <v>241</v>
      </c>
      <c r="C257" s="26">
        <f>'Default parameters'!C254</f>
        <v>3.2099999999999999E-16</v>
      </c>
      <c r="D257" s="11">
        <f t="shared" si="54"/>
        <v>0</v>
      </c>
      <c r="E257" s="26">
        <f t="shared" si="55"/>
        <v>0</v>
      </c>
      <c r="F257" s="11">
        <f t="shared" si="56"/>
        <v>0</v>
      </c>
      <c r="G257" s="26">
        <f t="shared" si="57"/>
        <v>0</v>
      </c>
      <c r="H257" s="11">
        <f t="shared" si="58"/>
        <v>0</v>
      </c>
      <c r="I257" s="26">
        <f t="shared" si="59"/>
        <v>0</v>
      </c>
      <c r="J257" s="55"/>
      <c r="K257" s="56"/>
      <c r="L257" s="58">
        <v>241</v>
      </c>
      <c r="M257" s="26">
        <f>'Default parameters'!D254</f>
        <v>1.6900000000000001E-17</v>
      </c>
      <c r="N257" s="11">
        <f t="shared" si="60"/>
        <v>0</v>
      </c>
      <c r="O257" s="26">
        <f t="shared" si="61"/>
        <v>0</v>
      </c>
      <c r="P257" s="11">
        <f t="shared" si="62"/>
        <v>0</v>
      </c>
      <c r="Q257" s="26">
        <f t="shared" si="63"/>
        <v>0</v>
      </c>
      <c r="R257" s="11">
        <f t="shared" si="64"/>
        <v>0</v>
      </c>
      <c r="S257" s="26">
        <f t="shared" si="65"/>
        <v>0</v>
      </c>
    </row>
    <row r="258" spans="2:19" x14ac:dyDescent="0.2">
      <c r="B258" s="58">
        <v>242</v>
      </c>
      <c r="C258" s="26">
        <f>'Default parameters'!C255</f>
        <v>2.46E-16</v>
      </c>
      <c r="D258" s="11">
        <f t="shared" si="54"/>
        <v>0</v>
      </c>
      <c r="E258" s="26">
        <f t="shared" si="55"/>
        <v>0</v>
      </c>
      <c r="F258" s="11">
        <f t="shared" si="56"/>
        <v>0</v>
      </c>
      <c r="G258" s="26">
        <f t="shared" si="57"/>
        <v>0</v>
      </c>
      <c r="H258" s="11">
        <f t="shared" si="58"/>
        <v>0</v>
      </c>
      <c r="I258" s="26">
        <f t="shared" si="59"/>
        <v>0</v>
      </c>
      <c r="J258" s="55"/>
      <c r="K258" s="56"/>
      <c r="L258" s="58">
        <v>242</v>
      </c>
      <c r="M258" s="26">
        <f>'Default parameters'!D255</f>
        <v>1.2600000000000001E-17</v>
      </c>
      <c r="N258" s="11">
        <f t="shared" si="60"/>
        <v>0</v>
      </c>
      <c r="O258" s="26">
        <f t="shared" si="61"/>
        <v>0</v>
      </c>
      <c r="P258" s="11">
        <f t="shared" si="62"/>
        <v>0</v>
      </c>
      <c r="Q258" s="26">
        <f t="shared" si="63"/>
        <v>0</v>
      </c>
      <c r="R258" s="11">
        <f t="shared" si="64"/>
        <v>0</v>
      </c>
      <c r="S258" s="26">
        <f t="shared" si="65"/>
        <v>0</v>
      </c>
    </row>
    <row r="259" spans="2:19" x14ac:dyDescent="0.2">
      <c r="B259" s="58">
        <v>243</v>
      </c>
      <c r="C259" s="26">
        <f>'Default parameters'!C256</f>
        <v>1.88E-16</v>
      </c>
      <c r="D259" s="11">
        <f t="shared" si="54"/>
        <v>0</v>
      </c>
      <c r="E259" s="26">
        <f t="shared" si="55"/>
        <v>0</v>
      </c>
      <c r="F259" s="11">
        <f t="shared" si="56"/>
        <v>0</v>
      </c>
      <c r="G259" s="26">
        <f t="shared" si="57"/>
        <v>0</v>
      </c>
      <c r="H259" s="11">
        <f t="shared" si="58"/>
        <v>0</v>
      </c>
      <c r="I259" s="26">
        <f t="shared" si="59"/>
        <v>0</v>
      </c>
      <c r="J259" s="55"/>
      <c r="K259" s="56"/>
      <c r="L259" s="58">
        <v>243</v>
      </c>
      <c r="M259" s="26">
        <f>'Default parameters'!D256</f>
        <v>9.4200000000000007E-18</v>
      </c>
      <c r="N259" s="11">
        <f t="shared" si="60"/>
        <v>0</v>
      </c>
      <c r="O259" s="26">
        <f t="shared" si="61"/>
        <v>0</v>
      </c>
      <c r="P259" s="11">
        <f t="shared" si="62"/>
        <v>0</v>
      </c>
      <c r="Q259" s="26">
        <f t="shared" si="63"/>
        <v>0</v>
      </c>
      <c r="R259" s="11">
        <f t="shared" si="64"/>
        <v>0</v>
      </c>
      <c r="S259" s="26">
        <f t="shared" si="65"/>
        <v>0</v>
      </c>
    </row>
    <row r="260" spans="2:19" x14ac:dyDescent="0.2">
      <c r="B260" s="58">
        <v>244</v>
      </c>
      <c r="C260" s="26">
        <f>'Default parameters'!C257</f>
        <v>1.44E-16</v>
      </c>
      <c r="D260" s="11">
        <f t="shared" si="54"/>
        <v>0</v>
      </c>
      <c r="E260" s="26">
        <f t="shared" si="55"/>
        <v>0</v>
      </c>
      <c r="F260" s="11">
        <f t="shared" si="56"/>
        <v>0</v>
      </c>
      <c r="G260" s="26">
        <f t="shared" si="57"/>
        <v>0</v>
      </c>
      <c r="H260" s="11">
        <f t="shared" si="58"/>
        <v>0</v>
      </c>
      <c r="I260" s="26">
        <f t="shared" si="59"/>
        <v>0</v>
      </c>
      <c r="J260" s="55"/>
      <c r="K260" s="56"/>
      <c r="L260" s="58">
        <v>244</v>
      </c>
      <c r="M260" s="26">
        <f>'Default parameters'!D257</f>
        <v>7.0100000000000004E-18</v>
      </c>
      <c r="N260" s="11">
        <f t="shared" si="60"/>
        <v>0</v>
      </c>
      <c r="O260" s="26">
        <f t="shared" si="61"/>
        <v>0</v>
      </c>
      <c r="P260" s="11">
        <f t="shared" si="62"/>
        <v>0</v>
      </c>
      <c r="Q260" s="26">
        <f t="shared" si="63"/>
        <v>0</v>
      </c>
      <c r="R260" s="11">
        <f t="shared" si="64"/>
        <v>0</v>
      </c>
      <c r="S260" s="26">
        <f t="shared" si="65"/>
        <v>0</v>
      </c>
    </row>
    <row r="261" spans="2:19" x14ac:dyDescent="0.2">
      <c r="B261" s="58">
        <v>245</v>
      </c>
      <c r="C261" s="26">
        <f>'Default parameters'!C258</f>
        <v>1.09E-16</v>
      </c>
      <c r="D261" s="11">
        <f t="shared" si="54"/>
        <v>0</v>
      </c>
      <c r="E261" s="26">
        <f t="shared" si="55"/>
        <v>0</v>
      </c>
      <c r="F261" s="11">
        <f t="shared" si="56"/>
        <v>0</v>
      </c>
      <c r="G261" s="26">
        <f t="shared" si="57"/>
        <v>0</v>
      </c>
      <c r="H261" s="11">
        <f t="shared" si="58"/>
        <v>0</v>
      </c>
      <c r="I261" s="26">
        <f t="shared" si="59"/>
        <v>0</v>
      </c>
      <c r="J261" s="55"/>
      <c r="K261" s="56"/>
      <c r="L261" s="58">
        <v>245</v>
      </c>
      <c r="M261" s="26">
        <f>'Default parameters'!D258</f>
        <v>5.2000000000000001E-18</v>
      </c>
      <c r="N261" s="11">
        <f t="shared" si="60"/>
        <v>0</v>
      </c>
      <c r="O261" s="26">
        <f t="shared" si="61"/>
        <v>0</v>
      </c>
      <c r="P261" s="11">
        <f t="shared" si="62"/>
        <v>0</v>
      </c>
      <c r="Q261" s="26">
        <f t="shared" si="63"/>
        <v>0</v>
      </c>
      <c r="R261" s="11">
        <f t="shared" si="64"/>
        <v>0</v>
      </c>
      <c r="S261" s="26">
        <f t="shared" si="65"/>
        <v>0</v>
      </c>
    </row>
    <row r="262" spans="2:19" x14ac:dyDescent="0.2">
      <c r="B262" s="58">
        <v>246</v>
      </c>
      <c r="C262" s="26">
        <f>'Default parameters'!C259</f>
        <v>8.3000000000000005E-17</v>
      </c>
      <c r="D262" s="11">
        <f t="shared" si="54"/>
        <v>0</v>
      </c>
      <c r="E262" s="26">
        <f t="shared" si="55"/>
        <v>0</v>
      </c>
      <c r="F262" s="11">
        <f t="shared" si="56"/>
        <v>0</v>
      </c>
      <c r="G262" s="26">
        <f t="shared" si="57"/>
        <v>0</v>
      </c>
      <c r="H262" s="11">
        <f t="shared" si="58"/>
        <v>0</v>
      </c>
      <c r="I262" s="26">
        <f t="shared" si="59"/>
        <v>0</v>
      </c>
      <c r="J262" s="55"/>
      <c r="K262" s="56"/>
      <c r="L262" s="58">
        <v>246</v>
      </c>
      <c r="M262" s="26">
        <f>'Default parameters'!D259</f>
        <v>3.8500000000000003E-18</v>
      </c>
      <c r="N262" s="11">
        <f t="shared" si="60"/>
        <v>0</v>
      </c>
      <c r="O262" s="26">
        <f t="shared" si="61"/>
        <v>0</v>
      </c>
      <c r="P262" s="11">
        <f t="shared" si="62"/>
        <v>0</v>
      </c>
      <c r="Q262" s="26">
        <f t="shared" si="63"/>
        <v>0</v>
      </c>
      <c r="R262" s="11">
        <f t="shared" si="64"/>
        <v>0</v>
      </c>
      <c r="S262" s="26">
        <f t="shared" si="65"/>
        <v>0</v>
      </c>
    </row>
    <row r="263" spans="2:19" x14ac:dyDescent="0.2">
      <c r="B263" s="58">
        <v>247</v>
      </c>
      <c r="C263" s="26">
        <f>'Default parameters'!C260</f>
        <v>6.2899999999999997E-17</v>
      </c>
      <c r="D263" s="11">
        <f t="shared" si="54"/>
        <v>0</v>
      </c>
      <c r="E263" s="26">
        <f t="shared" si="55"/>
        <v>0</v>
      </c>
      <c r="F263" s="11">
        <f t="shared" si="56"/>
        <v>0</v>
      </c>
      <c r="G263" s="26">
        <f t="shared" si="57"/>
        <v>0</v>
      </c>
      <c r="H263" s="11">
        <f t="shared" si="58"/>
        <v>0</v>
      </c>
      <c r="I263" s="26">
        <f t="shared" si="59"/>
        <v>0</v>
      </c>
      <c r="J263" s="55"/>
      <c r="K263" s="56"/>
      <c r="L263" s="58">
        <v>247</v>
      </c>
      <c r="M263" s="26">
        <f>'Default parameters'!D260</f>
        <v>2.8499999999999999E-18</v>
      </c>
      <c r="N263" s="11">
        <f t="shared" si="60"/>
        <v>0</v>
      </c>
      <c r="O263" s="26">
        <f t="shared" si="61"/>
        <v>0</v>
      </c>
      <c r="P263" s="11">
        <f t="shared" si="62"/>
        <v>0</v>
      </c>
      <c r="Q263" s="26">
        <f t="shared" si="63"/>
        <v>0</v>
      </c>
      <c r="R263" s="11">
        <f t="shared" si="64"/>
        <v>0</v>
      </c>
      <c r="S263" s="26">
        <f t="shared" si="65"/>
        <v>0</v>
      </c>
    </row>
    <row r="264" spans="2:19" x14ac:dyDescent="0.2">
      <c r="B264" s="58">
        <v>248</v>
      </c>
      <c r="C264" s="26">
        <f>'Default parameters'!C261</f>
        <v>4.7599999999999999E-17</v>
      </c>
      <c r="D264" s="11">
        <f t="shared" si="54"/>
        <v>0</v>
      </c>
      <c r="E264" s="26">
        <f t="shared" si="55"/>
        <v>0</v>
      </c>
      <c r="F264" s="11">
        <f t="shared" si="56"/>
        <v>0</v>
      </c>
      <c r="G264" s="26">
        <f t="shared" si="57"/>
        <v>0</v>
      </c>
      <c r="H264" s="11">
        <f t="shared" si="58"/>
        <v>0</v>
      </c>
      <c r="I264" s="26">
        <f t="shared" si="59"/>
        <v>0</v>
      </c>
      <c r="J264" s="55"/>
      <c r="K264" s="56"/>
      <c r="L264" s="58">
        <v>248</v>
      </c>
      <c r="M264" s="26">
        <f>'Default parameters'!D261</f>
        <v>2.1E-18</v>
      </c>
      <c r="N264" s="11">
        <f t="shared" si="60"/>
        <v>0</v>
      </c>
      <c r="O264" s="26">
        <f t="shared" si="61"/>
        <v>0</v>
      </c>
      <c r="P264" s="11">
        <f t="shared" si="62"/>
        <v>0</v>
      </c>
      <c r="Q264" s="26">
        <f t="shared" si="63"/>
        <v>0</v>
      </c>
      <c r="R264" s="11">
        <f t="shared" si="64"/>
        <v>0</v>
      </c>
      <c r="S264" s="26">
        <f t="shared" si="65"/>
        <v>0</v>
      </c>
    </row>
    <row r="265" spans="2:19" x14ac:dyDescent="0.2">
      <c r="B265" s="58">
        <v>249</v>
      </c>
      <c r="C265" s="26">
        <f>'Default parameters'!C262</f>
        <v>3.5900000000000002E-17</v>
      </c>
      <c r="D265" s="11">
        <f t="shared" si="54"/>
        <v>0</v>
      </c>
      <c r="E265" s="26">
        <f t="shared" si="55"/>
        <v>0</v>
      </c>
      <c r="F265" s="11">
        <f t="shared" si="56"/>
        <v>0</v>
      </c>
      <c r="G265" s="26">
        <f t="shared" si="57"/>
        <v>0</v>
      </c>
      <c r="H265" s="11">
        <f t="shared" si="58"/>
        <v>0</v>
      </c>
      <c r="I265" s="26">
        <f t="shared" si="59"/>
        <v>0</v>
      </c>
      <c r="J265" s="55"/>
      <c r="K265" s="56"/>
      <c r="L265" s="58">
        <v>249</v>
      </c>
      <c r="M265" s="26">
        <f>'Default parameters'!D262</f>
        <v>1.5400000000000001E-18</v>
      </c>
      <c r="N265" s="11">
        <f t="shared" si="60"/>
        <v>0</v>
      </c>
      <c r="O265" s="26">
        <f t="shared" si="61"/>
        <v>0</v>
      </c>
      <c r="P265" s="11">
        <f t="shared" si="62"/>
        <v>0</v>
      </c>
      <c r="Q265" s="26">
        <f t="shared" si="63"/>
        <v>0</v>
      </c>
      <c r="R265" s="11">
        <f t="shared" si="64"/>
        <v>0</v>
      </c>
      <c r="S265" s="26">
        <f t="shared" si="65"/>
        <v>0</v>
      </c>
    </row>
    <row r="266" spans="2:19" x14ac:dyDescent="0.2">
      <c r="B266" s="58">
        <v>250</v>
      </c>
      <c r="C266" s="26">
        <f>'Default parameters'!C263</f>
        <v>2.7099999999999999E-17</v>
      </c>
      <c r="D266" s="11">
        <f t="shared" si="54"/>
        <v>0</v>
      </c>
      <c r="E266" s="26">
        <f t="shared" si="55"/>
        <v>0</v>
      </c>
      <c r="F266" s="11">
        <f t="shared" si="56"/>
        <v>0</v>
      </c>
      <c r="G266" s="26">
        <f t="shared" si="57"/>
        <v>0</v>
      </c>
      <c r="H266" s="11">
        <f t="shared" si="58"/>
        <v>0</v>
      </c>
      <c r="I266" s="26">
        <f t="shared" si="59"/>
        <v>0</v>
      </c>
      <c r="J266" s="55"/>
      <c r="K266" s="56"/>
      <c r="L266" s="58">
        <v>250</v>
      </c>
      <c r="M266" s="26">
        <f>'Default parameters'!D263</f>
        <v>1.13E-18</v>
      </c>
      <c r="N266" s="11">
        <f t="shared" si="60"/>
        <v>0</v>
      </c>
      <c r="O266" s="26">
        <f t="shared" si="61"/>
        <v>0</v>
      </c>
      <c r="P266" s="11">
        <f t="shared" si="62"/>
        <v>0</v>
      </c>
      <c r="Q266" s="26">
        <f t="shared" si="63"/>
        <v>0</v>
      </c>
      <c r="R266" s="11">
        <f t="shared" si="64"/>
        <v>0</v>
      </c>
      <c r="S266" s="26">
        <f t="shared" si="65"/>
        <v>0</v>
      </c>
    </row>
    <row r="267" spans="2:19" x14ac:dyDescent="0.2">
      <c r="B267" s="58">
        <v>251</v>
      </c>
      <c r="C267" s="26">
        <f>'Default parameters'!C264</f>
        <v>2.0300000000000001E-17</v>
      </c>
      <c r="D267" s="11">
        <f t="shared" si="54"/>
        <v>0</v>
      </c>
      <c r="E267" s="26">
        <f t="shared" si="55"/>
        <v>0</v>
      </c>
      <c r="F267" s="11">
        <f t="shared" si="56"/>
        <v>0</v>
      </c>
      <c r="G267" s="26">
        <f t="shared" si="57"/>
        <v>0</v>
      </c>
      <c r="H267" s="11">
        <f t="shared" si="58"/>
        <v>0</v>
      </c>
      <c r="I267" s="26">
        <f t="shared" si="59"/>
        <v>0</v>
      </c>
      <c r="J267" s="55"/>
      <c r="K267" s="56"/>
      <c r="L267" s="58">
        <v>251</v>
      </c>
      <c r="M267" s="26">
        <f>'Default parameters'!D264</f>
        <v>8.2800000000000004E-19</v>
      </c>
      <c r="N267" s="11">
        <f t="shared" si="60"/>
        <v>0</v>
      </c>
      <c r="O267" s="26">
        <f t="shared" si="61"/>
        <v>0</v>
      </c>
      <c r="P267" s="11">
        <f t="shared" si="62"/>
        <v>0</v>
      </c>
      <c r="Q267" s="26">
        <f t="shared" si="63"/>
        <v>0</v>
      </c>
      <c r="R267" s="11">
        <f t="shared" si="64"/>
        <v>0</v>
      </c>
      <c r="S267" s="26">
        <f t="shared" si="65"/>
        <v>0</v>
      </c>
    </row>
    <row r="268" spans="2:19" x14ac:dyDescent="0.2">
      <c r="B268" s="58">
        <v>252</v>
      </c>
      <c r="C268" s="26">
        <f>'Default parameters'!C265</f>
        <v>1.5199999999999999E-17</v>
      </c>
      <c r="D268" s="11">
        <f t="shared" si="54"/>
        <v>0</v>
      </c>
      <c r="E268" s="26">
        <f t="shared" si="55"/>
        <v>0</v>
      </c>
      <c r="F268" s="11">
        <f t="shared" si="56"/>
        <v>0</v>
      </c>
      <c r="G268" s="26">
        <f t="shared" si="57"/>
        <v>0</v>
      </c>
      <c r="H268" s="11">
        <f t="shared" si="58"/>
        <v>0</v>
      </c>
      <c r="I268" s="26">
        <f t="shared" si="59"/>
        <v>0</v>
      </c>
      <c r="J268" s="55"/>
      <c r="K268" s="56"/>
      <c r="L268" s="58">
        <v>252</v>
      </c>
      <c r="M268" s="26">
        <f>'Default parameters'!D265</f>
        <v>6.0400000000000002E-19</v>
      </c>
      <c r="N268" s="11">
        <f t="shared" si="60"/>
        <v>0</v>
      </c>
      <c r="O268" s="26">
        <f t="shared" si="61"/>
        <v>0</v>
      </c>
      <c r="P268" s="11">
        <f t="shared" si="62"/>
        <v>0</v>
      </c>
      <c r="Q268" s="26">
        <f t="shared" si="63"/>
        <v>0</v>
      </c>
      <c r="R268" s="11">
        <f t="shared" si="64"/>
        <v>0</v>
      </c>
      <c r="S268" s="26">
        <f t="shared" si="65"/>
        <v>0</v>
      </c>
    </row>
    <row r="269" spans="2:19" x14ac:dyDescent="0.2">
      <c r="B269" s="58">
        <v>253</v>
      </c>
      <c r="C269" s="26">
        <f>'Default parameters'!C266</f>
        <v>1.1399999999999999E-17</v>
      </c>
      <c r="D269" s="11">
        <f t="shared" si="54"/>
        <v>0</v>
      </c>
      <c r="E269" s="26">
        <f t="shared" si="55"/>
        <v>0</v>
      </c>
      <c r="F269" s="11">
        <f t="shared" si="56"/>
        <v>0</v>
      </c>
      <c r="G269" s="26">
        <f t="shared" si="57"/>
        <v>0</v>
      </c>
      <c r="H269" s="11">
        <f t="shared" si="58"/>
        <v>0</v>
      </c>
      <c r="I269" s="26">
        <f t="shared" si="59"/>
        <v>0</v>
      </c>
      <c r="J269" s="55"/>
      <c r="K269" s="56"/>
      <c r="L269" s="58">
        <v>253</v>
      </c>
      <c r="M269" s="26">
        <f>'Default parameters'!D266</f>
        <v>4.3999999999999997E-19</v>
      </c>
      <c r="N269" s="11">
        <f t="shared" si="60"/>
        <v>0</v>
      </c>
      <c r="O269" s="26">
        <f t="shared" si="61"/>
        <v>0</v>
      </c>
      <c r="P269" s="11">
        <f t="shared" si="62"/>
        <v>0</v>
      </c>
      <c r="Q269" s="26">
        <f t="shared" si="63"/>
        <v>0</v>
      </c>
      <c r="R269" s="11">
        <f t="shared" si="64"/>
        <v>0</v>
      </c>
      <c r="S269" s="26">
        <f t="shared" si="65"/>
        <v>0</v>
      </c>
    </row>
    <row r="270" spans="2:19" x14ac:dyDescent="0.2">
      <c r="B270" s="58">
        <v>254</v>
      </c>
      <c r="C270" s="26">
        <f>'Default parameters'!C267</f>
        <v>8.5100000000000002E-18</v>
      </c>
      <c r="D270" s="11">
        <f t="shared" si="54"/>
        <v>0</v>
      </c>
      <c r="E270" s="26">
        <f t="shared" si="55"/>
        <v>0</v>
      </c>
      <c r="F270" s="11">
        <f t="shared" si="56"/>
        <v>0</v>
      </c>
      <c r="G270" s="26">
        <f t="shared" si="57"/>
        <v>0</v>
      </c>
      <c r="H270" s="11">
        <f t="shared" si="58"/>
        <v>0</v>
      </c>
      <c r="I270" s="26">
        <f t="shared" si="59"/>
        <v>0</v>
      </c>
      <c r="J270" s="55"/>
      <c r="K270" s="56"/>
      <c r="L270" s="58">
        <v>254</v>
      </c>
      <c r="M270" s="26">
        <f>'Default parameters'!D267</f>
        <v>3.19E-19</v>
      </c>
      <c r="N270" s="11">
        <f t="shared" si="60"/>
        <v>0</v>
      </c>
      <c r="O270" s="26">
        <f t="shared" si="61"/>
        <v>0</v>
      </c>
      <c r="P270" s="11">
        <f t="shared" si="62"/>
        <v>0</v>
      </c>
      <c r="Q270" s="26">
        <f t="shared" si="63"/>
        <v>0</v>
      </c>
      <c r="R270" s="11">
        <f t="shared" si="64"/>
        <v>0</v>
      </c>
      <c r="S270" s="26">
        <f t="shared" si="65"/>
        <v>0</v>
      </c>
    </row>
    <row r="271" spans="2:19" x14ac:dyDescent="0.2">
      <c r="B271" s="58">
        <v>255</v>
      </c>
      <c r="C271" s="26">
        <f>'Default parameters'!C268</f>
        <v>6.3400000000000002E-18</v>
      </c>
      <c r="D271" s="11">
        <f t="shared" si="54"/>
        <v>0</v>
      </c>
      <c r="E271" s="26">
        <f t="shared" si="55"/>
        <v>0</v>
      </c>
      <c r="F271" s="11">
        <f t="shared" si="56"/>
        <v>0</v>
      </c>
      <c r="G271" s="26">
        <f t="shared" si="57"/>
        <v>0</v>
      </c>
      <c r="H271" s="11">
        <f t="shared" si="58"/>
        <v>0</v>
      </c>
      <c r="I271" s="26">
        <f t="shared" si="59"/>
        <v>0</v>
      </c>
      <c r="J271" s="55"/>
      <c r="K271" s="56"/>
      <c r="L271" s="58">
        <v>255</v>
      </c>
      <c r="M271" s="26">
        <f>'Default parameters'!D268</f>
        <v>2.3100000000000001E-19</v>
      </c>
      <c r="N271" s="11">
        <f t="shared" si="60"/>
        <v>0</v>
      </c>
      <c r="O271" s="26">
        <f t="shared" si="61"/>
        <v>0</v>
      </c>
      <c r="P271" s="11">
        <f t="shared" si="62"/>
        <v>0</v>
      </c>
      <c r="Q271" s="26">
        <f t="shared" si="63"/>
        <v>0</v>
      </c>
      <c r="R271" s="11">
        <f t="shared" si="64"/>
        <v>0</v>
      </c>
      <c r="S271" s="26">
        <f t="shared" si="65"/>
        <v>0</v>
      </c>
    </row>
    <row r="272" spans="2:19" x14ac:dyDescent="0.2">
      <c r="B272" s="58">
        <v>256</v>
      </c>
      <c r="C272" s="26">
        <f>'Default parameters'!C269</f>
        <v>4.7100000000000004E-18</v>
      </c>
      <c r="D272" s="11">
        <f t="shared" si="54"/>
        <v>0</v>
      </c>
      <c r="E272" s="26">
        <f t="shared" si="55"/>
        <v>0</v>
      </c>
      <c r="F272" s="11">
        <f t="shared" si="56"/>
        <v>0</v>
      </c>
      <c r="G272" s="26">
        <f t="shared" si="57"/>
        <v>0</v>
      </c>
      <c r="H272" s="11">
        <f t="shared" si="58"/>
        <v>0</v>
      </c>
      <c r="I272" s="26">
        <f t="shared" si="59"/>
        <v>0</v>
      </c>
      <c r="J272" s="55"/>
      <c r="K272" s="56"/>
      <c r="L272" s="58">
        <v>256</v>
      </c>
      <c r="M272" s="26">
        <f>'Default parameters'!D269</f>
        <v>1.6700000000000001E-19</v>
      </c>
      <c r="N272" s="11">
        <f t="shared" si="60"/>
        <v>0</v>
      </c>
      <c r="O272" s="26">
        <f t="shared" si="61"/>
        <v>0</v>
      </c>
      <c r="P272" s="11">
        <f t="shared" si="62"/>
        <v>0</v>
      </c>
      <c r="Q272" s="26">
        <f t="shared" si="63"/>
        <v>0</v>
      </c>
      <c r="R272" s="11">
        <f t="shared" si="64"/>
        <v>0</v>
      </c>
      <c r="S272" s="26">
        <f t="shared" si="65"/>
        <v>0</v>
      </c>
    </row>
    <row r="273" spans="2:19" x14ac:dyDescent="0.2">
      <c r="B273" s="58">
        <v>257</v>
      </c>
      <c r="C273" s="26">
        <f>'Default parameters'!C270</f>
        <v>3.4899999999999999E-18</v>
      </c>
      <c r="D273" s="11">
        <f t="shared" si="54"/>
        <v>0</v>
      </c>
      <c r="E273" s="26">
        <f t="shared" si="55"/>
        <v>0</v>
      </c>
      <c r="F273" s="11">
        <f t="shared" si="56"/>
        <v>0</v>
      </c>
      <c r="G273" s="26">
        <f t="shared" si="57"/>
        <v>0</v>
      </c>
      <c r="H273" s="11">
        <f t="shared" si="58"/>
        <v>0</v>
      </c>
      <c r="I273" s="26">
        <f t="shared" si="59"/>
        <v>0</v>
      </c>
      <c r="J273" s="55"/>
      <c r="K273" s="56"/>
      <c r="L273" s="58">
        <v>257</v>
      </c>
      <c r="M273" s="26">
        <f>'Default parameters'!D270</f>
        <v>1.2000000000000001E-19</v>
      </c>
      <c r="N273" s="11">
        <f t="shared" si="60"/>
        <v>0</v>
      </c>
      <c r="O273" s="26">
        <f t="shared" si="61"/>
        <v>0</v>
      </c>
      <c r="P273" s="11">
        <f t="shared" si="62"/>
        <v>0</v>
      </c>
      <c r="Q273" s="26">
        <f t="shared" si="63"/>
        <v>0</v>
      </c>
      <c r="R273" s="11">
        <f t="shared" si="64"/>
        <v>0</v>
      </c>
      <c r="S273" s="26">
        <f t="shared" si="65"/>
        <v>0</v>
      </c>
    </row>
    <row r="274" spans="2:19" x14ac:dyDescent="0.2">
      <c r="B274" s="58">
        <v>258</v>
      </c>
      <c r="C274" s="26">
        <f>'Default parameters'!C271</f>
        <v>2.5800000000000001E-18</v>
      </c>
      <c r="D274" s="11">
        <f t="shared" si="54"/>
        <v>0</v>
      </c>
      <c r="E274" s="26">
        <f t="shared" si="55"/>
        <v>0</v>
      </c>
      <c r="F274" s="11">
        <f t="shared" si="56"/>
        <v>0</v>
      </c>
      <c r="G274" s="26">
        <f t="shared" si="57"/>
        <v>0</v>
      </c>
      <c r="H274" s="11">
        <f t="shared" si="58"/>
        <v>0</v>
      </c>
      <c r="I274" s="26">
        <f t="shared" si="59"/>
        <v>0</v>
      </c>
      <c r="J274" s="55"/>
      <c r="K274" s="56"/>
      <c r="L274" s="58">
        <v>258</v>
      </c>
      <c r="M274" s="26">
        <f>'Default parameters'!D271</f>
        <v>8.6499999999999995E-20</v>
      </c>
      <c r="N274" s="11">
        <f t="shared" si="60"/>
        <v>0</v>
      </c>
      <c r="O274" s="26">
        <f t="shared" si="61"/>
        <v>0</v>
      </c>
      <c r="P274" s="11">
        <f t="shared" si="62"/>
        <v>0</v>
      </c>
      <c r="Q274" s="26">
        <f t="shared" si="63"/>
        <v>0</v>
      </c>
      <c r="R274" s="11">
        <f t="shared" si="64"/>
        <v>0</v>
      </c>
      <c r="S274" s="26">
        <f t="shared" si="65"/>
        <v>0</v>
      </c>
    </row>
    <row r="275" spans="2:19" x14ac:dyDescent="0.2">
      <c r="B275" s="58">
        <v>259</v>
      </c>
      <c r="C275" s="26">
        <f>'Default parameters'!C272</f>
        <v>1.8999999999999999E-18</v>
      </c>
      <c r="D275" s="11">
        <f t="shared" si="54"/>
        <v>0</v>
      </c>
      <c r="E275" s="26">
        <f t="shared" si="55"/>
        <v>0</v>
      </c>
      <c r="F275" s="11">
        <f t="shared" si="56"/>
        <v>0</v>
      </c>
      <c r="G275" s="26">
        <f t="shared" si="57"/>
        <v>0</v>
      </c>
      <c r="H275" s="11">
        <f t="shared" si="58"/>
        <v>0</v>
      </c>
      <c r="I275" s="26">
        <f t="shared" si="59"/>
        <v>0</v>
      </c>
      <c r="J275" s="55"/>
      <c r="K275" s="56"/>
      <c r="L275" s="58">
        <v>259</v>
      </c>
      <c r="M275" s="26">
        <f>'Default parameters'!D272</f>
        <v>6.2E-20</v>
      </c>
      <c r="N275" s="11">
        <f t="shared" si="60"/>
        <v>0</v>
      </c>
      <c r="O275" s="26">
        <f t="shared" si="61"/>
        <v>0</v>
      </c>
      <c r="P275" s="11">
        <f t="shared" si="62"/>
        <v>0</v>
      </c>
      <c r="Q275" s="26">
        <f t="shared" si="63"/>
        <v>0</v>
      </c>
      <c r="R275" s="11">
        <f t="shared" si="64"/>
        <v>0</v>
      </c>
      <c r="S275" s="26">
        <f t="shared" si="65"/>
        <v>0</v>
      </c>
    </row>
    <row r="276" spans="2:19" x14ac:dyDescent="0.2">
      <c r="B276" s="58">
        <v>260</v>
      </c>
      <c r="C276" s="26">
        <f>'Default parameters'!C273</f>
        <v>1.4000000000000001E-18</v>
      </c>
      <c r="D276" s="11">
        <f t="shared" si="54"/>
        <v>0</v>
      </c>
      <c r="E276" s="26">
        <f t="shared" si="55"/>
        <v>0</v>
      </c>
      <c r="F276" s="11">
        <f t="shared" si="56"/>
        <v>0</v>
      </c>
      <c r="G276" s="26">
        <f t="shared" si="57"/>
        <v>0</v>
      </c>
      <c r="H276" s="11">
        <f t="shared" si="58"/>
        <v>0</v>
      </c>
      <c r="I276" s="26">
        <f t="shared" si="59"/>
        <v>0</v>
      </c>
      <c r="J276" s="55"/>
      <c r="K276" s="56"/>
      <c r="L276" s="58">
        <v>260</v>
      </c>
      <c r="M276" s="26">
        <f>'Default parameters'!D273</f>
        <v>4.4300000000000002E-20</v>
      </c>
      <c r="N276" s="11">
        <f t="shared" si="60"/>
        <v>0</v>
      </c>
      <c r="O276" s="26">
        <f t="shared" si="61"/>
        <v>0</v>
      </c>
      <c r="P276" s="11">
        <f t="shared" si="62"/>
        <v>0</v>
      </c>
      <c r="Q276" s="26">
        <f t="shared" si="63"/>
        <v>0</v>
      </c>
      <c r="R276" s="11">
        <f t="shared" si="64"/>
        <v>0</v>
      </c>
      <c r="S276" s="26">
        <f t="shared" si="65"/>
        <v>0</v>
      </c>
    </row>
    <row r="277" spans="2:19" x14ac:dyDescent="0.2">
      <c r="B277" s="58">
        <v>261</v>
      </c>
      <c r="C277" s="26">
        <f>'Default parameters'!C274</f>
        <v>1.0299999999999999E-18</v>
      </c>
      <c r="D277" s="11">
        <f t="shared" si="54"/>
        <v>0</v>
      </c>
      <c r="E277" s="26">
        <f t="shared" si="55"/>
        <v>0</v>
      </c>
      <c r="F277" s="11">
        <f t="shared" si="56"/>
        <v>0</v>
      </c>
      <c r="G277" s="26">
        <f t="shared" si="57"/>
        <v>0</v>
      </c>
      <c r="H277" s="11">
        <f t="shared" si="58"/>
        <v>0</v>
      </c>
      <c r="I277" s="26">
        <f t="shared" si="59"/>
        <v>0</v>
      </c>
      <c r="J277" s="55"/>
      <c r="K277" s="56"/>
      <c r="L277" s="58">
        <v>261</v>
      </c>
      <c r="M277" s="26">
        <f>'Default parameters'!D274</f>
        <v>3.1600000000000002E-20</v>
      </c>
      <c r="N277" s="11">
        <f t="shared" si="60"/>
        <v>0</v>
      </c>
      <c r="O277" s="26">
        <f t="shared" si="61"/>
        <v>0</v>
      </c>
      <c r="P277" s="11">
        <f t="shared" si="62"/>
        <v>0</v>
      </c>
      <c r="Q277" s="26">
        <f t="shared" si="63"/>
        <v>0</v>
      </c>
      <c r="R277" s="11">
        <f t="shared" si="64"/>
        <v>0</v>
      </c>
      <c r="S277" s="26">
        <f t="shared" si="65"/>
        <v>0</v>
      </c>
    </row>
    <row r="278" spans="2:19" x14ac:dyDescent="0.2">
      <c r="B278" s="58">
        <v>262</v>
      </c>
      <c r="C278" s="26">
        <f>'Default parameters'!C275</f>
        <v>7.5299999999999996E-19</v>
      </c>
      <c r="D278" s="11">
        <f t="shared" si="54"/>
        <v>0</v>
      </c>
      <c r="E278" s="26">
        <f t="shared" si="55"/>
        <v>0</v>
      </c>
      <c r="F278" s="11">
        <f t="shared" si="56"/>
        <v>0</v>
      </c>
      <c r="G278" s="26">
        <f t="shared" si="57"/>
        <v>0</v>
      </c>
      <c r="H278" s="11">
        <f t="shared" si="58"/>
        <v>0</v>
      </c>
      <c r="I278" s="26">
        <f t="shared" si="59"/>
        <v>0</v>
      </c>
      <c r="J278" s="55"/>
      <c r="K278" s="56"/>
      <c r="L278" s="58">
        <v>262</v>
      </c>
      <c r="M278" s="26">
        <f>'Default parameters'!D275</f>
        <v>2.2500000000000001E-20</v>
      </c>
      <c r="N278" s="11">
        <f t="shared" si="60"/>
        <v>0</v>
      </c>
      <c r="O278" s="26">
        <f t="shared" si="61"/>
        <v>0</v>
      </c>
      <c r="P278" s="11">
        <f t="shared" si="62"/>
        <v>0</v>
      </c>
      <c r="Q278" s="26">
        <f t="shared" si="63"/>
        <v>0</v>
      </c>
      <c r="R278" s="11">
        <f t="shared" si="64"/>
        <v>0</v>
      </c>
      <c r="S278" s="26">
        <f t="shared" si="65"/>
        <v>0</v>
      </c>
    </row>
    <row r="279" spans="2:19" x14ac:dyDescent="0.2">
      <c r="B279" s="58">
        <v>263</v>
      </c>
      <c r="C279" s="26">
        <f>'Default parameters'!C276</f>
        <v>5.4999999999999996E-19</v>
      </c>
      <c r="D279" s="11">
        <f t="shared" si="54"/>
        <v>0</v>
      </c>
      <c r="E279" s="26">
        <f t="shared" si="55"/>
        <v>0</v>
      </c>
      <c r="F279" s="11">
        <f t="shared" si="56"/>
        <v>0</v>
      </c>
      <c r="G279" s="26">
        <f t="shared" si="57"/>
        <v>0</v>
      </c>
      <c r="H279" s="11">
        <f t="shared" si="58"/>
        <v>0</v>
      </c>
      <c r="I279" s="26">
        <f t="shared" si="59"/>
        <v>0</v>
      </c>
      <c r="J279" s="55"/>
      <c r="K279" s="56"/>
      <c r="L279" s="58">
        <v>263</v>
      </c>
      <c r="M279" s="26">
        <f>'Default parameters'!D276</f>
        <v>1.5900000000000001E-20</v>
      </c>
      <c r="N279" s="11">
        <f t="shared" si="60"/>
        <v>0</v>
      </c>
      <c r="O279" s="26">
        <f t="shared" si="61"/>
        <v>0</v>
      </c>
      <c r="P279" s="11">
        <f t="shared" si="62"/>
        <v>0</v>
      </c>
      <c r="Q279" s="26">
        <f t="shared" si="63"/>
        <v>0</v>
      </c>
      <c r="R279" s="11">
        <f t="shared" si="64"/>
        <v>0</v>
      </c>
      <c r="S279" s="26">
        <f t="shared" si="65"/>
        <v>0</v>
      </c>
    </row>
    <row r="280" spans="2:19" x14ac:dyDescent="0.2">
      <c r="B280" s="58">
        <v>264</v>
      </c>
      <c r="C280" s="26">
        <f>'Default parameters'!C277</f>
        <v>4.0100000000000002E-19</v>
      </c>
      <c r="D280" s="11">
        <f t="shared" si="54"/>
        <v>0</v>
      </c>
      <c r="E280" s="26">
        <f t="shared" si="55"/>
        <v>0</v>
      </c>
      <c r="F280" s="11">
        <f t="shared" si="56"/>
        <v>0</v>
      </c>
      <c r="G280" s="26">
        <f t="shared" si="57"/>
        <v>0</v>
      </c>
      <c r="H280" s="11">
        <f t="shared" si="58"/>
        <v>0</v>
      </c>
      <c r="I280" s="26">
        <f t="shared" si="59"/>
        <v>0</v>
      </c>
      <c r="J280" s="55"/>
      <c r="K280" s="56"/>
      <c r="L280" s="58">
        <v>264</v>
      </c>
      <c r="M280" s="26">
        <f>'Default parameters'!D277</f>
        <v>1.13E-20</v>
      </c>
      <c r="N280" s="11">
        <f t="shared" si="60"/>
        <v>0</v>
      </c>
      <c r="O280" s="26">
        <f t="shared" si="61"/>
        <v>0</v>
      </c>
      <c r="P280" s="11">
        <f t="shared" si="62"/>
        <v>0</v>
      </c>
      <c r="Q280" s="26">
        <f t="shared" si="63"/>
        <v>0</v>
      </c>
      <c r="R280" s="11">
        <f t="shared" si="64"/>
        <v>0</v>
      </c>
      <c r="S280" s="26">
        <f t="shared" si="65"/>
        <v>0</v>
      </c>
    </row>
    <row r="281" spans="2:19" x14ac:dyDescent="0.2">
      <c r="B281" s="58">
        <v>265</v>
      </c>
      <c r="C281" s="26">
        <f>'Default parameters'!C278</f>
        <v>2.9099999999999998E-19</v>
      </c>
      <c r="D281" s="11">
        <f t="shared" si="54"/>
        <v>0</v>
      </c>
      <c r="E281" s="26">
        <f t="shared" si="55"/>
        <v>0</v>
      </c>
      <c r="F281" s="11">
        <f t="shared" si="56"/>
        <v>0</v>
      </c>
      <c r="G281" s="26">
        <f t="shared" si="57"/>
        <v>0</v>
      </c>
      <c r="H281" s="11">
        <f t="shared" si="58"/>
        <v>0</v>
      </c>
      <c r="I281" s="26">
        <f t="shared" si="59"/>
        <v>0</v>
      </c>
      <c r="J281" s="55"/>
      <c r="K281" s="56"/>
      <c r="L281" s="58">
        <v>265</v>
      </c>
      <c r="M281" s="26">
        <f>'Default parameters'!D278</f>
        <v>7.9500000000000006E-21</v>
      </c>
      <c r="N281" s="11">
        <f t="shared" si="60"/>
        <v>0</v>
      </c>
      <c r="O281" s="26">
        <f t="shared" si="61"/>
        <v>0</v>
      </c>
      <c r="P281" s="11">
        <f t="shared" si="62"/>
        <v>0</v>
      </c>
      <c r="Q281" s="26">
        <f t="shared" si="63"/>
        <v>0</v>
      </c>
      <c r="R281" s="11">
        <f t="shared" si="64"/>
        <v>0</v>
      </c>
      <c r="S281" s="26">
        <f t="shared" si="65"/>
        <v>0</v>
      </c>
    </row>
    <row r="282" spans="2:19" x14ac:dyDescent="0.2">
      <c r="B282" s="58">
        <v>266</v>
      </c>
      <c r="C282" s="26">
        <f>'Default parameters'!C279</f>
        <v>2.11E-19</v>
      </c>
      <c r="D282" s="11">
        <f t="shared" si="54"/>
        <v>0</v>
      </c>
      <c r="E282" s="26">
        <f t="shared" si="55"/>
        <v>0</v>
      </c>
      <c r="F282" s="11">
        <f t="shared" si="56"/>
        <v>0</v>
      </c>
      <c r="G282" s="26">
        <f t="shared" si="57"/>
        <v>0</v>
      </c>
      <c r="H282" s="11">
        <f t="shared" si="58"/>
        <v>0</v>
      </c>
      <c r="I282" s="26">
        <f t="shared" si="59"/>
        <v>0</v>
      </c>
      <c r="J282" s="55"/>
      <c r="K282" s="56"/>
      <c r="L282" s="58">
        <v>266</v>
      </c>
      <c r="M282" s="26">
        <f>'Default parameters'!D279</f>
        <v>5.5900000000000002E-21</v>
      </c>
      <c r="N282" s="11">
        <f t="shared" si="60"/>
        <v>0</v>
      </c>
      <c r="O282" s="26">
        <f t="shared" si="61"/>
        <v>0</v>
      </c>
      <c r="P282" s="11">
        <f t="shared" si="62"/>
        <v>0</v>
      </c>
      <c r="Q282" s="26">
        <f t="shared" si="63"/>
        <v>0</v>
      </c>
      <c r="R282" s="11">
        <f t="shared" si="64"/>
        <v>0</v>
      </c>
      <c r="S282" s="26">
        <f t="shared" si="65"/>
        <v>0</v>
      </c>
    </row>
    <row r="283" spans="2:19" x14ac:dyDescent="0.2">
      <c r="B283" s="58">
        <v>267</v>
      </c>
      <c r="C283" s="26">
        <f>'Default parameters'!C280</f>
        <v>1.53E-19</v>
      </c>
      <c r="D283" s="11">
        <f t="shared" si="54"/>
        <v>0</v>
      </c>
      <c r="E283" s="26">
        <f t="shared" si="55"/>
        <v>0</v>
      </c>
      <c r="F283" s="11">
        <f t="shared" si="56"/>
        <v>0</v>
      </c>
      <c r="G283" s="26">
        <f t="shared" si="57"/>
        <v>0</v>
      </c>
      <c r="H283" s="11">
        <f t="shared" si="58"/>
        <v>0</v>
      </c>
      <c r="I283" s="26">
        <f t="shared" si="59"/>
        <v>0</v>
      </c>
      <c r="J283" s="55"/>
      <c r="K283" s="56"/>
      <c r="L283" s="58">
        <v>267</v>
      </c>
      <c r="M283" s="26">
        <f>'Default parameters'!D280</f>
        <v>3.9199999999999998E-21</v>
      </c>
      <c r="N283" s="11">
        <f t="shared" si="60"/>
        <v>0</v>
      </c>
      <c r="O283" s="26">
        <f t="shared" si="61"/>
        <v>0</v>
      </c>
      <c r="P283" s="11">
        <f t="shared" si="62"/>
        <v>0</v>
      </c>
      <c r="Q283" s="26">
        <f t="shared" si="63"/>
        <v>0</v>
      </c>
      <c r="R283" s="11">
        <f t="shared" si="64"/>
        <v>0</v>
      </c>
      <c r="S283" s="26">
        <f t="shared" si="65"/>
        <v>0</v>
      </c>
    </row>
    <row r="284" spans="2:19" x14ac:dyDescent="0.2">
      <c r="B284" s="58">
        <v>268</v>
      </c>
      <c r="C284" s="26">
        <f>'Default parameters'!C281</f>
        <v>1.0999999999999999E-19</v>
      </c>
      <c r="D284" s="11">
        <f t="shared" si="54"/>
        <v>0</v>
      </c>
      <c r="E284" s="26">
        <f t="shared" si="55"/>
        <v>0</v>
      </c>
      <c r="F284" s="11">
        <f t="shared" si="56"/>
        <v>0</v>
      </c>
      <c r="G284" s="26">
        <f t="shared" si="57"/>
        <v>0</v>
      </c>
      <c r="H284" s="11">
        <f t="shared" si="58"/>
        <v>0</v>
      </c>
      <c r="I284" s="26">
        <f t="shared" si="59"/>
        <v>0</v>
      </c>
      <c r="J284" s="55"/>
      <c r="K284" s="56"/>
      <c r="L284" s="58">
        <v>268</v>
      </c>
      <c r="M284" s="26">
        <f>'Default parameters'!D281</f>
        <v>2.74E-21</v>
      </c>
      <c r="N284" s="11">
        <f t="shared" si="60"/>
        <v>0</v>
      </c>
      <c r="O284" s="26">
        <f t="shared" si="61"/>
        <v>0</v>
      </c>
      <c r="P284" s="11">
        <f t="shared" si="62"/>
        <v>0</v>
      </c>
      <c r="Q284" s="26">
        <f t="shared" si="63"/>
        <v>0</v>
      </c>
      <c r="R284" s="11">
        <f t="shared" si="64"/>
        <v>0</v>
      </c>
      <c r="S284" s="26">
        <f t="shared" si="65"/>
        <v>0</v>
      </c>
    </row>
    <row r="285" spans="2:19" x14ac:dyDescent="0.2">
      <c r="B285" s="58">
        <v>269</v>
      </c>
      <c r="C285" s="26">
        <f>'Default parameters'!C282</f>
        <v>7.9200000000000005E-20</v>
      </c>
      <c r="D285" s="11">
        <f t="shared" si="54"/>
        <v>0</v>
      </c>
      <c r="E285" s="26">
        <f t="shared" si="55"/>
        <v>0</v>
      </c>
      <c r="F285" s="11">
        <f t="shared" si="56"/>
        <v>0</v>
      </c>
      <c r="G285" s="26">
        <f t="shared" si="57"/>
        <v>0</v>
      </c>
      <c r="H285" s="11">
        <f t="shared" si="58"/>
        <v>0</v>
      </c>
      <c r="I285" s="26">
        <f t="shared" si="59"/>
        <v>0</v>
      </c>
      <c r="J285" s="55"/>
      <c r="K285" s="56"/>
      <c r="L285" s="58">
        <v>269</v>
      </c>
      <c r="M285" s="26">
        <f>'Default parameters'!D282</f>
        <v>1.9100000000000001E-21</v>
      </c>
      <c r="N285" s="11">
        <f t="shared" si="60"/>
        <v>0</v>
      </c>
      <c r="O285" s="26">
        <f t="shared" si="61"/>
        <v>0</v>
      </c>
      <c r="P285" s="11">
        <f t="shared" si="62"/>
        <v>0</v>
      </c>
      <c r="Q285" s="26">
        <f t="shared" si="63"/>
        <v>0</v>
      </c>
      <c r="R285" s="11">
        <f t="shared" si="64"/>
        <v>0</v>
      </c>
      <c r="S285" s="26">
        <f t="shared" si="65"/>
        <v>0</v>
      </c>
    </row>
    <row r="286" spans="2:19" x14ac:dyDescent="0.2">
      <c r="B286" s="58">
        <v>270</v>
      </c>
      <c r="C286" s="26">
        <f>'Default parameters'!C283</f>
        <v>5.6899999999999999E-20</v>
      </c>
      <c r="D286" s="11">
        <f t="shared" si="54"/>
        <v>0</v>
      </c>
      <c r="E286" s="26">
        <f t="shared" si="55"/>
        <v>0</v>
      </c>
      <c r="F286" s="11">
        <f t="shared" si="56"/>
        <v>0</v>
      </c>
      <c r="G286" s="26">
        <f t="shared" si="57"/>
        <v>0</v>
      </c>
      <c r="H286" s="11">
        <f t="shared" si="58"/>
        <v>0</v>
      </c>
      <c r="I286" s="26">
        <f t="shared" si="59"/>
        <v>0</v>
      </c>
      <c r="J286" s="55"/>
      <c r="K286" s="56"/>
      <c r="L286" s="58">
        <v>270</v>
      </c>
      <c r="M286" s="26">
        <f>'Default parameters'!D283</f>
        <v>1.3299999999999999E-21</v>
      </c>
      <c r="N286" s="11">
        <f t="shared" si="60"/>
        <v>0</v>
      </c>
      <c r="O286" s="26">
        <f t="shared" si="61"/>
        <v>0</v>
      </c>
      <c r="P286" s="11">
        <f t="shared" si="62"/>
        <v>0</v>
      </c>
      <c r="Q286" s="26">
        <f t="shared" si="63"/>
        <v>0</v>
      </c>
      <c r="R286" s="11">
        <f t="shared" si="64"/>
        <v>0</v>
      </c>
      <c r="S286" s="26">
        <f t="shared" si="65"/>
        <v>0</v>
      </c>
    </row>
    <row r="287" spans="2:19" x14ac:dyDescent="0.2">
      <c r="B287" s="58">
        <v>271</v>
      </c>
      <c r="C287" s="26">
        <f>'Default parameters'!C284</f>
        <v>4.0700000000000003E-20</v>
      </c>
      <c r="D287" s="11">
        <f t="shared" si="54"/>
        <v>0</v>
      </c>
      <c r="E287" s="26">
        <f t="shared" si="55"/>
        <v>0</v>
      </c>
      <c r="F287" s="11">
        <f t="shared" si="56"/>
        <v>0</v>
      </c>
      <c r="G287" s="26">
        <f t="shared" si="57"/>
        <v>0</v>
      </c>
      <c r="H287" s="11">
        <f t="shared" si="58"/>
        <v>0</v>
      </c>
      <c r="I287" s="26">
        <f t="shared" si="59"/>
        <v>0</v>
      </c>
      <c r="J287" s="55"/>
      <c r="K287" s="56"/>
      <c r="L287" s="58">
        <v>271</v>
      </c>
      <c r="M287" s="26">
        <f>'Default parameters'!D284</f>
        <v>9.2200000000000005E-22</v>
      </c>
      <c r="N287" s="11">
        <f t="shared" si="60"/>
        <v>0</v>
      </c>
      <c r="O287" s="26">
        <f t="shared" si="61"/>
        <v>0</v>
      </c>
      <c r="P287" s="11">
        <f t="shared" si="62"/>
        <v>0</v>
      </c>
      <c r="Q287" s="26">
        <f t="shared" si="63"/>
        <v>0</v>
      </c>
      <c r="R287" s="11">
        <f t="shared" si="64"/>
        <v>0</v>
      </c>
      <c r="S287" s="26">
        <f t="shared" si="65"/>
        <v>0</v>
      </c>
    </row>
    <row r="288" spans="2:19" x14ac:dyDescent="0.2">
      <c r="B288" s="58">
        <v>272</v>
      </c>
      <c r="C288" s="26">
        <f>'Default parameters'!C285</f>
        <v>2.9099999999999997E-20</v>
      </c>
      <c r="D288" s="11">
        <f t="shared" si="54"/>
        <v>0</v>
      </c>
      <c r="E288" s="26">
        <f t="shared" si="55"/>
        <v>0</v>
      </c>
      <c r="F288" s="11">
        <f t="shared" si="56"/>
        <v>0</v>
      </c>
      <c r="G288" s="26">
        <f t="shared" si="57"/>
        <v>0</v>
      </c>
      <c r="H288" s="11">
        <f t="shared" si="58"/>
        <v>0</v>
      </c>
      <c r="I288" s="26">
        <f t="shared" si="59"/>
        <v>0</v>
      </c>
      <c r="J288" s="55"/>
      <c r="K288" s="56"/>
      <c r="L288" s="58">
        <v>272</v>
      </c>
      <c r="M288" s="26">
        <f>'Default parameters'!D285</f>
        <v>6.3800000000000004E-22</v>
      </c>
      <c r="N288" s="11">
        <f t="shared" si="60"/>
        <v>0</v>
      </c>
      <c r="O288" s="26">
        <f t="shared" si="61"/>
        <v>0</v>
      </c>
      <c r="P288" s="11">
        <f t="shared" si="62"/>
        <v>0</v>
      </c>
      <c r="Q288" s="26">
        <f t="shared" si="63"/>
        <v>0</v>
      </c>
      <c r="R288" s="11">
        <f t="shared" si="64"/>
        <v>0</v>
      </c>
      <c r="S288" s="26">
        <f t="shared" si="65"/>
        <v>0</v>
      </c>
    </row>
    <row r="289" spans="2:19" x14ac:dyDescent="0.2">
      <c r="B289" s="58">
        <v>273</v>
      </c>
      <c r="C289" s="26">
        <f>'Default parameters'!C286</f>
        <v>2.0700000000000001E-20</v>
      </c>
      <c r="D289" s="11">
        <f t="shared" si="54"/>
        <v>0</v>
      </c>
      <c r="E289" s="26">
        <f t="shared" si="55"/>
        <v>0</v>
      </c>
      <c r="F289" s="11">
        <f t="shared" si="56"/>
        <v>0</v>
      </c>
      <c r="G289" s="26">
        <f t="shared" si="57"/>
        <v>0</v>
      </c>
      <c r="H289" s="11">
        <f t="shared" si="58"/>
        <v>0</v>
      </c>
      <c r="I289" s="26">
        <f t="shared" si="59"/>
        <v>0</v>
      </c>
      <c r="J289" s="55"/>
      <c r="K289" s="56"/>
      <c r="L289" s="58">
        <v>273</v>
      </c>
      <c r="M289" s="26">
        <f>'Default parameters'!D286</f>
        <v>4.4000000000000001E-22</v>
      </c>
      <c r="N289" s="11">
        <f t="shared" si="60"/>
        <v>0</v>
      </c>
      <c r="O289" s="26">
        <f t="shared" si="61"/>
        <v>0</v>
      </c>
      <c r="P289" s="11">
        <f t="shared" si="62"/>
        <v>0</v>
      </c>
      <c r="Q289" s="26">
        <f t="shared" si="63"/>
        <v>0</v>
      </c>
      <c r="R289" s="11">
        <f t="shared" si="64"/>
        <v>0</v>
      </c>
      <c r="S289" s="26">
        <f t="shared" si="65"/>
        <v>0</v>
      </c>
    </row>
    <row r="290" spans="2:19" x14ac:dyDescent="0.2">
      <c r="B290" s="58">
        <v>274</v>
      </c>
      <c r="C290" s="26">
        <f>'Default parameters'!C287</f>
        <v>1.4700000000000001E-20</v>
      </c>
      <c r="D290" s="11">
        <f t="shared" si="54"/>
        <v>0</v>
      </c>
      <c r="E290" s="26">
        <f t="shared" si="55"/>
        <v>0</v>
      </c>
      <c r="F290" s="11">
        <f t="shared" si="56"/>
        <v>0</v>
      </c>
      <c r="G290" s="26">
        <f t="shared" si="57"/>
        <v>0</v>
      </c>
      <c r="H290" s="11">
        <f t="shared" si="58"/>
        <v>0</v>
      </c>
      <c r="I290" s="26">
        <f t="shared" si="59"/>
        <v>0</v>
      </c>
      <c r="J290" s="55"/>
      <c r="K290" s="56"/>
      <c r="L290" s="58">
        <v>274</v>
      </c>
      <c r="M290" s="26">
        <f>'Default parameters'!D287</f>
        <v>3.0199999999999998E-22</v>
      </c>
      <c r="N290" s="11">
        <f t="shared" si="60"/>
        <v>0</v>
      </c>
      <c r="O290" s="26">
        <f t="shared" si="61"/>
        <v>0</v>
      </c>
      <c r="P290" s="11">
        <f t="shared" si="62"/>
        <v>0</v>
      </c>
      <c r="Q290" s="26">
        <f t="shared" si="63"/>
        <v>0</v>
      </c>
      <c r="R290" s="11">
        <f t="shared" si="64"/>
        <v>0</v>
      </c>
      <c r="S290" s="26">
        <f t="shared" si="65"/>
        <v>0</v>
      </c>
    </row>
    <row r="291" spans="2:19" x14ac:dyDescent="0.2">
      <c r="B291" s="58">
        <v>275</v>
      </c>
      <c r="C291" s="26">
        <f>'Default parameters'!C288</f>
        <v>1.0400000000000001E-20</v>
      </c>
      <c r="D291" s="11">
        <f t="shared" si="54"/>
        <v>0</v>
      </c>
      <c r="E291" s="26">
        <f t="shared" si="55"/>
        <v>0</v>
      </c>
      <c r="F291" s="11">
        <f t="shared" si="56"/>
        <v>0</v>
      </c>
      <c r="G291" s="26">
        <f t="shared" si="57"/>
        <v>0</v>
      </c>
      <c r="H291" s="11">
        <f t="shared" si="58"/>
        <v>0</v>
      </c>
      <c r="I291" s="26">
        <f t="shared" si="59"/>
        <v>0</v>
      </c>
      <c r="J291" s="55"/>
      <c r="K291" s="56"/>
      <c r="L291" s="58">
        <v>275</v>
      </c>
      <c r="M291" s="26">
        <f>'Default parameters'!D288</f>
        <v>2.0700000000000001E-22</v>
      </c>
      <c r="N291" s="11">
        <f t="shared" si="60"/>
        <v>0</v>
      </c>
      <c r="O291" s="26">
        <f t="shared" si="61"/>
        <v>0</v>
      </c>
      <c r="P291" s="11">
        <f t="shared" si="62"/>
        <v>0</v>
      </c>
      <c r="Q291" s="26">
        <f t="shared" si="63"/>
        <v>0</v>
      </c>
      <c r="R291" s="11">
        <f t="shared" si="64"/>
        <v>0</v>
      </c>
      <c r="S291" s="26">
        <f t="shared" si="65"/>
        <v>0</v>
      </c>
    </row>
    <row r="292" spans="2:19" x14ac:dyDescent="0.2">
      <c r="B292" s="58">
        <v>276</v>
      </c>
      <c r="C292" s="26">
        <f>'Default parameters'!C289</f>
        <v>7.3500000000000003E-21</v>
      </c>
      <c r="D292" s="11">
        <f t="shared" si="54"/>
        <v>0</v>
      </c>
      <c r="E292" s="26">
        <f t="shared" si="55"/>
        <v>0</v>
      </c>
      <c r="F292" s="11">
        <f t="shared" si="56"/>
        <v>0</v>
      </c>
      <c r="G292" s="26">
        <f t="shared" si="57"/>
        <v>0</v>
      </c>
      <c r="H292" s="11">
        <f t="shared" si="58"/>
        <v>0</v>
      </c>
      <c r="I292" s="26">
        <f t="shared" si="59"/>
        <v>0</v>
      </c>
      <c r="J292" s="55"/>
      <c r="K292" s="56"/>
      <c r="L292" s="58">
        <v>276</v>
      </c>
      <c r="M292" s="26">
        <f>'Default parameters'!D289</f>
        <v>1.4200000000000001E-22</v>
      </c>
      <c r="N292" s="11">
        <f t="shared" si="60"/>
        <v>0</v>
      </c>
      <c r="O292" s="26">
        <f t="shared" si="61"/>
        <v>0</v>
      </c>
      <c r="P292" s="11">
        <f t="shared" si="62"/>
        <v>0</v>
      </c>
      <c r="Q292" s="26">
        <f t="shared" si="63"/>
        <v>0</v>
      </c>
      <c r="R292" s="11">
        <f t="shared" si="64"/>
        <v>0</v>
      </c>
      <c r="S292" s="26">
        <f t="shared" si="65"/>
        <v>0</v>
      </c>
    </row>
    <row r="293" spans="2:19" x14ac:dyDescent="0.2">
      <c r="B293" s="58">
        <v>277</v>
      </c>
      <c r="C293" s="26">
        <f>'Default parameters'!C290</f>
        <v>5.17E-21</v>
      </c>
      <c r="D293" s="11">
        <f t="shared" si="54"/>
        <v>0</v>
      </c>
      <c r="E293" s="26">
        <f t="shared" si="55"/>
        <v>0</v>
      </c>
      <c r="F293" s="11">
        <f t="shared" si="56"/>
        <v>0</v>
      </c>
      <c r="G293" s="26">
        <f t="shared" si="57"/>
        <v>0</v>
      </c>
      <c r="H293" s="11">
        <f t="shared" si="58"/>
        <v>0</v>
      </c>
      <c r="I293" s="26">
        <f t="shared" si="59"/>
        <v>0</v>
      </c>
      <c r="J293" s="55"/>
      <c r="K293" s="56"/>
      <c r="L293" s="58">
        <v>277</v>
      </c>
      <c r="M293" s="26">
        <f>'Default parameters'!D290</f>
        <v>9.64E-23</v>
      </c>
      <c r="N293" s="11">
        <f t="shared" si="60"/>
        <v>0</v>
      </c>
      <c r="O293" s="26">
        <f t="shared" si="61"/>
        <v>0</v>
      </c>
      <c r="P293" s="11">
        <f t="shared" si="62"/>
        <v>0</v>
      </c>
      <c r="Q293" s="26">
        <f t="shared" si="63"/>
        <v>0</v>
      </c>
      <c r="R293" s="11">
        <f t="shared" si="64"/>
        <v>0</v>
      </c>
      <c r="S293" s="26">
        <f t="shared" si="65"/>
        <v>0</v>
      </c>
    </row>
    <row r="294" spans="2:19" x14ac:dyDescent="0.2">
      <c r="B294" s="58">
        <v>278</v>
      </c>
      <c r="C294" s="26">
        <f>'Default parameters'!C291</f>
        <v>3.6300000000000003E-21</v>
      </c>
      <c r="D294" s="11">
        <f t="shared" si="54"/>
        <v>0</v>
      </c>
      <c r="E294" s="26">
        <f t="shared" si="55"/>
        <v>0</v>
      </c>
      <c r="F294" s="11">
        <f t="shared" si="56"/>
        <v>0</v>
      </c>
      <c r="G294" s="26">
        <f t="shared" si="57"/>
        <v>0</v>
      </c>
      <c r="H294" s="11">
        <f t="shared" si="58"/>
        <v>0</v>
      </c>
      <c r="I294" s="26">
        <f t="shared" si="59"/>
        <v>0</v>
      </c>
      <c r="J294" s="55"/>
      <c r="K294" s="56"/>
      <c r="L294" s="58">
        <v>278</v>
      </c>
      <c r="M294" s="26">
        <f>'Default parameters'!D291</f>
        <v>6.5499999999999996E-23</v>
      </c>
      <c r="N294" s="11">
        <f t="shared" si="60"/>
        <v>0</v>
      </c>
      <c r="O294" s="26">
        <f t="shared" si="61"/>
        <v>0</v>
      </c>
      <c r="P294" s="11">
        <f t="shared" si="62"/>
        <v>0</v>
      </c>
      <c r="Q294" s="26">
        <f t="shared" si="63"/>
        <v>0</v>
      </c>
      <c r="R294" s="11">
        <f t="shared" si="64"/>
        <v>0</v>
      </c>
      <c r="S294" s="26">
        <f t="shared" si="65"/>
        <v>0</v>
      </c>
    </row>
    <row r="295" spans="2:19" x14ac:dyDescent="0.2">
      <c r="B295" s="58">
        <v>279</v>
      </c>
      <c r="C295" s="26">
        <f>'Default parameters'!C292</f>
        <v>2.55E-21</v>
      </c>
      <c r="D295" s="11">
        <f t="shared" si="54"/>
        <v>0</v>
      </c>
      <c r="E295" s="26">
        <f t="shared" si="55"/>
        <v>0</v>
      </c>
      <c r="F295" s="11">
        <f t="shared" si="56"/>
        <v>0</v>
      </c>
      <c r="G295" s="26">
        <f t="shared" si="57"/>
        <v>0</v>
      </c>
      <c r="H295" s="11">
        <f t="shared" si="58"/>
        <v>0</v>
      </c>
      <c r="I295" s="26">
        <f t="shared" si="59"/>
        <v>0</v>
      </c>
      <c r="J295" s="55"/>
      <c r="K295" s="56"/>
      <c r="L295" s="58">
        <v>279</v>
      </c>
      <c r="M295" s="26">
        <f>'Default parameters'!D292</f>
        <v>4.4400000000000001E-23</v>
      </c>
      <c r="N295" s="11">
        <f t="shared" si="60"/>
        <v>0</v>
      </c>
      <c r="O295" s="26">
        <f t="shared" si="61"/>
        <v>0</v>
      </c>
      <c r="P295" s="11">
        <f t="shared" si="62"/>
        <v>0</v>
      </c>
      <c r="Q295" s="26">
        <f t="shared" si="63"/>
        <v>0</v>
      </c>
      <c r="R295" s="11">
        <f t="shared" si="64"/>
        <v>0</v>
      </c>
      <c r="S295" s="26">
        <f t="shared" si="65"/>
        <v>0</v>
      </c>
    </row>
    <row r="296" spans="2:19" x14ac:dyDescent="0.2">
      <c r="B296" s="58">
        <v>280</v>
      </c>
      <c r="C296" s="26">
        <f>'Default parameters'!C293</f>
        <v>1.7800000000000002E-21</v>
      </c>
      <c r="D296" s="11">
        <f t="shared" si="54"/>
        <v>0</v>
      </c>
      <c r="E296" s="26">
        <f t="shared" si="55"/>
        <v>0</v>
      </c>
      <c r="F296" s="11">
        <f t="shared" si="56"/>
        <v>0</v>
      </c>
      <c r="G296" s="26">
        <f t="shared" si="57"/>
        <v>0</v>
      </c>
      <c r="H296" s="11">
        <f t="shared" si="58"/>
        <v>0</v>
      </c>
      <c r="I296" s="26">
        <f t="shared" si="59"/>
        <v>0</v>
      </c>
      <c r="J296" s="55"/>
      <c r="K296" s="56"/>
      <c r="L296" s="58">
        <v>280</v>
      </c>
      <c r="M296" s="26">
        <f>'Default parameters'!D293</f>
        <v>2.99E-23</v>
      </c>
      <c r="N296" s="11">
        <f t="shared" si="60"/>
        <v>0</v>
      </c>
      <c r="O296" s="26">
        <f t="shared" si="61"/>
        <v>0</v>
      </c>
      <c r="P296" s="11">
        <f t="shared" si="62"/>
        <v>0</v>
      </c>
      <c r="Q296" s="26">
        <f t="shared" si="63"/>
        <v>0</v>
      </c>
      <c r="R296" s="11">
        <f t="shared" si="64"/>
        <v>0</v>
      </c>
      <c r="S296" s="26">
        <f t="shared" si="65"/>
        <v>0</v>
      </c>
    </row>
    <row r="297" spans="2:19" x14ac:dyDescent="0.2">
      <c r="B297" s="58">
        <v>281</v>
      </c>
      <c r="C297" s="26">
        <f>'Default parameters'!C294</f>
        <v>1.2400000000000001E-21</v>
      </c>
      <c r="D297" s="11">
        <f t="shared" si="54"/>
        <v>0</v>
      </c>
      <c r="E297" s="26">
        <f t="shared" si="55"/>
        <v>0</v>
      </c>
      <c r="F297" s="11">
        <f t="shared" si="56"/>
        <v>0</v>
      </c>
      <c r="G297" s="26">
        <f t="shared" si="57"/>
        <v>0</v>
      </c>
      <c r="H297" s="11">
        <f t="shared" si="58"/>
        <v>0</v>
      </c>
      <c r="I297" s="26">
        <f t="shared" si="59"/>
        <v>0</v>
      </c>
      <c r="J297" s="55"/>
      <c r="K297" s="56"/>
      <c r="L297" s="58">
        <v>281</v>
      </c>
      <c r="M297" s="26">
        <f>'Default parameters'!D294</f>
        <v>2.02E-23</v>
      </c>
      <c r="N297" s="11">
        <f t="shared" si="60"/>
        <v>0</v>
      </c>
      <c r="O297" s="26">
        <f t="shared" si="61"/>
        <v>0</v>
      </c>
      <c r="P297" s="11">
        <f t="shared" si="62"/>
        <v>0</v>
      </c>
      <c r="Q297" s="26">
        <f t="shared" si="63"/>
        <v>0</v>
      </c>
      <c r="R297" s="11">
        <f t="shared" si="64"/>
        <v>0</v>
      </c>
      <c r="S297" s="26">
        <f t="shared" si="65"/>
        <v>0</v>
      </c>
    </row>
    <row r="298" spans="2:19" x14ac:dyDescent="0.2">
      <c r="B298" s="58">
        <v>282</v>
      </c>
      <c r="C298" s="26">
        <f>'Default parameters'!C295</f>
        <v>8.6099999999999995E-22</v>
      </c>
      <c r="D298" s="11">
        <f t="shared" si="54"/>
        <v>0</v>
      </c>
      <c r="E298" s="26">
        <f t="shared" si="55"/>
        <v>0</v>
      </c>
      <c r="F298" s="11">
        <f t="shared" si="56"/>
        <v>0</v>
      </c>
      <c r="G298" s="26">
        <f t="shared" si="57"/>
        <v>0</v>
      </c>
      <c r="H298" s="11">
        <f t="shared" si="58"/>
        <v>0</v>
      </c>
      <c r="I298" s="26">
        <f t="shared" si="59"/>
        <v>0</v>
      </c>
      <c r="J298" s="55"/>
      <c r="K298" s="56"/>
      <c r="L298" s="58">
        <v>282</v>
      </c>
      <c r="M298" s="26">
        <f>'Default parameters'!D295</f>
        <v>1.3499999999999999E-23</v>
      </c>
      <c r="N298" s="11">
        <f t="shared" si="60"/>
        <v>0</v>
      </c>
      <c r="O298" s="26">
        <f t="shared" si="61"/>
        <v>0</v>
      </c>
      <c r="P298" s="11">
        <f t="shared" si="62"/>
        <v>0</v>
      </c>
      <c r="Q298" s="26">
        <f t="shared" si="63"/>
        <v>0</v>
      </c>
      <c r="R298" s="11">
        <f t="shared" si="64"/>
        <v>0</v>
      </c>
      <c r="S298" s="26">
        <f t="shared" si="65"/>
        <v>0</v>
      </c>
    </row>
    <row r="299" spans="2:19" x14ac:dyDescent="0.2">
      <c r="B299" s="58">
        <v>283</v>
      </c>
      <c r="C299" s="26">
        <f>'Default parameters'!C296</f>
        <v>5.9600000000000001E-22</v>
      </c>
      <c r="D299" s="11">
        <f t="shared" si="54"/>
        <v>0</v>
      </c>
      <c r="E299" s="26">
        <f t="shared" si="55"/>
        <v>0</v>
      </c>
      <c r="F299" s="11">
        <f t="shared" si="56"/>
        <v>0</v>
      </c>
      <c r="G299" s="26">
        <f t="shared" si="57"/>
        <v>0</v>
      </c>
      <c r="H299" s="11">
        <f t="shared" si="58"/>
        <v>0</v>
      </c>
      <c r="I299" s="26">
        <f t="shared" si="59"/>
        <v>0</v>
      </c>
      <c r="J299" s="55"/>
      <c r="K299" s="56"/>
      <c r="L299" s="58">
        <v>283</v>
      </c>
      <c r="M299" s="26">
        <f>'Default parameters'!D296</f>
        <v>9.0499999999999997E-24</v>
      </c>
      <c r="N299" s="11">
        <f t="shared" si="60"/>
        <v>0</v>
      </c>
      <c r="O299" s="26">
        <f t="shared" si="61"/>
        <v>0</v>
      </c>
      <c r="P299" s="11">
        <f t="shared" si="62"/>
        <v>0</v>
      </c>
      <c r="Q299" s="26">
        <f t="shared" si="63"/>
        <v>0</v>
      </c>
      <c r="R299" s="11">
        <f t="shared" si="64"/>
        <v>0</v>
      </c>
      <c r="S299" s="26">
        <f t="shared" si="65"/>
        <v>0</v>
      </c>
    </row>
    <row r="300" spans="2:19" x14ac:dyDescent="0.2">
      <c r="B300" s="58">
        <v>284</v>
      </c>
      <c r="C300" s="26">
        <f>'Default parameters'!C297</f>
        <v>4.1199999999999998E-22</v>
      </c>
      <c r="D300" s="11">
        <f t="shared" ref="D300:D315" si="66">IF(AND(B300&gt;($D$8-1), B300&lt;$D$9),1,0)</f>
        <v>0</v>
      </c>
      <c r="E300" s="26">
        <f t="shared" ref="E300:E315" si="67">D300*C300</f>
        <v>0</v>
      </c>
      <c r="F300" s="11">
        <f t="shared" ref="F300:F315" si="68">IF(AND(B300&gt;($E$8-1), B300&lt;$E$9),1,0)</f>
        <v>0</v>
      </c>
      <c r="G300" s="26">
        <f t="shared" ref="G300:G315" si="69">F300*C300</f>
        <v>0</v>
      </c>
      <c r="H300" s="11">
        <f t="shared" ref="H300:H315" si="70">IF(AND(B300&gt;($F$8-1), B300&lt;$F$9),1,0)</f>
        <v>0</v>
      </c>
      <c r="I300" s="26">
        <f t="shared" ref="I300:I315" si="71">H300*C300</f>
        <v>0</v>
      </c>
      <c r="J300" s="55"/>
      <c r="K300" s="56"/>
      <c r="L300" s="58">
        <v>284</v>
      </c>
      <c r="M300" s="26">
        <f>'Default parameters'!D297</f>
        <v>6.0300000000000002E-24</v>
      </c>
      <c r="N300" s="11">
        <f t="shared" ref="N300:N315" si="72">IF(AND(L300&gt;($N$8-1), L300&lt;$N$9),1,0)</f>
        <v>0</v>
      </c>
      <c r="O300" s="26">
        <f t="shared" ref="O300:O315" si="73">N300*M300</f>
        <v>0</v>
      </c>
      <c r="P300" s="11">
        <f t="shared" ref="P300:P315" si="74">IF(AND(L300&gt;($O$8-1), L300&lt;$O$9),1,0)</f>
        <v>0</v>
      </c>
      <c r="Q300" s="26">
        <f t="shared" ref="Q300:Q315" si="75">P300*M300</f>
        <v>0</v>
      </c>
      <c r="R300" s="11">
        <f t="shared" ref="R300:R315" si="76">IF(AND(L300&gt;($P$8-1), L300&lt;$P$9),1,0)</f>
        <v>0</v>
      </c>
      <c r="S300" s="26">
        <f t="shared" ref="S300:S315" si="77">R300*M300</f>
        <v>0</v>
      </c>
    </row>
    <row r="301" spans="2:19" x14ac:dyDescent="0.2">
      <c r="B301" s="58">
        <v>285</v>
      </c>
      <c r="C301" s="26">
        <f>'Default parameters'!C298</f>
        <v>2.8400000000000001E-22</v>
      </c>
      <c r="D301" s="11">
        <f t="shared" si="66"/>
        <v>0</v>
      </c>
      <c r="E301" s="26">
        <f t="shared" si="67"/>
        <v>0</v>
      </c>
      <c r="F301" s="11">
        <f t="shared" si="68"/>
        <v>0</v>
      </c>
      <c r="G301" s="26">
        <f t="shared" si="69"/>
        <v>0</v>
      </c>
      <c r="H301" s="11">
        <f t="shared" si="70"/>
        <v>0</v>
      </c>
      <c r="I301" s="26">
        <f t="shared" si="71"/>
        <v>0</v>
      </c>
      <c r="J301" s="55"/>
      <c r="K301" s="56"/>
      <c r="L301" s="58">
        <v>285</v>
      </c>
      <c r="M301" s="26">
        <f>'Default parameters'!D298</f>
        <v>4.01E-24</v>
      </c>
      <c r="N301" s="11">
        <f t="shared" si="72"/>
        <v>0</v>
      </c>
      <c r="O301" s="26">
        <f t="shared" si="73"/>
        <v>0</v>
      </c>
      <c r="P301" s="11">
        <f t="shared" si="74"/>
        <v>0</v>
      </c>
      <c r="Q301" s="26">
        <f t="shared" si="75"/>
        <v>0</v>
      </c>
      <c r="R301" s="11">
        <f t="shared" si="76"/>
        <v>0</v>
      </c>
      <c r="S301" s="26">
        <f t="shared" si="77"/>
        <v>0</v>
      </c>
    </row>
    <row r="302" spans="2:19" x14ac:dyDescent="0.2">
      <c r="B302" s="58">
        <v>286</v>
      </c>
      <c r="C302" s="26">
        <f>'Default parameters'!C299</f>
        <v>1.95E-22</v>
      </c>
      <c r="D302" s="11">
        <f t="shared" si="66"/>
        <v>0</v>
      </c>
      <c r="E302" s="26">
        <f t="shared" si="67"/>
        <v>0</v>
      </c>
      <c r="F302" s="11">
        <f t="shared" si="68"/>
        <v>0</v>
      </c>
      <c r="G302" s="26">
        <f t="shared" si="69"/>
        <v>0</v>
      </c>
      <c r="H302" s="11">
        <f t="shared" si="70"/>
        <v>0</v>
      </c>
      <c r="I302" s="26">
        <f t="shared" si="71"/>
        <v>0</v>
      </c>
      <c r="J302" s="55"/>
      <c r="K302" s="56"/>
      <c r="L302" s="58">
        <v>286</v>
      </c>
      <c r="M302" s="26">
        <f>'Default parameters'!D299</f>
        <v>2.6600000000000002E-24</v>
      </c>
      <c r="N302" s="11">
        <f t="shared" si="72"/>
        <v>0</v>
      </c>
      <c r="O302" s="26">
        <f t="shared" si="73"/>
        <v>0</v>
      </c>
      <c r="P302" s="11">
        <f t="shared" si="74"/>
        <v>0</v>
      </c>
      <c r="Q302" s="26">
        <f t="shared" si="75"/>
        <v>0</v>
      </c>
      <c r="R302" s="11">
        <f t="shared" si="76"/>
        <v>0</v>
      </c>
      <c r="S302" s="26">
        <f t="shared" si="77"/>
        <v>0</v>
      </c>
    </row>
    <row r="303" spans="2:19" x14ac:dyDescent="0.2">
      <c r="B303" s="58">
        <v>287</v>
      </c>
      <c r="C303" s="26">
        <f>'Default parameters'!C300</f>
        <v>1.33E-22</v>
      </c>
      <c r="D303" s="11">
        <f t="shared" si="66"/>
        <v>0</v>
      </c>
      <c r="E303" s="26">
        <f t="shared" si="67"/>
        <v>0</v>
      </c>
      <c r="F303" s="11">
        <f t="shared" si="68"/>
        <v>0</v>
      </c>
      <c r="G303" s="26">
        <f t="shared" si="69"/>
        <v>0</v>
      </c>
      <c r="H303" s="11">
        <f t="shared" si="70"/>
        <v>0</v>
      </c>
      <c r="I303" s="26">
        <f t="shared" si="71"/>
        <v>0</v>
      </c>
      <c r="J303" s="55"/>
      <c r="K303" s="56"/>
      <c r="L303" s="58">
        <v>287</v>
      </c>
      <c r="M303" s="26">
        <f>'Default parameters'!D300</f>
        <v>1.7499999999999998E-24</v>
      </c>
      <c r="N303" s="11">
        <f t="shared" si="72"/>
        <v>0</v>
      </c>
      <c r="O303" s="26">
        <f t="shared" si="73"/>
        <v>0</v>
      </c>
      <c r="P303" s="11">
        <f t="shared" si="74"/>
        <v>0</v>
      </c>
      <c r="Q303" s="26">
        <f t="shared" si="75"/>
        <v>0</v>
      </c>
      <c r="R303" s="11">
        <f t="shared" si="76"/>
        <v>0</v>
      </c>
      <c r="S303" s="26">
        <f t="shared" si="77"/>
        <v>0</v>
      </c>
    </row>
    <row r="304" spans="2:19" x14ac:dyDescent="0.2">
      <c r="B304" s="58">
        <v>288</v>
      </c>
      <c r="C304" s="26">
        <f>'Default parameters'!C301</f>
        <v>9.0999999999999999E-23</v>
      </c>
      <c r="D304" s="11">
        <f t="shared" si="66"/>
        <v>0</v>
      </c>
      <c r="E304" s="26">
        <f t="shared" si="67"/>
        <v>0</v>
      </c>
      <c r="F304" s="11">
        <f t="shared" si="68"/>
        <v>0</v>
      </c>
      <c r="G304" s="26">
        <f t="shared" si="69"/>
        <v>0</v>
      </c>
      <c r="H304" s="11">
        <f t="shared" si="70"/>
        <v>0</v>
      </c>
      <c r="I304" s="26">
        <f t="shared" si="71"/>
        <v>0</v>
      </c>
      <c r="J304" s="55"/>
      <c r="K304" s="56"/>
      <c r="L304" s="58">
        <v>288</v>
      </c>
      <c r="M304" s="26">
        <f>'Default parameters'!D301</f>
        <v>1.1500000000000001E-24</v>
      </c>
      <c r="N304" s="11">
        <f t="shared" si="72"/>
        <v>0</v>
      </c>
      <c r="O304" s="26">
        <f t="shared" si="73"/>
        <v>0</v>
      </c>
      <c r="P304" s="11">
        <f t="shared" si="74"/>
        <v>0</v>
      </c>
      <c r="Q304" s="26">
        <f t="shared" si="75"/>
        <v>0</v>
      </c>
      <c r="R304" s="11">
        <f t="shared" si="76"/>
        <v>0</v>
      </c>
      <c r="S304" s="26">
        <f t="shared" si="77"/>
        <v>0</v>
      </c>
    </row>
    <row r="305" spans="2:19" x14ac:dyDescent="0.2">
      <c r="B305" s="58">
        <v>289</v>
      </c>
      <c r="C305" s="26">
        <f>'Default parameters'!C302</f>
        <v>6.1900000000000003E-23</v>
      </c>
      <c r="D305" s="11">
        <f t="shared" si="66"/>
        <v>0</v>
      </c>
      <c r="E305" s="26">
        <f t="shared" si="67"/>
        <v>0</v>
      </c>
      <c r="F305" s="11">
        <f t="shared" si="68"/>
        <v>0</v>
      </c>
      <c r="G305" s="26">
        <f t="shared" si="69"/>
        <v>0</v>
      </c>
      <c r="H305" s="11">
        <f t="shared" si="70"/>
        <v>0</v>
      </c>
      <c r="I305" s="26">
        <f t="shared" si="71"/>
        <v>0</v>
      </c>
      <c r="J305" s="55"/>
      <c r="K305" s="56"/>
      <c r="L305" s="58">
        <v>289</v>
      </c>
      <c r="M305" s="26">
        <f>'Default parameters'!D302</f>
        <v>7.5699999999999997E-25</v>
      </c>
      <c r="N305" s="11">
        <f t="shared" si="72"/>
        <v>0</v>
      </c>
      <c r="O305" s="26">
        <f t="shared" si="73"/>
        <v>0</v>
      </c>
      <c r="P305" s="11">
        <f t="shared" si="74"/>
        <v>0</v>
      </c>
      <c r="Q305" s="26">
        <f t="shared" si="75"/>
        <v>0</v>
      </c>
      <c r="R305" s="11">
        <f t="shared" si="76"/>
        <v>0</v>
      </c>
      <c r="S305" s="26">
        <f t="shared" si="77"/>
        <v>0</v>
      </c>
    </row>
    <row r="306" spans="2:19" x14ac:dyDescent="0.2">
      <c r="B306" s="58">
        <v>290</v>
      </c>
      <c r="C306" s="26">
        <f>'Default parameters'!C303</f>
        <v>4.2000000000000002E-23</v>
      </c>
      <c r="D306" s="11">
        <f t="shared" si="66"/>
        <v>0</v>
      </c>
      <c r="E306" s="26">
        <f t="shared" si="67"/>
        <v>0</v>
      </c>
      <c r="F306" s="11">
        <f t="shared" si="68"/>
        <v>0</v>
      </c>
      <c r="G306" s="26">
        <f t="shared" si="69"/>
        <v>0</v>
      </c>
      <c r="H306" s="11">
        <f t="shared" si="70"/>
        <v>0</v>
      </c>
      <c r="I306" s="26">
        <f t="shared" si="71"/>
        <v>0</v>
      </c>
      <c r="J306" s="55"/>
      <c r="K306" s="56"/>
      <c r="L306" s="58">
        <v>290</v>
      </c>
      <c r="M306" s="26">
        <f>'Default parameters'!D303</f>
        <v>4.9499999999999998E-25</v>
      </c>
      <c r="N306" s="11">
        <f t="shared" si="72"/>
        <v>0</v>
      </c>
      <c r="O306" s="26">
        <f t="shared" si="73"/>
        <v>0</v>
      </c>
      <c r="P306" s="11">
        <f t="shared" si="74"/>
        <v>0</v>
      </c>
      <c r="Q306" s="26">
        <f t="shared" si="75"/>
        <v>0</v>
      </c>
      <c r="R306" s="11">
        <f t="shared" si="76"/>
        <v>0</v>
      </c>
      <c r="S306" s="26">
        <f t="shared" si="77"/>
        <v>0</v>
      </c>
    </row>
    <row r="307" spans="2:19" x14ac:dyDescent="0.2">
      <c r="B307" s="58">
        <v>291</v>
      </c>
      <c r="C307" s="26">
        <f>'Default parameters'!C304</f>
        <v>2.8399999999999999E-23</v>
      </c>
      <c r="D307" s="11">
        <f t="shared" si="66"/>
        <v>0</v>
      </c>
      <c r="E307" s="26">
        <f t="shared" si="67"/>
        <v>0</v>
      </c>
      <c r="F307" s="11">
        <f t="shared" si="68"/>
        <v>0</v>
      </c>
      <c r="G307" s="26">
        <f t="shared" si="69"/>
        <v>0</v>
      </c>
      <c r="H307" s="11">
        <f t="shared" si="70"/>
        <v>0</v>
      </c>
      <c r="I307" s="26">
        <f t="shared" si="71"/>
        <v>0</v>
      </c>
      <c r="J307" s="55"/>
      <c r="K307" s="56"/>
      <c r="L307" s="58">
        <v>291</v>
      </c>
      <c r="M307" s="26">
        <f>'Default parameters'!D304</f>
        <v>3.23E-25</v>
      </c>
      <c r="N307" s="11">
        <f t="shared" si="72"/>
        <v>0</v>
      </c>
      <c r="O307" s="26">
        <f t="shared" si="73"/>
        <v>0</v>
      </c>
      <c r="P307" s="11">
        <f t="shared" si="74"/>
        <v>0</v>
      </c>
      <c r="Q307" s="26">
        <f t="shared" si="75"/>
        <v>0</v>
      </c>
      <c r="R307" s="11">
        <f t="shared" si="76"/>
        <v>0</v>
      </c>
      <c r="S307" s="26">
        <f t="shared" si="77"/>
        <v>0</v>
      </c>
    </row>
    <row r="308" spans="2:19" x14ac:dyDescent="0.2">
      <c r="B308" s="58">
        <v>292</v>
      </c>
      <c r="C308" s="26">
        <f>'Default parameters'!C305</f>
        <v>1.9199999999999999E-23</v>
      </c>
      <c r="D308" s="11">
        <f t="shared" si="66"/>
        <v>0</v>
      </c>
      <c r="E308" s="26">
        <f t="shared" si="67"/>
        <v>0</v>
      </c>
      <c r="F308" s="11">
        <f t="shared" si="68"/>
        <v>0</v>
      </c>
      <c r="G308" s="26">
        <f t="shared" si="69"/>
        <v>0</v>
      </c>
      <c r="H308" s="11">
        <f t="shared" si="70"/>
        <v>0</v>
      </c>
      <c r="I308" s="26">
        <f t="shared" si="71"/>
        <v>0</v>
      </c>
      <c r="J308" s="55"/>
      <c r="K308" s="56"/>
      <c r="L308" s="58">
        <v>292</v>
      </c>
      <c r="M308" s="26">
        <f>'Default parameters'!D305</f>
        <v>2.1E-25</v>
      </c>
      <c r="N308" s="11">
        <f t="shared" si="72"/>
        <v>0</v>
      </c>
      <c r="O308" s="26">
        <f t="shared" si="73"/>
        <v>0</v>
      </c>
      <c r="P308" s="11">
        <f t="shared" si="74"/>
        <v>0</v>
      </c>
      <c r="Q308" s="26">
        <f t="shared" si="75"/>
        <v>0</v>
      </c>
      <c r="R308" s="11">
        <f t="shared" si="76"/>
        <v>0</v>
      </c>
      <c r="S308" s="26">
        <f t="shared" si="77"/>
        <v>0</v>
      </c>
    </row>
    <row r="309" spans="2:19" x14ac:dyDescent="0.2">
      <c r="B309" s="58">
        <v>293</v>
      </c>
      <c r="C309" s="26">
        <f>'Default parameters'!C306</f>
        <v>1.2899999999999999E-23</v>
      </c>
      <c r="D309" s="11">
        <f t="shared" si="66"/>
        <v>0</v>
      </c>
      <c r="E309" s="26">
        <f t="shared" si="67"/>
        <v>0</v>
      </c>
      <c r="F309" s="11">
        <f t="shared" si="68"/>
        <v>0</v>
      </c>
      <c r="G309" s="26">
        <f t="shared" si="69"/>
        <v>0</v>
      </c>
      <c r="H309" s="11">
        <f t="shared" si="70"/>
        <v>0</v>
      </c>
      <c r="I309" s="26">
        <f t="shared" si="71"/>
        <v>0</v>
      </c>
      <c r="J309" s="55"/>
      <c r="K309" s="56"/>
      <c r="L309" s="58">
        <v>293</v>
      </c>
      <c r="M309" s="26">
        <f>'Default parameters'!D306</f>
        <v>1.3600000000000001E-25</v>
      </c>
      <c r="N309" s="11">
        <f t="shared" si="72"/>
        <v>0</v>
      </c>
      <c r="O309" s="26">
        <f t="shared" si="73"/>
        <v>0</v>
      </c>
      <c r="P309" s="11">
        <f t="shared" si="74"/>
        <v>0</v>
      </c>
      <c r="Q309" s="26">
        <f t="shared" si="75"/>
        <v>0</v>
      </c>
      <c r="R309" s="11">
        <f t="shared" si="76"/>
        <v>0</v>
      </c>
      <c r="S309" s="26">
        <f t="shared" si="77"/>
        <v>0</v>
      </c>
    </row>
    <row r="310" spans="2:19" x14ac:dyDescent="0.2">
      <c r="B310" s="58">
        <v>294</v>
      </c>
      <c r="C310" s="26">
        <f>'Default parameters'!C307</f>
        <v>8.6499999999999994E-24</v>
      </c>
      <c r="D310" s="11">
        <f t="shared" si="66"/>
        <v>0</v>
      </c>
      <c r="E310" s="26">
        <f t="shared" si="67"/>
        <v>0</v>
      </c>
      <c r="F310" s="11">
        <f t="shared" si="68"/>
        <v>0</v>
      </c>
      <c r="G310" s="26">
        <f t="shared" si="69"/>
        <v>0</v>
      </c>
      <c r="H310" s="11">
        <f t="shared" si="70"/>
        <v>0</v>
      </c>
      <c r="I310" s="26">
        <f t="shared" si="71"/>
        <v>0</v>
      </c>
      <c r="J310" s="55"/>
      <c r="K310" s="56"/>
      <c r="L310" s="58">
        <v>294</v>
      </c>
      <c r="M310" s="26">
        <f>'Default parameters'!D307</f>
        <v>8.7600000000000005E-26</v>
      </c>
      <c r="N310" s="11">
        <f t="shared" si="72"/>
        <v>0</v>
      </c>
      <c r="O310" s="26">
        <f t="shared" si="73"/>
        <v>0</v>
      </c>
      <c r="P310" s="11">
        <f t="shared" si="74"/>
        <v>0</v>
      </c>
      <c r="Q310" s="26">
        <f t="shared" si="75"/>
        <v>0</v>
      </c>
      <c r="R310" s="11">
        <f t="shared" si="76"/>
        <v>0</v>
      </c>
      <c r="S310" s="26">
        <f t="shared" si="77"/>
        <v>0</v>
      </c>
    </row>
    <row r="311" spans="2:19" x14ac:dyDescent="0.2">
      <c r="B311" s="58">
        <v>295</v>
      </c>
      <c r="C311" s="26">
        <f>'Default parameters'!C308</f>
        <v>5.7799999999999998E-24</v>
      </c>
      <c r="D311" s="11">
        <f t="shared" si="66"/>
        <v>0</v>
      </c>
      <c r="E311" s="26">
        <f t="shared" si="67"/>
        <v>0</v>
      </c>
      <c r="F311" s="11">
        <f t="shared" si="68"/>
        <v>0</v>
      </c>
      <c r="G311" s="26">
        <f t="shared" si="69"/>
        <v>0</v>
      </c>
      <c r="H311" s="11">
        <f t="shared" si="70"/>
        <v>0</v>
      </c>
      <c r="I311" s="26">
        <f t="shared" si="71"/>
        <v>0</v>
      </c>
      <c r="J311" s="55"/>
      <c r="K311" s="56"/>
      <c r="L311" s="58">
        <v>295</v>
      </c>
      <c r="M311" s="26">
        <f>'Default parameters'!D308</f>
        <v>5.6400000000000001E-26</v>
      </c>
      <c r="N311" s="11">
        <f t="shared" si="72"/>
        <v>0</v>
      </c>
      <c r="O311" s="26">
        <f t="shared" si="73"/>
        <v>0</v>
      </c>
      <c r="P311" s="11">
        <f t="shared" si="74"/>
        <v>0</v>
      </c>
      <c r="Q311" s="26">
        <f t="shared" si="75"/>
        <v>0</v>
      </c>
      <c r="R311" s="11">
        <f t="shared" si="76"/>
        <v>0</v>
      </c>
      <c r="S311" s="26">
        <f t="shared" si="77"/>
        <v>0</v>
      </c>
    </row>
    <row r="312" spans="2:19" x14ac:dyDescent="0.2">
      <c r="B312" s="58">
        <v>296</v>
      </c>
      <c r="C312" s="26">
        <f>'Default parameters'!C309</f>
        <v>3.8499999999999998E-24</v>
      </c>
      <c r="D312" s="11">
        <f t="shared" si="66"/>
        <v>0</v>
      </c>
      <c r="E312" s="26">
        <f t="shared" si="67"/>
        <v>0</v>
      </c>
      <c r="F312" s="11">
        <f t="shared" si="68"/>
        <v>0</v>
      </c>
      <c r="G312" s="26">
        <f t="shared" si="69"/>
        <v>0</v>
      </c>
      <c r="H312" s="11">
        <f t="shared" si="70"/>
        <v>0</v>
      </c>
      <c r="I312" s="26">
        <f t="shared" si="71"/>
        <v>0</v>
      </c>
      <c r="J312" s="55"/>
      <c r="K312" s="56"/>
      <c r="L312" s="58">
        <v>296</v>
      </c>
      <c r="M312" s="26">
        <f>'Default parameters'!D309</f>
        <v>3.6100000000000001E-26</v>
      </c>
      <c r="N312" s="11">
        <f t="shared" si="72"/>
        <v>0</v>
      </c>
      <c r="O312" s="26">
        <f t="shared" si="73"/>
        <v>0</v>
      </c>
      <c r="P312" s="11">
        <f t="shared" si="74"/>
        <v>0</v>
      </c>
      <c r="Q312" s="26">
        <f t="shared" si="75"/>
        <v>0</v>
      </c>
      <c r="R312" s="11">
        <f t="shared" si="76"/>
        <v>0</v>
      </c>
      <c r="S312" s="26">
        <f t="shared" si="77"/>
        <v>0</v>
      </c>
    </row>
    <row r="313" spans="2:19" x14ac:dyDescent="0.2">
      <c r="B313" s="58">
        <v>297</v>
      </c>
      <c r="C313" s="26">
        <f>'Default parameters'!C310</f>
        <v>2.5600000000000001E-24</v>
      </c>
      <c r="D313" s="11">
        <f t="shared" si="66"/>
        <v>0</v>
      </c>
      <c r="E313" s="26">
        <f t="shared" si="67"/>
        <v>0</v>
      </c>
      <c r="F313" s="11">
        <f t="shared" si="68"/>
        <v>0</v>
      </c>
      <c r="G313" s="26">
        <f t="shared" si="69"/>
        <v>0</v>
      </c>
      <c r="H313" s="11">
        <f t="shared" si="70"/>
        <v>0</v>
      </c>
      <c r="I313" s="26">
        <f t="shared" si="71"/>
        <v>0</v>
      </c>
      <c r="J313" s="55"/>
      <c r="K313" s="56"/>
      <c r="L313" s="58">
        <v>297</v>
      </c>
      <c r="M313" s="26">
        <f>'Default parameters'!D310</f>
        <v>2.3100000000000001E-26</v>
      </c>
      <c r="N313" s="11">
        <f t="shared" si="72"/>
        <v>0</v>
      </c>
      <c r="O313" s="26">
        <f t="shared" si="73"/>
        <v>0</v>
      </c>
      <c r="P313" s="11">
        <f t="shared" si="74"/>
        <v>0</v>
      </c>
      <c r="Q313" s="26">
        <f t="shared" si="75"/>
        <v>0</v>
      </c>
      <c r="R313" s="11">
        <f t="shared" si="76"/>
        <v>0</v>
      </c>
      <c r="S313" s="26">
        <f t="shared" si="77"/>
        <v>0</v>
      </c>
    </row>
    <row r="314" spans="2:19" x14ac:dyDescent="0.2">
      <c r="B314" s="58">
        <v>298</v>
      </c>
      <c r="C314" s="26">
        <f>'Default parameters'!C311</f>
        <v>1.69E-24</v>
      </c>
      <c r="D314" s="11">
        <f t="shared" si="66"/>
        <v>0</v>
      </c>
      <c r="E314" s="26">
        <f t="shared" si="67"/>
        <v>0</v>
      </c>
      <c r="F314" s="11">
        <f t="shared" si="68"/>
        <v>0</v>
      </c>
      <c r="G314" s="26">
        <f t="shared" si="69"/>
        <v>0</v>
      </c>
      <c r="H314" s="11">
        <f t="shared" si="70"/>
        <v>0</v>
      </c>
      <c r="I314" s="26">
        <f t="shared" si="71"/>
        <v>0</v>
      </c>
      <c r="J314" s="55"/>
      <c r="K314" s="56"/>
      <c r="L314" s="58">
        <v>298</v>
      </c>
      <c r="M314" s="26">
        <f>'Default parameters'!D311</f>
        <v>1.4700000000000001E-26</v>
      </c>
      <c r="N314" s="11">
        <f t="shared" si="72"/>
        <v>0</v>
      </c>
      <c r="O314" s="26">
        <f t="shared" si="73"/>
        <v>0</v>
      </c>
      <c r="P314" s="11">
        <f t="shared" si="74"/>
        <v>0</v>
      </c>
      <c r="Q314" s="26">
        <f t="shared" si="75"/>
        <v>0</v>
      </c>
      <c r="R314" s="11">
        <f t="shared" si="76"/>
        <v>0</v>
      </c>
      <c r="S314" s="26">
        <f t="shared" si="77"/>
        <v>0</v>
      </c>
    </row>
    <row r="315" spans="2:19" x14ac:dyDescent="0.2">
      <c r="B315" s="58">
        <v>299</v>
      </c>
      <c r="C315" s="26">
        <f>'Default parameters'!C312</f>
        <v>1.12E-24</v>
      </c>
      <c r="D315" s="11">
        <f t="shared" si="66"/>
        <v>0</v>
      </c>
      <c r="E315" s="26">
        <f t="shared" si="67"/>
        <v>0</v>
      </c>
      <c r="F315" s="11">
        <f t="shared" si="68"/>
        <v>0</v>
      </c>
      <c r="G315" s="26">
        <f t="shared" si="69"/>
        <v>0</v>
      </c>
      <c r="H315" s="11">
        <f t="shared" si="70"/>
        <v>0</v>
      </c>
      <c r="I315" s="26">
        <f t="shared" si="71"/>
        <v>0</v>
      </c>
      <c r="J315" s="55"/>
      <c r="K315" s="56"/>
      <c r="L315" s="58">
        <v>299</v>
      </c>
      <c r="M315" s="26">
        <f>'Default parameters'!D312</f>
        <v>9.3099999999999998E-27</v>
      </c>
      <c r="N315" s="11">
        <f t="shared" si="72"/>
        <v>0</v>
      </c>
      <c r="O315" s="26">
        <f t="shared" si="73"/>
        <v>0</v>
      </c>
      <c r="P315" s="11">
        <f t="shared" si="74"/>
        <v>0</v>
      </c>
      <c r="Q315" s="26">
        <f t="shared" si="75"/>
        <v>0</v>
      </c>
      <c r="R315" s="11">
        <f t="shared" si="76"/>
        <v>0</v>
      </c>
      <c r="S315" s="26">
        <f t="shared" si="77"/>
        <v>0</v>
      </c>
    </row>
  </sheetData>
  <sheetProtection sheet="1" objects="1" scenarios="1"/>
  <mergeCells count="16">
    <mergeCell ref="P14:Q14"/>
    <mergeCell ref="R14:S14"/>
    <mergeCell ref="L8:M8"/>
    <mergeCell ref="L9:M9"/>
    <mergeCell ref="L11:M11"/>
    <mergeCell ref="L14:L15"/>
    <mergeCell ref="M14:M15"/>
    <mergeCell ref="N14:O14"/>
    <mergeCell ref="D14:E14"/>
    <mergeCell ref="F14:G14"/>
    <mergeCell ref="H14:I14"/>
    <mergeCell ref="B8:C8"/>
    <mergeCell ref="B9:C9"/>
    <mergeCell ref="B11:C11"/>
    <mergeCell ref="B14:B15"/>
    <mergeCell ref="C14:C15"/>
  </mergeCells>
  <dataValidations count="1">
    <dataValidation allowBlank="1" showInputMessage="1" showErrorMessage="1" prompt="Calculations adapted from those in the CRM spreadsheet provided alongside Band, 2012." sqref="B2" xr:uid="{A6447DC7-9EF6-44DF-8202-C27A55699D6C}"/>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6" id="{D07F5614-3C51-46EA-AA59-02E474A2D9C8}">
            <xm:f>OR('User inputs - run and wind farm'!$D$7=1,'User inputs - run and wind farm'!$D$7="")</xm:f>
            <x14:dxf>
              <font>
                <color theme="0" tint="-0.14996795556505021"/>
              </font>
              <fill>
                <patternFill>
                  <bgColor theme="0" tint="-0.14996795556505021"/>
                </patternFill>
              </fill>
            </x14:dxf>
          </x14:cfRule>
          <xm:sqref>E8:E9 O8:O9 E11 O11 F16:G315 P16:Q315</xm:sqref>
        </x14:conditionalFormatting>
        <x14:conditionalFormatting xmlns:xm="http://schemas.microsoft.com/office/excel/2006/main">
          <x14:cfRule type="expression" priority="5" id="{D7C02A45-8EF4-45C0-9EBE-61D178BD9664}">
            <xm:f>'User inputs - run and wind farm'!$D$7&lt;&gt;3</xm:f>
            <x14:dxf>
              <font>
                <color theme="0" tint="-0.14996795556505021"/>
              </font>
              <fill>
                <patternFill>
                  <bgColor theme="0" tint="-0.14996795556505021"/>
                </patternFill>
              </fill>
            </x14:dxf>
          </x14:cfRule>
          <xm:sqref>F8:F9 P8:P9 F11 P11 H16:I315 R16:S315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2571-E221-4470-B4FF-CF6B5AEE403F}">
  <dimension ref="A1:P29"/>
  <sheetViews>
    <sheetView zoomScaleNormal="100" workbookViewId="0"/>
  </sheetViews>
  <sheetFormatPr defaultColWidth="8.7109375" defaultRowHeight="14.25" x14ac:dyDescent="0.2"/>
  <cols>
    <col min="1" max="1" width="5.140625" style="8" customWidth="1"/>
    <col min="2" max="2" width="9.42578125" style="8" customWidth="1"/>
    <col min="3" max="3" width="48.42578125" style="8" customWidth="1"/>
    <col min="4" max="4" width="20.28515625" style="8" bestFit="1" customWidth="1"/>
    <col min="5" max="7" width="15.140625" style="8" customWidth="1"/>
    <col min="8" max="8" width="2.5703125" style="8" customWidth="1"/>
    <col min="9" max="9" width="7.42578125" style="8" customWidth="1"/>
    <col min="10" max="16" width="15.140625" style="8" customWidth="1"/>
    <col min="17" max="16384" width="8.7109375" style="8"/>
  </cols>
  <sheetData>
    <row r="1" spans="1:16" ht="8.4499999999999993" customHeight="1" x14ac:dyDescent="0.2"/>
    <row r="2" spans="1:16" ht="75.599999999999994" customHeight="1" x14ac:dyDescent="0.2">
      <c r="B2" s="129" t="s">
        <v>594</v>
      </c>
      <c r="C2" s="129"/>
      <c r="D2" s="129"/>
      <c r="E2" s="129"/>
      <c r="F2" s="129"/>
      <c r="G2" s="129"/>
      <c r="H2" s="129"/>
      <c r="I2" s="129"/>
      <c r="J2" s="129"/>
      <c r="K2" s="129"/>
      <c r="L2" s="129"/>
      <c r="M2" s="129"/>
      <c r="N2" s="63"/>
      <c r="O2" s="63"/>
      <c r="P2" s="63"/>
    </row>
    <row r="3" spans="1:16" ht="27" customHeight="1" x14ac:dyDescent="0.2">
      <c r="B3" s="62"/>
      <c r="C3" s="62"/>
      <c r="D3" s="62"/>
      <c r="E3" s="62"/>
      <c r="F3" s="62"/>
      <c r="G3" s="62"/>
      <c r="H3" s="62"/>
      <c r="I3" s="62"/>
      <c r="J3" s="62"/>
      <c r="K3" s="62"/>
      <c r="L3" s="62"/>
      <c r="M3" s="63"/>
      <c r="N3" s="63"/>
      <c r="O3" s="63"/>
      <c r="P3" s="63"/>
    </row>
    <row r="4" spans="1:16" ht="13.5" customHeight="1" x14ac:dyDescent="0.2">
      <c r="A4" s="62"/>
      <c r="B4" s="62"/>
      <c r="C4" s="62"/>
      <c r="D4" s="62"/>
      <c r="E4" s="62"/>
      <c r="F4" s="62"/>
      <c r="G4" s="62"/>
      <c r="H4" s="62"/>
      <c r="I4" s="62"/>
      <c r="J4" s="62"/>
      <c r="K4" s="62"/>
      <c r="L4" s="62"/>
      <c r="M4" s="62"/>
      <c r="N4" s="62"/>
      <c r="O4" s="62"/>
      <c r="P4" s="62"/>
    </row>
    <row r="5" spans="1:16" ht="16.5" customHeight="1" x14ac:dyDescent="0.3">
      <c r="C5" s="19" t="s">
        <v>593</v>
      </c>
    </row>
    <row r="6" spans="1:16" ht="9.9499999999999993" customHeight="1" x14ac:dyDescent="0.2"/>
    <row r="7" spans="1:16" ht="16.5" customHeight="1" x14ac:dyDescent="0.25">
      <c r="C7" s="8" t="s">
        <v>338</v>
      </c>
      <c r="D7" s="65"/>
    </row>
    <row r="8" spans="1:16" ht="9.9499999999999993" customHeight="1" x14ac:dyDescent="0.2"/>
    <row r="9" spans="1:16" ht="16.5" customHeight="1" x14ac:dyDescent="0.25">
      <c r="C9" s="8" t="s">
        <v>337</v>
      </c>
      <c r="D9" s="65"/>
    </row>
    <row r="10" spans="1:16" ht="16.5" customHeight="1" x14ac:dyDescent="0.2"/>
    <row r="11" spans="1:16" ht="9.9499999999999993" customHeight="1" x14ac:dyDescent="0.2"/>
    <row r="13" spans="1:16" ht="16.5" customHeight="1" x14ac:dyDescent="0.3">
      <c r="C13" s="19" t="s">
        <v>17</v>
      </c>
      <c r="D13" s="10" t="s">
        <v>256</v>
      </c>
      <c r="E13" s="10" t="s">
        <v>269</v>
      </c>
      <c r="F13" s="10" t="s">
        <v>270</v>
      </c>
      <c r="I13" s="10"/>
      <c r="J13" s="10"/>
      <c r="K13" s="10"/>
      <c r="L13" s="10"/>
      <c r="M13" s="10"/>
      <c r="N13" s="10"/>
      <c r="O13" s="10"/>
      <c r="P13" s="10"/>
    </row>
    <row r="14" spans="1:16" ht="9.9499999999999993" customHeight="1" x14ac:dyDescent="0.2"/>
    <row r="15" spans="1:16" ht="16.5" customHeight="1" x14ac:dyDescent="0.25">
      <c r="C15" s="8" t="s">
        <v>329</v>
      </c>
      <c r="D15" s="119"/>
      <c r="E15" s="119"/>
      <c r="F15" s="119"/>
      <c r="I15" s="128" t="s">
        <v>273</v>
      </c>
      <c r="J15" s="128"/>
      <c r="K15" s="128"/>
      <c r="L15" s="128"/>
      <c r="M15" s="128"/>
      <c r="N15" s="128"/>
    </row>
    <row r="16" spans="1:16" ht="9.9499999999999993" customHeight="1" x14ac:dyDescent="0.2">
      <c r="I16" s="128"/>
      <c r="J16" s="128"/>
      <c r="K16" s="128"/>
      <c r="L16" s="128"/>
      <c r="M16" s="128"/>
      <c r="N16" s="128"/>
    </row>
    <row r="17" spans="3:14" ht="16.5" customHeight="1" x14ac:dyDescent="0.2">
      <c r="C17" s="8" t="s">
        <v>21</v>
      </c>
      <c r="D17" s="65"/>
      <c r="E17" s="65"/>
      <c r="F17" s="65"/>
    </row>
    <row r="18" spans="3:14" ht="42.75" x14ac:dyDescent="0.2">
      <c r="J18" s="64" t="s">
        <v>244</v>
      </c>
      <c r="K18" s="64" t="s">
        <v>235</v>
      </c>
      <c r="L18" s="64" t="s">
        <v>29</v>
      </c>
      <c r="M18" s="64" t="s">
        <v>248</v>
      </c>
      <c r="N18" s="64" t="s">
        <v>234</v>
      </c>
    </row>
    <row r="19" spans="3:14" ht="16.5" customHeight="1" x14ac:dyDescent="0.25">
      <c r="C19" s="8" t="s">
        <v>316</v>
      </c>
      <c r="D19" s="65"/>
      <c r="E19" s="65"/>
      <c r="F19" s="65"/>
      <c r="I19" s="10" t="s">
        <v>256</v>
      </c>
      <c r="J19" s="94" t="str">
        <f>IF(D19="","-",IF($D19&lt;220,'Default parameters'!P4,IF($D19&gt;250,'Default parameters'!R4,'Default parameters'!Q4)))</f>
        <v>-</v>
      </c>
      <c r="K19" s="94" t="str">
        <f>IF(D19="","-",IF($D19&lt;220,'Default parameters'!P6,IF($D19&gt;250,'Default parameters'!R6,'Default parameters'!Q6)))</f>
        <v>-</v>
      </c>
      <c r="L19" s="94" t="str">
        <f>IF(D19="","-",IF($D19&lt;220,'Default parameters'!P7,IF($D19&gt;250,'Default parameters'!R7,'Default parameters'!Q7)))</f>
        <v>-</v>
      </c>
      <c r="M19" s="94" t="str">
        <f>IF(D19="","-",IF($D19&lt;220,'Default parameters'!P8,IF($D19&gt;250,'Default parameters'!R8,'Default parameters'!Q8)))</f>
        <v>-</v>
      </c>
      <c r="N19" s="94" t="str">
        <f>IF(D19="","-",IF($D19&lt;220,'Default parameters'!P9,IF($D19&gt;250,'Default parameters'!R9,'Default parameters'!Q9)))</f>
        <v>-</v>
      </c>
    </row>
    <row r="20" spans="3:14" ht="16.5" customHeight="1" x14ac:dyDescent="0.2">
      <c r="I20" s="10" t="s">
        <v>269</v>
      </c>
      <c r="J20" s="94" t="str">
        <f>IF($D7=1,"-",IF(E19="","-",IF($E19&lt;220,'Default parameters'!P4,IF($E19&gt;250,'Default parameters'!R4,'Default parameters'!Q4))))</f>
        <v>-</v>
      </c>
      <c r="K20" s="94" t="str">
        <f>IF($D7=1,"-",IF(E19="","-",IF($E19&lt;220,'Default parameters'!P6,IF($E19&gt;250,'Default parameters'!R6,'Default parameters'!Q6))))</f>
        <v>-</v>
      </c>
      <c r="L20" s="94" t="str">
        <f>IF($D7=1,"-",IF(E19="","-",IF($E19&lt;220,'Default parameters'!P7,IF($E19&gt;250,'Default parameters'!R7,'Default parameters'!Q7))))</f>
        <v>-</v>
      </c>
      <c r="M20" s="94" t="str">
        <f>IF($D7=1,"-",IF(E19="","-",IF($E19&lt;220,'Default parameters'!P8,IF($E19&gt;250,'Default parameters'!R8,'Default parameters'!Q8))))</f>
        <v>-</v>
      </c>
      <c r="N20" s="94" t="str">
        <f>IF($D7=1,"-",IF(E19="","-",IF($E19&lt;220,'Default parameters'!P9,IF($E19&gt;250,'Default parameters'!Q9,'Default parameters'!R9))))</f>
        <v>-</v>
      </c>
    </row>
    <row r="21" spans="3:14" ht="16.5" customHeight="1" x14ac:dyDescent="0.2">
      <c r="I21" s="10" t="s">
        <v>270</v>
      </c>
      <c r="J21" s="94" t="str">
        <f>IF($D7&lt;&gt;3,"-",IF(F19="","-",IF($F19&lt;220,'Default parameters'!P4,IF($F19&gt;250,'Default parameters'!R4,'Default parameters'!Q4))))</f>
        <v>-</v>
      </c>
      <c r="K21" s="94" t="str">
        <f>IF($D7&lt;&gt;3,"-",IF(F19="","-",IF($F19&lt;220,'Default parameters'!P6,IF($F19&gt;250,'Default parameters'!R6,'Default parameters'!Q6))))</f>
        <v>-</v>
      </c>
      <c r="L21" s="94" t="str">
        <f>IF($D7&lt;&gt;3,"-",IF(F19="","-",IF($F19&lt;220,'Default parameters'!P7,IF($F19&gt;250,'Default parameters'!R7,'Default parameters'!Q7))))</f>
        <v>-</v>
      </c>
      <c r="M21" s="94" t="str">
        <f>IF($D7&lt;&gt;3,"-",IF(F19="","-",IF($F19&lt;220,'Default parameters'!P8,IF($F19&gt;250,'Default parameters'!R8,'Default parameters'!Q8))))</f>
        <v>-</v>
      </c>
      <c r="N21" s="94" t="str">
        <f>IF($D7&lt;&gt;3,"-",IF(F19="","-",IF($F19&lt;220,'Default parameters'!P9,IF($F19&gt;250,'Default parameters'!Q9,'Default parameters'!R9))))</f>
        <v>-</v>
      </c>
    </row>
    <row r="22" spans="3:14" ht="9.9499999999999993" customHeight="1" x14ac:dyDescent="0.2"/>
    <row r="23" spans="3:14" ht="16.5" customHeight="1" x14ac:dyDescent="0.25">
      <c r="C23" s="8" t="s">
        <v>339</v>
      </c>
      <c r="D23" s="65"/>
      <c r="E23" s="65"/>
      <c r="F23" s="65"/>
    </row>
    <row r="24" spans="3:14" ht="9.9499999999999993" customHeight="1" x14ac:dyDescent="0.2"/>
    <row r="27" spans="3:14" ht="20.25" x14ac:dyDescent="0.3">
      <c r="C27" s="19" t="s">
        <v>255</v>
      </c>
    </row>
    <row r="29" spans="3:14" ht="17.25" x14ac:dyDescent="0.25">
      <c r="C29" s="8" t="s">
        <v>330</v>
      </c>
      <c r="D29" s="119"/>
      <c r="E29" s="119"/>
      <c r="F29" s="119"/>
    </row>
  </sheetData>
  <sheetProtection sheet="1" objects="1" scenarios="1"/>
  <mergeCells count="2">
    <mergeCell ref="I15:N16"/>
    <mergeCell ref="B2:M2"/>
  </mergeCells>
  <phoneticPr fontId="1" type="noConversion"/>
  <conditionalFormatting sqref="E15 E17:F17 E19:F19 E23:F23 E29:F29">
    <cfRule type="expression" dxfId="166" priority="16">
      <formula>OR($D$7=1, $D$7="")</formula>
    </cfRule>
  </conditionalFormatting>
  <conditionalFormatting sqref="F15">
    <cfRule type="expression" dxfId="165" priority="3">
      <formula>$D$7&lt;&gt;3</formula>
    </cfRule>
  </conditionalFormatting>
  <conditionalFormatting sqref="F17 F19 F23 F29">
    <cfRule type="expression" dxfId="164" priority="15">
      <formula>$D$7=2</formula>
    </cfRule>
  </conditionalFormatting>
  <conditionalFormatting sqref="J20:N20">
    <cfRule type="expression" dxfId="163" priority="2">
      <formula>OR($D$7=1,$D$7="")</formula>
    </cfRule>
  </conditionalFormatting>
  <conditionalFormatting sqref="J21:N21">
    <cfRule type="expression" dxfId="162" priority="1">
      <formula>$D$7&lt;&gt;3</formula>
    </cfRule>
  </conditionalFormatting>
  <dataValidations count="14">
    <dataValidation allowBlank="1" showInputMessage="1" showErrorMessage="1" promptTitle="Turbine parameters" prompt="Additional turbine  parameters to the right will auto-complete based on the turbine diameter entered - see Default parameters tab for details." sqref="C19" xr:uid="{24E2F4F1-6525-47B6-8571-84A679A5BB5D}"/>
    <dataValidation allowBlank="1" showInputMessage="1" showErrorMessage="1" promptTitle="Latitude" prompt="This value is used to calculate daylight and nocturnal hours in order to extrapolate flight activity across the day." sqref="C15" xr:uid="{56B87654-A4E1-4335-831F-BD2846452E01}"/>
    <dataValidation allowBlank="1" showInputMessage="1" showErrorMessage="1" promptTitle="Treatment of sets" prompt="If results using different parameter sets are to be compared, use the &quot;Alternative&quot; option, if results are to be added i.e. represent different strata in the analysis, then select &quot;Additive&quot;. This will add an overall summed output in the Results tab." sqref="C9" xr:uid="{2A9D0DEC-2CD1-464F-8BAB-8C2208D6FD91}"/>
    <dataValidation allowBlank="1" showInputMessage="1" showErrorMessage="1" promptTitle="Parameter sets" prompt="OCcAM allows up to three parameter sets to be run, which may represent alternative scenarios or additive strata." sqref="C7" xr:uid="{0F143CF7-4539-4A50-8633-FCC108A2B8D7}"/>
    <dataValidation type="decimal" allowBlank="1" showInputMessage="1" showErrorMessage="1" sqref="D29:F29 D19:F19" xr:uid="{5AFF774D-68EF-4CBA-ABA2-F7496F999C3A}">
      <formula1>0</formula1>
      <formula2>1000000000000</formula2>
    </dataValidation>
    <dataValidation type="decimal" allowBlank="1" showInputMessage="1" showErrorMessage="1" sqref="D15:F15" xr:uid="{EC47DF31-D328-4E3C-BBCF-003090887AF3}">
      <formula1>45</formula1>
      <formula2>65</formula2>
    </dataValidation>
    <dataValidation allowBlank="1" showInputMessage="1" showErrorMessage="1" promptTitle="Windfarm footprint" prompt="This area reflects the area from which birds may be displaced. Based on current guidance, it is assumed that this will represent the area covered by the windfarms themselves plus a displacement buffer around them." sqref="C29" xr:uid="{BB8B5DDE-8834-46F2-928E-6E5AAE56FB7D}"/>
    <dataValidation allowBlank="1" showInputMessage="1" showErrorMessage="1" promptTitle="Air gap" prompt="The distance between the sea and the lowest height that will be rotor-swept. For fixed-base turbines this should be reported to MSL." sqref="C23" xr:uid="{1D922025-A3AA-483A-97FC-8660E5287C9E}"/>
    <dataValidation type="whole" allowBlank="1" showInputMessage="1" showErrorMessage="1" sqref="D17" xr:uid="{69FF04B4-BF4C-45F9-BE2C-CB3E874DE684}">
      <formula1>0</formula1>
      <formula2>1000000000000000</formula2>
    </dataValidation>
    <dataValidation type="whole" allowBlank="1" showInputMessage="1" showErrorMessage="1" sqref="E17:F17" xr:uid="{0AAAFC85-5678-4196-AFEA-373A20138F1A}">
      <formula1>0</formula1>
      <formula2>1000000000000</formula2>
    </dataValidation>
    <dataValidation type="decimal" allowBlank="1" showInputMessage="1" showErrorMessage="1" sqref="E23:F23" xr:uid="{70DBA582-E7C9-4E07-B4AA-11EB14ED5EC2}">
      <formula1>0</formula1>
      <formula2>100</formula2>
    </dataValidation>
    <dataValidation type="decimal" allowBlank="1" showInputMessage="1" showErrorMessage="1" sqref="D23" xr:uid="{02EF00C8-BFFC-4CD2-AB1B-5685DCAC16FA}">
      <formula1>0</formula1>
      <formula2>100000000000</formula2>
    </dataValidation>
    <dataValidation type="list" allowBlank="1" showInputMessage="1" showErrorMessage="1" sqref="D7" xr:uid="{76C3190D-E943-40EC-AFFB-C99F4D011654}">
      <formula1>"1,2,3"</formula1>
    </dataValidation>
    <dataValidation type="list" allowBlank="1" showInputMessage="1" showErrorMessage="1" sqref="D9" xr:uid="{1D4BB343-14C1-4875-B35B-9E06FD84F233}">
      <formula1>"Additive,Alternative"</formula1>
    </dataValidation>
  </dataValidations>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3667A-3921-49E9-A738-AA68AA88E050}">
  <dimension ref="A1:AC116"/>
  <sheetViews>
    <sheetView zoomScaleNormal="100" workbookViewId="0"/>
  </sheetViews>
  <sheetFormatPr defaultColWidth="8.7109375" defaultRowHeight="14.25" x14ac:dyDescent="0.2"/>
  <cols>
    <col min="1" max="1" width="5.140625" style="8" customWidth="1"/>
    <col min="2" max="2" width="9.42578125" style="8" customWidth="1"/>
    <col min="3" max="3" width="4" style="8" customWidth="1"/>
    <col min="4" max="4" width="72.140625" style="8" customWidth="1"/>
    <col min="5" max="5" width="9" style="8" customWidth="1"/>
    <col min="6" max="6" width="2.28515625" style="8" customWidth="1"/>
    <col min="7" max="7" width="9" style="8" customWidth="1"/>
    <col min="8" max="8" width="2.28515625" style="8" customWidth="1"/>
    <col min="9" max="9" width="9" style="8" customWidth="1"/>
    <col min="10" max="10" width="2.28515625" style="8" customWidth="1"/>
    <col min="11" max="11" width="9" style="8" customWidth="1"/>
    <col min="12" max="12" width="2.28515625" style="8" customWidth="1"/>
    <col min="13" max="13" width="9" style="8" customWidth="1"/>
    <col min="14" max="14" width="2.28515625" style="8" customWidth="1"/>
    <col min="15" max="15" width="9" style="8" customWidth="1"/>
    <col min="16" max="16" width="2.28515625" style="8" customWidth="1"/>
    <col min="17" max="17" width="9" style="8" customWidth="1"/>
    <col min="18" max="18" width="2.28515625" style="8" customWidth="1"/>
    <col min="19" max="19" width="9" style="8" customWidth="1"/>
    <col min="20" max="20" width="2.28515625" style="8" customWidth="1"/>
    <col min="21" max="21" width="9" style="8" customWidth="1"/>
    <col min="22" max="22" width="2.28515625" style="8" customWidth="1"/>
    <col min="23" max="23" width="9" style="8" customWidth="1"/>
    <col min="24" max="24" width="2.28515625" style="8" customWidth="1"/>
    <col min="25" max="25" width="9" style="8" customWidth="1"/>
    <col min="26" max="26" width="2.28515625" style="8" customWidth="1"/>
    <col min="27" max="27" width="9" style="8" customWidth="1"/>
    <col min="28" max="28" width="2.28515625" style="8" customWidth="1"/>
    <col min="29" max="16384" width="8.7109375" style="8"/>
  </cols>
  <sheetData>
    <row r="1" spans="1:28" ht="8.4499999999999993" customHeight="1" x14ac:dyDescent="0.2"/>
    <row r="2" spans="1:28" ht="75.599999999999994" customHeight="1" x14ac:dyDescent="0.2">
      <c r="B2" s="129" t="s">
        <v>272</v>
      </c>
      <c r="C2" s="129"/>
      <c r="D2" s="129"/>
      <c r="E2" s="129"/>
      <c r="F2" s="129"/>
      <c r="G2" s="129"/>
      <c r="H2" s="129"/>
      <c r="I2" s="129"/>
      <c r="J2" s="129"/>
      <c r="K2" s="129"/>
      <c r="L2" s="129"/>
      <c r="M2" s="129"/>
      <c r="N2" s="129"/>
      <c r="O2" s="129"/>
      <c r="P2" s="129"/>
      <c r="Q2" s="129"/>
      <c r="R2" s="62"/>
      <c r="S2" s="63"/>
      <c r="T2" s="62"/>
      <c r="U2" s="63"/>
      <c r="V2" s="62"/>
      <c r="W2" s="63"/>
      <c r="X2" s="62"/>
      <c r="Y2" s="63"/>
      <c r="Z2" s="62"/>
      <c r="AA2" s="63"/>
      <c r="AB2" s="62"/>
    </row>
    <row r="3" spans="1:28" ht="13.5" customHeight="1" x14ac:dyDescent="0.2">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row>
    <row r="4" spans="1:28" ht="9.9499999999999993" customHeight="1" x14ac:dyDescent="0.2"/>
    <row r="5" spans="1:28" ht="9.9499999999999993" customHeight="1" x14ac:dyDescent="0.2"/>
    <row r="6" spans="1:28" ht="24.95" customHeight="1" x14ac:dyDescent="0.3">
      <c r="B6" s="132" t="s">
        <v>266</v>
      </c>
      <c r="C6" s="66"/>
      <c r="D6" s="19" t="s">
        <v>17</v>
      </c>
      <c r="E6" s="10"/>
      <c r="F6" s="10"/>
      <c r="G6" s="10"/>
      <c r="H6" s="10"/>
      <c r="I6" s="10"/>
      <c r="J6" s="10"/>
      <c r="K6" s="10"/>
      <c r="L6" s="10"/>
      <c r="M6" s="10"/>
      <c r="N6" s="10"/>
      <c r="O6" s="10"/>
      <c r="P6" s="10"/>
      <c r="Q6" s="10"/>
      <c r="R6" s="10"/>
      <c r="S6" s="10"/>
      <c r="T6" s="10"/>
      <c r="U6" s="10"/>
      <c r="V6" s="10"/>
      <c r="W6" s="10"/>
      <c r="X6" s="10"/>
      <c r="Y6" s="10"/>
      <c r="Z6" s="10"/>
      <c r="AA6" s="10"/>
      <c r="AB6" s="10"/>
    </row>
    <row r="7" spans="1:28" ht="9.9499999999999993" customHeight="1" x14ac:dyDescent="0.2">
      <c r="B7" s="133"/>
      <c r="C7" s="67"/>
    </row>
    <row r="8" spans="1:28" ht="16.5" customHeight="1" x14ac:dyDescent="0.2">
      <c r="B8" s="133"/>
      <c r="C8" s="67"/>
      <c r="D8" s="95" t="s">
        <v>332</v>
      </c>
      <c r="E8" s="65"/>
    </row>
    <row r="9" spans="1:28" ht="9.9499999999999993" customHeight="1" x14ac:dyDescent="0.2">
      <c r="B9" s="133"/>
      <c r="C9" s="67"/>
    </row>
    <row r="10" spans="1:28" x14ac:dyDescent="0.2">
      <c r="B10" s="133"/>
      <c r="C10" s="67"/>
    </row>
    <row r="11" spans="1:28" ht="14.1" customHeight="1" x14ac:dyDescent="0.2">
      <c r="B11" s="133"/>
      <c r="C11" s="67"/>
      <c r="D11" s="95" t="s">
        <v>519</v>
      </c>
      <c r="E11" s="135" t="s">
        <v>0</v>
      </c>
      <c r="F11" s="135"/>
      <c r="G11" s="135" t="s">
        <v>1</v>
      </c>
      <c r="H11" s="135"/>
      <c r="I11" s="135" t="s">
        <v>2</v>
      </c>
      <c r="J11" s="135"/>
      <c r="K11" s="135" t="s">
        <v>3</v>
      </c>
      <c r="L11" s="135"/>
      <c r="M11" s="135" t="s">
        <v>4</v>
      </c>
      <c r="N11" s="135"/>
      <c r="O11" s="135" t="s">
        <v>5</v>
      </c>
      <c r="P11" s="135"/>
      <c r="Q11" s="135" t="s">
        <v>6</v>
      </c>
      <c r="R11" s="135"/>
      <c r="S11" s="135" t="s">
        <v>7</v>
      </c>
      <c r="T11" s="135"/>
      <c r="U11" s="135" t="s">
        <v>8</v>
      </c>
      <c r="V11" s="135"/>
      <c r="W11" s="135" t="s">
        <v>9</v>
      </c>
      <c r="X11" s="135"/>
      <c r="Y11" s="135" t="s">
        <v>10</v>
      </c>
      <c r="Z11" s="135"/>
      <c r="AA11" s="135" t="s">
        <v>11</v>
      </c>
      <c r="AB11" s="135"/>
    </row>
    <row r="12" spans="1:28" ht="9.9499999999999993" customHeight="1" x14ac:dyDescent="0.2">
      <c r="B12" s="133"/>
      <c r="C12" s="67"/>
    </row>
    <row r="13" spans="1:28" ht="16.5" customHeight="1" x14ac:dyDescent="0.2">
      <c r="B13" s="133"/>
      <c r="C13" s="67"/>
      <c r="D13" s="95" t="s">
        <v>16</v>
      </c>
      <c r="E13" s="130"/>
      <c r="F13" s="131"/>
      <c r="G13" s="130"/>
      <c r="H13" s="131"/>
      <c r="I13" s="130"/>
      <c r="J13" s="131"/>
      <c r="K13" s="130"/>
      <c r="L13" s="131"/>
      <c r="M13" s="130"/>
      <c r="N13" s="131"/>
      <c r="O13" s="130"/>
      <c r="P13" s="131"/>
      <c r="Q13" s="130"/>
      <c r="R13" s="131"/>
      <c r="S13" s="130"/>
      <c r="T13" s="131"/>
      <c r="U13" s="130"/>
      <c r="V13" s="131"/>
      <c r="W13" s="130"/>
      <c r="X13" s="131"/>
      <c r="Y13" s="130"/>
      <c r="Z13" s="131"/>
      <c r="AA13" s="130"/>
      <c r="AB13" s="131"/>
    </row>
    <row r="14" spans="1:28" ht="16.5" customHeight="1" x14ac:dyDescent="0.2">
      <c r="B14" s="133"/>
      <c r="C14" s="67"/>
      <c r="D14" s="95" t="s">
        <v>13</v>
      </c>
      <c r="E14" s="130"/>
      <c r="F14" s="131"/>
      <c r="G14" s="130"/>
      <c r="H14" s="131"/>
      <c r="I14" s="130"/>
      <c r="J14" s="131"/>
      <c r="K14" s="130"/>
      <c r="L14" s="131"/>
      <c r="M14" s="130"/>
      <c r="N14" s="131"/>
      <c r="O14" s="130"/>
      <c r="P14" s="131"/>
      <c r="Q14" s="130"/>
      <c r="R14" s="131"/>
      <c r="S14" s="130"/>
      <c r="T14" s="131"/>
      <c r="U14" s="130"/>
      <c r="V14" s="131"/>
      <c r="W14" s="130"/>
      <c r="X14" s="131"/>
      <c r="Y14" s="130"/>
      <c r="Z14" s="131"/>
      <c r="AA14" s="130"/>
      <c r="AB14" s="131"/>
    </row>
    <row r="15" spans="1:28" ht="9.9499999999999993" customHeight="1" x14ac:dyDescent="0.2">
      <c r="B15" s="133"/>
      <c r="C15" s="67"/>
    </row>
    <row r="16" spans="1:28" ht="14.1" customHeight="1" x14ac:dyDescent="0.2">
      <c r="B16" s="133"/>
      <c r="C16" s="67"/>
      <c r="E16" s="10" t="s">
        <v>16</v>
      </c>
      <c r="F16" s="10"/>
      <c r="G16" s="10" t="s">
        <v>13</v>
      </c>
      <c r="M16" s="10"/>
      <c r="O16" s="10"/>
      <c r="Q16" s="10"/>
      <c r="S16" s="10"/>
      <c r="U16" s="10"/>
      <c r="W16" s="10"/>
      <c r="Y16" s="10"/>
      <c r="AA16" s="10"/>
    </row>
    <row r="17" spans="2:13" ht="9.9499999999999993" customHeight="1" x14ac:dyDescent="0.2">
      <c r="B17" s="133"/>
      <c r="C17" s="67"/>
    </row>
    <row r="18" spans="2:13" ht="16.5" customHeight="1" x14ac:dyDescent="0.2">
      <c r="B18" s="133"/>
      <c r="C18" s="67"/>
      <c r="D18" s="95" t="s">
        <v>520</v>
      </c>
      <c r="E18" s="124"/>
      <c r="G18" s="124"/>
    </row>
    <row r="19" spans="2:13" ht="9.9499999999999993" customHeight="1" x14ac:dyDescent="0.2">
      <c r="B19" s="133"/>
      <c r="C19" s="67"/>
    </row>
    <row r="20" spans="2:13" ht="16.5" customHeight="1" x14ac:dyDescent="0.2">
      <c r="B20" s="133"/>
      <c r="C20" s="67"/>
      <c r="D20" s="95" t="s">
        <v>518</v>
      </c>
      <c r="G20" s="94">
        <f>IF(E8="No",G18,IF(E8="",G18,1-(1-G18)*(1-G36)))</f>
        <v>0</v>
      </c>
    </row>
    <row r="21" spans="2:13" ht="9.9499999999999993" customHeight="1" x14ac:dyDescent="0.2">
      <c r="B21" s="133"/>
      <c r="C21" s="67"/>
    </row>
    <row r="22" spans="2:13" ht="16.5" customHeight="1" x14ac:dyDescent="0.35">
      <c r="B22" s="133"/>
      <c r="C22" s="67"/>
      <c r="D22" s="8" t="s">
        <v>522</v>
      </c>
      <c r="E22" s="65"/>
      <c r="G22" s="65"/>
    </row>
    <row r="23" spans="2:13" ht="20.45" customHeight="1" x14ac:dyDescent="0.2">
      <c r="B23" s="133"/>
      <c r="C23" s="67"/>
    </row>
    <row r="24" spans="2:13" ht="20.25" x14ac:dyDescent="0.3">
      <c r="B24" s="133"/>
      <c r="C24" s="67"/>
      <c r="D24" s="19" t="s">
        <v>255</v>
      </c>
    </row>
    <row r="25" spans="2:13" ht="9" customHeight="1" x14ac:dyDescent="0.2">
      <c r="B25" s="133"/>
      <c r="C25" s="67"/>
      <c r="D25" s="24"/>
    </row>
    <row r="26" spans="2:13" ht="16.5" customHeight="1" x14ac:dyDescent="0.2">
      <c r="B26" s="133"/>
      <c r="C26" s="67"/>
      <c r="D26" s="24" t="s">
        <v>523</v>
      </c>
      <c r="E26" s="65"/>
    </row>
    <row r="27" spans="2:13" ht="9" customHeight="1" x14ac:dyDescent="0.2">
      <c r="B27" s="133"/>
      <c r="C27" s="67"/>
      <c r="D27" s="24"/>
    </row>
    <row r="28" spans="2:13" x14ac:dyDescent="0.2">
      <c r="B28" s="133"/>
      <c r="C28" s="67"/>
      <c r="E28" s="12" t="s">
        <v>16</v>
      </c>
      <c r="F28" s="12"/>
      <c r="G28" s="12" t="s">
        <v>13</v>
      </c>
      <c r="H28" s="12"/>
      <c r="I28" s="12" t="s">
        <v>14</v>
      </c>
      <c r="J28" s="12"/>
      <c r="K28" s="12" t="s">
        <v>12</v>
      </c>
      <c r="L28" s="12"/>
      <c r="M28" s="12" t="s">
        <v>15</v>
      </c>
    </row>
    <row r="29" spans="2:13" ht="16.5" x14ac:dyDescent="0.2">
      <c r="B29" s="133"/>
      <c r="C29" s="67"/>
      <c r="D29" s="24" t="s">
        <v>331</v>
      </c>
    </row>
    <row r="30" spans="2:13" ht="9" customHeight="1" x14ac:dyDescent="0.2">
      <c r="B30" s="133"/>
      <c r="C30" s="67"/>
      <c r="D30" s="24"/>
    </row>
    <row r="31" spans="2:13" ht="16.5" customHeight="1" x14ac:dyDescent="0.2">
      <c r="B31" s="133"/>
      <c r="C31" s="67"/>
      <c r="D31" s="24" t="s">
        <v>262</v>
      </c>
      <c r="E31" s="119"/>
      <c r="F31" s="125"/>
      <c r="G31" s="119"/>
      <c r="H31" s="125"/>
      <c r="I31" s="119"/>
      <c r="J31" s="125"/>
      <c r="K31" s="119"/>
      <c r="L31" s="125"/>
      <c r="M31" s="119"/>
    </row>
    <row r="32" spans="2:13" ht="16.5" customHeight="1" x14ac:dyDescent="0.2">
      <c r="B32" s="133"/>
      <c r="C32" s="67"/>
      <c r="D32" s="24" t="s">
        <v>263</v>
      </c>
      <c r="E32" s="116"/>
      <c r="F32" s="125"/>
      <c r="G32" s="116"/>
      <c r="H32" s="125"/>
      <c r="I32" s="119"/>
      <c r="J32" s="125"/>
      <c r="K32" s="119"/>
      <c r="L32" s="125"/>
      <c r="M32" s="119"/>
    </row>
    <row r="33" spans="2:29" ht="16.5" customHeight="1" x14ac:dyDescent="0.2">
      <c r="B33" s="133"/>
      <c r="C33" s="67"/>
      <c r="D33" s="68" t="s">
        <v>264</v>
      </c>
      <c r="E33" s="119"/>
      <c r="F33" s="125"/>
      <c r="G33" s="119"/>
      <c r="H33" s="125"/>
      <c r="I33" s="116"/>
      <c r="J33" s="125"/>
      <c r="K33" s="119"/>
      <c r="L33" s="125"/>
      <c r="M33" s="116"/>
    </row>
    <row r="34" spans="2:29" ht="16.5" customHeight="1" x14ac:dyDescent="0.2">
      <c r="B34" s="133"/>
      <c r="C34" s="67"/>
      <c r="D34" s="24" t="s">
        <v>265</v>
      </c>
      <c r="E34" s="119"/>
      <c r="F34" s="125"/>
      <c r="G34" s="119"/>
      <c r="H34" s="125"/>
      <c r="I34" s="116"/>
      <c r="J34" s="125"/>
      <c r="K34" s="119"/>
      <c r="L34" s="125"/>
      <c r="M34" s="116"/>
    </row>
    <row r="35" spans="2:29" x14ac:dyDescent="0.2">
      <c r="B35" s="133"/>
      <c r="C35" s="67"/>
    </row>
    <row r="36" spans="2:29" ht="16.5" customHeight="1" x14ac:dyDescent="0.2">
      <c r="B36" s="133"/>
      <c r="C36" s="67"/>
      <c r="D36" s="95" t="s">
        <v>524</v>
      </c>
      <c r="E36" s="65"/>
      <c r="G36" s="65"/>
      <c r="I36" s="65"/>
      <c r="K36" s="65"/>
      <c r="M36" s="65"/>
    </row>
    <row r="37" spans="2:29" ht="8.4499999999999993" customHeight="1" x14ac:dyDescent="0.2">
      <c r="B37" s="133"/>
      <c r="C37" s="67"/>
      <c r="E37" s="10"/>
      <c r="G37" s="64"/>
    </row>
    <row r="38" spans="2:29" ht="16.5" customHeight="1" x14ac:dyDescent="0.2">
      <c r="B38" s="133"/>
      <c r="C38" s="67"/>
      <c r="D38" s="95" t="s">
        <v>596</v>
      </c>
      <c r="E38" s="65"/>
      <c r="G38" s="65"/>
      <c r="I38" s="65"/>
      <c r="K38" s="65"/>
      <c r="M38" s="65"/>
    </row>
    <row r="39" spans="2:29" ht="16.5" customHeight="1" x14ac:dyDescent="0.2">
      <c r="B39" s="133"/>
      <c r="C39" s="67"/>
      <c r="D39" s="95" t="s">
        <v>317</v>
      </c>
      <c r="E39" s="65"/>
      <c r="G39" s="65"/>
      <c r="I39" s="65"/>
      <c r="K39" s="65"/>
      <c r="M39" s="65"/>
    </row>
    <row r="40" spans="2:29" ht="9.9499999999999993" customHeight="1" x14ac:dyDescent="0.25">
      <c r="D40" s="69"/>
    </row>
    <row r="41" spans="2:29" ht="9.9499999999999993" customHeight="1" x14ac:dyDescent="0.25">
      <c r="B41" s="69"/>
      <c r="C41" s="69"/>
      <c r="D41" s="69"/>
    </row>
    <row r="42" spans="2:29" ht="9.9499999999999993" customHeight="1" x14ac:dyDescent="0.25">
      <c r="B42" s="70"/>
      <c r="C42" s="70"/>
      <c r="D42" s="70"/>
      <c r="E42" s="71"/>
      <c r="F42" s="71"/>
      <c r="G42" s="71"/>
      <c r="H42" s="71"/>
      <c r="I42" s="71"/>
      <c r="J42" s="71"/>
      <c r="K42" s="71"/>
      <c r="L42" s="71"/>
      <c r="M42" s="71"/>
      <c r="N42" s="71"/>
      <c r="O42" s="71"/>
      <c r="P42" s="71"/>
      <c r="Q42" s="71"/>
      <c r="R42" s="71"/>
      <c r="S42" s="71"/>
      <c r="T42" s="71"/>
      <c r="U42" s="71"/>
      <c r="V42" s="71"/>
      <c r="W42" s="71"/>
      <c r="X42" s="71"/>
      <c r="Y42" s="71"/>
      <c r="Z42" s="71"/>
      <c r="AA42" s="71"/>
      <c r="AB42" s="71"/>
      <c r="AC42" s="71"/>
    </row>
    <row r="43" spans="2:29" ht="20.25" x14ac:dyDescent="0.3">
      <c r="B43" s="132" t="s">
        <v>267</v>
      </c>
      <c r="C43" s="66"/>
      <c r="D43" s="19" t="s">
        <v>17</v>
      </c>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2:29" x14ac:dyDescent="0.2">
      <c r="B44" s="133"/>
      <c r="C44" s="67"/>
    </row>
    <row r="45" spans="2:29" ht="16.5" customHeight="1" x14ac:dyDescent="0.2">
      <c r="B45" s="133"/>
      <c r="C45" s="67"/>
      <c r="D45" s="95" t="s">
        <v>325</v>
      </c>
      <c r="E45" s="65"/>
    </row>
    <row r="46" spans="2:29" ht="9.9499999999999993" customHeight="1" x14ac:dyDescent="0.2">
      <c r="B46" s="133"/>
      <c r="C46" s="67"/>
    </row>
    <row r="47" spans="2:29" x14ac:dyDescent="0.2">
      <c r="B47" s="133"/>
      <c r="C47" s="67"/>
    </row>
    <row r="48" spans="2:29" ht="16.5" x14ac:dyDescent="0.2">
      <c r="B48" s="133"/>
      <c r="C48" s="67"/>
      <c r="D48" s="95" t="s">
        <v>247</v>
      </c>
      <c r="E48" s="134" t="s">
        <v>0</v>
      </c>
      <c r="F48" s="134"/>
      <c r="G48" s="134" t="s">
        <v>1</v>
      </c>
      <c r="H48" s="134"/>
      <c r="I48" s="134" t="s">
        <v>2</v>
      </c>
      <c r="J48" s="134"/>
      <c r="K48" s="134" t="s">
        <v>3</v>
      </c>
      <c r="L48" s="134"/>
      <c r="M48" s="134" t="s">
        <v>4</v>
      </c>
      <c r="N48" s="134"/>
      <c r="O48" s="134" t="s">
        <v>5</v>
      </c>
      <c r="P48" s="134"/>
      <c r="Q48" s="134" t="s">
        <v>6</v>
      </c>
      <c r="R48" s="134"/>
      <c r="S48" s="134" t="s">
        <v>7</v>
      </c>
      <c r="T48" s="134"/>
      <c r="U48" s="134" t="s">
        <v>8</v>
      </c>
      <c r="V48" s="134"/>
      <c r="W48" s="134" t="s">
        <v>9</v>
      </c>
      <c r="X48" s="134"/>
      <c r="Y48" s="134" t="s">
        <v>10</v>
      </c>
      <c r="Z48" s="134"/>
      <c r="AA48" s="134" t="s">
        <v>11</v>
      </c>
      <c r="AB48" s="134"/>
    </row>
    <row r="49" spans="2:28" x14ac:dyDescent="0.2">
      <c r="B49" s="133"/>
      <c r="C49" s="67"/>
      <c r="D49" s="95"/>
    </row>
    <row r="50" spans="2:28" ht="16.5" customHeight="1" x14ac:dyDescent="0.2">
      <c r="B50" s="133"/>
      <c r="C50" s="67"/>
      <c r="D50" s="95" t="s">
        <v>16</v>
      </c>
      <c r="E50" s="130"/>
      <c r="F50" s="131"/>
      <c r="G50" s="130"/>
      <c r="H50" s="131"/>
      <c r="I50" s="130"/>
      <c r="J50" s="131"/>
      <c r="K50" s="130"/>
      <c r="L50" s="131"/>
      <c r="M50" s="130"/>
      <c r="N50" s="131"/>
      <c r="O50" s="130"/>
      <c r="P50" s="131"/>
      <c r="Q50" s="130"/>
      <c r="R50" s="131"/>
      <c r="S50" s="130"/>
      <c r="T50" s="131"/>
      <c r="U50" s="130"/>
      <c r="V50" s="131"/>
      <c r="W50" s="130"/>
      <c r="X50" s="131"/>
      <c r="Y50" s="130"/>
      <c r="Z50" s="131"/>
      <c r="AA50" s="130"/>
      <c r="AB50" s="131"/>
    </row>
    <row r="51" spans="2:28" ht="16.5" customHeight="1" x14ac:dyDescent="0.2">
      <c r="B51" s="133"/>
      <c r="C51" s="67"/>
      <c r="D51" s="95" t="s">
        <v>13</v>
      </c>
      <c r="E51" s="130"/>
      <c r="F51" s="131"/>
      <c r="G51" s="130"/>
      <c r="H51" s="131"/>
      <c r="I51" s="130"/>
      <c r="J51" s="131"/>
      <c r="K51" s="130"/>
      <c r="L51" s="131"/>
      <c r="M51" s="130"/>
      <c r="N51" s="131"/>
      <c r="O51" s="130"/>
      <c r="P51" s="131"/>
      <c r="Q51" s="130"/>
      <c r="R51" s="131"/>
      <c r="S51" s="130"/>
      <c r="T51" s="131"/>
      <c r="U51" s="130"/>
      <c r="V51" s="131"/>
      <c r="W51" s="130"/>
      <c r="X51" s="131"/>
      <c r="Y51" s="130"/>
      <c r="Z51" s="131"/>
      <c r="AA51" s="130"/>
      <c r="AB51" s="131"/>
    </row>
    <row r="52" spans="2:28" x14ac:dyDescent="0.2">
      <c r="B52" s="133"/>
      <c r="C52" s="67"/>
    </row>
    <row r="53" spans="2:28" x14ac:dyDescent="0.2">
      <c r="B53" s="133"/>
      <c r="C53" s="67"/>
      <c r="E53" s="10" t="s">
        <v>16</v>
      </c>
      <c r="F53" s="10"/>
      <c r="G53" s="10" t="s">
        <v>13</v>
      </c>
      <c r="K53" s="10"/>
      <c r="M53" s="10"/>
      <c r="O53" s="10"/>
      <c r="Q53" s="10"/>
      <c r="S53" s="10"/>
      <c r="U53" s="10"/>
      <c r="W53" s="10"/>
      <c r="Y53" s="10"/>
      <c r="AA53" s="10"/>
    </row>
    <row r="54" spans="2:28" x14ac:dyDescent="0.2">
      <c r="B54" s="133"/>
      <c r="C54" s="67"/>
    </row>
    <row r="55" spans="2:28" ht="16.5" customHeight="1" x14ac:dyDescent="0.2">
      <c r="B55" s="133"/>
      <c r="C55" s="67"/>
      <c r="D55" s="95" t="s">
        <v>20</v>
      </c>
      <c r="E55" s="65"/>
      <c r="F55" s="95"/>
      <c r="G55" s="65"/>
    </row>
    <row r="56" spans="2:28" ht="9.9499999999999993" customHeight="1" x14ac:dyDescent="0.2">
      <c r="B56" s="133"/>
      <c r="C56" s="67"/>
    </row>
    <row r="57" spans="2:28" ht="16.5" customHeight="1" x14ac:dyDescent="0.2">
      <c r="B57" s="133"/>
      <c r="C57" s="67"/>
      <c r="D57" s="95" t="s">
        <v>326</v>
      </c>
      <c r="G57" s="94">
        <f>IF(E45="No",G55,IF(E45="",G55,1-(1-G55)*(1-G73)))</f>
        <v>0</v>
      </c>
    </row>
    <row r="58" spans="2:28" ht="9.9499999999999993" customHeight="1" x14ac:dyDescent="0.2">
      <c r="B58" s="133"/>
      <c r="C58" s="67"/>
    </row>
    <row r="59" spans="2:28" ht="16.5" customHeight="1" x14ac:dyDescent="0.2">
      <c r="B59" s="133"/>
      <c r="C59" s="67"/>
      <c r="D59" s="95" t="s">
        <v>521</v>
      </c>
      <c r="E59" s="65"/>
      <c r="G59" s="65"/>
    </row>
    <row r="60" spans="2:28" x14ac:dyDescent="0.2">
      <c r="B60" s="133"/>
      <c r="C60" s="67"/>
    </row>
    <row r="61" spans="2:28" ht="20.25" x14ac:dyDescent="0.3">
      <c r="B61" s="133"/>
      <c r="C61" s="67"/>
      <c r="D61" s="19" t="s">
        <v>255</v>
      </c>
    </row>
    <row r="62" spans="2:28" ht="9" customHeight="1" x14ac:dyDescent="0.2">
      <c r="B62" s="133"/>
      <c r="C62" s="67"/>
      <c r="D62" s="24"/>
    </row>
    <row r="63" spans="2:28" ht="16.5" customHeight="1" x14ac:dyDescent="0.2">
      <c r="B63" s="133"/>
      <c r="C63" s="67"/>
      <c r="D63" s="24" t="s">
        <v>392</v>
      </c>
      <c r="E63" s="65"/>
    </row>
    <row r="64" spans="2:28" ht="9" customHeight="1" x14ac:dyDescent="0.2">
      <c r="B64" s="133"/>
      <c r="C64" s="67"/>
      <c r="D64" s="24"/>
    </row>
    <row r="65" spans="2:29" x14ac:dyDescent="0.2">
      <c r="B65" s="133"/>
      <c r="C65" s="67"/>
      <c r="E65" s="12" t="s">
        <v>16</v>
      </c>
      <c r="F65" s="12"/>
      <c r="G65" s="12" t="s">
        <v>13</v>
      </c>
      <c r="H65" s="12"/>
      <c r="I65" s="12" t="s">
        <v>14</v>
      </c>
      <c r="J65" s="12"/>
      <c r="K65" s="12" t="s">
        <v>12</v>
      </c>
      <c r="L65" s="12"/>
      <c r="M65" s="12" t="s">
        <v>15</v>
      </c>
    </row>
    <row r="66" spans="2:29" ht="16.5" x14ac:dyDescent="0.2">
      <c r="B66" s="133"/>
      <c r="C66" s="67"/>
      <c r="D66" s="24" t="s">
        <v>249</v>
      </c>
    </row>
    <row r="67" spans="2:29" x14ac:dyDescent="0.2">
      <c r="B67" s="133"/>
      <c r="C67" s="67"/>
      <c r="D67" s="24"/>
    </row>
    <row r="68" spans="2:29" ht="16.5" customHeight="1" x14ac:dyDescent="0.2">
      <c r="B68" s="133"/>
      <c r="C68" s="67"/>
      <c r="D68" s="24" t="s">
        <v>262</v>
      </c>
      <c r="E68" s="119"/>
      <c r="F68" s="125"/>
      <c r="G68" s="119"/>
      <c r="H68" s="125"/>
      <c r="I68" s="119"/>
      <c r="J68" s="125"/>
      <c r="K68" s="119"/>
      <c r="L68" s="125"/>
      <c r="M68" s="119"/>
    </row>
    <row r="69" spans="2:29" ht="16.5" customHeight="1" x14ac:dyDescent="0.2">
      <c r="B69" s="133"/>
      <c r="C69" s="67"/>
      <c r="D69" s="24" t="s">
        <v>263</v>
      </c>
      <c r="E69" s="116"/>
      <c r="F69" s="125"/>
      <c r="G69" s="116"/>
      <c r="H69" s="125"/>
      <c r="I69" s="119"/>
      <c r="J69" s="125"/>
      <c r="K69" s="119"/>
      <c r="L69" s="125"/>
      <c r="M69" s="119"/>
    </row>
    <row r="70" spans="2:29" ht="16.5" customHeight="1" x14ac:dyDescent="0.2">
      <c r="B70" s="133"/>
      <c r="C70" s="67"/>
      <c r="D70" s="68" t="s">
        <v>264</v>
      </c>
      <c r="E70" s="119"/>
      <c r="F70" s="125"/>
      <c r="G70" s="119"/>
      <c r="H70" s="125"/>
      <c r="I70" s="116"/>
      <c r="J70" s="125"/>
      <c r="K70" s="119"/>
      <c r="L70" s="125"/>
      <c r="M70" s="116"/>
    </row>
    <row r="71" spans="2:29" ht="16.5" customHeight="1" x14ac:dyDescent="0.2">
      <c r="B71" s="133"/>
      <c r="C71" s="67"/>
      <c r="D71" s="24" t="s">
        <v>265</v>
      </c>
      <c r="E71" s="119"/>
      <c r="F71" s="125"/>
      <c r="G71" s="119"/>
      <c r="H71" s="125"/>
      <c r="I71" s="116"/>
      <c r="J71" s="125"/>
      <c r="K71" s="119"/>
      <c r="L71" s="125"/>
      <c r="M71" s="116"/>
    </row>
    <row r="72" spans="2:29" x14ac:dyDescent="0.2">
      <c r="B72" s="133"/>
      <c r="C72" s="67"/>
    </row>
    <row r="73" spans="2:29" ht="16.5" customHeight="1" x14ac:dyDescent="0.2">
      <c r="B73" s="133"/>
      <c r="C73" s="67"/>
      <c r="D73" s="95" t="s">
        <v>32</v>
      </c>
      <c r="E73" s="65"/>
      <c r="G73" s="65"/>
      <c r="I73" s="65"/>
      <c r="K73" s="65"/>
      <c r="M73" s="65"/>
    </row>
    <row r="74" spans="2:29" ht="8.4499999999999993" customHeight="1" x14ac:dyDescent="0.2">
      <c r="B74" s="133"/>
      <c r="C74" s="67"/>
      <c r="E74" s="10"/>
      <c r="G74" s="64"/>
    </row>
    <row r="75" spans="2:29" ht="16.5" customHeight="1" x14ac:dyDescent="0.2">
      <c r="B75" s="133"/>
      <c r="C75" s="67"/>
      <c r="D75" s="95" t="s">
        <v>261</v>
      </c>
      <c r="E75" s="65"/>
      <c r="G75" s="65"/>
      <c r="I75" s="65"/>
      <c r="K75" s="65"/>
      <c r="M75" s="65"/>
    </row>
    <row r="76" spans="2:29" ht="16.5" customHeight="1" x14ac:dyDescent="0.2">
      <c r="B76" s="133"/>
      <c r="C76" s="67"/>
      <c r="D76" s="95" t="s">
        <v>317</v>
      </c>
      <c r="E76" s="65"/>
      <c r="G76" s="65"/>
      <c r="I76" s="65"/>
      <c r="K76" s="65"/>
      <c r="M76" s="65"/>
    </row>
    <row r="77" spans="2:29" ht="15" x14ac:dyDescent="0.25">
      <c r="D77" s="69"/>
    </row>
    <row r="78" spans="2:29" ht="15" x14ac:dyDescent="0.25">
      <c r="B78" s="69"/>
      <c r="C78" s="69"/>
      <c r="D78" s="69"/>
    </row>
    <row r="79" spans="2:29" ht="15" x14ac:dyDescent="0.25">
      <c r="B79" s="70"/>
      <c r="C79" s="70"/>
      <c r="D79" s="70"/>
      <c r="E79" s="71"/>
      <c r="F79" s="71"/>
      <c r="G79" s="71"/>
      <c r="H79" s="71"/>
      <c r="I79" s="71"/>
      <c r="J79" s="71"/>
      <c r="K79" s="71"/>
      <c r="L79" s="71"/>
      <c r="M79" s="71"/>
      <c r="N79" s="71"/>
      <c r="O79" s="71"/>
      <c r="P79" s="71"/>
      <c r="Q79" s="71"/>
      <c r="R79" s="71"/>
      <c r="S79" s="71"/>
      <c r="T79" s="71"/>
      <c r="U79" s="71"/>
      <c r="V79" s="71"/>
      <c r="W79" s="71"/>
      <c r="X79" s="71"/>
      <c r="Y79" s="71"/>
      <c r="Z79" s="71"/>
      <c r="AA79" s="71"/>
      <c r="AB79" s="71"/>
      <c r="AC79" s="71"/>
    </row>
    <row r="80" spans="2:29" ht="20.25" x14ac:dyDescent="0.3">
      <c r="B80" s="132" t="s">
        <v>268</v>
      </c>
      <c r="C80" s="66"/>
      <c r="D80" s="19" t="s">
        <v>17</v>
      </c>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2:28" x14ac:dyDescent="0.2">
      <c r="B81" s="132"/>
      <c r="C81" s="67"/>
    </row>
    <row r="82" spans="2:28" ht="16.5" customHeight="1" x14ac:dyDescent="0.2">
      <c r="B82" s="132"/>
      <c r="C82" s="67"/>
      <c r="D82" s="95" t="s">
        <v>325</v>
      </c>
      <c r="E82" s="65"/>
    </row>
    <row r="83" spans="2:28" ht="9.9499999999999993" customHeight="1" x14ac:dyDescent="0.2">
      <c r="B83" s="133"/>
      <c r="C83" s="67"/>
    </row>
    <row r="84" spans="2:28" x14ac:dyDescent="0.2">
      <c r="B84" s="133"/>
      <c r="C84" s="67"/>
    </row>
    <row r="85" spans="2:28" ht="16.5" x14ac:dyDescent="0.2">
      <c r="B85" s="133"/>
      <c r="C85" s="67"/>
      <c r="D85" s="95" t="s">
        <v>247</v>
      </c>
      <c r="E85" s="134" t="s">
        <v>0</v>
      </c>
      <c r="F85" s="134"/>
      <c r="G85" s="134" t="s">
        <v>1</v>
      </c>
      <c r="H85" s="134"/>
      <c r="I85" s="134" t="s">
        <v>2</v>
      </c>
      <c r="J85" s="134"/>
      <c r="K85" s="134" t="s">
        <v>3</v>
      </c>
      <c r="L85" s="134"/>
      <c r="M85" s="134" t="s">
        <v>4</v>
      </c>
      <c r="N85" s="134"/>
      <c r="O85" s="134" t="s">
        <v>5</v>
      </c>
      <c r="P85" s="134"/>
      <c r="Q85" s="134" t="s">
        <v>6</v>
      </c>
      <c r="R85" s="134"/>
      <c r="S85" s="134" t="s">
        <v>7</v>
      </c>
      <c r="T85" s="134"/>
      <c r="U85" s="134" t="s">
        <v>8</v>
      </c>
      <c r="V85" s="134"/>
      <c r="W85" s="134" t="s">
        <v>9</v>
      </c>
      <c r="X85" s="134"/>
      <c r="Y85" s="134" t="s">
        <v>10</v>
      </c>
      <c r="Z85" s="134"/>
      <c r="AA85" s="134" t="s">
        <v>11</v>
      </c>
      <c r="AB85" s="134"/>
    </row>
    <row r="86" spans="2:28" x14ac:dyDescent="0.2">
      <c r="B86" s="133"/>
      <c r="C86" s="67"/>
    </row>
    <row r="87" spans="2:28" ht="16.5" customHeight="1" x14ac:dyDescent="0.2">
      <c r="B87" s="133"/>
      <c r="C87" s="67"/>
      <c r="D87" s="95" t="s">
        <v>16</v>
      </c>
      <c r="E87" s="130"/>
      <c r="F87" s="131"/>
      <c r="G87" s="130"/>
      <c r="H87" s="131"/>
      <c r="I87" s="130"/>
      <c r="J87" s="131"/>
      <c r="K87" s="130"/>
      <c r="L87" s="131"/>
      <c r="M87" s="130"/>
      <c r="N87" s="131"/>
      <c r="O87" s="130"/>
      <c r="P87" s="131"/>
      <c r="Q87" s="130"/>
      <c r="R87" s="131"/>
      <c r="S87" s="130"/>
      <c r="T87" s="131"/>
      <c r="U87" s="130"/>
      <c r="V87" s="131"/>
      <c r="W87" s="130"/>
      <c r="X87" s="131"/>
      <c r="Y87" s="130"/>
      <c r="Z87" s="131"/>
      <c r="AA87" s="130"/>
      <c r="AB87" s="131"/>
    </row>
    <row r="88" spans="2:28" ht="16.5" customHeight="1" x14ac:dyDescent="0.2">
      <c r="B88" s="133"/>
      <c r="C88" s="67"/>
      <c r="D88" s="95" t="s">
        <v>13</v>
      </c>
      <c r="E88" s="130"/>
      <c r="F88" s="131"/>
      <c r="G88" s="130"/>
      <c r="H88" s="131"/>
      <c r="I88" s="130"/>
      <c r="J88" s="131"/>
      <c r="K88" s="130"/>
      <c r="L88" s="131"/>
      <c r="M88" s="130"/>
      <c r="N88" s="131"/>
      <c r="O88" s="130"/>
      <c r="P88" s="131"/>
      <c r="Q88" s="130"/>
      <c r="R88" s="131"/>
      <c r="S88" s="130"/>
      <c r="T88" s="131"/>
      <c r="U88" s="130"/>
      <c r="V88" s="131"/>
      <c r="W88" s="130"/>
      <c r="X88" s="131"/>
      <c r="Y88" s="130"/>
      <c r="Z88" s="131"/>
      <c r="AA88" s="130"/>
      <c r="AB88" s="131"/>
    </row>
    <row r="89" spans="2:28" x14ac:dyDescent="0.2">
      <c r="B89" s="133"/>
      <c r="C89" s="67"/>
    </row>
    <row r="90" spans="2:28" x14ac:dyDescent="0.2">
      <c r="B90" s="133"/>
      <c r="C90" s="67"/>
      <c r="E90" s="12" t="s">
        <v>16</v>
      </c>
      <c r="F90" s="12"/>
      <c r="G90" s="12" t="s">
        <v>13</v>
      </c>
      <c r="K90" s="10"/>
      <c r="M90" s="10"/>
      <c r="O90" s="10"/>
      <c r="Q90" s="10"/>
      <c r="S90" s="10"/>
      <c r="U90" s="10"/>
      <c r="W90" s="10"/>
      <c r="Y90" s="10"/>
      <c r="AA90" s="10"/>
    </row>
    <row r="91" spans="2:28" x14ac:dyDescent="0.2">
      <c r="B91" s="133"/>
      <c r="C91" s="67"/>
    </row>
    <row r="92" spans="2:28" ht="16.5" customHeight="1" x14ac:dyDescent="0.2">
      <c r="B92" s="133"/>
      <c r="C92" s="67"/>
      <c r="D92" s="95" t="s">
        <v>20</v>
      </c>
      <c r="E92" s="9"/>
      <c r="G92" s="108"/>
    </row>
    <row r="93" spans="2:28" ht="9.9499999999999993" customHeight="1" x14ac:dyDescent="0.2">
      <c r="B93" s="133"/>
      <c r="C93" s="67"/>
    </row>
    <row r="94" spans="2:28" ht="16.5" customHeight="1" x14ac:dyDescent="0.2">
      <c r="B94" s="133"/>
      <c r="C94" s="67"/>
      <c r="D94" s="95" t="s">
        <v>326</v>
      </c>
      <c r="G94" s="94">
        <f>IF(E82="No",G92,IF(E82="",G92,1-(1-G92)*(1-G110)))</f>
        <v>0</v>
      </c>
    </row>
    <row r="95" spans="2:28" ht="9.9499999999999993" customHeight="1" x14ac:dyDescent="0.2">
      <c r="B95" s="133"/>
      <c r="C95" s="67"/>
    </row>
    <row r="96" spans="2:28" ht="16.5" customHeight="1" x14ac:dyDescent="0.2">
      <c r="B96" s="133"/>
      <c r="C96" s="67"/>
      <c r="D96" s="95" t="s">
        <v>521</v>
      </c>
      <c r="E96" s="9"/>
      <c r="G96" s="9"/>
    </row>
    <row r="97" spans="2:13" x14ac:dyDescent="0.2">
      <c r="B97" s="133"/>
      <c r="C97" s="67"/>
    </row>
    <row r="98" spans="2:13" ht="20.25" x14ac:dyDescent="0.3">
      <c r="B98" s="133"/>
      <c r="C98" s="67"/>
      <c r="D98" s="19" t="s">
        <v>255</v>
      </c>
    </row>
    <row r="99" spans="2:13" ht="9" customHeight="1" x14ac:dyDescent="0.2">
      <c r="B99" s="133"/>
      <c r="C99" s="67"/>
      <c r="D99" s="24"/>
    </row>
    <row r="100" spans="2:13" ht="16.5" customHeight="1" x14ac:dyDescent="0.2">
      <c r="B100" s="133"/>
      <c r="C100" s="67"/>
      <c r="D100" s="24" t="s">
        <v>392</v>
      </c>
      <c r="E100" s="65"/>
    </row>
    <row r="101" spans="2:13" ht="9" customHeight="1" x14ac:dyDescent="0.2">
      <c r="B101" s="133"/>
      <c r="C101" s="67"/>
      <c r="D101" s="24"/>
    </row>
    <row r="102" spans="2:13" x14ac:dyDescent="0.2">
      <c r="B102" s="133"/>
      <c r="C102" s="67"/>
      <c r="E102" s="12" t="s">
        <v>16</v>
      </c>
      <c r="F102" s="12"/>
      <c r="G102" s="12" t="s">
        <v>13</v>
      </c>
      <c r="H102" s="12"/>
      <c r="I102" s="12" t="s">
        <v>14</v>
      </c>
      <c r="J102" s="12"/>
      <c r="K102" s="12" t="s">
        <v>12</v>
      </c>
      <c r="L102" s="12"/>
      <c r="M102" s="12" t="s">
        <v>15</v>
      </c>
    </row>
    <row r="103" spans="2:13" ht="16.5" x14ac:dyDescent="0.2">
      <c r="B103" s="133"/>
      <c r="C103" s="67"/>
      <c r="D103" s="24" t="s">
        <v>249</v>
      </c>
    </row>
    <row r="104" spans="2:13" x14ac:dyDescent="0.2">
      <c r="B104" s="133"/>
      <c r="C104" s="67"/>
      <c r="D104" s="24"/>
    </row>
    <row r="105" spans="2:13" ht="16.5" customHeight="1" x14ac:dyDescent="0.2">
      <c r="B105" s="133"/>
      <c r="C105" s="67"/>
      <c r="D105" s="24" t="s">
        <v>262</v>
      </c>
      <c r="E105" s="108"/>
      <c r="F105" s="126"/>
      <c r="G105" s="108"/>
      <c r="H105" s="126"/>
      <c r="I105" s="108"/>
      <c r="J105" s="126"/>
      <c r="K105" s="108"/>
      <c r="L105" s="126"/>
      <c r="M105" s="108"/>
    </row>
    <row r="106" spans="2:13" ht="16.5" customHeight="1" x14ac:dyDescent="0.2">
      <c r="B106" s="133"/>
      <c r="C106" s="67"/>
      <c r="D106" s="24" t="s">
        <v>263</v>
      </c>
      <c r="E106" s="26"/>
      <c r="F106" s="126"/>
      <c r="G106" s="26"/>
      <c r="H106" s="126"/>
      <c r="I106" s="108"/>
      <c r="J106" s="126"/>
      <c r="K106" s="108"/>
      <c r="L106" s="126"/>
      <c r="M106" s="108"/>
    </row>
    <row r="107" spans="2:13" ht="16.5" customHeight="1" x14ac:dyDescent="0.2">
      <c r="B107" s="133"/>
      <c r="C107" s="67"/>
      <c r="D107" s="68" t="s">
        <v>264</v>
      </c>
      <c r="E107" s="108"/>
      <c r="F107" s="126"/>
      <c r="G107" s="108"/>
      <c r="H107" s="126"/>
      <c r="I107" s="26"/>
      <c r="J107" s="126"/>
      <c r="K107" s="108"/>
      <c r="L107" s="126"/>
      <c r="M107" s="26"/>
    </row>
    <row r="108" spans="2:13" ht="16.5" customHeight="1" x14ac:dyDescent="0.2">
      <c r="B108" s="133"/>
      <c r="C108" s="67"/>
      <c r="D108" s="24" t="s">
        <v>265</v>
      </c>
      <c r="E108" s="108"/>
      <c r="F108" s="126"/>
      <c r="G108" s="108"/>
      <c r="H108" s="126"/>
      <c r="I108" s="26"/>
      <c r="J108" s="126"/>
      <c r="K108" s="108"/>
      <c r="L108" s="126"/>
      <c r="M108" s="26"/>
    </row>
    <row r="109" spans="2:13" x14ac:dyDescent="0.2">
      <c r="B109" s="133"/>
      <c r="C109" s="67"/>
    </row>
    <row r="110" spans="2:13" ht="16.5" customHeight="1" x14ac:dyDescent="0.2">
      <c r="B110" s="133"/>
      <c r="C110" s="67"/>
      <c r="D110" s="95" t="s">
        <v>32</v>
      </c>
      <c r="E110" s="9"/>
      <c r="G110" s="9"/>
      <c r="I110" s="9"/>
      <c r="K110" s="9"/>
      <c r="M110" s="9"/>
    </row>
    <row r="111" spans="2:13" ht="8.4499999999999993" customHeight="1" x14ac:dyDescent="0.2">
      <c r="B111" s="133"/>
      <c r="C111" s="67"/>
      <c r="E111" s="10"/>
      <c r="G111" s="64"/>
    </row>
    <row r="112" spans="2:13" ht="16.5" customHeight="1" x14ac:dyDescent="0.2">
      <c r="B112" s="133"/>
      <c r="C112" s="67"/>
      <c r="D112" s="95" t="s">
        <v>261</v>
      </c>
      <c r="E112" s="9"/>
      <c r="G112" s="9"/>
      <c r="I112" s="9"/>
      <c r="K112" s="9"/>
      <c r="M112" s="9"/>
    </row>
    <row r="113" spans="2:29" ht="16.5" customHeight="1" x14ac:dyDescent="0.2">
      <c r="B113" s="133"/>
      <c r="C113" s="67"/>
      <c r="D113" s="95" t="s">
        <v>317</v>
      </c>
      <c r="E113" s="9"/>
      <c r="G113" s="9"/>
      <c r="I113" s="9"/>
      <c r="K113" s="9"/>
      <c r="M113" s="9"/>
    </row>
    <row r="114" spans="2:29" ht="15" x14ac:dyDescent="0.25">
      <c r="D114" s="69"/>
    </row>
    <row r="115" spans="2:29" ht="15" x14ac:dyDescent="0.25">
      <c r="B115" s="69"/>
      <c r="C115" s="69"/>
      <c r="D115" s="69"/>
    </row>
    <row r="116" spans="2:29" ht="15" x14ac:dyDescent="0.25">
      <c r="B116" s="70"/>
      <c r="C116" s="70"/>
      <c r="D116" s="70"/>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row>
  </sheetData>
  <sheetProtection sheet="1" objects="1" scenarios="1"/>
  <mergeCells count="112">
    <mergeCell ref="Y85:Z85"/>
    <mergeCell ref="AA85:AB85"/>
    <mergeCell ref="S48:T48"/>
    <mergeCell ref="U48:V48"/>
    <mergeCell ref="W48:X48"/>
    <mergeCell ref="Y48:Z48"/>
    <mergeCell ref="AA48:AB48"/>
    <mergeCell ref="S11:T11"/>
    <mergeCell ref="U11:V11"/>
    <mergeCell ref="W11:X11"/>
    <mergeCell ref="Y11:Z11"/>
    <mergeCell ref="AA11:AB11"/>
    <mergeCell ref="AA50:AB50"/>
    <mergeCell ref="W50:X50"/>
    <mergeCell ref="Y50:Z50"/>
    <mergeCell ref="Y51:Z51"/>
    <mergeCell ref="AA51:AB51"/>
    <mergeCell ref="U51:V51"/>
    <mergeCell ref="W51:X51"/>
    <mergeCell ref="U85:V85"/>
    <mergeCell ref="W85:X85"/>
    <mergeCell ref="B6:B39"/>
    <mergeCell ref="B43:B76"/>
    <mergeCell ref="B2:Q2"/>
    <mergeCell ref="E13:F13"/>
    <mergeCell ref="E14:F14"/>
    <mergeCell ref="E11:F11"/>
    <mergeCell ref="I11:J11"/>
    <mergeCell ref="K11:L11"/>
    <mergeCell ref="M11:N11"/>
    <mergeCell ref="O11:P11"/>
    <mergeCell ref="Q11:R11"/>
    <mergeCell ref="I48:J48"/>
    <mergeCell ref="K48:L48"/>
    <mergeCell ref="M48:N48"/>
    <mergeCell ref="O48:P48"/>
    <mergeCell ref="Q48:R48"/>
    <mergeCell ref="Q13:R13"/>
    <mergeCell ref="Q14:R14"/>
    <mergeCell ref="G13:H13"/>
    <mergeCell ref="G14:H14"/>
    <mergeCell ref="G11:H11"/>
    <mergeCell ref="I13:J13"/>
    <mergeCell ref="I14:J14"/>
    <mergeCell ref="K13:L13"/>
    <mergeCell ref="K14:L14"/>
    <mergeCell ref="Y13:Z13"/>
    <mergeCell ref="Y14:Z14"/>
    <mergeCell ref="AA13:AB13"/>
    <mergeCell ref="AA14:AB14"/>
    <mergeCell ref="E48:F48"/>
    <mergeCell ref="G48:H48"/>
    <mergeCell ref="S13:T13"/>
    <mergeCell ref="S14:T14"/>
    <mergeCell ref="U13:V13"/>
    <mergeCell ref="U14:V14"/>
    <mergeCell ref="W13:X13"/>
    <mergeCell ref="W14:X14"/>
    <mergeCell ref="M13:N13"/>
    <mergeCell ref="M14:N14"/>
    <mergeCell ref="O13:P13"/>
    <mergeCell ref="O14:P14"/>
    <mergeCell ref="E50:F50"/>
    <mergeCell ref="G50:H50"/>
    <mergeCell ref="I50:J50"/>
    <mergeCell ref="K50:L50"/>
    <mergeCell ref="M50:N50"/>
    <mergeCell ref="O50:P50"/>
    <mergeCell ref="Q50:R50"/>
    <mergeCell ref="S50:T50"/>
    <mergeCell ref="U50:V50"/>
    <mergeCell ref="U88:V88"/>
    <mergeCell ref="W88:X88"/>
    <mergeCell ref="E51:F51"/>
    <mergeCell ref="G51:H51"/>
    <mergeCell ref="I51:J51"/>
    <mergeCell ref="K51:L51"/>
    <mergeCell ref="M51:N51"/>
    <mergeCell ref="O51:P51"/>
    <mergeCell ref="I87:J87"/>
    <mergeCell ref="Q51:R51"/>
    <mergeCell ref="S51:T51"/>
    <mergeCell ref="I85:J85"/>
    <mergeCell ref="K85:L85"/>
    <mergeCell ref="M85:N85"/>
    <mergeCell ref="O85:P85"/>
    <mergeCell ref="Q85:R85"/>
    <mergeCell ref="S85:T85"/>
    <mergeCell ref="Y88:Z88"/>
    <mergeCell ref="AA88:AB88"/>
    <mergeCell ref="B80:B113"/>
    <mergeCell ref="E85:F85"/>
    <mergeCell ref="G85:H85"/>
    <mergeCell ref="E87:F87"/>
    <mergeCell ref="G87:H87"/>
    <mergeCell ref="W87:X87"/>
    <mergeCell ref="Y87:Z87"/>
    <mergeCell ref="AA87:AB87"/>
    <mergeCell ref="E88:F88"/>
    <mergeCell ref="G88:H88"/>
    <mergeCell ref="I88:J88"/>
    <mergeCell ref="K88:L88"/>
    <mergeCell ref="M88:N88"/>
    <mergeCell ref="O88:P88"/>
    <mergeCell ref="Q88:R88"/>
    <mergeCell ref="K87:L87"/>
    <mergeCell ref="M87:N87"/>
    <mergeCell ref="O87:P87"/>
    <mergeCell ref="Q87:R87"/>
    <mergeCell ref="S87:T87"/>
    <mergeCell ref="U87:V87"/>
    <mergeCell ref="S88:T88"/>
  </mergeCells>
  <conditionalFormatting sqref="E18 E22">
    <cfRule type="expression" dxfId="161" priority="18">
      <formula>#REF!="No"</formula>
    </cfRule>
  </conditionalFormatting>
  <conditionalFormatting sqref="E31:E34 E36 E38:E39">
    <cfRule type="expression" dxfId="160" priority="12">
      <formula>$E$26="No"</formula>
    </cfRule>
  </conditionalFormatting>
  <conditionalFormatting sqref="E55">
    <cfRule type="expression" dxfId="157" priority="11">
      <formula>#REF!="No"</formula>
    </cfRule>
  </conditionalFormatting>
  <conditionalFormatting sqref="E59">
    <cfRule type="expression" dxfId="156" priority="25">
      <formula>#REF!="No"</formula>
    </cfRule>
  </conditionalFormatting>
  <conditionalFormatting sqref="E68:E71 E73 E75:E76">
    <cfRule type="expression" dxfId="155" priority="10">
      <formula>$E$63="No"</formula>
    </cfRule>
  </conditionalFormatting>
  <conditionalFormatting sqref="E92 E96">
    <cfRule type="expression" dxfId="153" priority="23">
      <formula>#REF!="No"</formula>
    </cfRule>
  </conditionalFormatting>
  <conditionalFormatting sqref="E105:E108 E110 E112:E113">
    <cfRule type="expression" dxfId="150" priority="4">
      <formula>$E$100="No"</formula>
    </cfRule>
  </conditionalFormatting>
  <conditionalFormatting sqref="E13:AB13">
    <cfRule type="expression" dxfId="149" priority="20">
      <formula>#REF!="No"</formula>
    </cfRule>
  </conditionalFormatting>
  <conditionalFormatting sqref="E50:AB50">
    <cfRule type="expression" dxfId="148" priority="19">
      <formula>#REF!="No"</formula>
    </cfRule>
  </conditionalFormatting>
  <conditionalFormatting sqref="E87:AB87">
    <cfRule type="expression" dxfId="145" priority="17">
      <formula>#REF!="No"</formula>
    </cfRule>
  </conditionalFormatting>
  <conditionalFormatting sqref="G20">
    <cfRule type="expression" dxfId="143" priority="3">
      <formula>$G$18=""</formula>
    </cfRule>
  </conditionalFormatting>
  <conditionalFormatting sqref="G31:G34">
    <cfRule type="expression" dxfId="142" priority="65">
      <formula>#REF!="Kittiwake"</formula>
    </cfRule>
    <cfRule type="expression" dxfId="141" priority="66">
      <formula>#REF!="Gannet"</formula>
    </cfRule>
  </conditionalFormatting>
  <conditionalFormatting sqref="G57">
    <cfRule type="expression" dxfId="140" priority="2">
      <formula>$G$55=""</formula>
    </cfRule>
  </conditionalFormatting>
  <conditionalFormatting sqref="G94">
    <cfRule type="expression" dxfId="138" priority="1">
      <formula>$G$92=""</formula>
    </cfRule>
  </conditionalFormatting>
  <conditionalFormatting sqref="I31:I34 K31:K34">
    <cfRule type="expression" dxfId="136" priority="67">
      <formula>#REF!="Puffin"</formula>
    </cfRule>
    <cfRule type="expression" dxfId="135" priority="68">
      <formula>#REF!="Guillemot"</formula>
    </cfRule>
  </conditionalFormatting>
  <conditionalFormatting sqref="M31:M34">
    <cfRule type="expression" dxfId="134" priority="56">
      <formula>#REF!="Puffin"</formula>
    </cfRule>
    <cfRule type="expression" dxfId="133" priority="57">
      <formula>#REF!="Guillemot"</formula>
    </cfRule>
  </conditionalFormatting>
  <dataValidations count="14">
    <dataValidation type="decimal" allowBlank="1" showInputMessage="1" showErrorMessage="1" sqref="E87:AB88 E50:AB51 G13:AB14 E14:F14 E13:F13" xr:uid="{0B3A6434-F705-4876-8D80-BB54E4A1CD6C}">
      <formula1>0</formula1>
      <formula2>1000000000</formula2>
    </dataValidation>
    <dataValidation allowBlank="1" showInputMessage="1" showErrorMessage="1" promptTitle="Bird densities for collision" prompt="These should be based on the predicted bird densities within the wind farm footprints (i.e. no buffer should be applied)." sqref="D11" xr:uid="{CE157E38-AAC0-477E-90C3-DAC5ED757ED7}"/>
    <dataValidation allowBlank="1" showInputMessage="1" showErrorMessage="1" promptTitle="Bird densities for displacement" prompt="These should be based on predicted densities within the wind farm footprints and appropriate displacement buffers." sqref="D29" xr:uid="{7B972910-CC8B-4D26-9E9F-47466CEFE869}"/>
    <dataValidation allowBlank="1" showInputMessage="1" showErrorMessage="1" promptTitle="Macro-avoidance" prompt="Current avoidance rates recommended  for use with the Band collision model do not include macro-avoidance. If this option is selected, the avoidance rate for gannet is updated to include macro-avoidance, assumed to  be equal to the displacement rate. " sqref="D8" xr:uid="{79FB32CD-C1A1-4DE1-B032-155B7A9BC244}"/>
    <dataValidation allowBlank="1" showInputMessage="1" showErrorMessage="1" promptTitle="Avoidance rate" prompt="The probability that a bird that would have flown through the rotor-swept zone will avoid doing so either by avoiding the blades as they sweep (micro-avoidance) or by avoiding the turbines within the array area (meso-avoidance)." sqref="D18" xr:uid="{97F3AAB7-BD38-47E8-A6EF-8261F892A7D1}"/>
    <dataValidation allowBlank="1" showInputMessage="1" showErrorMessage="1" promptTitle="Macro-avoidance of gannet" prompt="This avoidance rate will update automatically to account for the probability that a bird will avoid the array area altogether (macro-avoidance) based on the displacement rate entered in cell G36 if macro-avoidance is to be included included for gannet." sqref="D20" xr:uid="{EE21FF88-B21A-44C3-B3E6-671601ECF55E}"/>
    <dataValidation allowBlank="1" showInputMessage="1" showErrorMessage="1" promptTitle="Nocturnal activity" prompt="A proportion representing the proportion of the total night hours during which each species is expected to be active." sqref="D22" xr:uid="{66B1D3D7-82B0-4583-864A-68FC459C136D}"/>
    <dataValidation allowBlank="1" showInputMessage="1" showErrorMessage="1" promptTitle="Kittiwake impacts" prompt="If &quot;Yes&quot; is selected then mortalities associated with both distributional responses and collision will be predicted for kittiwake. If &quot;No&quot; is selected, only mortalities associated with collisions will be predicted. " sqref="D26" xr:uid="{B8944FB4-6033-4204-A6E7-8A2AA39C375F}"/>
    <dataValidation allowBlank="1" showInputMessage="1" showErrorMessage="1" promptTitle="Displacement rate" prompt="A proportion representing the probability that a bird that would otherwise use the wind farm areas will be displaced." sqref="D36" xr:uid="{6F2740AF-C6E3-47A0-AD04-C3CB5269CF1A}"/>
    <dataValidation allowBlank="1" showInputMessage="1" showErrorMessage="1" promptTitle="Displacement mortality" prompt="The probability that a bird that has been displaced from the wind farm areas will not survive as a result." sqref="D38" xr:uid="{75B2AA70-5148-4F3F-AD59-0CE7E9279972}"/>
    <dataValidation type="decimal" allowBlank="1" showInputMessage="1" showErrorMessage="1" sqref="E36 G36 I36 K36 M36 E73 G73 I73 K73 M73 E110 G110 I110 K110 M110 E112:E113 G112:G113 I112:I113 K112:K113 M112:M113 E75:E76 G75:G76 I75:I76 K75:K76 M75:M76 E38:E39 G38:G39 I38:I39 K38:K39 M38:M39 E96 G96 E22 G22 E55 G55 E59 G59 E92 G92" xr:uid="{1A7F6B3E-ADED-450E-8C59-9FB5D04E83F2}">
      <formula1>0</formula1>
      <formula2>1</formula2>
    </dataValidation>
    <dataValidation type="decimal" allowBlank="1" showInputMessage="1" showErrorMessage="1" sqref="E31:E34 G31:G34 I31:I34 K31:K34 M31:M34 E68:E71 G68:G71 I68:I71 K68:K71 M68:M71 E105:E108 G105:G108 I105:I108 K105:K108 M105:M108" xr:uid="{F8C1F229-046E-4317-8927-B6B020CE69F8}">
      <formula1>0</formula1>
      <formula2>1000000000000</formula2>
    </dataValidation>
    <dataValidation type="list" allowBlank="1" showInputMessage="1" showErrorMessage="1" sqref="E8 E26 E45 E63 E82 E100" xr:uid="{02FF4B61-288B-410F-A800-55FC69C187DF}">
      <formula1>"Yes,No"</formula1>
    </dataValidation>
    <dataValidation type="list" allowBlank="1" showInputMessage="1" showErrorMessage="1" sqref="F82 F45 F8" xr:uid="{0D248956-F4FE-4458-9742-87D51CF4BDCA}">
      <formula1>#REF!</formula1>
    </dataValidation>
  </dataValidations>
  <pageMargins left="0.7" right="0.7" top="0.75" bottom="0.75" header="0.3" footer="0.3"/>
  <pageSetup paperSize="9" orientation="portrait" horizontalDpi="300" verticalDpi="0" r:id="rId1"/>
  <drawing r:id="rId2"/>
  <extLst>
    <ext xmlns:x14="http://schemas.microsoft.com/office/spreadsheetml/2009/9/main" uri="{78C0D931-6437-407d-A8EE-F0AAD7539E65}">
      <x14:conditionalFormattings>
        <x14:conditionalFormatting xmlns:xm="http://schemas.microsoft.com/office/excel/2006/main">
          <x14:cfRule type="expression" priority="26" id="{7C2E4B5C-DF0B-4CD7-8FCF-8DD2FDDBB15D}">
            <xm:f>OR('User inputs - run and wind farm'!$D$7=1, 'User inputs - run and wind farm'!$D$7="")</xm:f>
            <x14:dxf>
              <font>
                <color theme="0" tint="-0.14996795556505021"/>
              </font>
              <fill>
                <patternFill>
                  <bgColor theme="0" tint="-0.14996795556505021"/>
                </patternFill>
              </fill>
            </x14:dxf>
          </x14:cfRule>
          <xm:sqref>E45 E59 G59 E68:E71 G68:G71 I68:I71 K68:K71 M68:M71 E73 G73 I73 K73 M73 E75:E76 G75:G76 I75:I76 K75:K76 M75:M76</xm:sqref>
        </x14:conditionalFormatting>
        <x14:conditionalFormatting xmlns:xm="http://schemas.microsoft.com/office/excel/2006/main">
          <x14:cfRule type="expression" priority="6" id="{A10B5D98-7BE7-47B0-ADB6-74BC0FE01A2F}">
            <xm:f>OR('User inputs - run and wind farm'!$D$7=1,'User inputs - run and wind farm'!$D$7="")</xm:f>
            <x14:dxf>
              <font>
                <color theme="0" tint="-0.14996795556505021"/>
              </font>
              <fill>
                <patternFill>
                  <bgColor theme="0" tint="-0.14996795556505021"/>
                </patternFill>
              </fill>
            </x14:dxf>
          </x14:cfRule>
          <xm:sqref>E55 G55 E63</xm:sqref>
        </x14:conditionalFormatting>
        <x14:conditionalFormatting xmlns:xm="http://schemas.microsoft.com/office/excel/2006/main">
          <x14:cfRule type="expression" priority="9" id="{D8294115-A86F-4E49-A866-5F7E7DB93A11}">
            <xm:f>'User inputs - run and wind farm'!$D$7&lt;&gt;3</xm:f>
            <x14:dxf>
              <font>
                <color theme="0" tint="-0.14996795556505021"/>
              </font>
              <fill>
                <patternFill>
                  <bgColor theme="0" tint="-0.14996795556505021"/>
                </patternFill>
              </fill>
            </x14:dxf>
          </x14:cfRule>
          <xm:sqref>E82</xm:sqref>
        </x14:conditionalFormatting>
        <x14:conditionalFormatting xmlns:xm="http://schemas.microsoft.com/office/excel/2006/main">
          <x14:cfRule type="expression" priority="24" id="{A18882FB-FCB4-4DCD-9F84-DEB54EDA4E41}">
            <xm:f>'User inputs - run and wind farm'!$D$7&lt;&gt;3</xm:f>
            <x14:dxf>
              <font>
                <color theme="0" tint="-0.14996795556505021"/>
              </font>
              <fill>
                <patternFill>
                  <bgColor theme="0" tint="-0.14996795556505021"/>
                </patternFill>
              </fill>
            </x14:dxf>
          </x14:cfRule>
          <xm:sqref>E92 G92 E96 G96 E105:E108 G105:G108 I105:I108 K105:K108 M105:M108 E110 G110 I110 K110 M110 E112:E113 G112:G113 I112:I113 K112:K113 M112:M113</xm:sqref>
        </x14:conditionalFormatting>
        <x14:conditionalFormatting xmlns:xm="http://schemas.microsoft.com/office/excel/2006/main">
          <x14:cfRule type="expression" priority="5" id="{F480C434-C872-4458-B535-B26B3C025C64}">
            <xm:f>'User inputs - run and wind farm'!$D$7&lt;&gt;3</xm:f>
            <x14:dxf>
              <font>
                <color theme="0" tint="-0.14996795556505021"/>
              </font>
              <fill>
                <patternFill>
                  <bgColor theme="0" tint="-0.14996795556505021"/>
                </patternFill>
              </fill>
            </x14:dxf>
          </x14:cfRule>
          <xm:sqref>E100</xm:sqref>
        </x14:conditionalFormatting>
        <x14:conditionalFormatting xmlns:xm="http://schemas.microsoft.com/office/excel/2006/main">
          <x14:cfRule type="expression" priority="13" id="{6781B120-287B-4054-B50C-CFD2B7C354CE}">
            <xm:f>OR('User inputs - run and wind farm'!$D$7=1, 'User inputs - run and wind farm'!$D$7="")</xm:f>
            <x14:dxf>
              <font>
                <color theme="0" tint="-0.14996795556505021"/>
              </font>
              <fill>
                <patternFill>
                  <bgColor theme="0" tint="-0.14996795556505021"/>
                </patternFill>
              </fill>
            </x14:dxf>
          </x14:cfRule>
          <xm:sqref>E50:AB51</xm:sqref>
        </x14:conditionalFormatting>
        <x14:conditionalFormatting xmlns:xm="http://schemas.microsoft.com/office/excel/2006/main">
          <x14:cfRule type="expression" priority="14" id="{56F3DD3F-AAA0-472C-A03A-52C75A14F714}">
            <xm:f>'User inputs - run and wind farm'!$D$7&lt;&gt;3</xm:f>
            <x14:dxf>
              <font>
                <color theme="0" tint="-0.14996795556505021"/>
              </font>
              <fill>
                <patternFill>
                  <fgColor theme="0" tint="-0.14993743705557422"/>
                  <bgColor theme="0" tint="-0.14996795556505021"/>
                </patternFill>
              </fill>
            </x14:dxf>
          </x14:cfRule>
          <xm:sqref>E87:AB87</xm:sqref>
        </x14:conditionalFormatting>
        <x14:conditionalFormatting xmlns:xm="http://schemas.microsoft.com/office/excel/2006/main">
          <x14:cfRule type="expression" priority="15" id="{DAE2F9E8-8FC7-452C-920F-B2C8C8480693}">
            <xm:f>'User inputs - run and wind farm'!$D$7&lt;&gt;3</xm:f>
            <x14:dxf>
              <font>
                <color theme="0" tint="-0.14996795556505021"/>
              </font>
              <fill>
                <patternFill>
                  <bgColor theme="0" tint="-0.14996795556505021"/>
                </patternFill>
              </fill>
            </x14:dxf>
          </x14:cfRule>
          <xm:sqref>E88:AB88</xm:sqref>
        </x14:conditionalFormatting>
        <x14:conditionalFormatting xmlns:xm="http://schemas.microsoft.com/office/excel/2006/main">
          <x14:cfRule type="expression" priority="7" id="{C72E5A8B-7A81-4804-9C80-6E16DB2441DD}">
            <xm:f>OR('User inputs - run and wind farm'!$D$7=1, 'User inputs - run and wind farm'!$D$7="")</xm:f>
            <x14:dxf>
              <font>
                <color theme="0" tint="-0.14996795556505021"/>
              </font>
              <fill>
                <patternFill>
                  <bgColor theme="0" tint="-0.14996795556505021"/>
                </patternFill>
              </fill>
            </x14:dxf>
          </x14:cfRule>
          <xm:sqref>G57</xm:sqref>
        </x14:conditionalFormatting>
        <x14:conditionalFormatting xmlns:xm="http://schemas.microsoft.com/office/excel/2006/main">
          <x14:cfRule type="expression" priority="8" id="{8B39EBF5-3A68-464A-918E-B7D981FC2746}">
            <xm:f>'User inputs - run and wind farm'!$D$7&lt;&gt;3</xm:f>
            <x14:dxf>
              <font>
                <color theme="0" tint="-0.14996795556505021"/>
              </font>
              <fill>
                <patternFill>
                  <bgColor theme="0" tint="-0.14996795556505021"/>
                </patternFill>
              </fill>
            </x14:dxf>
          </x14:cfRule>
          <xm:sqref>G94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DF48-F1AF-47CA-BAFB-BE50D5396B73}">
  <dimension ref="A1:Y102"/>
  <sheetViews>
    <sheetView workbookViewId="0"/>
  </sheetViews>
  <sheetFormatPr defaultColWidth="8.7109375" defaultRowHeight="14.25" x14ac:dyDescent="0.2"/>
  <cols>
    <col min="1" max="1" width="5.140625" style="8" customWidth="1"/>
    <col min="2" max="2" width="9.42578125" style="8" customWidth="1"/>
    <col min="3" max="3" width="4" style="8" customWidth="1"/>
    <col min="4" max="4" width="77.140625" style="8" customWidth="1"/>
    <col min="5" max="6" width="10.42578125" style="8" customWidth="1"/>
    <col min="7" max="7" width="2.28515625" style="8" customWidth="1"/>
    <col min="8" max="9" width="10.42578125" style="8" customWidth="1"/>
    <col min="10" max="10" width="2.28515625" style="8" customWidth="1"/>
    <col min="11" max="12" width="10.42578125" style="8" customWidth="1"/>
    <col min="13" max="13" width="2.28515625" style="8" customWidth="1"/>
    <col min="14" max="15" width="10.42578125" style="8" customWidth="1"/>
    <col min="16" max="16" width="2.28515625" style="8" customWidth="1"/>
    <col min="17" max="18" width="10.42578125" style="8" customWidth="1"/>
    <col min="19" max="23" width="15.140625" style="8" customWidth="1"/>
    <col min="24" max="24" width="2.28515625" style="8" customWidth="1"/>
    <col min="25" max="25" width="15.140625" style="8" customWidth="1"/>
    <col min="26" max="16384" width="8.7109375" style="8"/>
  </cols>
  <sheetData>
    <row r="1" spans="1:25" ht="8.4499999999999993" customHeight="1" x14ac:dyDescent="0.2"/>
    <row r="2" spans="1:25" ht="75.599999999999994" customHeight="1" x14ac:dyDescent="0.2">
      <c r="B2" s="129" t="s">
        <v>271</v>
      </c>
      <c r="C2" s="129"/>
      <c r="D2" s="129"/>
      <c r="E2" s="129"/>
      <c r="F2" s="129"/>
      <c r="G2" s="129"/>
      <c r="H2" s="129"/>
      <c r="I2" s="129"/>
      <c r="J2" s="129"/>
      <c r="K2" s="129"/>
      <c r="L2" s="129"/>
      <c r="M2" s="129"/>
      <c r="N2" s="129"/>
      <c r="O2" s="129"/>
      <c r="P2" s="129"/>
      <c r="Q2" s="129"/>
      <c r="R2" s="129"/>
      <c r="S2" s="129"/>
      <c r="T2" s="129"/>
      <c r="U2" s="129"/>
      <c r="V2" s="63"/>
      <c r="W2" s="63"/>
      <c r="X2" s="63"/>
      <c r="Y2" s="63"/>
    </row>
    <row r="3" spans="1:25" ht="35.450000000000003" customHeight="1" x14ac:dyDescent="0.2">
      <c r="B3" s="62"/>
      <c r="C3" s="62"/>
      <c r="D3" s="62"/>
      <c r="E3" s="62"/>
      <c r="F3" s="62"/>
      <c r="G3" s="62"/>
      <c r="H3" s="62"/>
      <c r="I3" s="62"/>
      <c r="J3" s="62"/>
      <c r="K3" s="62"/>
      <c r="L3" s="62"/>
      <c r="M3" s="62"/>
      <c r="N3" s="62"/>
      <c r="O3" s="62"/>
      <c r="P3" s="62"/>
      <c r="Q3" s="62"/>
      <c r="R3" s="62"/>
      <c r="S3" s="62"/>
      <c r="T3" s="62"/>
      <c r="U3" s="62"/>
      <c r="V3" s="63"/>
      <c r="W3" s="63"/>
      <c r="X3" s="63"/>
      <c r="Y3" s="63"/>
    </row>
    <row r="4" spans="1:25" ht="13.5" customHeight="1" x14ac:dyDescent="0.2">
      <c r="A4" s="62"/>
      <c r="B4" s="62"/>
      <c r="C4" s="62"/>
      <c r="D4" s="62"/>
      <c r="E4" s="62"/>
      <c r="F4" s="62"/>
      <c r="G4" s="62"/>
      <c r="H4" s="62"/>
      <c r="I4" s="62"/>
      <c r="J4" s="62"/>
      <c r="K4" s="62"/>
      <c r="L4" s="62"/>
      <c r="M4" s="62"/>
      <c r="N4" s="62"/>
      <c r="O4" s="62"/>
      <c r="P4" s="62"/>
      <c r="Q4" s="62"/>
      <c r="R4" s="62"/>
      <c r="S4" s="62"/>
      <c r="T4" s="62"/>
      <c r="U4" s="62"/>
      <c r="V4" s="62"/>
      <c r="W4" s="62"/>
      <c r="X4" s="62"/>
      <c r="Y4" s="62"/>
    </row>
    <row r="5" spans="1:25" ht="16.5" customHeight="1" x14ac:dyDescent="0.3">
      <c r="D5" s="19" t="s">
        <v>259</v>
      </c>
    </row>
    <row r="6" spans="1:25" ht="9.9499999999999993" customHeight="1" x14ac:dyDescent="0.2"/>
    <row r="7" spans="1:25" ht="16.5" customHeight="1" x14ac:dyDescent="0.2">
      <c r="D7" s="95" t="s">
        <v>544</v>
      </c>
      <c r="E7" s="137"/>
      <c r="F7" s="138"/>
    </row>
    <row r="8" spans="1:25" ht="20.100000000000001" customHeight="1" x14ac:dyDescent="0.2"/>
    <row r="9" spans="1:25" ht="9.9499999999999993" customHeight="1" x14ac:dyDescent="0.2">
      <c r="B9" s="136" t="s">
        <v>266</v>
      </c>
      <c r="C9" s="71"/>
      <c r="D9" s="71"/>
      <c r="E9" s="71"/>
      <c r="F9" s="71"/>
      <c r="G9" s="71"/>
      <c r="H9" s="71"/>
      <c r="I9" s="71"/>
      <c r="J9" s="71"/>
      <c r="K9" s="71"/>
      <c r="L9" s="71"/>
      <c r="M9" s="71"/>
      <c r="N9" s="71"/>
      <c r="O9" s="71"/>
      <c r="P9" s="71"/>
      <c r="Q9" s="71"/>
      <c r="R9" s="71"/>
      <c r="S9" s="71"/>
      <c r="T9" s="71"/>
    </row>
    <row r="10" spans="1:25" ht="16.5" customHeight="1" x14ac:dyDescent="0.2">
      <c r="B10" s="132"/>
      <c r="D10" s="95" t="s">
        <v>597</v>
      </c>
      <c r="E10" s="137"/>
      <c r="F10" s="138"/>
    </row>
    <row r="11" spans="1:25" ht="9.9499999999999993" customHeight="1" x14ac:dyDescent="0.2">
      <c r="B11" s="132"/>
    </row>
    <row r="12" spans="1:25" ht="16.5" customHeight="1" x14ac:dyDescent="0.2">
      <c r="B12" s="132"/>
      <c r="D12" s="95" t="s">
        <v>543</v>
      </c>
      <c r="E12" s="137"/>
      <c r="F12" s="138"/>
    </row>
    <row r="13" spans="1:25" ht="9.9499999999999993" customHeight="1" x14ac:dyDescent="0.2">
      <c r="B13" s="132"/>
    </row>
    <row r="14" spans="1:25" ht="16.5" customHeight="1" x14ac:dyDescent="0.2">
      <c r="B14" s="132"/>
      <c r="D14" s="95" t="s">
        <v>542</v>
      </c>
      <c r="E14" s="137"/>
      <c r="F14" s="138"/>
    </row>
    <row r="15" spans="1:25" ht="9.9499999999999993" customHeight="1" x14ac:dyDescent="0.2">
      <c r="B15" s="132"/>
    </row>
    <row r="16" spans="1:25" ht="9.9499999999999993" customHeight="1" x14ac:dyDescent="0.2">
      <c r="B16" s="132"/>
    </row>
    <row r="17" spans="2:18" ht="16.5" customHeight="1" x14ac:dyDescent="0.3">
      <c r="B17" s="132"/>
      <c r="D17" s="19" t="s">
        <v>260</v>
      </c>
    </row>
    <row r="18" spans="2:18" ht="9.9499999999999993" customHeight="1" x14ac:dyDescent="0.2">
      <c r="B18" s="132"/>
    </row>
    <row r="19" spans="2:18" ht="16.5" customHeight="1" x14ac:dyDescent="0.2">
      <c r="B19" s="132"/>
      <c r="E19" s="134" t="s">
        <v>16</v>
      </c>
      <c r="F19" s="134"/>
      <c r="H19" s="134" t="s">
        <v>13</v>
      </c>
      <c r="I19" s="134"/>
      <c r="K19" s="134" t="s">
        <v>14</v>
      </c>
      <c r="L19" s="134"/>
      <c r="N19" s="134" t="s">
        <v>12</v>
      </c>
      <c r="O19" s="134"/>
      <c r="Q19" s="134" t="s">
        <v>15</v>
      </c>
      <c r="R19" s="134"/>
    </row>
    <row r="20" spans="2:18" ht="9.9499999999999993" customHeight="1" x14ac:dyDescent="0.2">
      <c r="B20" s="132"/>
    </row>
    <row r="21" spans="2:18" ht="16.5" customHeight="1" x14ac:dyDescent="0.2">
      <c r="B21" s="132"/>
      <c r="D21" s="95" t="s">
        <v>546</v>
      </c>
      <c r="E21" s="137"/>
      <c r="F21" s="138"/>
      <c r="H21" s="137"/>
      <c r="I21" s="138"/>
      <c r="K21" s="137"/>
      <c r="L21" s="138"/>
      <c r="N21" s="137"/>
      <c r="O21" s="138"/>
      <c r="Q21" s="137"/>
      <c r="R21" s="138"/>
    </row>
    <row r="22" spans="2:18" ht="9.9499999999999993" customHeight="1" x14ac:dyDescent="0.2">
      <c r="B22" s="132"/>
    </row>
    <row r="23" spans="2:18" ht="9.9499999999999993" customHeight="1" x14ac:dyDescent="0.2">
      <c r="B23" s="132"/>
    </row>
    <row r="24" spans="2:18" ht="16.5" customHeight="1" x14ac:dyDescent="0.2">
      <c r="B24" s="132"/>
      <c r="D24" s="24" t="s">
        <v>557</v>
      </c>
      <c r="E24" s="119"/>
      <c r="F24" s="116">
        <f>IF(E7="No",1,IF($E$10="Yes",E24,1))</f>
        <v>1</v>
      </c>
      <c r="H24" s="117"/>
      <c r="I24" s="116">
        <f>IF(E7="No",1,IF($E$10="Yes",H24,1))</f>
        <v>1</v>
      </c>
      <c r="K24" s="117"/>
      <c r="L24" s="116">
        <f>IF(E7="No",1,IF($E$10="Yes",K24,1))</f>
        <v>1</v>
      </c>
      <c r="N24" s="117"/>
      <c r="O24" s="116">
        <f>IF(E7="No",1,IF($E$10="Yes",N24,1))</f>
        <v>1</v>
      </c>
      <c r="Q24" s="117"/>
      <c r="R24" s="116">
        <f>IF(E7="No",1,IF($E$10="Yes",Q24,1))</f>
        <v>1</v>
      </c>
    </row>
    <row r="25" spans="2:18" ht="16.5" customHeight="1" x14ac:dyDescent="0.2">
      <c r="B25" s="132"/>
      <c r="D25" s="24" t="s">
        <v>547</v>
      </c>
      <c r="E25" s="119"/>
      <c r="F25" s="116">
        <f>IF(E7="No",1,IF(E12="No",1,IF(E12="",1,IF(E12="Yes - tool default",'Default parameters'!$H$19,'User inputs - bird populations'!E25))))</f>
        <v>1</v>
      </c>
      <c r="H25" s="119"/>
      <c r="I25" s="116">
        <f>IF(E7="No",1,IF(E12="No",1,IF(E12="",1,IF(E12="Yes - tool default",'Default parameters'!$I$19,'User inputs - bird populations'!H25))))</f>
        <v>1</v>
      </c>
      <c r="K25" s="119"/>
      <c r="L25" s="116">
        <f>IF(E7="No",1,IF(E12="No",1,IF(E12="",1,IF(E12="Yes - tool default",'Default parameters'!$J$19,'User inputs - bird populations'!K25))))</f>
        <v>1</v>
      </c>
      <c r="N25" s="119"/>
      <c r="O25" s="116">
        <f>IF(E7="No",1,IF(E12="No",1,IF(E12="",1,IF(E12="Yes - tool default",'Default parameters'!$K$19,'User inputs - bird populations'!N25))))</f>
        <v>1</v>
      </c>
      <c r="Q25" s="119"/>
      <c r="R25" s="116">
        <f>IF(E7="No",1,IF(E12="No",1,IF(E12="",1,IF(E12="Yes - tool default",'Default parameters'!$L$19,'User inputs - bird populations'!Q25))))</f>
        <v>1</v>
      </c>
    </row>
    <row r="26" spans="2:18" ht="16.5" customHeight="1" x14ac:dyDescent="0.2">
      <c r="B26" s="132"/>
      <c r="D26" s="24" t="s">
        <v>548</v>
      </c>
      <c r="E26" s="119"/>
      <c r="F26" s="116">
        <f>IF(E7="No",1,IF(E14="No",1,IF(E14="",1,IF(E14="Yes - tool default",(1-'Default parameters'!$H$20),'User inputs - bird populations'!E26))))</f>
        <v>1</v>
      </c>
      <c r="H26" s="119"/>
      <c r="I26" s="116">
        <f>IF(E7="No",1,IF(E14="No",1,IF(E14="",1,IF(E14="Yes - tool default",(1-'Default parameters'!$I$20),'User inputs - bird populations'!H26))))</f>
        <v>1</v>
      </c>
      <c r="K26" s="119"/>
      <c r="L26" s="116">
        <f>IF(E7="No",1,IF(E14="No",1,IF(E14="",1,IF(E14="Yes - tool default",(1-'Default parameters'!$J$20),'User inputs - bird populations'!K26))))</f>
        <v>1</v>
      </c>
      <c r="N26" s="119"/>
      <c r="O26" s="116">
        <f>IF(E7="No",1,IF(E14="No",1,IF(E14="",1,IF(E14="Yes - tool default",(1-'Default parameters'!$K$20),'User inputs - bird populations'!N26))))</f>
        <v>1</v>
      </c>
      <c r="Q26" s="119"/>
      <c r="R26" s="116">
        <f>IF(E7="No",1,IF(E14="No",1,IF(E14="",1,IF(E14="Yes - tool default",(1-'Default parameters'!$L$20),'User inputs - bird populations'!Q26))))</f>
        <v>1</v>
      </c>
    </row>
    <row r="27" spans="2:18" ht="16.5" customHeight="1" x14ac:dyDescent="0.2">
      <c r="B27" s="132"/>
    </row>
    <row r="28" spans="2:18" ht="16.5" customHeight="1" x14ac:dyDescent="0.2">
      <c r="B28" s="132"/>
      <c r="D28" s="24" t="s">
        <v>553</v>
      </c>
      <c r="E28" s="101"/>
      <c r="F28" s="101"/>
      <c r="H28" s="101"/>
      <c r="I28" s="101"/>
      <c r="K28" s="117"/>
      <c r="L28" s="116">
        <f>IF(E7="No",1,IF($E$10="Yes",K28,1))</f>
        <v>1</v>
      </c>
      <c r="N28" s="117"/>
      <c r="O28" s="116">
        <f>IF(E7="No",1,IF($E$10="Yes",N28,1))</f>
        <v>1</v>
      </c>
      <c r="Q28" s="117"/>
      <c r="R28" s="116">
        <f>IF(E7="No",1,IF($E$10="Yes",Q28,1))</f>
        <v>1</v>
      </c>
    </row>
    <row r="29" spans="2:18" ht="16.5" customHeight="1" x14ac:dyDescent="0.2">
      <c r="B29" s="132"/>
      <c r="D29" s="24" t="s">
        <v>527</v>
      </c>
      <c r="E29" s="101"/>
      <c r="F29" s="101"/>
      <c r="H29" s="101"/>
      <c r="I29" s="101"/>
      <c r="K29" s="119"/>
      <c r="L29" s="116">
        <f>IF(E7="No",1,IF(E12="No",1,IF(E12="",1,IF(E12="Yes - tool default",'Default parameters'!J19,'User inputs - bird populations'!K29))))</f>
        <v>1</v>
      </c>
      <c r="N29" s="119"/>
      <c r="O29" s="116">
        <f>IF(E7="No",1,IF(E12="No",1,IF(E12="",1,IF(E12="Yes - tool default",'Default parameters'!K19,'User inputs - bird populations'!$N$29))))</f>
        <v>1</v>
      </c>
      <c r="Q29" s="119"/>
      <c r="R29" s="116">
        <f>IF(E7="No",1,IF(E12="No",1,IF(E12="",1,IF(E12="Yes - tool default",'Default parameters'!$L$19,'User inputs - bird populations'!$Q$29))))</f>
        <v>1</v>
      </c>
    </row>
    <row r="30" spans="2:18" ht="16.5" customHeight="1" x14ac:dyDescent="0.2">
      <c r="B30" s="132"/>
      <c r="D30" s="24" t="s">
        <v>528</v>
      </c>
      <c r="E30" s="101"/>
      <c r="F30" s="101"/>
      <c r="H30" s="101"/>
      <c r="I30" s="101"/>
      <c r="K30" s="119"/>
      <c r="L30" s="116">
        <f>IF(E7="No",1,IF(E14="No",1,IF(E14="",1,IF(E14="Yes - tool default",(1-'Default parameters'!J20),'User inputs - bird populations'!K30))))</f>
        <v>1</v>
      </c>
      <c r="N30" s="119"/>
      <c r="O30" s="116">
        <f>IF(E7="No",1,IF(E14="No",1,IF(E14="",1,IF(E14="Yes - tool default",(1-'Default parameters'!K20),'User inputs - bird populations'!$N$30))))</f>
        <v>1</v>
      </c>
      <c r="Q30" s="119"/>
      <c r="R30" s="116">
        <f>IF(E7="No",1,IF(E14="No",1,IF(E14="",1,IF(E14="Yes - tool default",(1-'Default parameters'!$L$20),'User inputs - bird populations'!$Q$30))))</f>
        <v>1</v>
      </c>
    </row>
    <row r="31" spans="2:18" ht="16.5" customHeight="1" x14ac:dyDescent="0.2">
      <c r="B31" s="132"/>
      <c r="D31" s="24"/>
    </row>
    <row r="32" spans="2:18" ht="16.5" customHeight="1" x14ac:dyDescent="0.2">
      <c r="B32" s="132"/>
      <c r="D32" s="24" t="s">
        <v>554</v>
      </c>
      <c r="E32" s="117"/>
      <c r="F32" s="116">
        <f>IF(E7="No",1,IF($E$10="Yes",E32,1))</f>
        <v>1</v>
      </c>
      <c r="H32" s="117"/>
      <c r="I32" s="116">
        <f>IF(E7="No",1,IF($E$10="Yes",H32,1))</f>
        <v>1</v>
      </c>
      <c r="K32" s="101"/>
      <c r="L32" s="101"/>
      <c r="N32" s="117"/>
      <c r="O32" s="116">
        <f>IF(E7="No",1,IF($E$10="Yes",N32,1))</f>
        <v>1</v>
      </c>
      <c r="Q32" s="101"/>
      <c r="R32" s="101"/>
    </row>
    <row r="33" spans="2:20" ht="16.5" customHeight="1" x14ac:dyDescent="0.2">
      <c r="B33" s="132"/>
      <c r="D33" s="24" t="s">
        <v>529</v>
      </c>
      <c r="E33" s="119"/>
      <c r="F33" s="116">
        <f>IF(E7="No",1,IF(E12="No",1,IF(E12="",1,IF(E12="Yes - tool default",'Default parameters'!$H$19,'User inputs - bird populations'!$E$33))))</f>
        <v>1</v>
      </c>
      <c r="H33" s="119"/>
      <c r="I33" s="116">
        <f>IF(E7="No",1,IF(E12="No",1,IF(E12="",1,IF(E12="Yes - tool default",'Default parameters'!$I$19,'User inputs - bird populations'!H33))))</f>
        <v>1</v>
      </c>
      <c r="K33" s="101"/>
      <c r="L33" s="101"/>
      <c r="N33" s="119"/>
      <c r="O33" s="116">
        <f>IF(E7="No",1,IF(E12="No",1,IF(E12="",1,IF(E12="Yes - tool default",'Default parameters'!$K$19,'User inputs - bird populations'!N33))))</f>
        <v>1</v>
      </c>
      <c r="Q33" s="101"/>
      <c r="R33" s="101"/>
    </row>
    <row r="34" spans="2:20" ht="16.5" customHeight="1" x14ac:dyDescent="0.2">
      <c r="B34" s="132"/>
      <c r="D34" s="24" t="s">
        <v>530</v>
      </c>
      <c r="E34" s="119"/>
      <c r="F34" s="116">
        <f>IF(E7="No",1,IF(E14="No",1,IF(E14="",1,IF(E14="Yes - tool default",(1-'Default parameters'!$H$20),'User inputs - bird populations'!$E$34))))</f>
        <v>1</v>
      </c>
      <c r="H34" s="119"/>
      <c r="I34" s="116">
        <f>IF(E7="No",1,IF(E14="No",1,IF(E14="",1,IF(E14="Yes - tool default",(1-'Default parameters'!I20),'User inputs - bird populations'!H34))))</f>
        <v>1</v>
      </c>
      <c r="K34" s="101"/>
      <c r="L34" s="101"/>
      <c r="N34" s="119"/>
      <c r="O34" s="116">
        <f>IF(E7="No",1,IF(E14="No",1,IF(E14="",1,IF(E14="Yes - tool default",(1-'Default parameters'!$K$20),'User inputs - bird populations'!N34))))</f>
        <v>1</v>
      </c>
      <c r="Q34" s="101"/>
      <c r="R34" s="101"/>
    </row>
    <row r="35" spans="2:20" ht="16.5" customHeight="1" x14ac:dyDescent="0.2">
      <c r="B35" s="132"/>
      <c r="D35" s="68"/>
    </row>
    <row r="36" spans="2:20" ht="16.5" customHeight="1" x14ac:dyDescent="0.2">
      <c r="B36" s="132"/>
      <c r="D36" s="24" t="s">
        <v>555</v>
      </c>
      <c r="E36" s="117"/>
      <c r="F36" s="116">
        <f>IF(E7="No",1,IF($E$10="Yes",E36,1))</f>
        <v>1</v>
      </c>
      <c r="H36" s="117"/>
      <c r="I36" s="116">
        <f>IF(E7="No",1,IF($E$10="Yes",H36,1))</f>
        <v>1</v>
      </c>
      <c r="K36" s="101"/>
      <c r="L36" s="101"/>
      <c r="N36" s="117"/>
      <c r="O36" s="116">
        <f>IF(E7="No",1,IF($E$10="Yes",N36,1))</f>
        <v>1</v>
      </c>
      <c r="Q36" s="101"/>
      <c r="R36" s="101"/>
    </row>
    <row r="37" spans="2:20" ht="16.5" customHeight="1" x14ac:dyDescent="0.2">
      <c r="B37" s="132"/>
      <c r="D37" s="24" t="s">
        <v>531</v>
      </c>
      <c r="E37" s="119"/>
      <c r="F37" s="116">
        <f>IF(E7="No",1,IF(E12="No",1,IF(E12="",1,IF(E12="Yes - tool default",'Default parameters'!$H$19,'User inputs - bird populations'!$E$37))))</f>
        <v>1</v>
      </c>
      <c r="H37" s="119"/>
      <c r="I37" s="116">
        <f>IF(E7="No",1,IF(E12="No",1,IF(E12="",1,IF(E12="Yes - tool default",'Default parameters'!$I$19,'User inputs - bird populations'!H37))))</f>
        <v>1</v>
      </c>
      <c r="K37" s="101"/>
      <c r="L37" s="101"/>
      <c r="N37" s="119"/>
      <c r="O37" s="116">
        <f>IF(E7="No",1,IF(E12="No",1,IF(E12="",1,IF(E12="Yes - tool default",'Default parameters'!$K$19,'User inputs - bird populations'!N37))))</f>
        <v>1</v>
      </c>
      <c r="Q37" s="101"/>
      <c r="R37" s="101"/>
    </row>
    <row r="38" spans="2:20" ht="16.5" customHeight="1" x14ac:dyDescent="0.2">
      <c r="B38" s="132"/>
      <c r="D38" s="24" t="s">
        <v>532</v>
      </c>
      <c r="E38" s="119"/>
      <c r="F38" s="116">
        <f>IF(E7="No",1,IF(E14="No",1,IF(E14="",1,IF(E14="Yes - tool default",(1-'Default parameters'!$H$20),'User inputs - bird populations'!$E$38))))</f>
        <v>1</v>
      </c>
      <c r="H38" s="119"/>
      <c r="I38" s="116">
        <f>IF(E7="No",1,IF(E14="No",1,IF(E14="",1,IF(E14="Yes - tool default",(1-'Default parameters'!$I$20),'User inputs - bird populations'!H38))))</f>
        <v>1</v>
      </c>
      <c r="K38" s="101"/>
      <c r="L38" s="101"/>
      <c r="N38" s="119"/>
      <c r="O38" s="116">
        <f>IF(E7="No",1,IF(E14="No",1,IF(E14="",1,IF(E14="Yes - tool default",(1-'Default parameters'!$K$20),'User inputs - bird populations'!N38))))</f>
        <v>1</v>
      </c>
      <c r="Q38" s="101"/>
      <c r="R38" s="101"/>
    </row>
    <row r="39" spans="2:20" ht="20.100000000000001" customHeight="1" x14ac:dyDescent="0.2">
      <c r="B39" s="132"/>
      <c r="H39" s="95"/>
      <c r="I39" s="95"/>
    </row>
    <row r="40" spans="2:20" ht="9.9499999999999993" customHeight="1" x14ac:dyDescent="0.2">
      <c r="B40" s="136" t="s">
        <v>267</v>
      </c>
      <c r="C40" s="71"/>
      <c r="D40" s="71"/>
      <c r="E40" s="71"/>
      <c r="F40" s="71"/>
      <c r="G40" s="71"/>
      <c r="H40" s="71"/>
      <c r="I40" s="71"/>
      <c r="J40" s="71"/>
      <c r="K40" s="71"/>
      <c r="L40" s="71"/>
      <c r="M40" s="71"/>
      <c r="N40" s="71"/>
      <c r="O40" s="71"/>
      <c r="P40" s="71"/>
      <c r="Q40" s="71"/>
      <c r="R40" s="71"/>
      <c r="S40" s="71"/>
      <c r="T40" s="71"/>
    </row>
    <row r="41" spans="2:20" ht="16.5" customHeight="1" x14ac:dyDescent="0.2">
      <c r="B41" s="132"/>
      <c r="D41" s="95" t="s">
        <v>595</v>
      </c>
      <c r="E41" s="137"/>
      <c r="F41" s="138"/>
    </row>
    <row r="42" spans="2:20" ht="9.9499999999999993" customHeight="1" x14ac:dyDescent="0.2">
      <c r="B42" s="132"/>
    </row>
    <row r="43" spans="2:20" ht="16.5" customHeight="1" x14ac:dyDescent="0.2">
      <c r="B43" s="132"/>
      <c r="D43" s="95" t="s">
        <v>257</v>
      </c>
      <c r="E43" s="137"/>
      <c r="F43" s="138"/>
    </row>
    <row r="44" spans="2:20" ht="9.9499999999999993" customHeight="1" x14ac:dyDescent="0.2">
      <c r="B44" s="132"/>
    </row>
    <row r="45" spans="2:20" ht="16.5" customHeight="1" x14ac:dyDescent="0.2">
      <c r="B45" s="132"/>
      <c r="D45" s="95" t="s">
        <v>545</v>
      </c>
      <c r="E45" s="137"/>
      <c r="F45" s="138"/>
    </row>
    <row r="46" spans="2:20" ht="9.9499999999999993" customHeight="1" x14ac:dyDescent="0.2">
      <c r="B46" s="132"/>
    </row>
    <row r="47" spans="2:20" ht="9.9499999999999993" customHeight="1" x14ac:dyDescent="0.2">
      <c r="B47" s="132"/>
    </row>
    <row r="48" spans="2:20" ht="16.5" customHeight="1" x14ac:dyDescent="0.3">
      <c r="B48" s="132"/>
      <c r="D48" s="19" t="s">
        <v>260</v>
      </c>
    </row>
    <row r="49" spans="2:18" ht="9.9499999999999993" customHeight="1" x14ac:dyDescent="0.2">
      <c r="B49" s="132"/>
    </row>
    <row r="50" spans="2:18" ht="16.5" customHeight="1" x14ac:dyDescent="0.2">
      <c r="B50" s="132"/>
      <c r="E50" s="134" t="s">
        <v>16</v>
      </c>
      <c r="F50" s="134"/>
      <c r="H50" s="134" t="s">
        <v>13</v>
      </c>
      <c r="I50" s="134"/>
      <c r="K50" s="134" t="s">
        <v>14</v>
      </c>
      <c r="L50" s="134"/>
      <c r="N50" s="134" t="s">
        <v>12</v>
      </c>
      <c r="O50" s="134"/>
      <c r="Q50" s="134" t="s">
        <v>15</v>
      </c>
      <c r="R50" s="134"/>
    </row>
    <row r="51" spans="2:18" ht="9.9499999999999993" customHeight="1" x14ac:dyDescent="0.2">
      <c r="B51" s="132"/>
    </row>
    <row r="52" spans="2:18" ht="16.5" customHeight="1" x14ac:dyDescent="0.2">
      <c r="B52" s="132"/>
      <c r="D52" s="95" t="s">
        <v>19</v>
      </c>
      <c r="E52" s="137"/>
      <c r="F52" s="138"/>
      <c r="H52" s="137"/>
      <c r="I52" s="138"/>
      <c r="K52" s="137"/>
      <c r="L52" s="138"/>
      <c r="N52" s="137"/>
      <c r="O52" s="138"/>
      <c r="Q52" s="137"/>
      <c r="R52" s="138"/>
    </row>
    <row r="53" spans="2:18" ht="9.9499999999999993" customHeight="1" x14ac:dyDescent="0.2">
      <c r="B53" s="132"/>
    </row>
    <row r="54" spans="2:18" ht="9.9499999999999993" customHeight="1" x14ac:dyDescent="0.2">
      <c r="B54" s="132"/>
    </row>
    <row r="55" spans="2:18" ht="16.5" customHeight="1" x14ac:dyDescent="0.2">
      <c r="B55" s="132"/>
      <c r="D55" s="24" t="s">
        <v>556</v>
      </c>
      <c r="E55" s="119"/>
      <c r="F55" s="116">
        <f>IF(E7="No",1,IF($E$41="Yes",E55,1))</f>
        <v>1</v>
      </c>
      <c r="H55" s="119"/>
      <c r="I55" s="116">
        <f>IF(E7="No",1,IF($E$41="Yes",H55,1))</f>
        <v>1</v>
      </c>
      <c r="K55" s="119"/>
      <c r="L55" s="116">
        <f>IF(E7="No",1,IF($E$41="Yes",K55,1))</f>
        <v>1</v>
      </c>
      <c r="N55" s="117"/>
      <c r="O55" s="116">
        <f>IF(E7="No",1,IF($E$41="Yes",N55,1))</f>
        <v>1</v>
      </c>
      <c r="Q55" s="117"/>
      <c r="R55" s="116">
        <f>IF(E7="No",1,IF($E$41="Yes",Q55,1))</f>
        <v>1</v>
      </c>
    </row>
    <row r="56" spans="2:18" ht="16.5" customHeight="1" x14ac:dyDescent="0.2">
      <c r="B56" s="132"/>
      <c r="D56" s="24" t="s">
        <v>526</v>
      </c>
      <c r="E56" s="119"/>
      <c r="F56" s="116">
        <f>IF(E7="No",1,IF(E43="No",1,IF(E43="",1,IF(E43="Yes - tool default",'Default parameters'!$H$19,'User inputs - bird populations'!E56))))</f>
        <v>1</v>
      </c>
      <c r="H56" s="119"/>
      <c r="I56" s="116">
        <f>IF(E7="No",1,IF(E43="No",1,IF(E43="",1,IF(E43="Yes - tool default",'Default parameters'!$I$19,'User inputs - bird populations'!H56))))</f>
        <v>1</v>
      </c>
      <c r="K56" s="119"/>
      <c r="L56" s="116">
        <f>IF(E7="No",1,IF(E43="No",1,IF(E43="",1,IF(E43="Yes - tool default",'Default parameters'!$J$19,'User inputs - bird populations'!K56))))</f>
        <v>1</v>
      </c>
      <c r="N56" s="119"/>
      <c r="O56" s="116">
        <f>IF(E7="No",1,IF(E43="No",1,IF(E43="",1,IF(E43="Yes - tool default",'Default parameters'!$K$19,'User inputs - bird populations'!N56))))</f>
        <v>1</v>
      </c>
      <c r="Q56" s="119"/>
      <c r="R56" s="116">
        <f>IF(E7="No",1,IF(E43="No",1,IF(E43="",1,IF(E43="Yes - tool default",'Default parameters'!$L$19,'User inputs - bird populations'!Q56))))</f>
        <v>1</v>
      </c>
    </row>
    <row r="57" spans="2:18" ht="16.5" customHeight="1" x14ac:dyDescent="0.2">
      <c r="B57" s="132"/>
      <c r="D57" s="24" t="s">
        <v>533</v>
      </c>
      <c r="E57" s="119"/>
      <c r="F57" s="116">
        <f>IF(E7="No",1,IF(E45="No",1,IF(E45="",1,IF(E45="Yes - tool default",(1-'Default parameters'!$H$20),'User inputs - bird populations'!E57))))</f>
        <v>1</v>
      </c>
      <c r="H57" s="119"/>
      <c r="I57" s="116">
        <f>IF(E7="No",1,IF(E45="No",1,IF(E45="",1,IF(E45="Yes - tool default",(1-'Default parameters'!$I$20),'User inputs - bird populations'!H57))))</f>
        <v>1</v>
      </c>
      <c r="K57" s="119"/>
      <c r="L57" s="116">
        <f>IF(E7="No",1,IF(E45="No",1,IF(E45="",1,IF(E45="Yes - tool default",(1-'Default parameters'!$J$20),'User inputs - bird populations'!K57))))</f>
        <v>1</v>
      </c>
      <c r="N57" s="119"/>
      <c r="O57" s="116">
        <f>IF(E7="No",1,IF(E45="No",1,IF(E45="",1,IF(E45="Yes - tool default",(1-'Default parameters'!$K$20),'User inputs - bird populations'!N57))))</f>
        <v>1</v>
      </c>
      <c r="Q57" s="119"/>
      <c r="R57" s="116">
        <f>IF(E7="No",1,IF(E45="No",1,IF(E45="",1,IF(E45="Yes - tool default",(1-'Default parameters'!$L$20),'User inputs - bird populations'!Q57))))</f>
        <v>1</v>
      </c>
    </row>
    <row r="58" spans="2:18" ht="16.5" customHeight="1" x14ac:dyDescent="0.2">
      <c r="B58" s="132"/>
    </row>
    <row r="59" spans="2:18" ht="16.5" customHeight="1" x14ac:dyDescent="0.2">
      <c r="B59" s="132"/>
      <c r="D59" s="24" t="s">
        <v>553</v>
      </c>
      <c r="E59" s="101"/>
      <c r="F59" s="101"/>
      <c r="H59" s="101"/>
      <c r="I59" s="101"/>
      <c r="K59" s="117"/>
      <c r="L59" s="116">
        <f>IF(E7="No",1,IF($E$41="Yes",K59,1))</f>
        <v>1</v>
      </c>
      <c r="N59" s="117"/>
      <c r="O59" s="116">
        <f>IF(E7="No",1,IF($E$41="Yes",N59,1))</f>
        <v>1</v>
      </c>
      <c r="Q59" s="117"/>
      <c r="R59" s="116">
        <f>IF(E7="No",1,IF($E$41="Yes",Q59,1))</f>
        <v>1</v>
      </c>
    </row>
    <row r="60" spans="2:18" ht="16.5" customHeight="1" x14ac:dyDescent="0.2">
      <c r="B60" s="132"/>
      <c r="D60" s="24" t="s">
        <v>527</v>
      </c>
      <c r="E60" s="101"/>
      <c r="F60" s="101"/>
      <c r="H60" s="101"/>
      <c r="I60" s="101"/>
      <c r="K60" s="119"/>
      <c r="L60" s="116">
        <f>IF(E7="No",1,IF(E43="No",1,IF(E43="",1,IF(E43="Yes - tool default",'Default parameters'!$J$19,'User inputs - bird populations'!K60))))</f>
        <v>1</v>
      </c>
      <c r="N60" s="119"/>
      <c r="O60" s="116">
        <f>IF(E7="No",1,IF(E43="No",1,IF(E43="",1,IF(E43="Yes - tool default",'Default parameters'!$K$19,'User inputs - bird populations'!N60))))</f>
        <v>1</v>
      </c>
      <c r="Q60" s="119"/>
      <c r="R60" s="116">
        <f>IF(E7="No",1,IF(E43="No",1,IF(E43="",1,IF(E43="Yes - tool default",'Default parameters'!$L$19,'User inputs - bird populations'!Q60))))</f>
        <v>1</v>
      </c>
    </row>
    <row r="61" spans="2:18" ht="16.5" customHeight="1" x14ac:dyDescent="0.2">
      <c r="B61" s="132"/>
      <c r="D61" s="24" t="s">
        <v>528</v>
      </c>
      <c r="E61" s="101"/>
      <c r="F61" s="101"/>
      <c r="H61" s="101"/>
      <c r="I61" s="101"/>
      <c r="K61" s="119"/>
      <c r="L61" s="116">
        <f>IF(E7="No",1,IF(E45="No",1,IF(E45="",1,IF(E45="Yes - tool default",(1-'Default parameters'!$J$20),'User inputs - bird populations'!K61))))</f>
        <v>1</v>
      </c>
      <c r="N61" s="119"/>
      <c r="O61" s="116">
        <f>IF(E7="No",1,IF(E45="No",1,IF(E45="",1,IF(E45="Yes - tool default",(1-'Default parameters'!$K$20),'User inputs - bird populations'!N61))))</f>
        <v>1</v>
      </c>
      <c r="Q61" s="119"/>
      <c r="R61" s="116">
        <f>IF(E7="No",1,IF(E45="No",1,IF(E45="",1,IF(E45="Yes - tool default",(1-'Default parameters'!$L$20),'User inputs - bird populations'!Q61))))</f>
        <v>1</v>
      </c>
    </row>
    <row r="62" spans="2:18" ht="16.5" customHeight="1" x14ac:dyDescent="0.2">
      <c r="B62" s="132"/>
      <c r="D62" s="24"/>
    </row>
    <row r="63" spans="2:18" ht="16.5" customHeight="1" x14ac:dyDescent="0.2">
      <c r="B63" s="132"/>
      <c r="D63" s="24" t="s">
        <v>554</v>
      </c>
      <c r="E63" s="117"/>
      <c r="F63" s="116">
        <f>IF(E7="No",1,IF($E$41="Yes",E63,1))</f>
        <v>1</v>
      </c>
      <c r="H63" s="119"/>
      <c r="I63" s="116">
        <f>IF(E7="No",1,IF($E$41="Yes",H63,1))</f>
        <v>1</v>
      </c>
      <c r="K63" s="101"/>
      <c r="L63" s="101"/>
      <c r="N63" s="117"/>
      <c r="O63" s="116">
        <f>IF(E7="No",1,IF($E$41="Yes",N63,1))</f>
        <v>1</v>
      </c>
      <c r="Q63" s="101"/>
      <c r="R63" s="101"/>
    </row>
    <row r="64" spans="2:18" ht="16.5" customHeight="1" x14ac:dyDescent="0.2">
      <c r="B64" s="132"/>
      <c r="D64" s="24" t="s">
        <v>529</v>
      </c>
      <c r="E64" s="117"/>
      <c r="F64" s="116">
        <f>IF(E7="No",1,IF(E43="No",1,IF(E43="",1,IF(E43="Yes - tool default",'Default parameters'!$H$19,'User inputs - bird populations'!$E$33))))</f>
        <v>1</v>
      </c>
      <c r="H64" s="119"/>
      <c r="I64" s="116">
        <f>IF(E7="No",1,IF(E43="No",1,IF(E43="",1,IF(E43="Yes - tool default",'Default parameters'!$I$19,'User inputs - bird populations'!H64))))</f>
        <v>1</v>
      </c>
      <c r="K64" s="101"/>
      <c r="L64" s="101"/>
      <c r="N64" s="119"/>
      <c r="O64" s="116">
        <f>IF(E7="No",1,IF(E43="No",1,IF(E43="",1,IF(E43="Yes - tool default",'Default parameters'!$K$19,'User inputs - bird populations'!N64))))</f>
        <v>1</v>
      </c>
      <c r="Q64" s="101"/>
      <c r="R64" s="101"/>
    </row>
    <row r="65" spans="2:20" ht="16.5" customHeight="1" x14ac:dyDescent="0.2">
      <c r="B65" s="132"/>
      <c r="D65" s="24" t="s">
        <v>530</v>
      </c>
      <c r="E65" s="117"/>
      <c r="F65" s="116">
        <f>IF(E7="No",1,IF(E45="No",1,IF(E45="",1,IF(E45="Yes - tool default",(1-'Default parameters'!$H$20),'User inputs - bird populations'!$E$34))))</f>
        <v>1</v>
      </c>
      <c r="H65" s="119"/>
      <c r="I65" s="116">
        <f>IF(E7="No",1,IF(E45="No",1,IF(E45="",1,IF(E45="Yes - tool default",(1-'Default parameters'!$I$20),'User inputs - bird populations'!H65))))</f>
        <v>1</v>
      </c>
      <c r="K65" s="101"/>
      <c r="L65" s="101"/>
      <c r="N65" s="119"/>
      <c r="O65" s="116">
        <f>IF(E7="No",1,IF(E45="No",1,IF(E45="",1,IF(E45="Yes - tool default",(1-'Default parameters'!$K$20),'User inputs - bird populations'!N65))))</f>
        <v>1</v>
      </c>
      <c r="Q65" s="101"/>
      <c r="R65" s="101"/>
    </row>
    <row r="66" spans="2:20" ht="16.5" customHeight="1" x14ac:dyDescent="0.2">
      <c r="B66" s="132"/>
      <c r="D66" s="68"/>
    </row>
    <row r="67" spans="2:20" ht="16.5" customHeight="1" x14ac:dyDescent="0.2">
      <c r="B67" s="132"/>
      <c r="D67" s="24" t="s">
        <v>555</v>
      </c>
      <c r="E67" s="117"/>
      <c r="F67" s="116">
        <f>IF(E7="No",1,IF($E$41="Yes",E67,1))</f>
        <v>1</v>
      </c>
      <c r="H67" s="119"/>
      <c r="I67" s="116">
        <f>IF(E7="No",1,IF($E$41="Yes",H67,1))</f>
        <v>1</v>
      </c>
      <c r="K67" s="101"/>
      <c r="L67" s="101"/>
      <c r="N67" s="117"/>
      <c r="O67" s="116">
        <f>IF(E7="No",1,IF($E$41="Yes",N67,1))</f>
        <v>1</v>
      </c>
      <c r="Q67" s="101"/>
      <c r="R67" s="101"/>
    </row>
    <row r="68" spans="2:20" ht="16.5" customHeight="1" x14ac:dyDescent="0.2">
      <c r="B68" s="132"/>
      <c r="D68" s="24" t="s">
        <v>531</v>
      </c>
      <c r="E68" s="117"/>
      <c r="F68" s="116">
        <f>IF(E7="No",1,IF(E43="No",1,IF(E43="",1,IF(E43="Yes - tool default",'Default parameters'!$H$19,'User inputs - bird populations'!$E$37))))</f>
        <v>1</v>
      </c>
      <c r="H68" s="119"/>
      <c r="I68" s="116">
        <f>IF(E7="No",1,IF(E43="No",1,IF(E43="",1,IF(E43="Yes - tool default",'Default parameters'!$I$19,'User inputs - bird populations'!H68))))</f>
        <v>1</v>
      </c>
      <c r="K68" s="101"/>
      <c r="L68" s="101"/>
      <c r="N68" s="119"/>
      <c r="O68" s="116">
        <f>IF(E7="No",1,IF(E43="No",1,IF(E43="",1,IF(E43="Yes - tool default",'Default parameters'!$K$19,'User inputs - bird populations'!N68))))</f>
        <v>1</v>
      </c>
      <c r="Q68" s="101"/>
      <c r="R68" s="101"/>
    </row>
    <row r="69" spans="2:20" ht="16.5" customHeight="1" x14ac:dyDescent="0.2">
      <c r="B69" s="132"/>
      <c r="D69" s="24" t="s">
        <v>532</v>
      </c>
      <c r="E69" s="117"/>
      <c r="F69" s="116">
        <f>IF(E7="No",1,IF(E45="No",1,IF(E45="",1,IF(E45="Yes - tool default",(1-'Default parameters'!$H$20),'User inputs - bird populations'!$E$38))))</f>
        <v>1</v>
      </c>
      <c r="H69" s="119"/>
      <c r="I69" s="116">
        <f>IF(E7="No",1,IF(E45="No",1,IF(E45="",1,IF(E45="Yes - tool default",(1-'Default parameters'!$I$20),'User inputs - bird populations'!H69))))</f>
        <v>1</v>
      </c>
      <c r="K69" s="101"/>
      <c r="L69" s="101"/>
      <c r="N69" s="119"/>
      <c r="O69" s="116">
        <f>IF(E7="No",1,IF(E45="No",1,IF(E45="",1,IF(E45="Yes - tool default",(1-'Default parameters'!$K$20),'User inputs - bird populations'!N69))))</f>
        <v>1</v>
      </c>
      <c r="Q69" s="101"/>
      <c r="R69" s="101"/>
    </row>
    <row r="70" spans="2:20" ht="20.100000000000001" customHeight="1" x14ac:dyDescent="0.2">
      <c r="B70" s="132"/>
      <c r="H70" s="95"/>
      <c r="I70" s="95"/>
    </row>
    <row r="71" spans="2:20" ht="9.9499999999999993" customHeight="1" x14ac:dyDescent="0.2">
      <c r="B71" s="136" t="s">
        <v>268</v>
      </c>
      <c r="C71" s="71"/>
      <c r="D71" s="71"/>
      <c r="E71" s="71"/>
      <c r="F71" s="71"/>
      <c r="G71" s="71"/>
      <c r="H71" s="71"/>
      <c r="I71" s="71"/>
      <c r="J71" s="71"/>
      <c r="K71" s="71"/>
      <c r="L71" s="71"/>
      <c r="M71" s="71"/>
      <c r="N71" s="71"/>
      <c r="O71" s="71"/>
      <c r="P71" s="71"/>
      <c r="Q71" s="71"/>
      <c r="R71" s="71"/>
      <c r="S71" s="71"/>
      <c r="T71" s="71"/>
    </row>
    <row r="72" spans="2:20" ht="16.5" customHeight="1" x14ac:dyDescent="0.2">
      <c r="B72" s="132"/>
      <c r="D72" s="95" t="s">
        <v>595</v>
      </c>
      <c r="E72" s="137"/>
      <c r="F72" s="138"/>
    </row>
    <row r="73" spans="2:20" ht="9.9499999999999993" customHeight="1" x14ac:dyDescent="0.2">
      <c r="B73" s="132"/>
    </row>
    <row r="74" spans="2:20" ht="16.5" customHeight="1" x14ac:dyDescent="0.2">
      <c r="B74" s="132"/>
      <c r="D74" s="95" t="s">
        <v>257</v>
      </c>
      <c r="E74" s="137"/>
      <c r="F74" s="138"/>
    </row>
    <row r="75" spans="2:20" ht="9.9499999999999993" customHeight="1" x14ac:dyDescent="0.2">
      <c r="B75" s="132"/>
    </row>
    <row r="76" spans="2:20" ht="16.5" customHeight="1" x14ac:dyDescent="0.2">
      <c r="B76" s="132"/>
      <c r="D76" s="95" t="s">
        <v>258</v>
      </c>
      <c r="E76" s="137"/>
      <c r="F76" s="138"/>
    </row>
    <row r="77" spans="2:20" ht="9.9499999999999993" customHeight="1" x14ac:dyDescent="0.2">
      <c r="B77" s="132"/>
    </row>
    <row r="78" spans="2:20" ht="9.9499999999999993" customHeight="1" x14ac:dyDescent="0.2">
      <c r="B78" s="132"/>
    </row>
    <row r="79" spans="2:20" ht="16.5" customHeight="1" x14ac:dyDescent="0.3">
      <c r="B79" s="132"/>
      <c r="D79" s="19" t="s">
        <v>260</v>
      </c>
    </row>
    <row r="80" spans="2:20" ht="9.9499999999999993" customHeight="1" x14ac:dyDescent="0.2">
      <c r="B80" s="132"/>
    </row>
    <row r="81" spans="2:18" ht="16.5" customHeight="1" x14ac:dyDescent="0.2">
      <c r="B81" s="132"/>
      <c r="E81" s="134" t="s">
        <v>16</v>
      </c>
      <c r="F81" s="134"/>
      <c r="H81" s="134" t="s">
        <v>13</v>
      </c>
      <c r="I81" s="134"/>
      <c r="K81" s="134" t="s">
        <v>14</v>
      </c>
      <c r="L81" s="134"/>
      <c r="N81" s="134" t="s">
        <v>12</v>
      </c>
      <c r="O81" s="134"/>
      <c r="Q81" s="134" t="s">
        <v>15</v>
      </c>
      <c r="R81" s="134"/>
    </row>
    <row r="82" spans="2:18" ht="9.9499999999999993" customHeight="1" x14ac:dyDescent="0.2">
      <c r="B82" s="132"/>
    </row>
    <row r="83" spans="2:18" ht="16.5" customHeight="1" x14ac:dyDescent="0.2">
      <c r="B83" s="132"/>
      <c r="D83" s="95" t="s">
        <v>19</v>
      </c>
      <c r="E83" s="137"/>
      <c r="F83" s="138"/>
      <c r="H83" s="137"/>
      <c r="I83" s="138"/>
      <c r="K83" s="137"/>
      <c r="L83" s="138"/>
      <c r="N83" s="137"/>
      <c r="O83" s="138"/>
      <c r="Q83" s="137"/>
      <c r="R83" s="138"/>
    </row>
    <row r="84" spans="2:18" ht="9.9499999999999993" customHeight="1" x14ac:dyDescent="0.2">
      <c r="B84" s="132"/>
    </row>
    <row r="85" spans="2:18" ht="9.9499999999999993" customHeight="1" x14ac:dyDescent="0.2">
      <c r="B85" s="132"/>
    </row>
    <row r="86" spans="2:18" ht="16.5" customHeight="1" x14ac:dyDescent="0.2">
      <c r="B86" s="132"/>
      <c r="D86" s="24" t="s">
        <v>556</v>
      </c>
      <c r="E86" s="119"/>
      <c r="F86" s="116">
        <f>IF(E7="No",1,IF($E$72="Yes",E86,1))</f>
        <v>1</v>
      </c>
      <c r="H86" s="117"/>
      <c r="I86" s="116">
        <f>IF(E7="No",1,IF($E$72="Yes",H86,1))</f>
        <v>1</v>
      </c>
      <c r="K86" s="117"/>
      <c r="L86" s="116">
        <f>IF(E7="No",1,IF($E$72="Yes",K86,1))</f>
        <v>1</v>
      </c>
      <c r="N86" s="117"/>
      <c r="O86" s="116">
        <f>IF(E7="No",1,IF($E$72="Yes",N86,1))</f>
        <v>1</v>
      </c>
      <c r="Q86" s="117"/>
      <c r="R86" s="116">
        <f>IF(E7="No",1,IF($E$72="Yes",Q86,1))</f>
        <v>1</v>
      </c>
    </row>
    <row r="87" spans="2:18" ht="16.5" customHeight="1" x14ac:dyDescent="0.2">
      <c r="B87" s="132"/>
      <c r="D87" s="24" t="s">
        <v>526</v>
      </c>
      <c r="E87" s="119"/>
      <c r="F87" s="116">
        <f>IF(E7="No",1,IF(E74="No",1,IF(E74="",1,IF(E74="Yes - tool default",'Default parameters'!$H$19,'User inputs - bird populations'!E87))))</f>
        <v>1</v>
      </c>
      <c r="H87" s="119"/>
      <c r="I87" s="116">
        <f>IF(E7="No",1,IF(E74="No",1,IF(E74="",1,IF(E74="Yes - tool default",'Default parameters'!$I$19,'User inputs - bird populations'!H87))))</f>
        <v>1</v>
      </c>
      <c r="K87" s="119"/>
      <c r="L87" s="116">
        <f>IF(E7="No",1,IF(E74="No",1,IF(E74="",1,IF(E74="Yes - tool default",'Default parameters'!$J$19,'User inputs - bird populations'!K87))))</f>
        <v>1</v>
      </c>
      <c r="N87" s="119"/>
      <c r="O87" s="116">
        <f>IF(E7="No",1,IF(E74="No",1,IF(E74="",1,IF(E74="Yes - tool default",'Default parameters'!$K$19,'User inputs - bird populations'!N87))))</f>
        <v>1</v>
      </c>
      <c r="Q87" s="119"/>
      <c r="R87" s="116">
        <f>IF(E7="No",1,IF(E74="No",1,IF(E74="",1,IF(E74="Yes - tool default",'Default parameters'!$L$19,'User inputs - bird populations'!Q87))))</f>
        <v>1</v>
      </c>
    </row>
    <row r="88" spans="2:18" ht="16.5" customHeight="1" x14ac:dyDescent="0.2">
      <c r="B88" s="132"/>
      <c r="D88" s="24" t="s">
        <v>533</v>
      </c>
      <c r="E88" s="119"/>
      <c r="F88" s="116">
        <f>IF(E7="No",1,IF(E76="No",1,IF(E76="",1,IF(E76="Yes - tool default",(1-'Default parameters'!$H$20),'User inputs - bird populations'!E88))))</f>
        <v>1</v>
      </c>
      <c r="H88" s="119"/>
      <c r="I88" s="116">
        <f>IF(E7="No",1,IF(E76="No",1,IF(E76="",1,IF(E76="Yes - tool default",(1-'Default parameters'!$I$20),'User inputs - bird populations'!H88))))</f>
        <v>1</v>
      </c>
      <c r="K88" s="119"/>
      <c r="L88" s="116">
        <f>IF(E7="No",1,IF(E76="No",1,IF(E76="",1,IF(E76="Yes - tool default",(1-'Default parameters'!$J$20),'User inputs - bird populations'!K88))))</f>
        <v>1</v>
      </c>
      <c r="N88" s="119"/>
      <c r="O88" s="116">
        <f>IF(E7="No",1,IF(E76="No",1,IF(E76="",1,IF(E76="Yes - tool default",(1-'Default parameters'!$K$20),'User inputs - bird populations'!N88))))</f>
        <v>1</v>
      </c>
      <c r="Q88" s="119"/>
      <c r="R88" s="116">
        <f>IF(E7="No",1,IF(E76="No",1,IF(E76="",1,IF(E76="Yes - tool default",(1-'Default parameters'!$L$20),'User inputs - bird populations'!Q88))))</f>
        <v>1</v>
      </c>
    </row>
    <row r="89" spans="2:18" ht="16.5" customHeight="1" x14ac:dyDescent="0.2">
      <c r="B89" s="132"/>
    </row>
    <row r="90" spans="2:18" ht="16.5" customHeight="1" x14ac:dyDescent="0.2">
      <c r="B90" s="132"/>
      <c r="D90" s="24" t="s">
        <v>553</v>
      </c>
      <c r="E90" s="101"/>
      <c r="F90" s="101"/>
      <c r="H90" s="101"/>
      <c r="I90" s="101"/>
      <c r="K90" s="117"/>
      <c r="L90" s="116">
        <f>IF(E7="No",1,IF($E$72="Yes",K90,1))</f>
        <v>1</v>
      </c>
      <c r="N90" s="117"/>
      <c r="O90" s="116">
        <f>IF(E7="No",1,IF($E$72="Yes",N90,1))</f>
        <v>1</v>
      </c>
      <c r="Q90" s="117"/>
      <c r="R90" s="116">
        <f>IF(E7="No",1,IF($E$72="Yes",Q90,1))</f>
        <v>1</v>
      </c>
    </row>
    <row r="91" spans="2:18" ht="16.5" customHeight="1" x14ac:dyDescent="0.2">
      <c r="B91" s="132"/>
      <c r="D91" s="24" t="s">
        <v>527</v>
      </c>
      <c r="E91" s="101"/>
      <c r="F91" s="101"/>
      <c r="H91" s="101"/>
      <c r="I91" s="101"/>
      <c r="K91" s="119"/>
      <c r="L91" s="116">
        <f>IF(E7="No",1,IF(E74="No",1,IF(E74="",1,IF(E74="Yes - tool default",'Default parameters'!$J$19,'User inputs - bird populations'!K91))))</f>
        <v>1</v>
      </c>
      <c r="N91" s="119"/>
      <c r="O91" s="116">
        <f>IF(E7="No",1,IF(E74="No",1,IF(E74="",1,IF(E74="Yes - tool default",'Default parameters'!$K$19,'User inputs - bird populations'!N91))))</f>
        <v>1</v>
      </c>
      <c r="Q91" s="119"/>
      <c r="R91" s="116">
        <f>IF(E7="No",1,IF(E74="No",1,IF(E74="",1,IF(E74="Yes - tool default",'Default parameters'!$L$19,'User inputs - bird populations'!Q91))))</f>
        <v>1</v>
      </c>
    </row>
    <row r="92" spans="2:18" ht="16.5" customHeight="1" x14ac:dyDescent="0.2">
      <c r="B92" s="132"/>
      <c r="D92" s="24" t="s">
        <v>528</v>
      </c>
      <c r="E92" s="101"/>
      <c r="F92" s="101"/>
      <c r="H92" s="101"/>
      <c r="I92" s="101"/>
      <c r="K92" s="119"/>
      <c r="L92" s="116">
        <f>IF(E7="No",1,IF(E76="No",1,IF(E76="",1,IF(E76="Yes - tool default",(1-'Default parameters'!$J$20),'User inputs - bird populations'!K92))))</f>
        <v>1</v>
      </c>
      <c r="N92" s="119"/>
      <c r="O92" s="116">
        <f>IF(E7="No",1,IF(E76="No",1,IF(E76="",1,IF(E76="Yes - tool default",(1-'Default parameters'!$K$20),'User inputs - bird populations'!N92))))</f>
        <v>1</v>
      </c>
      <c r="Q92" s="119"/>
      <c r="R92" s="116">
        <f>IF(E7="No",1,IF(E76="No",1,IF(E76="",1,IF(E76="Yes - tool default",(1-'Default parameters'!$L$20),'User inputs - bird populations'!Q92))))</f>
        <v>1</v>
      </c>
    </row>
    <row r="93" spans="2:18" ht="16.5" customHeight="1" x14ac:dyDescent="0.2">
      <c r="B93" s="132"/>
      <c r="D93" s="24"/>
    </row>
    <row r="94" spans="2:18" ht="16.5" customHeight="1" x14ac:dyDescent="0.2">
      <c r="B94" s="132"/>
      <c r="D94" s="24" t="s">
        <v>554</v>
      </c>
      <c r="E94" s="117"/>
      <c r="F94" s="116">
        <f>IF(E7="No",1,IF($E$72="Yes",E94,1))</f>
        <v>1</v>
      </c>
      <c r="H94" s="117"/>
      <c r="I94" s="116">
        <f>IF(E7="No",1,IF($E$72="Yes",H94,1))</f>
        <v>1</v>
      </c>
      <c r="K94" s="101"/>
      <c r="L94" s="101"/>
      <c r="N94" s="117"/>
      <c r="O94" s="116">
        <f>IF(E7="No",1,IF($E$72="Yes",N94,1))</f>
        <v>1</v>
      </c>
      <c r="Q94" s="101"/>
      <c r="R94" s="101"/>
    </row>
    <row r="95" spans="2:18" ht="16.5" customHeight="1" x14ac:dyDescent="0.2">
      <c r="B95" s="132"/>
      <c r="D95" s="24" t="s">
        <v>529</v>
      </c>
      <c r="E95" s="119"/>
      <c r="F95" s="116">
        <f>IF(E7="No",1,IF(E74="No",1,IF(E74="",1,IF(E74="Yes - tool default",'Default parameters'!$H$19,'User inputs - bird populations'!E95))))</f>
        <v>1</v>
      </c>
      <c r="H95" s="119"/>
      <c r="I95" s="116">
        <f>IF(E7="No",1,IF(E74="No",1,IF(E74="",1,IF(E74="Yes - tool default",'Default parameters'!$I$19,'User inputs - bird populations'!H95))))</f>
        <v>1</v>
      </c>
      <c r="K95" s="101"/>
      <c r="L95" s="101"/>
      <c r="N95" s="119"/>
      <c r="O95" s="116">
        <f>IF(E7="No",1,IF(E74="No",1,IF(E74="",1,IF(E74="Yes - tool default",'Default parameters'!$K$19,'User inputs - bird populations'!N95))))</f>
        <v>1</v>
      </c>
      <c r="Q95" s="101"/>
      <c r="R95" s="101"/>
    </row>
    <row r="96" spans="2:18" ht="16.5" customHeight="1" x14ac:dyDescent="0.2">
      <c r="B96" s="132"/>
      <c r="D96" s="24" t="s">
        <v>530</v>
      </c>
      <c r="E96" s="119"/>
      <c r="F96" s="116">
        <f>IF(E7="No",1,IF(E76="No",1,IF(E76="",1,IF(E76="Yes - tool default",(1-'Default parameters'!$H$20),'User inputs - bird populations'!E96))))</f>
        <v>1</v>
      </c>
      <c r="H96" s="119"/>
      <c r="I96" s="116">
        <f>IF(E7="No",1,IF(E76="No",1,IF(E76="",1,IF(E76="Yes - tool default",(1-'Default parameters'!$I$20),'User inputs - bird populations'!H96))))</f>
        <v>1</v>
      </c>
      <c r="K96" s="101"/>
      <c r="L96" s="101"/>
      <c r="N96" s="119"/>
      <c r="O96" s="116">
        <f>IF(E7="No",1,IF(E76="No",1,IF(E76="",1,IF(E76="Yes - tool default",(1-'Default parameters'!$K$20),'User inputs - bird populations'!N96))))</f>
        <v>1</v>
      </c>
      <c r="Q96" s="101"/>
      <c r="R96" s="101"/>
    </row>
    <row r="97" spans="2:20" ht="16.5" customHeight="1" x14ac:dyDescent="0.2">
      <c r="B97" s="132"/>
      <c r="D97" s="68"/>
    </row>
    <row r="98" spans="2:20" ht="16.5" customHeight="1" x14ac:dyDescent="0.2">
      <c r="B98" s="132"/>
      <c r="D98" s="24" t="s">
        <v>555</v>
      </c>
      <c r="E98" s="117"/>
      <c r="F98" s="116">
        <f>IF(E7="No",1,IF($E$72="Yes",E98,1))</f>
        <v>1</v>
      </c>
      <c r="H98" s="117"/>
      <c r="I98" s="116">
        <f>IF(E7="No",1,IF($E$72="Yes",H98,1))</f>
        <v>1</v>
      </c>
      <c r="K98" s="101"/>
      <c r="L98" s="101"/>
      <c r="N98" s="117"/>
      <c r="O98" s="116">
        <f>IF(E7="No",1,IF($E$72="Yes",N98,1))</f>
        <v>1</v>
      </c>
      <c r="Q98" s="101"/>
      <c r="R98" s="101"/>
    </row>
    <row r="99" spans="2:20" ht="16.5" customHeight="1" x14ac:dyDescent="0.2">
      <c r="B99" s="132"/>
      <c r="D99" s="24" t="s">
        <v>531</v>
      </c>
      <c r="E99" s="119"/>
      <c r="F99" s="116">
        <f>IF(E7="No",1,IF(E74="No",1,IF(E74="",1,IF(E74="Yes - tool default",'Default parameters'!$H$19,'User inputs - bird populations'!E99))))</f>
        <v>1</v>
      </c>
      <c r="H99" s="119"/>
      <c r="I99" s="116">
        <f>IF(E7="No",1,IF(E74="No",1,IF(E74="",1,IF(E74="Yes - tool default",'Default parameters'!$I$19,'User inputs - bird populations'!H99))))</f>
        <v>1</v>
      </c>
      <c r="K99" s="101"/>
      <c r="L99" s="101"/>
      <c r="N99" s="119"/>
      <c r="O99" s="116">
        <f>IF(E7="No",1,IF(E74="No",1,IF(E74="",1,IF(E74="Yes - tool default",'Default parameters'!$K$19,'User inputs - bird populations'!N99))))</f>
        <v>1</v>
      </c>
      <c r="Q99" s="101"/>
      <c r="R99" s="101"/>
    </row>
    <row r="100" spans="2:20" ht="16.5" customHeight="1" x14ac:dyDescent="0.2">
      <c r="B100" s="132"/>
      <c r="D100" s="24" t="s">
        <v>532</v>
      </c>
      <c r="E100" s="119"/>
      <c r="F100" s="116">
        <f>IF(E7="No",1,IF(E76="No",1,IF(E76="",1,IF(E76="Yes - tool default",(1-'Default parameters'!$H$20),'User inputs - bird populations'!E100))))</f>
        <v>1</v>
      </c>
      <c r="H100" s="119"/>
      <c r="I100" s="116">
        <f>IF(E7="No",1,IF(E76="No",1,IF(E76="",1,IF(E76="Yes - tool default",(1-'Default parameters'!$I$20),'User inputs - bird populations'!H100))))</f>
        <v>1</v>
      </c>
      <c r="K100" s="101"/>
      <c r="L100" s="101"/>
      <c r="N100" s="119"/>
      <c r="O100" s="116">
        <f>IF(E7="No",1,IF(E76="No",1,IF(E76="",1,IF(E76="Yes - tool default",(1-'Default parameters'!$K$20),'User inputs - bird populations'!N100))))</f>
        <v>1</v>
      </c>
      <c r="Q100" s="101"/>
      <c r="R100" s="101"/>
    </row>
    <row r="101" spans="2:20" ht="20.100000000000001" customHeight="1" x14ac:dyDescent="0.2">
      <c r="B101" s="132"/>
      <c r="H101" s="95"/>
      <c r="I101" s="95"/>
    </row>
    <row r="102" spans="2:20" ht="9.9499999999999993" customHeight="1" x14ac:dyDescent="0.2">
      <c r="B102" s="118"/>
      <c r="C102" s="71"/>
      <c r="D102" s="71"/>
      <c r="E102" s="71"/>
      <c r="F102" s="71"/>
      <c r="G102" s="71"/>
      <c r="H102" s="71"/>
      <c r="I102" s="71"/>
      <c r="J102" s="71"/>
      <c r="K102" s="71"/>
      <c r="L102" s="71"/>
      <c r="M102" s="71"/>
      <c r="N102" s="71"/>
      <c r="O102" s="71"/>
      <c r="P102" s="71"/>
      <c r="Q102" s="71"/>
      <c r="R102" s="71"/>
      <c r="S102" s="71"/>
      <c r="T102" s="71"/>
    </row>
  </sheetData>
  <sheetProtection sheet="1" objects="1" scenarios="1"/>
  <mergeCells count="44">
    <mergeCell ref="H83:I83"/>
    <mergeCell ref="K83:L83"/>
    <mergeCell ref="N83:O83"/>
    <mergeCell ref="Q83:R83"/>
    <mergeCell ref="B71:B101"/>
    <mergeCell ref="E72:F72"/>
    <mergeCell ref="E74:F74"/>
    <mergeCell ref="E76:F76"/>
    <mergeCell ref="E81:F81"/>
    <mergeCell ref="E83:F83"/>
    <mergeCell ref="H81:I81"/>
    <mergeCell ref="K81:L81"/>
    <mergeCell ref="N81:O81"/>
    <mergeCell ref="Q81:R81"/>
    <mergeCell ref="H50:I50"/>
    <mergeCell ref="K50:L50"/>
    <mergeCell ref="N50:O50"/>
    <mergeCell ref="Q50:R50"/>
    <mergeCell ref="E52:F52"/>
    <mergeCell ref="H52:I52"/>
    <mergeCell ref="K52:L52"/>
    <mergeCell ref="N52:O52"/>
    <mergeCell ref="Q52:R52"/>
    <mergeCell ref="B40:B70"/>
    <mergeCell ref="E41:F41"/>
    <mergeCell ref="E43:F43"/>
    <mergeCell ref="E45:F45"/>
    <mergeCell ref="E50:F50"/>
    <mergeCell ref="B2:U2"/>
    <mergeCell ref="B9:B39"/>
    <mergeCell ref="E21:F21"/>
    <mergeCell ref="H21:I21"/>
    <mergeCell ref="K21:L21"/>
    <mergeCell ref="E12:F12"/>
    <mergeCell ref="E7:F7"/>
    <mergeCell ref="E10:F10"/>
    <mergeCell ref="E14:F14"/>
    <mergeCell ref="E19:F19"/>
    <mergeCell ref="H19:I19"/>
    <mergeCell ref="K19:L19"/>
    <mergeCell ref="N19:O19"/>
    <mergeCell ref="Q19:R19"/>
    <mergeCell ref="N21:O21"/>
    <mergeCell ref="Q21:R21"/>
  </mergeCells>
  <conditionalFormatting sqref="E10">
    <cfRule type="expression" dxfId="132" priority="236">
      <formula>$E$7="No"</formula>
    </cfRule>
  </conditionalFormatting>
  <conditionalFormatting sqref="E12 E14 E21 H21 K21 N21 Q21">
    <cfRule type="expression" dxfId="131" priority="245">
      <formula>$E$7="No"</formula>
    </cfRule>
  </conditionalFormatting>
  <conditionalFormatting sqref="E24 H24 K24 N24 Q24 K28 N28 Q28 E32 H32 N32 E36 H36 N36">
    <cfRule type="expression" dxfId="130" priority="13">
      <formula>OR($E$10="No",$E$10="")</formula>
    </cfRule>
  </conditionalFormatting>
  <conditionalFormatting sqref="E25 H25 K25 N25 Q25 K29 N29 Q29 E33 H33 N33 E37 H37 N37">
    <cfRule type="expression" dxfId="129" priority="12">
      <formula>$E$12&lt;&gt;"Yes - user-defined"</formula>
    </cfRule>
  </conditionalFormatting>
  <conditionalFormatting sqref="E26 H26 K26 N26 Q26 K30 N30 Q30 E34 H34 N34 E38 H38 N38">
    <cfRule type="expression" dxfId="128" priority="11">
      <formula>$E$14&lt;&gt;"Yes - user-defined"</formula>
    </cfRule>
  </conditionalFormatting>
  <conditionalFormatting sqref="E41">
    <cfRule type="expression" dxfId="127" priority="115">
      <formula>$E$7="No"</formula>
    </cfRule>
  </conditionalFormatting>
  <conditionalFormatting sqref="E43 E45 E52 H52 K52 N52 Q52">
    <cfRule type="expression" dxfId="126" priority="117">
      <formula>$E$7="No"</formula>
    </cfRule>
  </conditionalFormatting>
  <conditionalFormatting sqref="E55 H55 K55 N55 Q55 K59 N59 Q59 E63 H63 N63 E67 H67 N67">
    <cfRule type="expression" dxfId="125" priority="8">
      <formula>$E$41&lt;&gt;"Yes"</formula>
    </cfRule>
  </conditionalFormatting>
  <conditionalFormatting sqref="E56 H56 K56 N56 Q56 K60 N60 Q60 E64 H64 N64 E68 H68 N68">
    <cfRule type="expression" dxfId="124" priority="7">
      <formula>$E$43&lt;&gt;"Yes - user-defined"</formula>
    </cfRule>
  </conditionalFormatting>
  <conditionalFormatting sqref="E57 H57 K57 N57 Q57 K61 N61 Q61 E65 H65 N65 E69 H69 N69">
    <cfRule type="expression" dxfId="123" priority="6">
      <formula>$E$45&lt;&gt;"Yes - user-defined"</formula>
    </cfRule>
  </conditionalFormatting>
  <conditionalFormatting sqref="E72">
    <cfRule type="expression" dxfId="122" priority="63">
      <formula>$E$7="No"</formula>
    </cfRule>
  </conditionalFormatting>
  <conditionalFormatting sqref="E74 E76 E83 H83 K83 N83 Q83">
    <cfRule type="expression" dxfId="121" priority="65">
      <formula>$E$7="No"</formula>
    </cfRule>
  </conditionalFormatting>
  <conditionalFormatting sqref="E86 H86 K86 N86 Q86 K90 N90 Q90 E94 H94 N94 E98 H98 N98">
    <cfRule type="expression" dxfId="120" priority="5">
      <formula>$E$72&lt;&gt;"Yes"</formula>
    </cfRule>
  </conditionalFormatting>
  <conditionalFormatting sqref="E87 H87 K87 N87 Q87 K91 N91 Q91 E95 H95 N95 E99 H99 N99">
    <cfRule type="expression" dxfId="119" priority="4">
      <formula>$E$74&lt;&gt;"Yes - user-defined"</formula>
    </cfRule>
  </conditionalFormatting>
  <conditionalFormatting sqref="E88 H88 K88 N88 Q88 K92 N92 Q92 E96 H96 N96 E100 H100 N100">
    <cfRule type="expression" dxfId="118" priority="3">
      <formula>$E$76&lt;&gt;"Yes - user-defined"</formula>
    </cfRule>
  </conditionalFormatting>
  <conditionalFormatting sqref="E24:F26">
    <cfRule type="expression" dxfId="117" priority="220">
      <formula>$E$7="No"</formula>
    </cfRule>
  </conditionalFormatting>
  <conditionalFormatting sqref="E28:F30">
    <cfRule type="expression" dxfId="116" priority="209">
      <formula>$E$10="No"</formula>
    </cfRule>
    <cfRule type="expression" dxfId="115" priority="210">
      <formula>$E$7="No"</formula>
    </cfRule>
  </conditionalFormatting>
  <conditionalFormatting sqref="E32:F34">
    <cfRule type="expression" dxfId="114" priority="136">
      <formula>$E$7="No"</formula>
    </cfRule>
  </conditionalFormatting>
  <conditionalFormatting sqref="E36:F38">
    <cfRule type="expression" dxfId="113" priority="129">
      <formula>$E$7="No"</formula>
    </cfRule>
  </conditionalFormatting>
  <conditionalFormatting sqref="E52:F52 H52:I52 K52:L52 N52:O52 Q52:R52 E83:F83 H83:I83 K83:L83 N83:O83 Q83:R83">
    <cfRule type="expression" dxfId="111" priority="1">
      <formula>$E$7="Yes - same over PSs"</formula>
    </cfRule>
  </conditionalFormatting>
  <conditionalFormatting sqref="E55:F57">
    <cfRule type="expression" dxfId="110" priority="114">
      <formula>$E$7="No"</formula>
    </cfRule>
  </conditionalFormatting>
  <conditionalFormatting sqref="E59:F61">
    <cfRule type="expression" dxfId="109" priority="112">
      <formula>$E$10="No"</formula>
    </cfRule>
    <cfRule type="expression" dxfId="108" priority="113">
      <formula>$E$7="No"</formula>
    </cfRule>
  </conditionalFormatting>
  <conditionalFormatting sqref="E63:F65">
    <cfRule type="expression" dxfId="107" priority="84">
      <formula>$E$7="No"</formula>
    </cfRule>
  </conditionalFormatting>
  <conditionalFormatting sqref="E67:F69">
    <cfRule type="expression" dxfId="106" priority="77">
      <formula>$E$7="No"</formula>
    </cfRule>
  </conditionalFormatting>
  <conditionalFormatting sqref="E86:F88">
    <cfRule type="expression" dxfId="104" priority="62">
      <formula>$E$7="No"</formula>
    </cfRule>
  </conditionalFormatting>
  <conditionalFormatting sqref="E90:F92">
    <cfRule type="expression" dxfId="103" priority="61">
      <formula>$E$7="No"</formula>
    </cfRule>
    <cfRule type="expression" dxfId="102" priority="60">
      <formula>$E$10="No"</formula>
    </cfRule>
  </conditionalFormatting>
  <conditionalFormatting sqref="E94:F96">
    <cfRule type="expression" dxfId="101" priority="32">
      <formula>$E$7="No"</formula>
    </cfRule>
  </conditionalFormatting>
  <conditionalFormatting sqref="E98:F100">
    <cfRule type="expression" dxfId="100" priority="25">
      <formula>$E$7="No"</formula>
    </cfRule>
  </conditionalFormatting>
  <conditionalFormatting sqref="H24:I26">
    <cfRule type="expression" dxfId="98" priority="140">
      <formula>$E$7="No"</formula>
    </cfRule>
  </conditionalFormatting>
  <conditionalFormatting sqref="H28:I30">
    <cfRule type="expression" dxfId="97" priority="127">
      <formula>$E$7="No"</formula>
    </cfRule>
    <cfRule type="expression" dxfId="96" priority="126">
      <formula>$E$10="No"</formula>
    </cfRule>
  </conditionalFormatting>
  <conditionalFormatting sqref="H32:I34">
    <cfRule type="expression" dxfId="95" priority="135">
      <formula>$E$7="No"</formula>
    </cfRule>
  </conditionalFormatting>
  <conditionalFormatting sqref="H36:I38">
    <cfRule type="expression" dxfId="94" priority="128">
      <formula>$E$7="No"</formula>
    </cfRule>
  </conditionalFormatting>
  <conditionalFormatting sqref="H55:I57">
    <cfRule type="expression" dxfId="93" priority="88">
      <formula>$E$7="No"</formula>
    </cfRule>
  </conditionalFormatting>
  <conditionalFormatting sqref="H59:I61">
    <cfRule type="expression" dxfId="92" priority="75">
      <formula>$E$7="No"</formula>
    </cfRule>
    <cfRule type="expression" dxfId="91" priority="74">
      <formula>$E$10="No"</formula>
    </cfRule>
  </conditionalFormatting>
  <conditionalFormatting sqref="H63:I65">
    <cfRule type="expression" dxfId="90" priority="83">
      <formula>$E$7="No"</formula>
    </cfRule>
  </conditionalFormatting>
  <conditionalFormatting sqref="H67:I69">
    <cfRule type="expression" dxfId="89" priority="76">
      <formula>$E$7="No"</formula>
    </cfRule>
  </conditionalFormatting>
  <conditionalFormatting sqref="H86:I88">
    <cfRule type="expression" dxfId="88" priority="36">
      <formula>$E$7="No"</formula>
    </cfRule>
  </conditionalFormatting>
  <conditionalFormatting sqref="H90:I92">
    <cfRule type="expression" dxfId="87" priority="23">
      <formula>$E$7="No"</formula>
    </cfRule>
    <cfRule type="expression" dxfId="86" priority="22">
      <formula>$E$10="No"</formula>
    </cfRule>
  </conditionalFormatting>
  <conditionalFormatting sqref="H94:I96">
    <cfRule type="expression" dxfId="85" priority="31">
      <formula>$E$7="No"</formula>
    </cfRule>
  </conditionalFormatting>
  <conditionalFormatting sqref="H98:I100">
    <cfRule type="expression" dxfId="84" priority="24">
      <formula>$E$7="No"</formula>
    </cfRule>
  </conditionalFormatting>
  <conditionalFormatting sqref="K24:L26">
    <cfRule type="expression" dxfId="83" priority="139">
      <formula>$E$7="No"</formula>
    </cfRule>
  </conditionalFormatting>
  <conditionalFormatting sqref="K28:L30">
    <cfRule type="expression" dxfId="82" priority="130">
      <formula>$E$7="No"</formula>
    </cfRule>
  </conditionalFormatting>
  <conditionalFormatting sqref="K32:L34">
    <cfRule type="expression" dxfId="81" priority="125">
      <formula>$E$7="No"</formula>
    </cfRule>
    <cfRule type="expression" dxfId="80" priority="124">
      <formula>$E$10="No"</formula>
    </cfRule>
  </conditionalFormatting>
  <conditionalFormatting sqref="K36:L38">
    <cfRule type="expression" dxfId="79" priority="120">
      <formula>$E$10="No"</formula>
    </cfRule>
    <cfRule type="expression" dxfId="78" priority="121">
      <formula>$E$7="No"</formula>
    </cfRule>
  </conditionalFormatting>
  <conditionalFormatting sqref="K55:L57">
    <cfRule type="expression" dxfId="77" priority="87">
      <formula>$E$7="No"</formula>
    </cfRule>
  </conditionalFormatting>
  <conditionalFormatting sqref="K59:L61">
    <cfRule type="expression" dxfId="76" priority="78">
      <formula>$E$7="No"</formula>
    </cfRule>
  </conditionalFormatting>
  <conditionalFormatting sqref="K63:L65">
    <cfRule type="expression" dxfId="75" priority="73">
      <formula>$E$7="No"</formula>
    </cfRule>
    <cfRule type="expression" dxfId="74" priority="72">
      <formula>$E$10="No"</formula>
    </cfRule>
  </conditionalFormatting>
  <conditionalFormatting sqref="K67:L69">
    <cfRule type="expression" dxfId="73" priority="68">
      <formula>$E$10="No"</formula>
    </cfRule>
    <cfRule type="expression" dxfId="72" priority="69">
      <formula>$E$7="No"</formula>
    </cfRule>
  </conditionalFormatting>
  <conditionalFormatting sqref="K86:L88">
    <cfRule type="expression" dxfId="71" priority="35">
      <formula>$E$7="No"</formula>
    </cfRule>
  </conditionalFormatting>
  <conditionalFormatting sqref="K90:L92">
    <cfRule type="expression" dxfId="70" priority="26">
      <formula>$E$7="No"</formula>
    </cfRule>
  </conditionalFormatting>
  <conditionalFormatting sqref="K94:L96">
    <cfRule type="expression" dxfId="69" priority="20">
      <formula>$E$10="No"</formula>
    </cfRule>
    <cfRule type="expression" dxfId="68" priority="21">
      <formula>$E$7="No"</formula>
    </cfRule>
  </conditionalFormatting>
  <conditionalFormatting sqref="K98:L100">
    <cfRule type="expression" dxfId="67" priority="17">
      <formula>$E$7="No"</formula>
    </cfRule>
    <cfRule type="expression" dxfId="66" priority="16">
      <formula>$E$10="No"</formula>
    </cfRule>
  </conditionalFormatting>
  <conditionalFormatting sqref="N24:O26">
    <cfRule type="expression" dxfId="65" priority="138">
      <formula>$E$7="No"</formula>
    </cfRule>
  </conditionalFormatting>
  <conditionalFormatting sqref="N28:O30">
    <cfRule type="expression" dxfId="64" priority="132">
      <formula>$E$7="No"</formula>
    </cfRule>
  </conditionalFormatting>
  <conditionalFormatting sqref="N32:O34">
    <cfRule type="expression" dxfId="63" priority="134">
      <formula>$E$7="No"</formula>
    </cfRule>
  </conditionalFormatting>
  <conditionalFormatting sqref="N36:O38">
    <cfRule type="expression" dxfId="62" priority="133">
      <formula>$E$7="No"</formula>
    </cfRule>
  </conditionalFormatting>
  <conditionalFormatting sqref="N55:O57">
    <cfRule type="expression" dxfId="61" priority="86">
      <formula>$E$7="No"</formula>
    </cfRule>
  </conditionalFormatting>
  <conditionalFormatting sqref="N59:O61">
    <cfRule type="expression" dxfId="60" priority="80">
      <formula>$E$7="No"</formula>
    </cfRule>
  </conditionalFormatting>
  <conditionalFormatting sqref="N63:O65">
    <cfRule type="expression" dxfId="59" priority="82">
      <formula>$E$7="No"</formula>
    </cfRule>
  </conditionalFormatting>
  <conditionalFormatting sqref="N67:O69">
    <cfRule type="expression" dxfId="58" priority="81">
      <formula>$E$7="No"</formula>
    </cfRule>
  </conditionalFormatting>
  <conditionalFormatting sqref="N86:O88">
    <cfRule type="expression" dxfId="57" priority="34">
      <formula>$E$7="No"</formula>
    </cfRule>
  </conditionalFormatting>
  <conditionalFormatting sqref="N90:O92">
    <cfRule type="expression" dxfId="56" priority="28">
      <formula>$E$7="No"</formula>
    </cfRule>
  </conditionalFormatting>
  <conditionalFormatting sqref="N94:O96">
    <cfRule type="expression" dxfId="55" priority="30">
      <formula>$E$7="No"</formula>
    </cfRule>
  </conditionalFormatting>
  <conditionalFormatting sqref="N98:O100">
    <cfRule type="expression" dxfId="54" priority="29">
      <formula>$E$7="No"</formula>
    </cfRule>
  </conditionalFormatting>
  <conditionalFormatting sqref="Q24:R26">
    <cfRule type="expression" dxfId="53" priority="137">
      <formula>$E$7="No"</formula>
    </cfRule>
  </conditionalFormatting>
  <conditionalFormatting sqref="Q28:R30">
    <cfRule type="expression" dxfId="52" priority="131">
      <formula>$E$7="No"</formula>
    </cfRule>
  </conditionalFormatting>
  <conditionalFormatting sqref="Q32:R34">
    <cfRule type="expression" dxfId="51" priority="123">
      <formula>$E$7="No"</formula>
    </cfRule>
    <cfRule type="expression" dxfId="50" priority="122">
      <formula>$E$10="No"</formula>
    </cfRule>
  </conditionalFormatting>
  <conditionalFormatting sqref="Q36:R38">
    <cfRule type="expression" dxfId="49" priority="119">
      <formula>$E$7="No"</formula>
    </cfRule>
    <cfRule type="expression" dxfId="48" priority="118">
      <formula>$E$10="No"</formula>
    </cfRule>
  </conditionalFormatting>
  <conditionalFormatting sqref="Q55:R57">
    <cfRule type="expression" dxfId="47" priority="85">
      <formula>$E$7="No"</formula>
    </cfRule>
  </conditionalFormatting>
  <conditionalFormatting sqref="Q59:R61">
    <cfRule type="expression" dxfId="46" priority="79">
      <formula>$E$7="No"</formula>
    </cfRule>
  </conditionalFormatting>
  <conditionalFormatting sqref="Q63:R65">
    <cfRule type="expression" dxfId="45" priority="70">
      <formula>$E$10="No"</formula>
    </cfRule>
    <cfRule type="expression" dxfId="44" priority="71">
      <formula>$E$7="No"</formula>
    </cfRule>
  </conditionalFormatting>
  <conditionalFormatting sqref="Q67:R69">
    <cfRule type="expression" dxfId="43" priority="67">
      <formula>$E$7="No"</formula>
    </cfRule>
    <cfRule type="expression" dxfId="42" priority="66">
      <formula>$E$10="No"</formula>
    </cfRule>
  </conditionalFormatting>
  <conditionalFormatting sqref="Q86:R88">
    <cfRule type="expression" dxfId="41" priority="33">
      <formula>$E$7="No"</formula>
    </cfRule>
  </conditionalFormatting>
  <conditionalFormatting sqref="Q90:R92">
    <cfRule type="expression" dxfId="40" priority="27">
      <formula>$E$7="No"</formula>
    </cfRule>
  </conditionalFormatting>
  <conditionalFormatting sqref="Q94:R96">
    <cfRule type="expression" dxfId="39" priority="19">
      <formula>$E$7="No"</formula>
    </cfRule>
    <cfRule type="expression" dxfId="38" priority="18">
      <formula>$E$10="No"</formula>
    </cfRule>
  </conditionalFormatting>
  <conditionalFormatting sqref="Q98:R100">
    <cfRule type="expression" dxfId="37" priority="15">
      <formula>$E$7="No"</formula>
    </cfRule>
    <cfRule type="expression" dxfId="36" priority="14">
      <formula>$E$10="No"</formula>
    </cfRule>
  </conditionalFormatting>
  <dataValidations count="14">
    <dataValidation type="whole" allowBlank="1" showInputMessage="1" showErrorMessage="1" sqref="E21 E52 E83" xr:uid="{F29BF647-2E2B-4636-8383-2D553675A8B5}">
      <formula1>0</formula1>
      <formula2>1000000000</formula2>
    </dataValidation>
    <dataValidation allowBlank="1" showInputMessage="1" showErrorMessage="1" promptTitle="Apportioning" prompt="This option should be used if the population of birds at risk of impacts from the wind farm is not the same as the reference population i.e. birds from the reference population will be a subset  of those using the wind farm site(s)." sqref="D10" xr:uid="{2A05417B-7C82-44F5-AE55-9FF5794FF2EF}"/>
    <dataValidation allowBlank="1" showInputMessage="1" showErrorMessage="1" promptTitle="Exclusion of  juveniles" prompt="This option can be used if the reference population refers to adults only. Predicted mortalities to juvenile birds will then be removed from the mortality estimation prior to comparison with the reference population. " sqref="D12" xr:uid="{3962213E-A8A7-4A93-95D6-F4AC1CABCF7E}"/>
    <dataValidation allowBlank="1" showInputMessage="1" showErrorMessage="1" promptTitle="Sabbatical birds" prompt="This option can be used if  the reference population refers to breeding adults in any given year whilst a proportion of the adults exposed to mortality from wind farms are assumed to be sabbatical birds (birds that will not attempt to breed in that year)." sqref="D14" xr:uid="{AC67D50F-10A4-4084-954D-4A8644ABFB03}"/>
    <dataValidation allowBlank="1" showInputMessage="1" showErrorMessage="1" promptTitle="Reference populations" prompt="This option allows total predicted mortalities to be compared against a reference population. Selecting this option generates a relative mortality rate, calculated as mortality as a percentage of population size, in the Results tab." sqref="D7" xr:uid="{A5712952-22FA-4B55-A706-D4B18CC4172D}"/>
    <dataValidation type="decimal" allowBlank="1" showInputMessage="1" showErrorMessage="1" sqref="E24:E26 H24:H26 K24:K26 K28:K30 N24:N26 Q24:Q26 Q28:Q30 N28:N30 N32:N34 N36:N38 H32:H34 H36:H38 E32:E34 E36:E38 E55:E57 H55:H57 K55:K57 K59:K61 N55:N57 Q55:Q57 Q59:Q61 N59:N61 N63:N65 H63:H64 H65 E63:E65 N67:N69 H67:H69 E67:E69 E86:E88 H86:H88 K86:K88 N86:N88 Q86:Q88 Q90:Q92 N90:N92 K90:K92 N94:N96 N98:N100 H94:H96 H98:H100 E94:E96 E98:E100" xr:uid="{CA5292A2-C2D9-435F-96A6-A49FF4757B6E}">
      <formula1>0</formula1>
      <formula2>1</formula2>
    </dataValidation>
    <dataValidation allowBlank="1" showInputMessage="1" showErrorMessage="1" promptTitle="Population size" prompt="This input is expected to be the size of the population of interest in individuals." sqref="D21" xr:uid="{175DD0E2-AAB8-4794-B327-77B722925F37}"/>
    <dataValidation allowBlank="1" showInputMessage="1" showErrorMessage="1" promptTitle="Population correction" prompt="This input represents the proportion of the total mortalities that are to be assigned to the reference population if exclude mortalities to birds from other populations has been selected above. The grey cell shows the correction that will be applied." sqref="D24" xr:uid="{25F0134A-F55E-4C7B-A58F-88547AB97165}"/>
    <dataValidation allowBlank="1" showInputMessage="1" showErrorMessage="1" promptTitle="Adult correction" prompt="This row allows a user-defined adult correction to be defined if the &quot;Yes - user-defined&quot; option has been specified above. The grey cells display the correction that will be used for the final analysis. " sqref="D25" xr:uid="{5616653F-55DC-416B-9598-8C2E1986F958}"/>
    <dataValidation allowBlank="1" showInputMessage="1" showErrorMessage="1" promptTitle="Sabbatical rate" prompt="This row allows a user-defined sabbatical rate to be defined if the &quot;Yes - user-defined&quot; option has been specified above. The grey cells display the correction that will be used for the final analysis. " sqref="D26" xr:uid="{0B7A4E0A-812B-4457-B7C5-184766381FC5}"/>
    <dataValidation type="list" allowBlank="1" showInputMessage="1" showErrorMessage="1" sqref="E76:F76 E12:F12 E14:F14 E43:F43 E45:F45 E74:F74" xr:uid="{C5DD31A5-AAAD-46F4-8D92-BADB027162BC}">
      <formula1>"No,Yes - user-defined,Yes - tool default"</formula1>
    </dataValidation>
    <dataValidation type="list" allowBlank="1" showInputMessage="1" showErrorMessage="1" sqref="E41:F41 E10:F10 E72:F72" xr:uid="{03CB0A75-4B37-451E-9D69-1B2AD7EC0277}">
      <formula1>"Yes,No"</formula1>
    </dataValidation>
    <dataValidation type="list" allowBlank="1" showInputMessage="1" showErrorMessage="1" sqref="U21 U24:U31 U86:U93 U83 U52 U55:U62" xr:uid="{D5E9A31C-9C0C-4806-A462-821ACDC4F979}">
      <formula1>#REF!</formula1>
    </dataValidation>
    <dataValidation type="list" allowBlank="1" showInputMessage="1" showErrorMessage="1" sqref="E7:F7" xr:uid="{51802DBC-7481-4249-B67C-479FB033FC55}">
      <formula1>"Yes - same over PSs,Yes - sum over PSs,No"</formula1>
    </dataValidation>
  </dataValidations>
  <pageMargins left="0.7" right="0.7" top="0.75" bottom="0.75" header="0.3" footer="0.3"/>
  <pageSetup paperSize="9" orientation="portrait" horizontalDpi="300" verticalDpi="0" r:id="rId1"/>
  <drawing r:id="rId2"/>
  <extLst>
    <ext xmlns:x14="http://schemas.microsoft.com/office/spreadsheetml/2009/9/main" uri="{78C0D931-6437-407d-A8EE-F0AAD7539E65}">
      <x14:conditionalFormattings>
        <x14:conditionalFormatting xmlns:xm="http://schemas.microsoft.com/office/excel/2006/main">
          <x14:cfRule type="expression" priority="10" id="{A1603732-2726-406A-B866-7FF8E5245E88}">
            <xm:f>OR('User inputs - run and wind farm'!$D$7=1,'User inputs - run and wind farm'!$D$7="")</xm:f>
            <x14:dxf>
              <font>
                <color theme="0" tint="-0.14996795556505021"/>
              </font>
              <fill>
                <patternFill>
                  <bgColor theme="0" tint="-0.14996795556505021"/>
                </patternFill>
              </fill>
            </x14:dxf>
          </x14:cfRule>
          <xm:sqref>E41:F41 E43:F43 E45:F45 E52:F52 H52:I52 K52:L52 N52:O52 Q52:R52 E55:F57 H55:I57 K55:L57 N55:O57 Q55:R57 E59:F61 H59:I61 K59:L61 N59:O61 Q59:R61 E63:F65 H63:I65 K63:L65 N63:O65 Q63:R65 E67:F69 H67:I69 K67:L69 N67:O69 Q67:R69</xm:sqref>
        </x14:conditionalFormatting>
        <x14:conditionalFormatting xmlns:xm="http://schemas.microsoft.com/office/excel/2006/main">
          <x14:cfRule type="expression" priority="9" id="{BCCC324E-8BA2-47FD-90CC-46BFA63CDDD5}">
            <xm:f>'User inputs - run and wind farm'!$D$7&lt;&gt;3</xm:f>
            <x14:dxf>
              <font>
                <color theme="0" tint="-0.14996795556505021"/>
              </font>
              <fill>
                <patternFill>
                  <bgColor theme="0" tint="-0.14996795556505021"/>
                </patternFill>
              </fill>
            </x14:dxf>
          </x14:cfRule>
          <xm:sqref>E72:F72 E74:F74 E76:F76 E83:F83 H83:I83 K83:L83 N83:O83 Q83:R83 E86:F88 H86:I88 K86:L88 N86:O88 Q86:R88 E90:F92 H90:I92 K90:L92 N90:O92 Q90:R92 E94:F96 H94:I96 K94:L96 N94:O96 Q94:R96 E98:F100 H98:I100 K98:L100 N98:O100 Q98:R100</xm:sqref>
        </x14:conditionalFormatting>
        <x14:conditionalFormatting xmlns:xm="http://schemas.microsoft.com/office/excel/2006/main">
          <x14:cfRule type="expression" priority="2" id="{DB9A750A-7DD8-497E-A4A2-ECB5569293F8}">
            <xm:f>'User inputs - run and wind farm'!$D$7=""</xm:f>
            <x14:dxf>
              <font>
                <color theme="0" tint="-0.14996795556505021"/>
              </font>
            </x14:dxf>
          </x14:cfRule>
          <xm:sqref>F24:F26 I24:I26 L24:L26 O24:O26 R24:R26 L28:L30 O28:O30 R28:R30 F32:F34 I32:I34 O32:O34 F36:F38 I36:I38 O36:O38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E747A-9DA3-4702-921C-C85EFFB2DAD2}">
  <sheetPr codeName="Sheet3"/>
  <dimension ref="B1:AA312"/>
  <sheetViews>
    <sheetView workbookViewId="0">
      <selection activeCell="A8" sqref="A8:XFD8"/>
    </sheetView>
  </sheetViews>
  <sheetFormatPr defaultColWidth="8.7109375" defaultRowHeight="14.25" x14ac:dyDescent="0.2"/>
  <cols>
    <col min="1" max="1" width="2.28515625" style="8" customWidth="1"/>
    <col min="2" max="2" width="25.5703125" style="8" bestFit="1" customWidth="1"/>
    <col min="3" max="4" width="14.5703125" style="8" customWidth="1"/>
    <col min="5" max="5" width="8.7109375" style="8"/>
    <col min="6" max="6" width="8.5703125" style="8" customWidth="1"/>
    <col min="7" max="7" width="26.42578125" style="8" customWidth="1"/>
    <col min="8" max="12" width="11.85546875" style="8" customWidth="1"/>
    <col min="13" max="13" width="3.5703125" style="8" customWidth="1"/>
    <col min="14" max="14" width="22" style="8" customWidth="1"/>
    <col min="15" max="15" width="18.5703125" style="8" customWidth="1"/>
    <col min="16" max="27" width="10.42578125" style="8" customWidth="1"/>
    <col min="28" max="16384" width="8.7109375" style="8"/>
  </cols>
  <sheetData>
    <row r="1" spans="2:27" ht="11.45" customHeight="1" x14ac:dyDescent="0.2"/>
    <row r="2" spans="2:27" ht="20.25" x14ac:dyDescent="0.3">
      <c r="B2" s="19" t="s">
        <v>28</v>
      </c>
      <c r="N2" s="145" t="s">
        <v>27</v>
      </c>
      <c r="O2" s="145"/>
    </row>
    <row r="3" spans="2:27" ht="15.75" x14ac:dyDescent="0.25">
      <c r="C3" s="135"/>
      <c r="D3" s="135"/>
      <c r="G3" s="20" t="s">
        <v>346</v>
      </c>
      <c r="H3" s="139" t="s">
        <v>16</v>
      </c>
      <c r="I3" s="139"/>
      <c r="J3" s="139" t="s">
        <v>13</v>
      </c>
      <c r="K3" s="139"/>
      <c r="N3" s="144" t="s">
        <v>356</v>
      </c>
      <c r="O3" s="144"/>
      <c r="P3" s="135" t="s">
        <v>30</v>
      </c>
      <c r="Q3" s="135"/>
      <c r="R3" s="135"/>
    </row>
    <row r="4" spans="2:27" ht="14.45" customHeight="1" x14ac:dyDescent="0.25">
      <c r="B4" s="20" t="s">
        <v>344</v>
      </c>
      <c r="C4" s="10" t="s">
        <v>16</v>
      </c>
      <c r="D4" s="10" t="s">
        <v>13</v>
      </c>
      <c r="G4" s="8" t="s">
        <v>0</v>
      </c>
      <c r="H4" s="142" t="s">
        <v>239</v>
      </c>
      <c r="I4" s="143"/>
      <c r="J4" s="142" t="s">
        <v>239</v>
      </c>
      <c r="K4" s="143"/>
      <c r="N4" s="140" t="s">
        <v>250</v>
      </c>
      <c r="O4" s="141"/>
      <c r="P4" s="11" t="s">
        <v>243</v>
      </c>
      <c r="Q4" s="11" t="s">
        <v>251</v>
      </c>
      <c r="R4" s="11" t="s">
        <v>252</v>
      </c>
    </row>
    <row r="5" spans="2:27" ht="14.45" customHeight="1" x14ac:dyDescent="0.2">
      <c r="B5" s="8" t="s">
        <v>23</v>
      </c>
      <c r="C5" s="11">
        <v>0.39</v>
      </c>
      <c r="D5" s="11">
        <v>0.94</v>
      </c>
      <c r="G5" s="8" t="s">
        <v>1</v>
      </c>
      <c r="H5" s="142" t="s">
        <v>239</v>
      </c>
      <c r="I5" s="143"/>
      <c r="J5" s="142" t="s">
        <v>239</v>
      </c>
      <c r="K5" s="143"/>
      <c r="N5" s="140" t="s">
        <v>355</v>
      </c>
      <c r="O5" s="141"/>
      <c r="P5" s="11" t="s">
        <v>353</v>
      </c>
      <c r="Q5" s="11" t="s">
        <v>354</v>
      </c>
      <c r="R5" s="11" t="s">
        <v>253</v>
      </c>
      <c r="S5" s="21"/>
    </row>
    <row r="6" spans="2:27" ht="14.45" customHeight="1" x14ac:dyDescent="0.2">
      <c r="B6" s="8" t="s">
        <v>24</v>
      </c>
      <c r="C6" s="11">
        <v>1.08</v>
      </c>
      <c r="D6" s="11">
        <v>1.72</v>
      </c>
      <c r="G6" s="8" t="s">
        <v>2</v>
      </c>
      <c r="H6" s="142" t="s">
        <v>239</v>
      </c>
      <c r="I6" s="143"/>
      <c r="J6" s="142" t="s">
        <v>239</v>
      </c>
      <c r="K6" s="143"/>
      <c r="N6" s="140" t="s">
        <v>235</v>
      </c>
      <c r="O6" s="141"/>
      <c r="P6" s="11">
        <v>9.1549999999999994</v>
      </c>
      <c r="Q6" s="11">
        <v>8.11</v>
      </c>
      <c r="R6" s="11">
        <v>6.5</v>
      </c>
    </row>
    <row r="7" spans="2:27" ht="14.45" customHeight="1" x14ac:dyDescent="0.2">
      <c r="B7" s="8" t="s">
        <v>25</v>
      </c>
      <c r="C7" s="11">
        <v>13.1</v>
      </c>
      <c r="D7" s="11">
        <v>14.9</v>
      </c>
      <c r="G7" s="8" t="s">
        <v>3</v>
      </c>
      <c r="H7" s="142" t="s">
        <v>239</v>
      </c>
      <c r="I7" s="143"/>
      <c r="J7" s="142" t="s">
        <v>22</v>
      </c>
      <c r="K7" s="143"/>
      <c r="N7" s="140" t="s">
        <v>29</v>
      </c>
      <c r="O7" s="141"/>
      <c r="P7" s="11">
        <v>5.4</v>
      </c>
      <c r="Q7" s="11">
        <v>7</v>
      </c>
      <c r="R7" s="11">
        <v>8.1999999999999993</v>
      </c>
    </row>
    <row r="8" spans="2:27" ht="14.45" customHeight="1" x14ac:dyDescent="0.2">
      <c r="B8" s="8" t="s">
        <v>26</v>
      </c>
      <c r="C8" s="11" t="s">
        <v>47</v>
      </c>
      <c r="D8" s="11" t="s">
        <v>47</v>
      </c>
      <c r="G8" s="8" t="s">
        <v>4</v>
      </c>
      <c r="H8" s="142" t="s">
        <v>22</v>
      </c>
      <c r="I8" s="143"/>
      <c r="J8" s="142" t="s">
        <v>22</v>
      </c>
      <c r="K8" s="143"/>
      <c r="N8" s="140" t="s">
        <v>248</v>
      </c>
      <c r="O8" s="141"/>
      <c r="P8" s="11">
        <v>10</v>
      </c>
      <c r="Q8" s="11">
        <v>10</v>
      </c>
      <c r="R8" s="11">
        <v>8.25</v>
      </c>
    </row>
    <row r="9" spans="2:27" ht="14.45" customHeight="1" x14ac:dyDescent="0.2">
      <c r="B9" s="8" t="s">
        <v>227</v>
      </c>
      <c r="C9" s="11">
        <v>0.5</v>
      </c>
      <c r="D9" s="11">
        <v>0.5</v>
      </c>
      <c r="G9" s="8" t="s">
        <v>5</v>
      </c>
      <c r="H9" s="142" t="s">
        <v>22</v>
      </c>
      <c r="I9" s="143"/>
      <c r="J9" s="142" t="s">
        <v>22</v>
      </c>
      <c r="K9" s="143"/>
      <c r="N9" s="140" t="s">
        <v>234</v>
      </c>
      <c r="O9" s="141"/>
      <c r="P9" s="11">
        <v>3</v>
      </c>
      <c r="Q9" s="11">
        <v>3</v>
      </c>
      <c r="R9" s="11">
        <v>3</v>
      </c>
    </row>
    <row r="10" spans="2:27" x14ac:dyDescent="0.2">
      <c r="G10" s="8" t="s">
        <v>6</v>
      </c>
      <c r="H10" s="142" t="s">
        <v>22</v>
      </c>
      <c r="I10" s="143"/>
      <c r="J10" s="142" t="s">
        <v>22</v>
      </c>
      <c r="K10" s="143"/>
    </row>
    <row r="11" spans="2:27" ht="15.75" x14ac:dyDescent="0.25">
      <c r="B11" s="146" t="s">
        <v>345</v>
      </c>
      <c r="C11" s="146"/>
      <c r="G11" s="8" t="s">
        <v>7</v>
      </c>
      <c r="H11" s="142" t="s">
        <v>238</v>
      </c>
      <c r="I11" s="143"/>
      <c r="J11" s="142" t="s">
        <v>22</v>
      </c>
      <c r="K11" s="143"/>
      <c r="P11" s="12" t="s">
        <v>0</v>
      </c>
      <c r="Q11" s="12" t="s">
        <v>1</v>
      </c>
      <c r="R11" s="12" t="s">
        <v>2</v>
      </c>
      <c r="S11" s="12" t="s">
        <v>3</v>
      </c>
      <c r="T11" s="12" t="s">
        <v>4</v>
      </c>
      <c r="U11" s="12" t="s">
        <v>5</v>
      </c>
      <c r="V11" s="12" t="s">
        <v>6</v>
      </c>
      <c r="W11" s="12" t="s">
        <v>7</v>
      </c>
      <c r="X11" s="12" t="s">
        <v>8</v>
      </c>
      <c r="Y11" s="12" t="s">
        <v>9</v>
      </c>
      <c r="Z11" s="12" t="s">
        <v>10</v>
      </c>
      <c r="AA11" s="12" t="s">
        <v>11</v>
      </c>
    </row>
    <row r="12" spans="2:27" ht="14.45" customHeight="1" x14ac:dyDescent="0.25">
      <c r="B12" s="8" t="s">
        <v>274</v>
      </c>
      <c r="C12" s="135" t="s">
        <v>204</v>
      </c>
      <c r="D12" s="135"/>
      <c r="G12" s="8" t="s">
        <v>8</v>
      </c>
      <c r="H12" s="142" t="s">
        <v>238</v>
      </c>
      <c r="I12" s="143"/>
      <c r="J12" s="142" t="s">
        <v>238</v>
      </c>
      <c r="K12" s="143"/>
      <c r="N12" s="140" t="s">
        <v>343</v>
      </c>
      <c r="O12" s="141"/>
      <c r="P12" s="11">
        <v>0.96279999999999999</v>
      </c>
      <c r="Q12" s="11">
        <v>0.96530000000000005</v>
      </c>
      <c r="R12" s="11">
        <v>0.95830000000000004</v>
      </c>
      <c r="S12" s="11">
        <v>0.92779999999999996</v>
      </c>
      <c r="T12" s="11">
        <v>0.90859999999999996</v>
      </c>
      <c r="U12" s="11">
        <v>0.92220000000000002</v>
      </c>
      <c r="V12" s="11">
        <v>0.8911</v>
      </c>
      <c r="W12" s="11">
        <v>0.8992</v>
      </c>
      <c r="X12" s="11">
        <v>0.93710000000000004</v>
      </c>
      <c r="Y12" s="11">
        <v>0.96140000000000003</v>
      </c>
      <c r="Z12" s="11">
        <v>0.97140000000000004</v>
      </c>
      <c r="AA12" s="11">
        <v>0.96409999999999996</v>
      </c>
    </row>
    <row r="13" spans="2:27" ht="14.45" customHeight="1" x14ac:dyDescent="0.2">
      <c r="B13" s="10" t="s">
        <v>48</v>
      </c>
      <c r="C13" s="105">
        <v>9.0442999999999996E-2</v>
      </c>
      <c r="D13" s="26">
        <v>9.8314355000000006E-2</v>
      </c>
      <c r="G13" s="8" t="s">
        <v>9</v>
      </c>
      <c r="H13" s="142" t="s">
        <v>238</v>
      </c>
      <c r="I13" s="143"/>
      <c r="J13" s="142" t="s">
        <v>238</v>
      </c>
      <c r="K13" s="143"/>
      <c r="N13" s="140" t="s">
        <v>275</v>
      </c>
      <c r="O13" s="141"/>
      <c r="P13" s="11">
        <v>7.1500000000000008E-2</v>
      </c>
      <c r="Q13" s="11">
        <v>3.8800000000000001E-2</v>
      </c>
      <c r="R13" s="11">
        <v>6.2199999999999998E-2</v>
      </c>
      <c r="S13" s="11">
        <v>6.0199999999999997E-2</v>
      </c>
      <c r="T13" s="11">
        <v>7.4700000000000003E-2</v>
      </c>
      <c r="U13" s="11">
        <v>4.8399999999999999E-2</v>
      </c>
      <c r="V13" s="11">
        <v>3.3799999999999997E-2</v>
      </c>
      <c r="W13" s="11">
        <v>7.7199999999999991E-2</v>
      </c>
      <c r="X13" s="11">
        <v>3.8199999999999998E-2</v>
      </c>
      <c r="Y13" s="11">
        <v>4.5100000000000001E-2</v>
      </c>
      <c r="Z13" s="11">
        <v>3.3500000000000002E-2</v>
      </c>
      <c r="AA13" s="11">
        <v>7.22E-2</v>
      </c>
    </row>
    <row r="14" spans="2:27" x14ac:dyDescent="0.2">
      <c r="B14" s="10" t="s">
        <v>49</v>
      </c>
      <c r="C14" s="105">
        <v>8.2272999999999999E-2</v>
      </c>
      <c r="D14" s="26">
        <v>8.8656966000000004E-2</v>
      </c>
      <c r="G14" s="8" t="s">
        <v>10</v>
      </c>
      <c r="H14" s="142" t="s">
        <v>238</v>
      </c>
      <c r="I14" s="143"/>
      <c r="J14" s="142" t="s">
        <v>238</v>
      </c>
      <c r="K14" s="143"/>
    </row>
    <row r="15" spans="2:27" x14ac:dyDescent="0.2">
      <c r="B15" s="10" t="s">
        <v>50</v>
      </c>
      <c r="C15" s="105">
        <v>7.4841000000000005E-2</v>
      </c>
      <c r="D15" s="26">
        <v>7.9948180999999993E-2</v>
      </c>
      <c r="G15" s="8" t="s">
        <v>11</v>
      </c>
      <c r="H15" s="142" t="s">
        <v>238</v>
      </c>
      <c r="I15" s="143"/>
      <c r="J15" s="142" t="s">
        <v>239</v>
      </c>
      <c r="K15" s="143"/>
    </row>
    <row r="16" spans="2:27" x14ac:dyDescent="0.2">
      <c r="B16" s="10" t="s">
        <v>51</v>
      </c>
      <c r="C16" s="105">
        <v>6.8080000000000002E-2</v>
      </c>
      <c r="D16" s="26">
        <v>7.2094795000000003E-2</v>
      </c>
    </row>
    <row r="17" spans="2:19" x14ac:dyDescent="0.2">
      <c r="B17" s="10" t="s">
        <v>52</v>
      </c>
      <c r="C17" s="105">
        <v>6.1928999999999998E-2</v>
      </c>
      <c r="D17" s="26">
        <v>6.5012764000000001E-2</v>
      </c>
    </row>
    <row r="18" spans="2:19" x14ac:dyDescent="0.2">
      <c r="B18" s="10" t="s">
        <v>53</v>
      </c>
      <c r="C18" s="105">
        <v>5.6334000000000002E-2</v>
      </c>
      <c r="D18" s="26">
        <v>5.8626299999999999E-2</v>
      </c>
      <c r="H18" s="8" t="s">
        <v>16</v>
      </c>
      <c r="I18" s="8" t="s">
        <v>13</v>
      </c>
      <c r="J18" s="8" t="s">
        <v>14</v>
      </c>
      <c r="K18" s="8" t="s">
        <v>12</v>
      </c>
      <c r="L18" s="8" t="s">
        <v>15</v>
      </c>
    </row>
    <row r="19" spans="2:19" ht="15.75" x14ac:dyDescent="0.2">
      <c r="B19" s="10" t="s">
        <v>54</v>
      </c>
      <c r="C19" s="105">
        <v>5.1244999999999999E-2</v>
      </c>
      <c r="D19" s="26">
        <v>5.2867065999999997E-2</v>
      </c>
      <c r="F19" s="149" t="s">
        <v>340</v>
      </c>
      <c r="G19" s="150"/>
      <c r="H19" s="106">
        <v>0.49300088048044999</v>
      </c>
      <c r="I19" s="106">
        <v>0.54893879717806904</v>
      </c>
      <c r="J19" s="106">
        <v>0.50142670123432298</v>
      </c>
      <c r="K19" s="106">
        <v>0.55887339740717001</v>
      </c>
      <c r="L19" s="106">
        <v>0.52586254607520899</v>
      </c>
    </row>
    <row r="20" spans="2:19" ht="15.75" x14ac:dyDescent="0.25">
      <c r="B20" s="10" t="s">
        <v>55</v>
      </c>
      <c r="C20" s="105">
        <v>4.6614999999999997E-2</v>
      </c>
      <c r="D20" s="26">
        <v>4.7673440999999997E-2</v>
      </c>
      <c r="F20" s="140" t="s">
        <v>342</v>
      </c>
      <c r="G20" s="141"/>
      <c r="H20" s="18">
        <v>0.1</v>
      </c>
      <c r="I20" s="18">
        <v>0.1</v>
      </c>
      <c r="J20" s="11">
        <v>7.0000000000000007E-2</v>
      </c>
      <c r="K20" s="11">
        <v>7.0000000000000007E-2</v>
      </c>
      <c r="L20" s="11">
        <v>7.0000000000000007E-2</v>
      </c>
    </row>
    <row r="21" spans="2:19" x14ac:dyDescent="0.2">
      <c r="B21" s="10" t="s">
        <v>56</v>
      </c>
      <c r="C21" s="105">
        <v>4.2403000000000003E-2</v>
      </c>
      <c r="D21" s="26">
        <v>4.2989856999999999E-2</v>
      </c>
    </row>
    <row r="22" spans="2:19" x14ac:dyDescent="0.2">
      <c r="B22" s="10" t="s">
        <v>57</v>
      </c>
      <c r="C22" s="105">
        <v>3.8572000000000002E-2</v>
      </c>
      <c r="D22" s="26">
        <v>3.8766212000000001E-2</v>
      </c>
      <c r="H22" s="21"/>
    </row>
    <row r="23" spans="2:19" x14ac:dyDescent="0.2">
      <c r="B23" s="10" t="s">
        <v>58</v>
      </c>
      <c r="C23" s="105">
        <v>3.5085999999999999E-2</v>
      </c>
      <c r="D23" s="26">
        <v>3.4957323999999998E-2</v>
      </c>
      <c r="R23" s="22"/>
    </row>
    <row r="24" spans="2:19" x14ac:dyDescent="0.2">
      <c r="B24" s="10" t="s">
        <v>59</v>
      </c>
      <c r="C24" s="105">
        <v>3.1916E-2</v>
      </c>
      <c r="D24" s="26">
        <v>3.1522453999999998E-2</v>
      </c>
      <c r="R24" s="22"/>
    </row>
    <row r="25" spans="2:19" x14ac:dyDescent="0.2">
      <c r="B25" s="10" t="s">
        <v>60</v>
      </c>
      <c r="C25" s="105">
        <v>2.9031000000000001E-2</v>
      </c>
      <c r="D25" s="26">
        <v>2.8424866999999999E-2</v>
      </c>
      <c r="F25" s="20" t="s">
        <v>341</v>
      </c>
      <c r="R25" s="22"/>
    </row>
    <row r="26" spans="2:19" x14ac:dyDescent="0.2">
      <c r="B26" s="10" t="s">
        <v>61</v>
      </c>
      <c r="C26" s="105">
        <v>2.6407E-2</v>
      </c>
      <c r="D26" s="26">
        <v>2.5631437999999999E-2</v>
      </c>
      <c r="F26" s="147" t="s">
        <v>347</v>
      </c>
      <c r="G26" s="147"/>
      <c r="H26" s="147"/>
      <c r="I26" s="147"/>
      <c r="J26" s="147"/>
      <c r="K26" s="147"/>
      <c r="L26" s="147"/>
      <c r="M26" s="147"/>
      <c r="N26" s="147"/>
      <c r="O26" s="147"/>
      <c r="P26" s="147"/>
      <c r="Q26" s="147"/>
      <c r="R26" s="147"/>
      <c r="S26" s="147"/>
    </row>
    <row r="27" spans="2:19" x14ac:dyDescent="0.2">
      <c r="B27" s="10" t="s">
        <v>62</v>
      </c>
      <c r="C27" s="105">
        <v>2.402E-2</v>
      </c>
      <c r="D27" s="26">
        <v>2.3112295000000001E-2</v>
      </c>
      <c r="F27" s="147" t="s">
        <v>348</v>
      </c>
      <c r="G27" s="147"/>
      <c r="H27" s="147"/>
      <c r="I27" s="147"/>
      <c r="J27" s="147"/>
      <c r="K27" s="147"/>
      <c r="L27" s="147"/>
      <c r="M27" s="147"/>
      <c r="N27" s="147"/>
      <c r="O27" s="147"/>
      <c r="P27" s="147"/>
      <c r="Q27" s="147"/>
      <c r="R27" s="147"/>
      <c r="S27" s="147"/>
    </row>
    <row r="28" spans="2:19" x14ac:dyDescent="0.2">
      <c r="B28" s="10" t="s">
        <v>63</v>
      </c>
      <c r="C28" s="105">
        <v>2.1849E-2</v>
      </c>
      <c r="D28" s="26">
        <v>2.0840503999999999E-2</v>
      </c>
      <c r="F28" s="147" t="s">
        <v>349</v>
      </c>
      <c r="G28" s="147"/>
      <c r="H28" s="147"/>
      <c r="I28" s="147"/>
      <c r="J28" s="147"/>
      <c r="K28" s="147"/>
      <c r="L28" s="147"/>
      <c r="M28" s="147"/>
      <c r="N28" s="147"/>
      <c r="O28" s="147"/>
      <c r="P28" s="147"/>
      <c r="Q28" s="147"/>
      <c r="R28" s="147"/>
      <c r="S28" s="147"/>
    </row>
    <row r="29" spans="2:19" x14ac:dyDescent="0.2">
      <c r="B29" s="10" t="s">
        <v>64</v>
      </c>
      <c r="C29" s="105">
        <v>1.9872999999999998E-2</v>
      </c>
      <c r="D29" s="26">
        <v>1.8791776E-2</v>
      </c>
      <c r="F29" s="147" t="s">
        <v>350</v>
      </c>
      <c r="G29" s="147"/>
      <c r="H29" s="147"/>
      <c r="I29" s="147"/>
      <c r="J29" s="147"/>
      <c r="K29" s="147"/>
      <c r="L29" s="147"/>
      <c r="M29" s="147"/>
      <c r="N29" s="147"/>
      <c r="O29" s="147"/>
      <c r="P29" s="147"/>
      <c r="Q29" s="147"/>
      <c r="R29" s="147"/>
      <c r="S29" s="147"/>
    </row>
    <row r="30" spans="2:19" x14ac:dyDescent="0.2">
      <c r="B30" s="10" t="s">
        <v>65</v>
      </c>
      <c r="C30" s="105">
        <v>1.8075999999999998E-2</v>
      </c>
      <c r="D30" s="26">
        <v>1.6944207999999999E-2</v>
      </c>
      <c r="F30" s="148" t="s">
        <v>351</v>
      </c>
      <c r="G30" s="148"/>
      <c r="H30" s="148"/>
      <c r="I30" s="148"/>
      <c r="J30" s="148"/>
      <c r="K30" s="148"/>
      <c r="L30" s="148"/>
      <c r="M30" s="148"/>
      <c r="N30" s="148"/>
      <c r="O30" s="148"/>
      <c r="P30" s="148"/>
      <c r="Q30" s="148"/>
      <c r="R30" s="148"/>
      <c r="S30" s="148"/>
    </row>
    <row r="31" spans="2:19" x14ac:dyDescent="0.2">
      <c r="B31" s="10" t="s">
        <v>66</v>
      </c>
      <c r="C31" s="105">
        <v>1.6441000000000001E-2</v>
      </c>
      <c r="D31" s="26">
        <v>1.527805E-2</v>
      </c>
      <c r="F31" s="148"/>
      <c r="G31" s="148"/>
      <c r="H31" s="148"/>
      <c r="I31" s="148"/>
      <c r="J31" s="148"/>
      <c r="K31" s="148"/>
      <c r="L31" s="148"/>
      <c r="M31" s="148"/>
      <c r="N31" s="148"/>
      <c r="O31" s="148"/>
      <c r="P31" s="148"/>
      <c r="Q31" s="148"/>
      <c r="R31" s="148"/>
      <c r="S31" s="148"/>
    </row>
    <row r="32" spans="2:19" x14ac:dyDescent="0.2">
      <c r="B32" s="10" t="s">
        <v>67</v>
      </c>
      <c r="C32" s="105">
        <v>1.4954E-2</v>
      </c>
      <c r="D32" s="26">
        <v>1.3775492E-2</v>
      </c>
      <c r="F32" s="147" t="s">
        <v>352</v>
      </c>
      <c r="G32" s="147"/>
      <c r="H32" s="147"/>
      <c r="I32" s="147"/>
      <c r="J32" s="147"/>
      <c r="K32" s="147"/>
      <c r="L32" s="147"/>
      <c r="M32" s="147"/>
      <c r="N32" s="147"/>
      <c r="O32" s="147"/>
      <c r="P32" s="147"/>
      <c r="Q32" s="147"/>
      <c r="R32" s="147"/>
      <c r="S32" s="147"/>
    </row>
    <row r="33" spans="2:18" x14ac:dyDescent="0.2">
      <c r="B33" s="10" t="s">
        <v>68</v>
      </c>
      <c r="C33" s="105">
        <v>1.3601E-2</v>
      </c>
      <c r="D33" s="26">
        <v>1.2420471000000001E-2</v>
      </c>
      <c r="R33" s="22"/>
    </row>
    <row r="34" spans="2:18" x14ac:dyDescent="0.2">
      <c r="B34" s="10" t="s">
        <v>69</v>
      </c>
      <c r="C34" s="105">
        <v>1.2370000000000001E-2</v>
      </c>
      <c r="D34" s="26">
        <v>1.1198506E-2</v>
      </c>
      <c r="R34" s="23"/>
    </row>
    <row r="35" spans="2:18" x14ac:dyDescent="0.2">
      <c r="B35" s="10" t="s">
        <v>70</v>
      </c>
      <c r="C35" s="105">
        <v>1.1251000000000001E-2</v>
      </c>
      <c r="D35" s="26">
        <v>1.0096536E-2</v>
      </c>
    </row>
    <row r="36" spans="2:18" x14ac:dyDescent="0.2">
      <c r="B36" s="10" t="s">
        <v>71</v>
      </c>
      <c r="C36" s="105">
        <v>1.0232E-2</v>
      </c>
      <c r="D36" s="26">
        <v>9.1027810000000008E-3</v>
      </c>
    </row>
    <row r="37" spans="2:18" x14ac:dyDescent="0.2">
      <c r="B37" s="10" t="s">
        <v>72</v>
      </c>
      <c r="C37" s="105">
        <v>9.3050000000000008E-3</v>
      </c>
      <c r="D37" s="26">
        <v>8.2066220000000002E-3</v>
      </c>
    </row>
    <row r="38" spans="2:18" x14ac:dyDescent="0.2">
      <c r="B38" s="10" t="s">
        <v>73</v>
      </c>
      <c r="C38" s="105">
        <v>8.4620000000000008E-3</v>
      </c>
      <c r="D38" s="26">
        <v>7.3984799999999998E-3</v>
      </c>
    </row>
    <row r="39" spans="2:18" x14ac:dyDescent="0.2">
      <c r="B39" s="10" t="s">
        <v>74</v>
      </c>
      <c r="C39" s="105">
        <v>7.6959999999999997E-3</v>
      </c>
      <c r="D39" s="26">
        <v>6.669716E-3</v>
      </c>
    </row>
    <row r="40" spans="2:18" x14ac:dyDescent="0.2">
      <c r="B40" s="10" t="s">
        <v>75</v>
      </c>
      <c r="C40" s="105">
        <v>6.9979999999999999E-3</v>
      </c>
      <c r="D40" s="26">
        <v>6.0125400000000002E-3</v>
      </c>
    </row>
    <row r="41" spans="2:18" x14ac:dyDescent="0.2">
      <c r="B41" s="10" t="s">
        <v>76</v>
      </c>
      <c r="C41" s="105">
        <v>6.3639999999999999E-3</v>
      </c>
      <c r="D41" s="26">
        <v>5.4199280000000001E-3</v>
      </c>
    </row>
    <row r="42" spans="2:18" x14ac:dyDescent="0.2">
      <c r="B42" s="10" t="s">
        <v>77</v>
      </c>
      <c r="C42" s="105">
        <v>5.7860000000000003E-3</v>
      </c>
      <c r="D42" s="26">
        <v>4.8855440000000003E-3</v>
      </c>
    </row>
    <row r="43" spans="2:18" x14ac:dyDescent="0.2">
      <c r="B43" s="10" t="s">
        <v>78</v>
      </c>
      <c r="C43" s="105">
        <v>5.2610000000000001E-3</v>
      </c>
      <c r="D43" s="26">
        <v>4.4036730000000003E-3</v>
      </c>
    </row>
    <row r="44" spans="2:18" x14ac:dyDescent="0.2">
      <c r="B44" s="10" t="s">
        <v>79</v>
      </c>
      <c r="C44" s="105">
        <v>4.7840000000000001E-3</v>
      </c>
      <c r="D44" s="26">
        <v>3.9691630000000004E-3</v>
      </c>
    </row>
    <row r="45" spans="2:18" x14ac:dyDescent="0.2">
      <c r="B45" s="10" t="s">
        <v>80</v>
      </c>
      <c r="C45" s="105">
        <v>4.3489999999999996E-3</v>
      </c>
      <c r="D45" s="26">
        <v>3.5773670000000001E-3</v>
      </c>
    </row>
    <row r="46" spans="2:18" x14ac:dyDescent="0.2">
      <c r="B46" s="10" t="s">
        <v>81</v>
      </c>
      <c r="C46" s="105">
        <v>3.954E-3</v>
      </c>
      <c r="D46" s="26">
        <v>3.2240910000000001E-3</v>
      </c>
    </row>
    <row r="47" spans="2:18" x14ac:dyDescent="0.2">
      <c r="B47" s="10" t="s">
        <v>82</v>
      </c>
      <c r="C47" s="105">
        <v>3.5950000000000001E-3</v>
      </c>
      <c r="D47" s="26">
        <v>2.9055579999999999E-3</v>
      </c>
    </row>
    <row r="48" spans="2:18" x14ac:dyDescent="0.2">
      <c r="B48" s="10" t="s">
        <v>83</v>
      </c>
      <c r="C48" s="105">
        <v>3.2680000000000001E-3</v>
      </c>
      <c r="D48" s="26">
        <v>2.6183560000000001E-3</v>
      </c>
    </row>
    <row r="49" spans="2:4" x14ac:dyDescent="0.2">
      <c r="B49" s="10" t="s">
        <v>84</v>
      </c>
      <c r="C49" s="105">
        <v>2.97E-3</v>
      </c>
      <c r="D49" s="26">
        <v>2.3594110000000001E-3</v>
      </c>
    </row>
    <row r="50" spans="2:4" x14ac:dyDescent="0.2">
      <c r="B50" s="10" t="s">
        <v>85</v>
      </c>
      <c r="C50" s="105">
        <v>2.7000000000000001E-3</v>
      </c>
      <c r="D50" s="26">
        <v>2.1259500000000001E-3</v>
      </c>
    </row>
    <row r="51" spans="2:4" x14ac:dyDescent="0.2">
      <c r="B51" s="10" t="s">
        <v>86</v>
      </c>
      <c r="C51" s="105">
        <v>2.454E-3</v>
      </c>
      <c r="D51" s="26">
        <v>1.915471E-3</v>
      </c>
    </row>
    <row r="52" spans="2:4" x14ac:dyDescent="0.2">
      <c r="B52" s="10" t="s">
        <v>87</v>
      </c>
      <c r="C52" s="105">
        <v>2.2300000000000002E-3</v>
      </c>
      <c r="D52" s="26">
        <v>1.7257189999999999E-3</v>
      </c>
    </row>
    <row r="53" spans="2:4" x14ac:dyDescent="0.2">
      <c r="B53" s="10" t="s">
        <v>88</v>
      </c>
      <c r="C53" s="105">
        <v>2.0270000000000002E-3</v>
      </c>
      <c r="D53" s="26">
        <v>1.554658E-3</v>
      </c>
    </row>
    <row r="54" spans="2:4" x14ac:dyDescent="0.2">
      <c r="B54" s="10" t="s">
        <v>89</v>
      </c>
      <c r="C54" s="105">
        <v>1.8420000000000001E-3</v>
      </c>
      <c r="D54" s="26">
        <v>1.400454E-3</v>
      </c>
    </row>
    <row r="55" spans="2:4" x14ac:dyDescent="0.2">
      <c r="B55" s="10" t="s">
        <v>90</v>
      </c>
      <c r="C55" s="105">
        <v>1.6739999999999999E-3</v>
      </c>
      <c r="D55" s="26">
        <v>1.261451E-3</v>
      </c>
    </row>
    <row r="56" spans="2:4" x14ac:dyDescent="0.2">
      <c r="B56" s="10" t="s">
        <v>91</v>
      </c>
      <c r="C56" s="105">
        <v>1.521E-3</v>
      </c>
      <c r="D56" s="26">
        <v>1.1361559999999999E-3</v>
      </c>
    </row>
    <row r="57" spans="2:4" x14ac:dyDescent="0.2">
      <c r="B57" s="10" t="s">
        <v>92</v>
      </c>
      <c r="C57" s="105">
        <v>1.382E-3</v>
      </c>
      <c r="D57" s="26">
        <v>1.0232220000000001E-3</v>
      </c>
    </row>
    <row r="58" spans="2:4" x14ac:dyDescent="0.2">
      <c r="B58" s="10" t="s">
        <v>93</v>
      </c>
      <c r="C58" s="105">
        <v>1.255E-3</v>
      </c>
      <c r="D58" s="26">
        <v>9.2143599999999998E-4</v>
      </c>
    </row>
    <row r="59" spans="2:4" x14ac:dyDescent="0.2">
      <c r="B59" s="10" t="s">
        <v>94</v>
      </c>
      <c r="C59" s="105">
        <v>1.14E-3</v>
      </c>
      <c r="D59" s="26">
        <v>8.2970099999999996E-4</v>
      </c>
    </row>
    <row r="60" spans="2:4" x14ac:dyDescent="0.2">
      <c r="B60" s="10" t="s">
        <v>95</v>
      </c>
      <c r="C60" s="105">
        <v>1.036E-3</v>
      </c>
      <c r="D60" s="26">
        <v>7.4702899999999997E-4</v>
      </c>
    </row>
    <row r="61" spans="2:4" x14ac:dyDescent="0.2">
      <c r="B61" s="10" t="s">
        <v>96</v>
      </c>
      <c r="C61" s="105">
        <v>9.3999999999999997E-4</v>
      </c>
      <c r="D61" s="26">
        <v>6.7253099999999998E-4</v>
      </c>
    </row>
    <row r="62" spans="2:4" x14ac:dyDescent="0.2">
      <c r="B62" s="10" t="s">
        <v>97</v>
      </c>
      <c r="C62" s="105">
        <v>8.5400000000000005E-4</v>
      </c>
      <c r="D62" s="26">
        <v>6.0540099999999999E-4</v>
      </c>
    </row>
    <row r="63" spans="2:4" x14ac:dyDescent="0.2">
      <c r="B63" s="10" t="s">
        <v>98</v>
      </c>
      <c r="C63" s="105">
        <v>7.76E-4</v>
      </c>
      <c r="D63" s="26">
        <v>5.4491499999999998E-4</v>
      </c>
    </row>
    <row r="64" spans="2:4" x14ac:dyDescent="0.2">
      <c r="B64" s="10" t="s">
        <v>99</v>
      </c>
      <c r="C64" s="105">
        <v>7.0399999999999998E-4</v>
      </c>
      <c r="D64" s="26">
        <v>4.9041899999999997E-4</v>
      </c>
    </row>
    <row r="65" spans="2:4" x14ac:dyDescent="0.2">
      <c r="B65" s="10" t="s">
        <v>100</v>
      </c>
      <c r="C65" s="105">
        <v>6.3900000000000003E-4</v>
      </c>
      <c r="D65" s="26">
        <v>4.4132299999999998E-4</v>
      </c>
    </row>
    <row r="66" spans="2:4" x14ac:dyDescent="0.2">
      <c r="B66" s="10" t="s">
        <v>101</v>
      </c>
      <c r="C66" s="105">
        <v>5.8E-4</v>
      </c>
      <c r="D66" s="26">
        <v>3.9709599999999999E-4</v>
      </c>
    </row>
    <row r="67" spans="2:4" x14ac:dyDescent="0.2">
      <c r="B67" s="10" t="s">
        <v>102</v>
      </c>
      <c r="C67" s="105">
        <v>5.2700000000000002E-4</v>
      </c>
      <c r="D67" s="26">
        <v>3.57258E-4</v>
      </c>
    </row>
    <row r="68" spans="2:4" x14ac:dyDescent="0.2">
      <c r="B68" s="10" t="s">
        <v>103</v>
      </c>
      <c r="C68" s="105">
        <v>4.7800000000000002E-4</v>
      </c>
      <c r="D68" s="26">
        <v>3.2137700000000002E-4</v>
      </c>
    </row>
    <row r="69" spans="2:4" x14ac:dyDescent="0.2">
      <c r="B69" s="10" t="s">
        <v>104</v>
      </c>
      <c r="C69" s="105">
        <v>4.3399999999999998E-4</v>
      </c>
      <c r="D69" s="26">
        <v>2.8906199999999998E-4</v>
      </c>
    </row>
    <row r="70" spans="2:4" x14ac:dyDescent="0.2">
      <c r="B70" s="10" t="s">
        <v>105</v>
      </c>
      <c r="C70" s="105">
        <v>3.9399999999999998E-4</v>
      </c>
      <c r="D70" s="26">
        <v>2.5996100000000001E-4</v>
      </c>
    </row>
    <row r="71" spans="2:4" x14ac:dyDescent="0.2">
      <c r="B71" s="10" t="s">
        <v>106</v>
      </c>
      <c r="C71" s="105">
        <v>3.57E-4</v>
      </c>
      <c r="D71" s="26">
        <v>2.3375800000000001E-4</v>
      </c>
    </row>
    <row r="72" spans="2:4" x14ac:dyDescent="0.2">
      <c r="B72" s="10" t="s">
        <v>107</v>
      </c>
      <c r="C72" s="105">
        <v>3.2400000000000001E-4</v>
      </c>
      <c r="D72" s="26">
        <v>2.10165E-4</v>
      </c>
    </row>
    <row r="73" spans="2:4" x14ac:dyDescent="0.2">
      <c r="B73" s="10" t="s">
        <v>108</v>
      </c>
      <c r="C73" s="105">
        <v>2.9399999999999999E-4</v>
      </c>
      <c r="D73" s="26">
        <v>1.8892599999999999E-4</v>
      </c>
    </row>
    <row r="74" spans="2:4" x14ac:dyDescent="0.2">
      <c r="B74" s="10" t="s">
        <v>109</v>
      </c>
      <c r="C74" s="105">
        <v>2.6600000000000001E-4</v>
      </c>
      <c r="D74" s="26">
        <v>1.6980700000000001E-4</v>
      </c>
    </row>
    <row r="75" spans="2:4" x14ac:dyDescent="0.2">
      <c r="B75" s="10" t="s">
        <v>110</v>
      </c>
      <c r="C75" s="105">
        <v>2.41E-4</v>
      </c>
      <c r="D75" s="26">
        <v>1.5259900000000001E-4</v>
      </c>
    </row>
    <row r="76" spans="2:4" x14ac:dyDescent="0.2">
      <c r="B76" s="10" t="s">
        <v>111</v>
      </c>
      <c r="C76" s="105">
        <v>2.1900000000000001E-4</v>
      </c>
      <c r="D76" s="26">
        <v>1.3711300000000001E-4</v>
      </c>
    </row>
    <row r="77" spans="2:4" x14ac:dyDescent="0.2">
      <c r="B77" s="10" t="s">
        <v>112</v>
      </c>
      <c r="C77" s="105">
        <v>1.9799999999999999E-4</v>
      </c>
      <c r="D77" s="26">
        <v>1.23177E-4</v>
      </c>
    </row>
    <row r="78" spans="2:4" x14ac:dyDescent="0.2">
      <c r="B78" s="10" t="s">
        <v>113</v>
      </c>
      <c r="C78" s="105">
        <v>1.8000000000000001E-4</v>
      </c>
      <c r="D78" s="26">
        <v>1.10639E-4</v>
      </c>
    </row>
    <row r="79" spans="2:4" x14ac:dyDescent="0.2">
      <c r="B79" s="10" t="s">
        <v>114</v>
      </c>
      <c r="C79" s="105">
        <v>1.63E-4</v>
      </c>
      <c r="D79" s="26">
        <v>9.9400000000000004E-5</v>
      </c>
    </row>
    <row r="80" spans="2:4" x14ac:dyDescent="0.2">
      <c r="B80" s="10" t="s">
        <v>115</v>
      </c>
      <c r="C80" s="105">
        <v>1.4799999999999999E-4</v>
      </c>
      <c r="D80" s="26">
        <v>8.92E-5</v>
      </c>
    </row>
    <row r="81" spans="2:4" x14ac:dyDescent="0.2">
      <c r="B81" s="10" t="s">
        <v>116</v>
      </c>
      <c r="C81" s="105">
        <v>1.34E-4</v>
      </c>
      <c r="D81" s="26">
        <v>8.0099999999999995E-5</v>
      </c>
    </row>
    <row r="82" spans="2:4" x14ac:dyDescent="0.2">
      <c r="B82" s="10" t="s">
        <v>117</v>
      </c>
      <c r="C82" s="105">
        <v>1.21E-4</v>
      </c>
      <c r="D82" s="26">
        <v>7.1899999999999999E-5</v>
      </c>
    </row>
    <row r="83" spans="2:4" x14ac:dyDescent="0.2">
      <c r="B83" s="10" t="s">
        <v>118</v>
      </c>
      <c r="C83" s="105">
        <v>1.1E-4</v>
      </c>
      <c r="D83" s="26">
        <v>6.4499999999999996E-5</v>
      </c>
    </row>
    <row r="84" spans="2:4" x14ac:dyDescent="0.2">
      <c r="B84" s="10" t="s">
        <v>119</v>
      </c>
      <c r="C84" s="105">
        <v>9.9300000000000001E-5</v>
      </c>
      <c r="D84" s="26">
        <v>5.7899999999999998E-5</v>
      </c>
    </row>
    <row r="85" spans="2:4" x14ac:dyDescent="0.2">
      <c r="B85" s="10" t="s">
        <v>120</v>
      </c>
      <c r="C85" s="105">
        <v>8.9800000000000001E-5</v>
      </c>
      <c r="D85" s="26">
        <v>5.1900000000000001E-5</v>
      </c>
    </row>
    <row r="86" spans="2:4" x14ac:dyDescent="0.2">
      <c r="B86" s="10" t="s">
        <v>121</v>
      </c>
      <c r="C86" s="105">
        <v>8.1299999999999997E-5</v>
      </c>
      <c r="D86" s="26">
        <v>4.6600000000000001E-5</v>
      </c>
    </row>
    <row r="87" spans="2:4" x14ac:dyDescent="0.2">
      <c r="B87" s="10" t="s">
        <v>122</v>
      </c>
      <c r="C87" s="105">
        <v>7.36E-5</v>
      </c>
      <c r="D87" s="26">
        <v>4.1699999999999997E-5</v>
      </c>
    </row>
    <row r="88" spans="2:4" x14ac:dyDescent="0.2">
      <c r="B88" s="10" t="s">
        <v>123</v>
      </c>
      <c r="C88" s="105">
        <v>6.6500000000000004E-5</v>
      </c>
      <c r="D88" s="26">
        <v>3.7400000000000001E-5</v>
      </c>
    </row>
    <row r="89" spans="2:4" x14ac:dyDescent="0.2">
      <c r="B89" s="10" t="s">
        <v>124</v>
      </c>
      <c r="C89" s="105">
        <v>6.02E-5</v>
      </c>
      <c r="D89" s="26">
        <v>3.3500000000000001E-5</v>
      </c>
    </row>
    <row r="90" spans="2:4" x14ac:dyDescent="0.2">
      <c r="B90" s="10" t="s">
        <v>125</v>
      </c>
      <c r="C90" s="105">
        <v>5.4400000000000001E-5</v>
      </c>
      <c r="D90" s="26">
        <v>3.0000000000000001E-5</v>
      </c>
    </row>
    <row r="91" spans="2:4" x14ac:dyDescent="0.2">
      <c r="B91" s="10" t="s">
        <v>126</v>
      </c>
      <c r="C91" s="105">
        <v>4.9200000000000003E-5</v>
      </c>
      <c r="D91" s="26">
        <v>2.69E-5</v>
      </c>
    </row>
    <row r="92" spans="2:4" x14ac:dyDescent="0.2">
      <c r="B92" s="10" t="s">
        <v>127</v>
      </c>
      <c r="C92" s="105">
        <v>4.4400000000000002E-5</v>
      </c>
      <c r="D92" s="26">
        <v>2.41E-5</v>
      </c>
    </row>
    <row r="93" spans="2:4" x14ac:dyDescent="0.2">
      <c r="B93" s="10" t="s">
        <v>128</v>
      </c>
      <c r="C93" s="105">
        <v>4.0200000000000001E-5</v>
      </c>
      <c r="D93" s="26">
        <v>2.16E-5</v>
      </c>
    </row>
    <row r="94" spans="2:4" x14ac:dyDescent="0.2">
      <c r="B94" s="10" t="s">
        <v>129</v>
      </c>
      <c r="C94" s="105">
        <v>3.6300000000000001E-5</v>
      </c>
      <c r="D94" s="26">
        <v>1.9300000000000002E-5</v>
      </c>
    </row>
    <row r="95" spans="2:4" x14ac:dyDescent="0.2">
      <c r="B95" s="10" t="s">
        <v>130</v>
      </c>
      <c r="C95" s="105">
        <v>3.2799999999999998E-5</v>
      </c>
      <c r="D95" s="26">
        <v>1.73E-5</v>
      </c>
    </row>
    <row r="96" spans="2:4" x14ac:dyDescent="0.2">
      <c r="B96" s="10" t="s">
        <v>131</v>
      </c>
      <c r="C96" s="105">
        <v>2.9600000000000001E-5</v>
      </c>
      <c r="D96" s="26">
        <v>1.5500000000000001E-5</v>
      </c>
    </row>
    <row r="97" spans="2:4" x14ac:dyDescent="0.2">
      <c r="B97" s="10" t="s">
        <v>132</v>
      </c>
      <c r="C97" s="105">
        <v>2.6699999999999998E-5</v>
      </c>
      <c r="D97" s="26">
        <v>1.38E-5</v>
      </c>
    </row>
    <row r="98" spans="2:4" x14ac:dyDescent="0.2">
      <c r="B98" s="10" t="s">
        <v>133</v>
      </c>
      <c r="C98" s="105">
        <v>2.41E-5</v>
      </c>
      <c r="D98" s="26">
        <v>1.24E-5</v>
      </c>
    </row>
    <row r="99" spans="2:4" x14ac:dyDescent="0.2">
      <c r="B99" s="10" t="s">
        <v>134</v>
      </c>
      <c r="C99" s="105">
        <v>2.1699999999999999E-5</v>
      </c>
      <c r="D99" s="26">
        <v>1.1E-5</v>
      </c>
    </row>
    <row r="100" spans="2:4" x14ac:dyDescent="0.2">
      <c r="B100" s="10" t="s">
        <v>135</v>
      </c>
      <c r="C100" s="105">
        <v>1.9599999999999999E-5</v>
      </c>
      <c r="D100" s="26">
        <v>9.8700000000000004E-6</v>
      </c>
    </row>
    <row r="101" spans="2:4" x14ac:dyDescent="0.2">
      <c r="B101" s="10" t="s">
        <v>136</v>
      </c>
      <c r="C101" s="105">
        <v>1.77E-5</v>
      </c>
      <c r="D101" s="26">
        <v>8.8200000000000003E-6</v>
      </c>
    </row>
    <row r="102" spans="2:4" x14ac:dyDescent="0.2">
      <c r="B102" s="10" t="s">
        <v>137</v>
      </c>
      <c r="C102" s="105">
        <v>1.59E-5</v>
      </c>
      <c r="D102" s="26">
        <v>7.8699999999999992E-6</v>
      </c>
    </row>
    <row r="103" spans="2:4" x14ac:dyDescent="0.2">
      <c r="B103" s="10" t="s">
        <v>138</v>
      </c>
      <c r="C103" s="105">
        <v>1.43E-5</v>
      </c>
      <c r="D103" s="26">
        <v>7.0299999999999996E-6</v>
      </c>
    </row>
    <row r="104" spans="2:4" x14ac:dyDescent="0.2">
      <c r="B104" s="10" t="s">
        <v>139</v>
      </c>
      <c r="C104" s="105">
        <v>1.29E-5</v>
      </c>
      <c r="D104" s="26">
        <v>6.2700000000000001E-6</v>
      </c>
    </row>
    <row r="105" spans="2:4" x14ac:dyDescent="0.2">
      <c r="B105" s="10" t="s">
        <v>140</v>
      </c>
      <c r="C105" s="105">
        <v>1.1600000000000001E-5</v>
      </c>
      <c r="D105" s="26">
        <v>5.5899999999999998E-6</v>
      </c>
    </row>
    <row r="106" spans="2:4" x14ac:dyDescent="0.2">
      <c r="B106" s="10" t="s">
        <v>141</v>
      </c>
      <c r="C106" s="105">
        <v>1.0499999999999999E-5</v>
      </c>
      <c r="D106" s="26">
        <v>4.9899999999999997E-6</v>
      </c>
    </row>
    <row r="107" spans="2:4" x14ac:dyDescent="0.2">
      <c r="B107" s="10" t="s">
        <v>142</v>
      </c>
      <c r="C107" s="105">
        <v>9.4299999999999995E-6</v>
      </c>
      <c r="D107" s="26">
        <v>4.4499999999999997E-6</v>
      </c>
    </row>
    <row r="108" spans="2:4" x14ac:dyDescent="0.2">
      <c r="B108" s="10" t="s">
        <v>143</v>
      </c>
      <c r="C108" s="105">
        <v>8.4800000000000001E-6</v>
      </c>
      <c r="D108" s="26">
        <v>3.9600000000000002E-6</v>
      </c>
    </row>
    <row r="109" spans="2:4" x14ac:dyDescent="0.2">
      <c r="B109" s="10" t="s">
        <v>144</v>
      </c>
      <c r="C109" s="105">
        <v>7.6299999999999998E-6</v>
      </c>
      <c r="D109" s="26">
        <v>3.5300000000000001E-6</v>
      </c>
    </row>
    <row r="110" spans="2:4" x14ac:dyDescent="0.2">
      <c r="B110" s="10" t="s">
        <v>145</v>
      </c>
      <c r="C110" s="105">
        <v>6.8600000000000004E-6</v>
      </c>
      <c r="D110" s="26">
        <v>3.14E-6</v>
      </c>
    </row>
    <row r="111" spans="2:4" x14ac:dyDescent="0.2">
      <c r="B111" s="10" t="s">
        <v>146</v>
      </c>
      <c r="C111" s="105">
        <v>6.1600000000000003E-6</v>
      </c>
      <c r="D111" s="26">
        <v>2.7999999999999999E-6</v>
      </c>
    </row>
    <row r="112" spans="2:4" x14ac:dyDescent="0.2">
      <c r="B112" s="10" t="s">
        <v>147</v>
      </c>
      <c r="C112" s="105">
        <v>5.5400000000000003E-6</v>
      </c>
      <c r="D112" s="26">
        <v>2.4899999999999999E-6</v>
      </c>
    </row>
    <row r="113" spans="2:4" x14ac:dyDescent="0.2">
      <c r="B113" s="10" t="s">
        <v>148</v>
      </c>
      <c r="C113" s="105">
        <v>4.9699999999999998E-6</v>
      </c>
      <c r="D113" s="26">
        <v>2.21E-6</v>
      </c>
    </row>
    <row r="114" spans="2:4" x14ac:dyDescent="0.2">
      <c r="B114" s="10" t="s">
        <v>149</v>
      </c>
      <c r="C114" s="105">
        <v>4.4599999999999996E-6</v>
      </c>
      <c r="D114" s="26">
        <v>1.9700000000000002E-6</v>
      </c>
    </row>
    <row r="115" spans="2:4" x14ac:dyDescent="0.2">
      <c r="B115" s="10" t="s">
        <v>150</v>
      </c>
      <c r="C115" s="105">
        <v>3.9999999999999998E-6</v>
      </c>
      <c r="D115" s="26">
        <v>1.75E-6</v>
      </c>
    </row>
    <row r="116" spans="2:4" x14ac:dyDescent="0.2">
      <c r="B116" s="10" t="s">
        <v>151</v>
      </c>
      <c r="C116" s="105">
        <v>3.5899999999999999E-6</v>
      </c>
      <c r="D116" s="26">
        <v>1.55E-6</v>
      </c>
    </row>
    <row r="117" spans="2:4" x14ac:dyDescent="0.2">
      <c r="B117" s="10" t="s">
        <v>152</v>
      </c>
      <c r="C117" s="105">
        <v>3.2200000000000001E-6</v>
      </c>
      <c r="D117" s="26">
        <v>1.3799999999999999E-6</v>
      </c>
    </row>
    <row r="118" spans="2:4" x14ac:dyDescent="0.2">
      <c r="B118" s="10" t="s">
        <v>153</v>
      </c>
      <c r="C118" s="105">
        <v>2.8899999999999999E-6</v>
      </c>
      <c r="D118" s="26">
        <v>1.22E-6</v>
      </c>
    </row>
    <row r="119" spans="2:4" x14ac:dyDescent="0.2">
      <c r="B119" s="10" t="s">
        <v>154</v>
      </c>
      <c r="C119" s="105">
        <v>2.5900000000000002E-6</v>
      </c>
      <c r="D119" s="26">
        <v>1.0899999999999999E-6</v>
      </c>
    </row>
    <row r="120" spans="2:4" x14ac:dyDescent="0.2">
      <c r="B120" s="10" t="s">
        <v>155</v>
      </c>
      <c r="C120" s="105">
        <v>2.3199999999999998E-6</v>
      </c>
      <c r="D120" s="26">
        <v>9.6299999999999993E-7</v>
      </c>
    </row>
    <row r="121" spans="2:4" x14ac:dyDescent="0.2">
      <c r="B121" s="10" t="s">
        <v>156</v>
      </c>
      <c r="C121" s="105">
        <v>2.0700000000000001E-6</v>
      </c>
      <c r="D121" s="26">
        <v>8.5300000000000003E-7</v>
      </c>
    </row>
    <row r="122" spans="2:4" x14ac:dyDescent="0.2">
      <c r="B122" s="10" t="s">
        <v>157</v>
      </c>
      <c r="C122" s="105">
        <v>1.8500000000000001E-6</v>
      </c>
      <c r="D122" s="26">
        <v>7.5600000000000005E-7</v>
      </c>
    </row>
    <row r="123" spans="2:4" x14ac:dyDescent="0.2">
      <c r="B123" s="10" t="s">
        <v>158</v>
      </c>
      <c r="C123" s="105">
        <v>1.66E-6</v>
      </c>
      <c r="D123" s="26">
        <v>6.6899999999999997E-7</v>
      </c>
    </row>
    <row r="124" spans="2:4" x14ac:dyDescent="0.2">
      <c r="B124" s="10" t="s">
        <v>159</v>
      </c>
      <c r="C124" s="105">
        <v>1.48E-6</v>
      </c>
      <c r="D124" s="26">
        <v>5.9200000000000001E-7</v>
      </c>
    </row>
    <row r="125" spans="2:4" x14ac:dyDescent="0.2">
      <c r="B125" s="10" t="s">
        <v>160</v>
      </c>
      <c r="C125" s="105">
        <v>1.3200000000000001E-6</v>
      </c>
      <c r="D125" s="26">
        <v>5.2399999999999998E-7</v>
      </c>
    </row>
    <row r="126" spans="2:4" x14ac:dyDescent="0.2">
      <c r="B126" s="10" t="s">
        <v>161</v>
      </c>
      <c r="C126" s="105">
        <v>1.1799999999999999E-6</v>
      </c>
      <c r="D126" s="26">
        <v>4.63E-7</v>
      </c>
    </row>
    <row r="127" spans="2:4" x14ac:dyDescent="0.2">
      <c r="B127" s="10" t="s">
        <v>162</v>
      </c>
      <c r="C127" s="105">
        <v>1.06E-6</v>
      </c>
      <c r="D127" s="26">
        <v>4.0900000000000002E-7</v>
      </c>
    </row>
    <row r="128" spans="2:4" x14ac:dyDescent="0.2">
      <c r="B128" s="10" t="s">
        <v>163</v>
      </c>
      <c r="C128" s="105">
        <v>9.4200000000000004E-7</v>
      </c>
      <c r="D128" s="26">
        <v>3.6100000000000002E-7</v>
      </c>
    </row>
    <row r="129" spans="2:4" x14ac:dyDescent="0.2">
      <c r="B129" s="10" t="s">
        <v>164</v>
      </c>
      <c r="C129" s="105">
        <v>8.4E-7</v>
      </c>
      <c r="D129" s="26">
        <v>3.1899999999999998E-7</v>
      </c>
    </row>
    <row r="130" spans="2:4" x14ac:dyDescent="0.2">
      <c r="B130" s="10" t="s">
        <v>165</v>
      </c>
      <c r="C130" s="105">
        <v>7.4900000000000005E-7</v>
      </c>
      <c r="D130" s="26">
        <v>2.8099999999999999E-7</v>
      </c>
    </row>
    <row r="131" spans="2:4" x14ac:dyDescent="0.2">
      <c r="B131" s="10" t="s">
        <v>166</v>
      </c>
      <c r="C131" s="105">
        <v>6.6700000000000003E-7</v>
      </c>
      <c r="D131" s="26">
        <v>2.48E-7</v>
      </c>
    </row>
    <row r="132" spans="2:4" x14ac:dyDescent="0.2">
      <c r="B132" s="10" t="s">
        <v>167</v>
      </c>
      <c r="C132" s="105">
        <v>5.9400000000000005E-7</v>
      </c>
      <c r="D132" s="26">
        <v>2.1899999999999999E-7</v>
      </c>
    </row>
    <row r="133" spans="2:4" x14ac:dyDescent="0.2">
      <c r="B133" s="10" t="s">
        <v>168</v>
      </c>
      <c r="C133" s="105">
        <v>5.2900000000000004E-7</v>
      </c>
      <c r="D133" s="26">
        <v>1.9299999999999999E-7</v>
      </c>
    </row>
    <row r="134" spans="2:4" x14ac:dyDescent="0.2">
      <c r="B134" s="10" t="s">
        <v>169</v>
      </c>
      <c r="C134" s="105">
        <v>4.7E-7</v>
      </c>
      <c r="D134" s="26">
        <v>1.6999999999999999E-7</v>
      </c>
    </row>
    <row r="135" spans="2:4" x14ac:dyDescent="0.2">
      <c r="B135" s="10" t="s">
        <v>170</v>
      </c>
      <c r="C135" s="105">
        <v>4.1800000000000001E-7</v>
      </c>
      <c r="D135" s="26">
        <v>1.49E-7</v>
      </c>
    </row>
    <row r="136" spans="2:4" x14ac:dyDescent="0.2">
      <c r="B136" s="10" t="s">
        <v>171</v>
      </c>
      <c r="C136" s="105">
        <v>3.7099999999999997E-7</v>
      </c>
      <c r="D136" s="26">
        <v>1.31E-7</v>
      </c>
    </row>
    <row r="137" spans="2:4" x14ac:dyDescent="0.2">
      <c r="B137" s="10" t="s">
        <v>172</v>
      </c>
      <c r="C137" s="105">
        <v>3.3000000000000002E-7</v>
      </c>
      <c r="D137" s="26">
        <v>1.15E-7</v>
      </c>
    </row>
    <row r="138" spans="2:4" x14ac:dyDescent="0.2">
      <c r="B138" s="10" t="s">
        <v>173</v>
      </c>
      <c r="C138" s="105">
        <v>2.9299999999999999E-7</v>
      </c>
      <c r="D138" s="26">
        <v>1.01E-7</v>
      </c>
    </row>
    <row r="139" spans="2:4" x14ac:dyDescent="0.2">
      <c r="B139" s="10" t="s">
        <v>174</v>
      </c>
      <c r="C139" s="105">
        <v>2.6E-7</v>
      </c>
      <c r="D139" s="26">
        <v>8.8699999999999994E-8</v>
      </c>
    </row>
    <row r="140" spans="2:4" x14ac:dyDescent="0.2">
      <c r="B140" s="10" t="s">
        <v>175</v>
      </c>
      <c r="C140" s="105">
        <v>2.2999999999999999E-7</v>
      </c>
      <c r="D140" s="26">
        <v>7.7799999999999995E-8</v>
      </c>
    </row>
    <row r="141" spans="2:4" x14ac:dyDescent="0.2">
      <c r="B141" s="10" t="s">
        <v>176</v>
      </c>
      <c r="C141" s="105">
        <v>2.04E-7</v>
      </c>
      <c r="D141" s="26">
        <v>6.8200000000000002E-8</v>
      </c>
    </row>
    <row r="142" spans="2:4" x14ac:dyDescent="0.2">
      <c r="B142" s="10" t="s">
        <v>177</v>
      </c>
      <c r="C142" s="105">
        <v>1.8099999999999999E-7</v>
      </c>
      <c r="D142" s="26">
        <v>5.9699999999999999E-8</v>
      </c>
    </row>
    <row r="143" spans="2:4" x14ac:dyDescent="0.2">
      <c r="B143" s="10" t="s">
        <v>178</v>
      </c>
      <c r="C143" s="105">
        <v>1.6E-7</v>
      </c>
      <c r="D143" s="26">
        <v>5.2299999999999998E-8</v>
      </c>
    </row>
    <row r="144" spans="2:4" x14ac:dyDescent="0.2">
      <c r="B144" s="10" t="s">
        <v>179</v>
      </c>
      <c r="C144" s="105">
        <v>1.4100000000000001E-7</v>
      </c>
      <c r="D144" s="26">
        <v>4.5699999999999999E-8</v>
      </c>
    </row>
    <row r="145" spans="2:4" x14ac:dyDescent="0.2">
      <c r="B145" s="10" t="s">
        <v>180</v>
      </c>
      <c r="C145" s="105">
        <v>1.2499999999999999E-7</v>
      </c>
      <c r="D145" s="26">
        <v>4.0000000000000001E-8</v>
      </c>
    </row>
    <row r="146" spans="2:4" x14ac:dyDescent="0.2">
      <c r="B146" s="10" t="s">
        <v>181</v>
      </c>
      <c r="C146" s="105">
        <v>1.1000000000000001E-7</v>
      </c>
      <c r="D146" s="26">
        <v>3.4900000000000001E-8</v>
      </c>
    </row>
    <row r="147" spans="2:4" x14ac:dyDescent="0.2">
      <c r="B147" s="10" t="s">
        <v>182</v>
      </c>
      <c r="C147" s="105">
        <v>9.7300000000000004E-8</v>
      </c>
      <c r="D147" s="26">
        <v>3.0500000000000002E-8</v>
      </c>
    </row>
    <row r="148" spans="2:4" x14ac:dyDescent="0.2">
      <c r="B148" s="10" t="s">
        <v>183</v>
      </c>
      <c r="C148" s="105">
        <v>8.5800000000000001E-8</v>
      </c>
      <c r="D148" s="26">
        <v>2.66E-8</v>
      </c>
    </row>
    <row r="149" spans="2:4" x14ac:dyDescent="0.2">
      <c r="B149" s="10" t="s">
        <v>184</v>
      </c>
      <c r="C149" s="105">
        <v>7.5600000000000002E-8</v>
      </c>
      <c r="D149" s="26">
        <v>2.3199999999999999E-8</v>
      </c>
    </row>
    <row r="150" spans="2:4" x14ac:dyDescent="0.2">
      <c r="B150" s="10" t="s">
        <v>185</v>
      </c>
      <c r="C150" s="105">
        <v>6.6600000000000001E-8</v>
      </c>
      <c r="D150" s="26">
        <v>2.0199999999999999E-8</v>
      </c>
    </row>
    <row r="151" spans="2:4" x14ac:dyDescent="0.2">
      <c r="B151" s="10" t="s">
        <v>186</v>
      </c>
      <c r="C151" s="105">
        <v>5.8600000000000002E-8</v>
      </c>
      <c r="D151" s="26">
        <v>1.7500000000000001E-8</v>
      </c>
    </row>
    <row r="152" spans="2:4" x14ac:dyDescent="0.2">
      <c r="B152" s="10" t="s">
        <v>187</v>
      </c>
      <c r="C152" s="105">
        <v>5.1599999999999999E-8</v>
      </c>
      <c r="D152" s="26">
        <v>1.5300000000000001E-8</v>
      </c>
    </row>
    <row r="153" spans="2:4" x14ac:dyDescent="0.2">
      <c r="B153" s="10" t="s">
        <v>188</v>
      </c>
      <c r="C153" s="105">
        <v>4.5300000000000002E-8</v>
      </c>
      <c r="D153" s="26">
        <v>1.33E-8</v>
      </c>
    </row>
    <row r="154" spans="2:4" x14ac:dyDescent="0.2">
      <c r="B154" s="10" t="s">
        <v>189</v>
      </c>
      <c r="C154" s="105">
        <v>3.9799999999999999E-8</v>
      </c>
      <c r="D154" s="26">
        <v>1.15E-8</v>
      </c>
    </row>
    <row r="155" spans="2:4" x14ac:dyDescent="0.2">
      <c r="B155" s="10" t="s">
        <v>190</v>
      </c>
      <c r="C155" s="105">
        <v>3.5000000000000002E-8</v>
      </c>
      <c r="D155" s="26">
        <v>9.9800000000000007E-9</v>
      </c>
    </row>
    <row r="156" spans="2:4" x14ac:dyDescent="0.2">
      <c r="B156" s="10" t="s">
        <v>191</v>
      </c>
      <c r="C156" s="105">
        <v>3.0699999999999997E-8</v>
      </c>
      <c r="D156" s="26">
        <v>8.6499999999999997E-9</v>
      </c>
    </row>
    <row r="157" spans="2:4" x14ac:dyDescent="0.2">
      <c r="B157" s="10" t="s">
        <v>192</v>
      </c>
      <c r="C157" s="105">
        <v>2.6899999999999999E-8</v>
      </c>
      <c r="D157" s="26">
        <v>7.4899999999999996E-9</v>
      </c>
    </row>
    <row r="158" spans="2:4" x14ac:dyDescent="0.2">
      <c r="B158" s="10" t="s">
        <v>193</v>
      </c>
      <c r="C158" s="105">
        <v>2.3499999999999999E-8</v>
      </c>
      <c r="D158" s="26">
        <v>6.4899999999999997E-9</v>
      </c>
    </row>
    <row r="159" spans="2:4" x14ac:dyDescent="0.2">
      <c r="B159" s="10" t="s">
        <v>194</v>
      </c>
      <c r="C159" s="105">
        <v>2.0599999999999999E-8</v>
      </c>
      <c r="D159" s="26">
        <v>5.6100000000000003E-9</v>
      </c>
    </row>
    <row r="160" spans="2:4" x14ac:dyDescent="0.2">
      <c r="B160" s="10" t="s">
        <v>195</v>
      </c>
      <c r="C160" s="105">
        <v>1.7999999999999999E-8</v>
      </c>
      <c r="D160" s="26">
        <v>4.8399999999999998E-9</v>
      </c>
    </row>
    <row r="161" spans="2:4" x14ac:dyDescent="0.2">
      <c r="B161" s="10" t="s">
        <v>196</v>
      </c>
      <c r="C161" s="105">
        <v>1.5700000000000002E-8</v>
      </c>
      <c r="D161" s="26">
        <v>4.18E-9</v>
      </c>
    </row>
    <row r="162" spans="2:4" x14ac:dyDescent="0.2">
      <c r="B162" s="10" t="s">
        <v>197</v>
      </c>
      <c r="C162" s="105">
        <v>1.37E-8</v>
      </c>
      <c r="D162" s="26">
        <v>3.6100000000000001E-9</v>
      </c>
    </row>
    <row r="163" spans="2:4" x14ac:dyDescent="0.2">
      <c r="B163" s="10" t="s">
        <v>198</v>
      </c>
      <c r="C163" s="105">
        <v>1.2E-8</v>
      </c>
      <c r="D163" s="26">
        <v>3.1099999999999998E-9</v>
      </c>
    </row>
    <row r="164" spans="2:4" x14ac:dyDescent="0.2">
      <c r="B164" s="10" t="s">
        <v>199</v>
      </c>
      <c r="C164" s="105">
        <v>1.04E-8</v>
      </c>
      <c r="D164" s="26">
        <v>2.6700000000000001E-9</v>
      </c>
    </row>
    <row r="165" spans="2:4" x14ac:dyDescent="0.2">
      <c r="B165" s="10" t="s">
        <v>200</v>
      </c>
      <c r="C165" s="105">
        <v>9.0900000000000007E-9</v>
      </c>
      <c r="D165" s="26">
        <v>2.2999999999999999E-9</v>
      </c>
    </row>
    <row r="166" spans="2:4" x14ac:dyDescent="0.2">
      <c r="B166" s="10" t="s">
        <v>201</v>
      </c>
      <c r="C166" s="105">
        <v>7.9099999999999994E-9</v>
      </c>
      <c r="D166" s="26">
        <v>1.9800000000000002E-9</v>
      </c>
    </row>
    <row r="167" spans="2:4" x14ac:dyDescent="0.2">
      <c r="B167" s="10" t="s">
        <v>202</v>
      </c>
      <c r="C167" s="105">
        <v>6.8699999999999996E-9</v>
      </c>
      <c r="D167" s="26">
        <v>1.6999999999999999E-9</v>
      </c>
    </row>
    <row r="168" spans="2:4" x14ac:dyDescent="0.2">
      <c r="B168" s="10" t="s">
        <v>203</v>
      </c>
      <c r="C168" s="105">
        <v>5.9699999999999999E-9</v>
      </c>
      <c r="D168" s="26">
        <v>1.4599999999999999E-9</v>
      </c>
    </row>
    <row r="169" spans="2:4" x14ac:dyDescent="0.2">
      <c r="B169" s="10" t="s">
        <v>601</v>
      </c>
      <c r="C169" s="105">
        <v>5.1799999999999999E-9</v>
      </c>
      <c r="D169" s="26">
        <v>1.25E-9</v>
      </c>
    </row>
    <row r="170" spans="2:4" x14ac:dyDescent="0.2">
      <c r="B170" s="10" t="s">
        <v>602</v>
      </c>
      <c r="C170" s="105">
        <v>4.49E-9</v>
      </c>
      <c r="D170" s="26">
        <v>1.07E-9</v>
      </c>
    </row>
    <row r="171" spans="2:4" x14ac:dyDescent="0.2">
      <c r="B171" s="10" t="s">
        <v>603</v>
      </c>
      <c r="C171" s="105">
        <v>3.8899999999999996E-9</v>
      </c>
      <c r="D171" s="26">
        <v>9.1199999999999995E-10</v>
      </c>
    </row>
    <row r="172" spans="2:4" x14ac:dyDescent="0.2">
      <c r="B172" s="10" t="s">
        <v>604</v>
      </c>
      <c r="C172" s="105">
        <v>3.3700000000000001E-9</v>
      </c>
      <c r="D172" s="26">
        <v>7.7999999999999999E-10</v>
      </c>
    </row>
    <row r="173" spans="2:4" x14ac:dyDescent="0.2">
      <c r="B173" s="10" t="s">
        <v>605</v>
      </c>
      <c r="C173" s="105">
        <v>2.9100000000000001E-9</v>
      </c>
      <c r="D173" s="26">
        <v>6.6499999999999998E-10</v>
      </c>
    </row>
    <row r="174" spans="2:4" x14ac:dyDescent="0.2">
      <c r="B174" s="10" t="s">
        <v>606</v>
      </c>
      <c r="C174" s="105">
        <v>2.5099999999999998E-9</v>
      </c>
      <c r="D174" s="26">
        <v>5.6700000000000001E-10</v>
      </c>
    </row>
    <row r="175" spans="2:4" x14ac:dyDescent="0.2">
      <c r="B175" s="10" t="s">
        <v>607</v>
      </c>
      <c r="C175" s="105">
        <v>2.1700000000000002E-9</v>
      </c>
      <c r="D175" s="26">
        <v>4.8299999999999999E-10</v>
      </c>
    </row>
    <row r="176" spans="2:4" x14ac:dyDescent="0.2">
      <c r="B176" s="10" t="s">
        <v>608</v>
      </c>
      <c r="C176" s="105">
        <v>1.87E-9</v>
      </c>
      <c r="D176" s="26">
        <v>4.1099999999999998E-10</v>
      </c>
    </row>
    <row r="177" spans="2:4" x14ac:dyDescent="0.2">
      <c r="B177" s="10" t="s">
        <v>609</v>
      </c>
      <c r="C177" s="105">
        <v>1.61E-9</v>
      </c>
      <c r="D177" s="26">
        <v>3.4899999999999998E-10</v>
      </c>
    </row>
    <row r="178" spans="2:4" x14ac:dyDescent="0.2">
      <c r="B178" s="10" t="s">
        <v>610</v>
      </c>
      <c r="C178" s="105">
        <v>1.39E-9</v>
      </c>
      <c r="D178" s="26">
        <v>2.9600000000000001E-10</v>
      </c>
    </row>
    <row r="179" spans="2:4" x14ac:dyDescent="0.2">
      <c r="B179" s="10" t="s">
        <v>611</v>
      </c>
      <c r="C179" s="105">
        <v>1.19E-9</v>
      </c>
      <c r="D179" s="26">
        <v>2.5100000000000001E-10</v>
      </c>
    </row>
    <row r="180" spans="2:4" x14ac:dyDescent="0.2">
      <c r="B180" s="10" t="s">
        <v>612</v>
      </c>
      <c r="C180" s="105">
        <v>1.02E-9</v>
      </c>
      <c r="D180" s="26">
        <v>2.1299999999999999E-10</v>
      </c>
    </row>
    <row r="181" spans="2:4" x14ac:dyDescent="0.2">
      <c r="B181" s="10" t="s">
        <v>613</v>
      </c>
      <c r="C181" s="105">
        <v>8.7799999999999997E-10</v>
      </c>
      <c r="D181" s="26">
        <v>1.8E-10</v>
      </c>
    </row>
    <row r="182" spans="2:4" x14ac:dyDescent="0.2">
      <c r="B182" s="10" t="s">
        <v>614</v>
      </c>
      <c r="C182" s="105">
        <v>7.5299999999999998E-10</v>
      </c>
      <c r="D182" s="26">
        <v>1.5199999999999999E-10</v>
      </c>
    </row>
    <row r="183" spans="2:4" x14ac:dyDescent="0.2">
      <c r="B183" s="10" t="s">
        <v>615</v>
      </c>
      <c r="C183" s="105">
        <v>6.4400000000000005E-10</v>
      </c>
      <c r="D183" s="26">
        <v>1.2899999999999999E-10</v>
      </c>
    </row>
    <row r="184" spans="2:4" x14ac:dyDescent="0.2">
      <c r="B184" s="10" t="s">
        <v>616</v>
      </c>
      <c r="C184" s="105">
        <v>5.5099999999999996E-10</v>
      </c>
      <c r="D184" s="26">
        <v>1.08E-10</v>
      </c>
    </row>
    <row r="185" spans="2:4" x14ac:dyDescent="0.2">
      <c r="B185" s="10" t="s">
        <v>617</v>
      </c>
      <c r="C185" s="105">
        <v>4.7100000000000003E-10</v>
      </c>
      <c r="D185" s="26">
        <v>9.1299999999999997E-11</v>
      </c>
    </row>
    <row r="186" spans="2:4" x14ac:dyDescent="0.2">
      <c r="B186" s="10" t="s">
        <v>618</v>
      </c>
      <c r="C186" s="105">
        <v>4.0200000000000001E-10</v>
      </c>
      <c r="D186" s="26">
        <v>7.6799999999999996E-11</v>
      </c>
    </row>
    <row r="187" spans="2:4" x14ac:dyDescent="0.2">
      <c r="B187" s="10" t="s">
        <v>619</v>
      </c>
      <c r="C187" s="105">
        <v>3.43E-10</v>
      </c>
      <c r="D187" s="26">
        <v>6.4600000000000002E-11</v>
      </c>
    </row>
    <row r="188" spans="2:4" x14ac:dyDescent="0.2">
      <c r="B188" s="10" t="s">
        <v>620</v>
      </c>
      <c r="C188" s="105">
        <v>2.9200000000000003E-10</v>
      </c>
      <c r="D188" s="26">
        <v>5.4199999999999998E-11</v>
      </c>
    </row>
    <row r="189" spans="2:4" x14ac:dyDescent="0.2">
      <c r="B189" s="10" t="s">
        <v>621</v>
      </c>
      <c r="C189" s="105">
        <v>2.4800000000000002E-10</v>
      </c>
      <c r="D189" s="26">
        <v>4.54E-11</v>
      </c>
    </row>
    <row r="190" spans="2:4" x14ac:dyDescent="0.2">
      <c r="B190" s="10" t="s">
        <v>622</v>
      </c>
      <c r="C190" s="105">
        <v>2.11E-10</v>
      </c>
      <c r="D190" s="26">
        <v>3.7999999999999998E-11</v>
      </c>
    </row>
    <row r="191" spans="2:4" x14ac:dyDescent="0.2">
      <c r="B191" s="10" t="s">
        <v>623</v>
      </c>
      <c r="C191" s="105">
        <v>1.79E-10</v>
      </c>
      <c r="D191" s="26">
        <v>3.1800000000000003E-11</v>
      </c>
    </row>
    <row r="192" spans="2:4" x14ac:dyDescent="0.2">
      <c r="B192" s="10" t="s">
        <v>624</v>
      </c>
      <c r="C192" s="105">
        <v>1.5199999999999999E-10</v>
      </c>
      <c r="D192" s="26">
        <v>2.6600000000000001E-11</v>
      </c>
    </row>
    <row r="193" spans="2:4" x14ac:dyDescent="0.2">
      <c r="B193" s="10" t="s">
        <v>625</v>
      </c>
      <c r="C193" s="105">
        <v>1.28E-10</v>
      </c>
      <c r="D193" s="26">
        <v>2.21E-11</v>
      </c>
    </row>
    <row r="194" spans="2:4" x14ac:dyDescent="0.2">
      <c r="B194" s="10" t="s">
        <v>626</v>
      </c>
      <c r="C194" s="105">
        <v>1.09E-10</v>
      </c>
      <c r="D194" s="26">
        <v>1.8399999999999999E-11</v>
      </c>
    </row>
    <row r="195" spans="2:4" x14ac:dyDescent="0.2">
      <c r="B195" s="10" t="s">
        <v>627</v>
      </c>
      <c r="C195" s="105">
        <v>9.1700000000000004E-11</v>
      </c>
      <c r="D195" s="26">
        <v>1.5300000000000001E-11</v>
      </c>
    </row>
    <row r="196" spans="2:4" x14ac:dyDescent="0.2">
      <c r="B196" s="10" t="s">
        <v>628</v>
      </c>
      <c r="C196" s="105">
        <v>7.7399999999999999E-11</v>
      </c>
      <c r="D196" s="26">
        <v>1.27E-11</v>
      </c>
    </row>
    <row r="197" spans="2:4" x14ac:dyDescent="0.2">
      <c r="B197" s="10" t="s">
        <v>629</v>
      </c>
      <c r="C197" s="105">
        <v>6.5200000000000005E-11</v>
      </c>
      <c r="D197" s="26">
        <v>1.0599999999999999E-11</v>
      </c>
    </row>
    <row r="198" spans="2:4" x14ac:dyDescent="0.2">
      <c r="B198" s="10" t="s">
        <v>630</v>
      </c>
      <c r="C198" s="105">
        <v>5.4899999999999999E-11</v>
      </c>
      <c r="D198" s="26">
        <v>8.7600000000000006E-12</v>
      </c>
    </row>
    <row r="199" spans="2:4" x14ac:dyDescent="0.2">
      <c r="B199" s="10" t="s">
        <v>631</v>
      </c>
      <c r="C199" s="105">
        <v>4.6100000000000001E-11</v>
      </c>
      <c r="D199" s="26">
        <v>7.25E-12</v>
      </c>
    </row>
    <row r="200" spans="2:4" x14ac:dyDescent="0.2">
      <c r="B200" s="10" t="s">
        <v>632</v>
      </c>
      <c r="C200" s="105">
        <v>3.8699999999999999E-11</v>
      </c>
      <c r="D200" s="26">
        <v>5.9900000000000001E-12</v>
      </c>
    </row>
    <row r="201" spans="2:4" x14ac:dyDescent="0.2">
      <c r="B201" s="10" t="s">
        <v>633</v>
      </c>
      <c r="C201" s="105">
        <v>3.2499999999999998E-11</v>
      </c>
      <c r="D201" s="26">
        <v>4.9400000000000004E-12</v>
      </c>
    </row>
    <row r="202" spans="2:4" x14ac:dyDescent="0.2">
      <c r="B202" s="10" t="s">
        <v>634</v>
      </c>
      <c r="C202" s="105">
        <v>2.72E-11</v>
      </c>
      <c r="D202" s="26">
        <v>4.0700000000000002E-12</v>
      </c>
    </row>
    <row r="203" spans="2:4" x14ac:dyDescent="0.2">
      <c r="B203" s="10" t="s">
        <v>635</v>
      </c>
      <c r="C203" s="105">
        <v>2.27E-11</v>
      </c>
      <c r="D203" s="26">
        <v>3.3500000000000001E-12</v>
      </c>
    </row>
    <row r="204" spans="2:4" x14ac:dyDescent="0.2">
      <c r="B204" s="10" t="s">
        <v>636</v>
      </c>
      <c r="C204" s="105">
        <v>1.8999999999999999E-11</v>
      </c>
      <c r="D204" s="26">
        <v>2.7500000000000002E-12</v>
      </c>
    </row>
    <row r="205" spans="2:4" x14ac:dyDescent="0.2">
      <c r="B205" s="10" t="s">
        <v>637</v>
      </c>
      <c r="C205" s="105">
        <v>1.58E-11</v>
      </c>
      <c r="D205" s="26">
        <v>2.2600000000000001E-12</v>
      </c>
    </row>
    <row r="206" spans="2:4" x14ac:dyDescent="0.2">
      <c r="B206" s="10" t="s">
        <v>638</v>
      </c>
      <c r="C206" s="105">
        <v>1.32E-11</v>
      </c>
      <c r="D206" s="26">
        <v>1.85E-12</v>
      </c>
    </row>
    <row r="207" spans="2:4" x14ac:dyDescent="0.2">
      <c r="B207" s="10" t="s">
        <v>639</v>
      </c>
      <c r="C207" s="105">
        <v>1.1000000000000001E-11</v>
      </c>
      <c r="D207" s="26">
        <v>1.51E-12</v>
      </c>
    </row>
    <row r="208" spans="2:4" x14ac:dyDescent="0.2">
      <c r="B208" s="10" t="s">
        <v>640</v>
      </c>
      <c r="C208" s="105">
        <v>9.1199999999999999E-12</v>
      </c>
      <c r="D208" s="26">
        <v>1.24E-12</v>
      </c>
    </row>
    <row r="209" spans="2:4" x14ac:dyDescent="0.2">
      <c r="B209" s="10" t="s">
        <v>641</v>
      </c>
      <c r="C209" s="105">
        <v>7.5699999999999994E-12</v>
      </c>
      <c r="D209" s="26">
        <v>1.0099999999999999E-12</v>
      </c>
    </row>
    <row r="210" spans="2:4" x14ac:dyDescent="0.2">
      <c r="B210" s="10" t="s">
        <v>642</v>
      </c>
      <c r="C210" s="105">
        <v>6.2699999999999997E-12</v>
      </c>
      <c r="D210" s="26">
        <v>8.2200000000000003E-13</v>
      </c>
    </row>
    <row r="211" spans="2:4" x14ac:dyDescent="0.2">
      <c r="B211" s="10" t="s">
        <v>643</v>
      </c>
      <c r="C211" s="105">
        <v>5.1900000000000003E-12</v>
      </c>
      <c r="D211" s="26">
        <v>6.6799999999999998E-13</v>
      </c>
    </row>
    <row r="212" spans="2:4" x14ac:dyDescent="0.2">
      <c r="B212" s="10" t="s">
        <v>644</v>
      </c>
      <c r="C212" s="105">
        <v>4.2800000000000003E-12</v>
      </c>
      <c r="D212" s="26">
        <v>5.4200000000000001E-13</v>
      </c>
    </row>
    <row r="213" spans="2:4" x14ac:dyDescent="0.2">
      <c r="B213" s="10" t="s">
        <v>645</v>
      </c>
      <c r="C213" s="105">
        <v>3.5300000000000001E-12</v>
      </c>
      <c r="D213" s="26">
        <v>4.3999999999999999E-13</v>
      </c>
    </row>
    <row r="214" spans="2:4" x14ac:dyDescent="0.2">
      <c r="B214" s="10" t="s">
        <v>646</v>
      </c>
      <c r="C214" s="105">
        <v>2.9099999999999999E-12</v>
      </c>
      <c r="D214" s="26">
        <v>3.56E-13</v>
      </c>
    </row>
    <row r="215" spans="2:4" x14ac:dyDescent="0.2">
      <c r="B215" s="10" t="s">
        <v>647</v>
      </c>
      <c r="C215" s="105">
        <v>2.3999999999999999E-12</v>
      </c>
      <c r="D215" s="26">
        <v>2.8699999999999999E-13</v>
      </c>
    </row>
    <row r="216" spans="2:4" x14ac:dyDescent="0.2">
      <c r="B216" s="10" t="s">
        <v>648</v>
      </c>
      <c r="C216" s="105">
        <v>1.9699999999999999E-12</v>
      </c>
      <c r="D216" s="26">
        <v>2.3200000000000002E-13</v>
      </c>
    </row>
    <row r="217" spans="2:4" x14ac:dyDescent="0.2">
      <c r="B217" s="10" t="s">
        <v>649</v>
      </c>
      <c r="C217" s="105">
        <v>1.61E-12</v>
      </c>
      <c r="D217" s="26">
        <v>1.8700000000000001E-13</v>
      </c>
    </row>
    <row r="218" spans="2:4" x14ac:dyDescent="0.2">
      <c r="B218" s="10" t="s">
        <v>650</v>
      </c>
      <c r="C218" s="105">
        <v>1.32E-12</v>
      </c>
      <c r="D218" s="26">
        <v>1.4999999999999999E-13</v>
      </c>
    </row>
    <row r="219" spans="2:4" x14ac:dyDescent="0.2">
      <c r="B219" s="10" t="s">
        <v>651</v>
      </c>
      <c r="C219" s="105">
        <v>1.08E-12</v>
      </c>
      <c r="D219" s="26">
        <v>1.2099999999999999E-13</v>
      </c>
    </row>
    <row r="220" spans="2:4" x14ac:dyDescent="0.2">
      <c r="B220" s="10" t="s">
        <v>652</v>
      </c>
      <c r="C220" s="105">
        <v>8.8199999999999998E-13</v>
      </c>
      <c r="D220" s="26">
        <v>9.66E-14</v>
      </c>
    </row>
    <row r="221" spans="2:4" x14ac:dyDescent="0.2">
      <c r="B221" s="10" t="s">
        <v>653</v>
      </c>
      <c r="C221" s="105">
        <v>7.1899999999999997E-13</v>
      </c>
      <c r="D221" s="26">
        <v>7.7299999999999996E-14</v>
      </c>
    </row>
    <row r="222" spans="2:4" x14ac:dyDescent="0.2">
      <c r="B222" s="10" t="s">
        <v>654</v>
      </c>
      <c r="C222" s="105">
        <v>5.8500000000000003E-13</v>
      </c>
      <c r="D222" s="26">
        <v>6.1700000000000005E-14</v>
      </c>
    </row>
    <row r="223" spans="2:4" x14ac:dyDescent="0.2">
      <c r="B223" s="10" t="s">
        <v>655</v>
      </c>
      <c r="C223" s="105">
        <v>4.75E-13</v>
      </c>
      <c r="D223" s="26">
        <v>4.9200000000000001E-14</v>
      </c>
    </row>
    <row r="224" spans="2:4" x14ac:dyDescent="0.2">
      <c r="B224" s="10" t="s">
        <v>656</v>
      </c>
      <c r="C224" s="105">
        <v>3.8600000000000002E-13</v>
      </c>
      <c r="D224" s="26">
        <v>3.92E-14</v>
      </c>
    </row>
    <row r="225" spans="2:4" x14ac:dyDescent="0.2">
      <c r="B225" s="10" t="s">
        <v>657</v>
      </c>
      <c r="C225" s="105">
        <v>3.1199999999999998E-13</v>
      </c>
      <c r="D225" s="26">
        <v>3.1100000000000001E-14</v>
      </c>
    </row>
    <row r="226" spans="2:4" x14ac:dyDescent="0.2">
      <c r="B226" s="10" t="s">
        <v>658</v>
      </c>
      <c r="C226" s="105">
        <v>2.5299999999999998E-13</v>
      </c>
      <c r="D226" s="26">
        <v>2.4700000000000001E-14</v>
      </c>
    </row>
    <row r="227" spans="2:4" x14ac:dyDescent="0.2">
      <c r="B227" s="10" t="s">
        <v>659</v>
      </c>
      <c r="C227" s="105">
        <v>2.0399999999999999E-13</v>
      </c>
      <c r="D227" s="26">
        <v>1.9499999999999999E-14</v>
      </c>
    </row>
    <row r="228" spans="2:4" x14ac:dyDescent="0.2">
      <c r="B228" s="10" t="s">
        <v>660</v>
      </c>
      <c r="C228" s="105">
        <v>1.6400000000000001E-13</v>
      </c>
      <c r="D228" s="26">
        <v>1.5399999999999999E-14</v>
      </c>
    </row>
    <row r="229" spans="2:4" x14ac:dyDescent="0.2">
      <c r="B229" s="10" t="s">
        <v>661</v>
      </c>
      <c r="C229" s="105">
        <v>1.3199999999999999E-13</v>
      </c>
      <c r="D229" s="26">
        <v>1.2199999999999999E-14</v>
      </c>
    </row>
    <row r="230" spans="2:4" x14ac:dyDescent="0.2">
      <c r="B230" s="10" t="s">
        <v>662</v>
      </c>
      <c r="C230" s="105">
        <v>1.06E-13</v>
      </c>
      <c r="D230" s="26">
        <v>9.5800000000000003E-15</v>
      </c>
    </row>
    <row r="231" spans="2:4" x14ac:dyDescent="0.2">
      <c r="B231" s="10" t="s">
        <v>663</v>
      </c>
      <c r="C231" s="105">
        <v>8.5200000000000006E-14</v>
      </c>
      <c r="D231" s="26">
        <v>7.5300000000000005E-15</v>
      </c>
    </row>
    <row r="232" spans="2:4" x14ac:dyDescent="0.2">
      <c r="B232" s="10" t="s">
        <v>664</v>
      </c>
      <c r="C232" s="105">
        <v>6.8200000000000002E-14</v>
      </c>
      <c r="D232" s="26">
        <v>5.8999999999999996E-15</v>
      </c>
    </row>
    <row r="233" spans="2:4" x14ac:dyDescent="0.2">
      <c r="B233" s="10" t="s">
        <v>665</v>
      </c>
      <c r="C233" s="105">
        <v>5.4500000000000001E-14</v>
      </c>
      <c r="D233" s="26">
        <v>4.6200000000000001E-15</v>
      </c>
    </row>
    <row r="234" spans="2:4" x14ac:dyDescent="0.2">
      <c r="B234" s="10" t="s">
        <v>666</v>
      </c>
      <c r="C234" s="105">
        <v>4.3499999999999998E-14</v>
      </c>
      <c r="D234" s="26">
        <v>3.6099999999999999E-15</v>
      </c>
    </row>
    <row r="235" spans="2:4" x14ac:dyDescent="0.2">
      <c r="B235" s="10" t="s">
        <v>667</v>
      </c>
      <c r="C235" s="105">
        <v>3.4599999999999999E-14</v>
      </c>
      <c r="D235" s="26">
        <v>2.8200000000000001E-15</v>
      </c>
    </row>
    <row r="236" spans="2:4" x14ac:dyDescent="0.2">
      <c r="B236" s="10" t="s">
        <v>668</v>
      </c>
      <c r="C236" s="105">
        <v>2.75E-14</v>
      </c>
      <c r="D236" s="26">
        <v>2.1900000000000001E-15</v>
      </c>
    </row>
    <row r="237" spans="2:4" x14ac:dyDescent="0.2">
      <c r="B237" s="10" t="s">
        <v>669</v>
      </c>
      <c r="C237" s="105">
        <v>2.1799999999999999E-14</v>
      </c>
      <c r="D237" s="26">
        <v>1.7E-15</v>
      </c>
    </row>
    <row r="238" spans="2:4" x14ac:dyDescent="0.2">
      <c r="B238" s="10" t="s">
        <v>670</v>
      </c>
      <c r="C238" s="105">
        <v>1.7299999999999999E-14</v>
      </c>
      <c r="D238" s="26">
        <v>1.32E-15</v>
      </c>
    </row>
    <row r="239" spans="2:4" x14ac:dyDescent="0.2">
      <c r="B239" s="10" t="s">
        <v>671</v>
      </c>
      <c r="C239" s="105">
        <v>1.3699999999999999E-14</v>
      </c>
      <c r="D239" s="26">
        <v>1.02E-15</v>
      </c>
    </row>
    <row r="240" spans="2:4" x14ac:dyDescent="0.2">
      <c r="B240" s="10" t="s">
        <v>672</v>
      </c>
      <c r="C240" s="105">
        <v>1.08E-14</v>
      </c>
      <c r="D240" s="26">
        <v>7.89E-16</v>
      </c>
    </row>
    <row r="241" spans="2:4" x14ac:dyDescent="0.2">
      <c r="B241" s="10" t="s">
        <v>673</v>
      </c>
      <c r="C241" s="105">
        <v>8.5099999999999998E-15</v>
      </c>
      <c r="D241" s="26">
        <v>6.0800000000000002E-16</v>
      </c>
    </row>
    <row r="242" spans="2:4" x14ac:dyDescent="0.2">
      <c r="B242" s="10" t="s">
        <v>674</v>
      </c>
      <c r="C242" s="105">
        <v>6.6900000000000002E-15</v>
      </c>
      <c r="D242" s="26">
        <v>4.67E-16</v>
      </c>
    </row>
    <row r="243" spans="2:4" x14ac:dyDescent="0.2">
      <c r="B243" s="10" t="s">
        <v>675</v>
      </c>
      <c r="C243" s="105">
        <v>5.2499999999999997E-15</v>
      </c>
      <c r="D243" s="26">
        <v>3.5900000000000002E-16</v>
      </c>
    </row>
    <row r="244" spans="2:4" x14ac:dyDescent="0.2">
      <c r="B244" s="10" t="s">
        <v>676</v>
      </c>
      <c r="C244" s="105">
        <v>4.1100000000000001E-15</v>
      </c>
      <c r="D244" s="26">
        <v>2.7499999999999998E-16</v>
      </c>
    </row>
    <row r="245" spans="2:4" x14ac:dyDescent="0.2">
      <c r="B245" s="10" t="s">
        <v>677</v>
      </c>
      <c r="C245" s="105">
        <v>3.2199999999999999E-15</v>
      </c>
      <c r="D245" s="26">
        <v>2.1000000000000001E-16</v>
      </c>
    </row>
    <row r="246" spans="2:4" x14ac:dyDescent="0.2">
      <c r="B246" s="10" t="s">
        <v>678</v>
      </c>
      <c r="C246" s="105">
        <v>2.5100000000000002E-15</v>
      </c>
      <c r="D246" s="26">
        <v>1.6000000000000001E-16</v>
      </c>
    </row>
    <row r="247" spans="2:4" x14ac:dyDescent="0.2">
      <c r="B247" s="10" t="s">
        <v>679</v>
      </c>
      <c r="C247" s="105">
        <v>1.9500000000000001E-15</v>
      </c>
      <c r="D247" s="26">
        <v>1.2200000000000001E-16</v>
      </c>
    </row>
    <row r="248" spans="2:4" x14ac:dyDescent="0.2">
      <c r="B248" s="10" t="s">
        <v>680</v>
      </c>
      <c r="C248" s="105">
        <v>1.52E-15</v>
      </c>
      <c r="D248" s="26">
        <v>9.2399999999999995E-17</v>
      </c>
    </row>
    <row r="249" spans="2:4" x14ac:dyDescent="0.2">
      <c r="B249" s="10" t="s">
        <v>681</v>
      </c>
      <c r="C249" s="105">
        <v>1.18E-15</v>
      </c>
      <c r="D249" s="26">
        <v>7.0000000000000003E-17</v>
      </c>
    </row>
    <row r="250" spans="2:4" x14ac:dyDescent="0.2">
      <c r="B250" s="10" t="s">
        <v>682</v>
      </c>
      <c r="C250" s="105">
        <v>9.1200000000000003E-16</v>
      </c>
      <c r="D250" s="26">
        <v>5.29E-17</v>
      </c>
    </row>
    <row r="251" spans="2:4" x14ac:dyDescent="0.2">
      <c r="B251" s="10" t="s">
        <v>683</v>
      </c>
      <c r="C251" s="105">
        <v>7.0500000000000002E-16</v>
      </c>
      <c r="D251" s="26">
        <v>3.9899999999999999E-17</v>
      </c>
    </row>
    <row r="252" spans="2:4" x14ac:dyDescent="0.2">
      <c r="B252" s="10" t="s">
        <v>684</v>
      </c>
      <c r="C252" s="105">
        <v>5.4300000000000005E-16</v>
      </c>
      <c r="D252" s="26">
        <v>3.0099999999999999E-17</v>
      </c>
    </row>
    <row r="253" spans="2:4" x14ac:dyDescent="0.2">
      <c r="B253" s="10" t="s">
        <v>685</v>
      </c>
      <c r="C253" s="105">
        <v>4.1799999999999999E-16</v>
      </c>
      <c r="D253" s="26">
        <v>2.26E-17</v>
      </c>
    </row>
    <row r="254" spans="2:4" x14ac:dyDescent="0.2">
      <c r="B254" s="10" t="s">
        <v>686</v>
      </c>
      <c r="C254" s="105">
        <v>3.2099999999999999E-16</v>
      </c>
      <c r="D254" s="26">
        <v>1.6900000000000001E-17</v>
      </c>
    </row>
    <row r="255" spans="2:4" x14ac:dyDescent="0.2">
      <c r="B255" s="10" t="s">
        <v>687</v>
      </c>
      <c r="C255" s="105">
        <v>2.46E-16</v>
      </c>
      <c r="D255" s="26">
        <v>1.2600000000000001E-17</v>
      </c>
    </row>
    <row r="256" spans="2:4" x14ac:dyDescent="0.2">
      <c r="B256" s="10" t="s">
        <v>688</v>
      </c>
      <c r="C256" s="105">
        <v>1.88E-16</v>
      </c>
      <c r="D256" s="26">
        <v>9.4200000000000007E-18</v>
      </c>
    </row>
    <row r="257" spans="2:4" x14ac:dyDescent="0.2">
      <c r="B257" s="10" t="s">
        <v>689</v>
      </c>
      <c r="C257" s="105">
        <v>1.44E-16</v>
      </c>
      <c r="D257" s="26">
        <v>7.0100000000000004E-18</v>
      </c>
    </row>
    <row r="258" spans="2:4" x14ac:dyDescent="0.2">
      <c r="B258" s="10" t="s">
        <v>690</v>
      </c>
      <c r="C258" s="105">
        <v>1.09E-16</v>
      </c>
      <c r="D258" s="26">
        <v>5.2000000000000001E-18</v>
      </c>
    </row>
    <row r="259" spans="2:4" x14ac:dyDescent="0.2">
      <c r="B259" s="10" t="s">
        <v>691</v>
      </c>
      <c r="C259" s="105">
        <v>8.3000000000000005E-17</v>
      </c>
      <c r="D259" s="26">
        <v>3.8500000000000003E-18</v>
      </c>
    </row>
    <row r="260" spans="2:4" x14ac:dyDescent="0.2">
      <c r="B260" s="10" t="s">
        <v>692</v>
      </c>
      <c r="C260" s="105">
        <v>6.2899999999999997E-17</v>
      </c>
      <c r="D260" s="26">
        <v>2.8499999999999999E-18</v>
      </c>
    </row>
    <row r="261" spans="2:4" x14ac:dyDescent="0.2">
      <c r="B261" s="10" t="s">
        <v>693</v>
      </c>
      <c r="C261" s="105">
        <v>4.7599999999999999E-17</v>
      </c>
      <c r="D261" s="26">
        <v>2.1E-18</v>
      </c>
    </row>
    <row r="262" spans="2:4" x14ac:dyDescent="0.2">
      <c r="B262" s="10" t="s">
        <v>694</v>
      </c>
      <c r="C262" s="105">
        <v>3.5900000000000002E-17</v>
      </c>
      <c r="D262" s="26">
        <v>1.5400000000000001E-18</v>
      </c>
    </row>
    <row r="263" spans="2:4" x14ac:dyDescent="0.2">
      <c r="B263" s="10" t="s">
        <v>695</v>
      </c>
      <c r="C263" s="105">
        <v>2.7099999999999999E-17</v>
      </c>
      <c r="D263" s="26">
        <v>1.13E-18</v>
      </c>
    </row>
    <row r="264" spans="2:4" x14ac:dyDescent="0.2">
      <c r="B264" s="10" t="s">
        <v>696</v>
      </c>
      <c r="C264" s="105">
        <v>2.0300000000000001E-17</v>
      </c>
      <c r="D264" s="26">
        <v>8.2800000000000004E-19</v>
      </c>
    </row>
    <row r="265" spans="2:4" x14ac:dyDescent="0.2">
      <c r="B265" s="10" t="s">
        <v>697</v>
      </c>
      <c r="C265" s="105">
        <v>1.5199999999999999E-17</v>
      </c>
      <c r="D265" s="26">
        <v>6.0400000000000002E-19</v>
      </c>
    </row>
    <row r="266" spans="2:4" x14ac:dyDescent="0.2">
      <c r="B266" s="10" t="s">
        <v>698</v>
      </c>
      <c r="C266" s="105">
        <v>1.1399999999999999E-17</v>
      </c>
      <c r="D266" s="26">
        <v>4.3999999999999997E-19</v>
      </c>
    </row>
    <row r="267" spans="2:4" x14ac:dyDescent="0.2">
      <c r="B267" s="10" t="s">
        <v>699</v>
      </c>
      <c r="C267" s="105">
        <v>8.5100000000000002E-18</v>
      </c>
      <c r="D267" s="26">
        <v>3.19E-19</v>
      </c>
    </row>
    <row r="268" spans="2:4" x14ac:dyDescent="0.2">
      <c r="B268" s="10" t="s">
        <v>700</v>
      </c>
      <c r="C268" s="105">
        <v>6.3400000000000002E-18</v>
      </c>
      <c r="D268" s="26">
        <v>2.3100000000000001E-19</v>
      </c>
    </row>
    <row r="269" spans="2:4" x14ac:dyDescent="0.2">
      <c r="B269" s="10" t="s">
        <v>701</v>
      </c>
      <c r="C269" s="105">
        <v>4.7100000000000004E-18</v>
      </c>
      <c r="D269" s="26">
        <v>1.6700000000000001E-19</v>
      </c>
    </row>
    <row r="270" spans="2:4" x14ac:dyDescent="0.2">
      <c r="B270" s="10" t="s">
        <v>702</v>
      </c>
      <c r="C270" s="105">
        <v>3.4899999999999999E-18</v>
      </c>
      <c r="D270" s="26">
        <v>1.2000000000000001E-19</v>
      </c>
    </row>
    <row r="271" spans="2:4" x14ac:dyDescent="0.2">
      <c r="B271" s="10" t="s">
        <v>703</v>
      </c>
      <c r="C271" s="105">
        <v>2.5800000000000001E-18</v>
      </c>
      <c r="D271" s="26">
        <v>8.6499999999999995E-20</v>
      </c>
    </row>
    <row r="272" spans="2:4" x14ac:dyDescent="0.2">
      <c r="B272" s="10" t="s">
        <v>704</v>
      </c>
      <c r="C272" s="105">
        <v>1.8999999999999999E-18</v>
      </c>
      <c r="D272" s="26">
        <v>6.2E-20</v>
      </c>
    </row>
    <row r="273" spans="2:4" x14ac:dyDescent="0.2">
      <c r="B273" s="10" t="s">
        <v>705</v>
      </c>
      <c r="C273" s="105">
        <v>1.4000000000000001E-18</v>
      </c>
      <c r="D273" s="26">
        <v>4.4300000000000002E-20</v>
      </c>
    </row>
    <row r="274" spans="2:4" x14ac:dyDescent="0.2">
      <c r="B274" s="10" t="s">
        <v>706</v>
      </c>
      <c r="C274" s="105">
        <v>1.0299999999999999E-18</v>
      </c>
      <c r="D274" s="26">
        <v>3.1600000000000002E-20</v>
      </c>
    </row>
    <row r="275" spans="2:4" x14ac:dyDescent="0.2">
      <c r="B275" s="10" t="s">
        <v>707</v>
      </c>
      <c r="C275" s="105">
        <v>7.5299999999999996E-19</v>
      </c>
      <c r="D275" s="26">
        <v>2.2500000000000001E-20</v>
      </c>
    </row>
    <row r="276" spans="2:4" x14ac:dyDescent="0.2">
      <c r="B276" s="10" t="s">
        <v>708</v>
      </c>
      <c r="C276" s="105">
        <v>5.4999999999999996E-19</v>
      </c>
      <c r="D276" s="26">
        <v>1.5900000000000001E-20</v>
      </c>
    </row>
    <row r="277" spans="2:4" x14ac:dyDescent="0.2">
      <c r="B277" s="10" t="s">
        <v>709</v>
      </c>
      <c r="C277" s="105">
        <v>4.0100000000000002E-19</v>
      </c>
      <c r="D277" s="26">
        <v>1.13E-20</v>
      </c>
    </row>
    <row r="278" spans="2:4" x14ac:dyDescent="0.2">
      <c r="B278" s="10" t="s">
        <v>710</v>
      </c>
      <c r="C278" s="105">
        <v>2.9099999999999998E-19</v>
      </c>
      <c r="D278" s="26">
        <v>7.9500000000000006E-21</v>
      </c>
    </row>
    <row r="279" spans="2:4" x14ac:dyDescent="0.2">
      <c r="B279" s="10" t="s">
        <v>711</v>
      </c>
      <c r="C279" s="105">
        <v>2.11E-19</v>
      </c>
      <c r="D279" s="26">
        <v>5.5900000000000002E-21</v>
      </c>
    </row>
    <row r="280" spans="2:4" x14ac:dyDescent="0.2">
      <c r="B280" s="10" t="s">
        <v>712</v>
      </c>
      <c r="C280" s="105">
        <v>1.53E-19</v>
      </c>
      <c r="D280" s="26">
        <v>3.9199999999999998E-21</v>
      </c>
    </row>
    <row r="281" spans="2:4" x14ac:dyDescent="0.2">
      <c r="B281" s="10" t="s">
        <v>713</v>
      </c>
      <c r="C281" s="105">
        <v>1.0999999999999999E-19</v>
      </c>
      <c r="D281" s="26">
        <v>2.74E-21</v>
      </c>
    </row>
    <row r="282" spans="2:4" x14ac:dyDescent="0.2">
      <c r="B282" s="10" t="s">
        <v>714</v>
      </c>
      <c r="C282" s="105">
        <v>7.9200000000000005E-20</v>
      </c>
      <c r="D282" s="26">
        <v>1.9100000000000001E-21</v>
      </c>
    </row>
    <row r="283" spans="2:4" x14ac:dyDescent="0.2">
      <c r="B283" s="10" t="s">
        <v>715</v>
      </c>
      <c r="C283" s="105">
        <v>5.6899999999999999E-20</v>
      </c>
      <c r="D283" s="26">
        <v>1.3299999999999999E-21</v>
      </c>
    </row>
    <row r="284" spans="2:4" x14ac:dyDescent="0.2">
      <c r="B284" s="10" t="s">
        <v>716</v>
      </c>
      <c r="C284" s="105">
        <v>4.0700000000000003E-20</v>
      </c>
      <c r="D284" s="26">
        <v>9.2200000000000005E-22</v>
      </c>
    </row>
    <row r="285" spans="2:4" x14ac:dyDescent="0.2">
      <c r="B285" s="10" t="s">
        <v>717</v>
      </c>
      <c r="C285" s="105">
        <v>2.9099999999999997E-20</v>
      </c>
      <c r="D285" s="26">
        <v>6.3800000000000004E-22</v>
      </c>
    </row>
    <row r="286" spans="2:4" x14ac:dyDescent="0.2">
      <c r="B286" s="10" t="s">
        <v>718</v>
      </c>
      <c r="C286" s="105">
        <v>2.0700000000000001E-20</v>
      </c>
      <c r="D286" s="26">
        <v>4.4000000000000001E-22</v>
      </c>
    </row>
    <row r="287" spans="2:4" x14ac:dyDescent="0.2">
      <c r="B287" s="10" t="s">
        <v>719</v>
      </c>
      <c r="C287" s="105">
        <v>1.4700000000000001E-20</v>
      </c>
      <c r="D287" s="26">
        <v>3.0199999999999998E-22</v>
      </c>
    </row>
    <row r="288" spans="2:4" x14ac:dyDescent="0.2">
      <c r="B288" s="10" t="s">
        <v>720</v>
      </c>
      <c r="C288" s="105">
        <v>1.0400000000000001E-20</v>
      </c>
      <c r="D288" s="26">
        <v>2.0700000000000001E-22</v>
      </c>
    </row>
    <row r="289" spans="2:4" x14ac:dyDescent="0.2">
      <c r="B289" s="10" t="s">
        <v>721</v>
      </c>
      <c r="C289" s="105">
        <v>7.3500000000000003E-21</v>
      </c>
      <c r="D289" s="26">
        <v>1.4200000000000001E-22</v>
      </c>
    </row>
    <row r="290" spans="2:4" x14ac:dyDescent="0.2">
      <c r="B290" s="10" t="s">
        <v>722</v>
      </c>
      <c r="C290" s="105">
        <v>5.17E-21</v>
      </c>
      <c r="D290" s="26">
        <v>9.64E-23</v>
      </c>
    </row>
    <row r="291" spans="2:4" x14ac:dyDescent="0.2">
      <c r="B291" s="10" t="s">
        <v>723</v>
      </c>
      <c r="C291" s="105">
        <v>3.6300000000000003E-21</v>
      </c>
      <c r="D291" s="26">
        <v>6.5499999999999996E-23</v>
      </c>
    </row>
    <row r="292" spans="2:4" x14ac:dyDescent="0.2">
      <c r="B292" s="10" t="s">
        <v>724</v>
      </c>
      <c r="C292" s="105">
        <v>2.55E-21</v>
      </c>
      <c r="D292" s="26">
        <v>4.4400000000000001E-23</v>
      </c>
    </row>
    <row r="293" spans="2:4" x14ac:dyDescent="0.2">
      <c r="B293" s="10" t="s">
        <v>725</v>
      </c>
      <c r="C293" s="105">
        <v>1.7800000000000002E-21</v>
      </c>
      <c r="D293" s="26">
        <v>2.99E-23</v>
      </c>
    </row>
    <row r="294" spans="2:4" x14ac:dyDescent="0.2">
      <c r="B294" s="10" t="s">
        <v>726</v>
      </c>
      <c r="C294" s="105">
        <v>1.2400000000000001E-21</v>
      </c>
      <c r="D294" s="26">
        <v>2.02E-23</v>
      </c>
    </row>
    <row r="295" spans="2:4" x14ac:dyDescent="0.2">
      <c r="B295" s="10" t="s">
        <v>727</v>
      </c>
      <c r="C295" s="105">
        <v>8.6099999999999995E-22</v>
      </c>
      <c r="D295" s="26">
        <v>1.3499999999999999E-23</v>
      </c>
    </row>
    <row r="296" spans="2:4" x14ac:dyDescent="0.2">
      <c r="B296" s="10" t="s">
        <v>728</v>
      </c>
      <c r="C296" s="105">
        <v>5.9600000000000001E-22</v>
      </c>
      <c r="D296" s="26">
        <v>9.0499999999999997E-24</v>
      </c>
    </row>
    <row r="297" spans="2:4" x14ac:dyDescent="0.2">
      <c r="B297" s="10" t="s">
        <v>729</v>
      </c>
      <c r="C297" s="105">
        <v>4.1199999999999998E-22</v>
      </c>
      <c r="D297" s="26">
        <v>6.0300000000000002E-24</v>
      </c>
    </row>
    <row r="298" spans="2:4" x14ac:dyDescent="0.2">
      <c r="B298" s="10" t="s">
        <v>730</v>
      </c>
      <c r="C298" s="105">
        <v>2.8400000000000001E-22</v>
      </c>
      <c r="D298" s="26">
        <v>4.01E-24</v>
      </c>
    </row>
    <row r="299" spans="2:4" x14ac:dyDescent="0.2">
      <c r="B299" s="10" t="s">
        <v>731</v>
      </c>
      <c r="C299" s="105">
        <v>1.95E-22</v>
      </c>
      <c r="D299" s="26">
        <v>2.6600000000000002E-24</v>
      </c>
    </row>
    <row r="300" spans="2:4" x14ac:dyDescent="0.2">
      <c r="B300" s="10" t="s">
        <v>732</v>
      </c>
      <c r="C300" s="105">
        <v>1.33E-22</v>
      </c>
      <c r="D300" s="26">
        <v>1.7499999999999998E-24</v>
      </c>
    </row>
    <row r="301" spans="2:4" x14ac:dyDescent="0.2">
      <c r="B301" s="10" t="s">
        <v>733</v>
      </c>
      <c r="C301" s="105">
        <v>9.0999999999999999E-23</v>
      </c>
      <c r="D301" s="26">
        <v>1.1500000000000001E-24</v>
      </c>
    </row>
    <row r="302" spans="2:4" x14ac:dyDescent="0.2">
      <c r="B302" s="10" t="s">
        <v>734</v>
      </c>
      <c r="C302" s="105">
        <v>6.1900000000000003E-23</v>
      </c>
      <c r="D302" s="26">
        <v>7.5699999999999997E-25</v>
      </c>
    </row>
    <row r="303" spans="2:4" x14ac:dyDescent="0.2">
      <c r="B303" s="10" t="s">
        <v>735</v>
      </c>
      <c r="C303" s="105">
        <v>4.2000000000000002E-23</v>
      </c>
      <c r="D303" s="26">
        <v>4.9499999999999998E-25</v>
      </c>
    </row>
    <row r="304" spans="2:4" x14ac:dyDescent="0.2">
      <c r="B304" s="10" t="s">
        <v>736</v>
      </c>
      <c r="C304" s="105">
        <v>2.8399999999999999E-23</v>
      </c>
      <c r="D304" s="26">
        <v>3.23E-25</v>
      </c>
    </row>
    <row r="305" spans="2:4" x14ac:dyDescent="0.2">
      <c r="B305" s="10" t="s">
        <v>737</v>
      </c>
      <c r="C305" s="105">
        <v>1.9199999999999999E-23</v>
      </c>
      <c r="D305" s="26">
        <v>2.1E-25</v>
      </c>
    </row>
    <row r="306" spans="2:4" x14ac:dyDescent="0.2">
      <c r="B306" s="10" t="s">
        <v>738</v>
      </c>
      <c r="C306" s="105">
        <v>1.2899999999999999E-23</v>
      </c>
      <c r="D306" s="26">
        <v>1.3600000000000001E-25</v>
      </c>
    </row>
    <row r="307" spans="2:4" x14ac:dyDescent="0.2">
      <c r="B307" s="10" t="s">
        <v>739</v>
      </c>
      <c r="C307" s="105">
        <v>8.6499999999999994E-24</v>
      </c>
      <c r="D307" s="26">
        <v>8.7600000000000005E-26</v>
      </c>
    </row>
    <row r="308" spans="2:4" x14ac:dyDescent="0.2">
      <c r="B308" s="10" t="s">
        <v>740</v>
      </c>
      <c r="C308" s="105">
        <v>5.7799999999999998E-24</v>
      </c>
      <c r="D308" s="26">
        <v>5.6400000000000001E-26</v>
      </c>
    </row>
    <row r="309" spans="2:4" x14ac:dyDescent="0.2">
      <c r="B309" s="10" t="s">
        <v>741</v>
      </c>
      <c r="C309" s="105">
        <v>3.8499999999999998E-24</v>
      </c>
      <c r="D309" s="26">
        <v>3.6100000000000001E-26</v>
      </c>
    </row>
    <row r="310" spans="2:4" x14ac:dyDescent="0.2">
      <c r="B310" s="10" t="s">
        <v>742</v>
      </c>
      <c r="C310" s="105">
        <v>2.5600000000000001E-24</v>
      </c>
      <c r="D310" s="26">
        <v>2.3100000000000001E-26</v>
      </c>
    </row>
    <row r="311" spans="2:4" x14ac:dyDescent="0.2">
      <c r="B311" s="10" t="s">
        <v>743</v>
      </c>
      <c r="C311" s="105">
        <v>1.69E-24</v>
      </c>
      <c r="D311" s="26">
        <v>1.4700000000000001E-26</v>
      </c>
    </row>
    <row r="312" spans="2:4" x14ac:dyDescent="0.2">
      <c r="B312" s="10" t="s">
        <v>744</v>
      </c>
      <c r="C312" s="105">
        <v>1.12E-24</v>
      </c>
      <c r="D312" s="26">
        <v>9.3099999999999998E-27</v>
      </c>
    </row>
  </sheetData>
  <sheetProtection sheet="1" objects="1" scenarios="1"/>
  <mergeCells count="48">
    <mergeCell ref="C12:D12"/>
    <mergeCell ref="B11:C11"/>
    <mergeCell ref="F32:S32"/>
    <mergeCell ref="F30:S31"/>
    <mergeCell ref="F26:S26"/>
    <mergeCell ref="F27:S27"/>
    <mergeCell ref="F28:S28"/>
    <mergeCell ref="F29:S29"/>
    <mergeCell ref="H14:I14"/>
    <mergeCell ref="H15:I15"/>
    <mergeCell ref="J12:K12"/>
    <mergeCell ref="J13:K13"/>
    <mergeCell ref="J14:K14"/>
    <mergeCell ref="J15:K15"/>
    <mergeCell ref="F20:G20"/>
    <mergeCell ref="F19:G19"/>
    <mergeCell ref="N2:O2"/>
    <mergeCell ref="H12:I12"/>
    <mergeCell ref="H13:I13"/>
    <mergeCell ref="H9:I9"/>
    <mergeCell ref="H10:I10"/>
    <mergeCell ref="H11:I11"/>
    <mergeCell ref="J4:K4"/>
    <mergeCell ref="J5:K5"/>
    <mergeCell ref="J6:K6"/>
    <mergeCell ref="J7:K7"/>
    <mergeCell ref="J8:K8"/>
    <mergeCell ref="J9:K9"/>
    <mergeCell ref="J10:K10"/>
    <mergeCell ref="J11:K11"/>
    <mergeCell ref="N12:O12"/>
    <mergeCell ref="N13:O13"/>
    <mergeCell ref="C3:D3"/>
    <mergeCell ref="P3:R3"/>
    <mergeCell ref="H3:I3"/>
    <mergeCell ref="J3:K3"/>
    <mergeCell ref="N9:O9"/>
    <mergeCell ref="H4:I4"/>
    <mergeCell ref="H5:I5"/>
    <mergeCell ref="H6:I6"/>
    <mergeCell ref="N3:O3"/>
    <mergeCell ref="H7:I7"/>
    <mergeCell ref="H8:I8"/>
    <mergeCell ref="N4:O4"/>
    <mergeCell ref="N5:O5"/>
    <mergeCell ref="N6:O6"/>
    <mergeCell ref="N7:O7"/>
    <mergeCell ref="N8:O8"/>
  </mergeCells>
  <phoneticPr fontId="1" type="noConversion"/>
  <dataValidations count="7">
    <dataValidation allowBlank="1" showInputMessage="1" showErrorMessage="1" promptTitle="Population structure" prompt="These values are calculated by deriving a Leslie matrix using mean national demographic parameters from Horswill and Robinson, 2015.  The right eigenvector associated with the largest eigenvalue of this matrix approximates the stable population ratio." sqref="F19:G19" xr:uid="{EF3FD923-2BD8-4F4C-8CB6-E3B058E7F9C0}"/>
    <dataValidation allowBlank="1" showInputMessage="1" showErrorMessage="1" promptTitle="Sabbatical rate" prompt="These values reflect those used in current ScotWind assessments e.g. Berwick Bank (SSE Renewables, 2022)." sqref="F20:G20" xr:uid="{B37EAC2A-4A94-48F1-8068-63F9498E47A4}"/>
    <dataValidation allowBlank="1" showInputMessage="1" showErrorMessage="1" promptTitle="Seasonal definitions" prompt="Seasonal definitions are those used in Furness, 2015." sqref="G3" xr:uid="{E7005E39-2C04-46CA-B462-AD633065A672}"/>
    <dataValidation allowBlank="1" showInputMessage="1" showErrorMessage="1" promptTitle="Wind availability and downtime" prompt="These values are indicative and are the default values presented in the latest version of the stochastic CRM tool (Caneco et al., 2022)." sqref="N12:O12" xr:uid="{5677BD00-0073-4709-9C34-38B2F513B386}"/>
    <dataValidation allowBlank="1" showInputMessage="1" showErrorMessage="1" promptTitle="Flight height distributions" prompt="Flight height distributions applied here are generic distributions published by Johnston et al. (2014)." sqref="B11:C11" xr:uid="{DA145C3F-998B-427C-8D43-9A8BB45BA3C0}"/>
    <dataValidation allowBlank="1" showInputMessage="1" showErrorMessage="1" promptTitle="Biometric parameters" prompt="These values are standard values commonly applied during assessment for these species. These are reported in NatureScot, 2023." sqref="B4" xr:uid="{1F6E7E6A-D4F2-4698-87BB-44AE9D591335}"/>
    <dataValidation allowBlank="1" showInputMessage="1" showErrorMessage="1" promptTitle="Wind turbine specifications" prompt="Numbers were derived from a database of parameters used for collision risk modelling and represent the median values of each parameter used within each size category. These values were then sense-checked by one of Natural Power's in-house engineers. " sqref="N3" xr:uid="{78B48836-48F7-4F84-AF73-2E0AB72A987E}"/>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ECEE0-D1A6-45B0-B799-254FE7DDB8D1}">
  <sheetPr codeName="Sheet4"/>
  <dimension ref="B1:AC55"/>
  <sheetViews>
    <sheetView zoomScaleNormal="100" workbookViewId="0"/>
  </sheetViews>
  <sheetFormatPr defaultColWidth="8.7109375" defaultRowHeight="14.25" x14ac:dyDescent="0.2"/>
  <cols>
    <col min="1" max="1" width="5.28515625" style="8" customWidth="1"/>
    <col min="2" max="2" width="5.140625" style="8" customWidth="1"/>
    <col min="3" max="3" width="3.140625" style="8" customWidth="1"/>
    <col min="4" max="4" width="47.28515625" style="8" bestFit="1" customWidth="1"/>
    <col min="5" max="8" width="12.5703125" style="8" customWidth="1"/>
    <col min="9" max="9" width="2.7109375" style="8" customWidth="1"/>
    <col min="10" max="13" width="12.5703125" style="8" customWidth="1"/>
    <col min="14" max="14" width="2.7109375" style="8" customWidth="1"/>
    <col min="15" max="18" width="12.5703125" style="8" customWidth="1"/>
    <col min="19" max="19" width="2.7109375" style="8" customWidth="1"/>
    <col min="20" max="23" width="12.5703125" style="8" customWidth="1"/>
    <col min="24" max="24" width="2.7109375" style="8" customWidth="1"/>
    <col min="25" max="28" width="12.5703125" style="8" customWidth="1"/>
    <col min="29" max="16384" width="8.7109375" style="8"/>
  </cols>
  <sheetData>
    <row r="1" spans="2:28" ht="8.4499999999999993" customHeight="1" x14ac:dyDescent="0.2"/>
    <row r="2" spans="2:28" ht="75.599999999999994" customHeight="1" x14ac:dyDescent="0.2">
      <c r="B2" s="129" t="s">
        <v>245</v>
      </c>
      <c r="C2" s="129"/>
      <c r="D2" s="129"/>
      <c r="E2" s="129"/>
      <c r="F2" s="129"/>
      <c r="G2" s="129"/>
      <c r="H2" s="129"/>
      <c r="I2" s="129"/>
      <c r="J2" s="129"/>
      <c r="K2" s="129"/>
      <c r="L2" s="129"/>
      <c r="M2" s="129"/>
      <c r="N2" s="129"/>
      <c r="O2" s="129"/>
      <c r="P2" s="129"/>
      <c r="Q2" s="129"/>
      <c r="R2" s="129"/>
      <c r="S2" s="129"/>
      <c r="T2" s="129"/>
      <c r="U2" s="129"/>
      <c r="V2" s="129"/>
      <c r="W2" s="129"/>
      <c r="X2" s="129"/>
      <c r="Y2" s="129"/>
      <c r="Z2" s="63"/>
      <c r="AA2" s="63"/>
      <c r="AB2" s="63"/>
    </row>
    <row r="3" spans="2:28" ht="27.95" customHeight="1" x14ac:dyDescent="0.2">
      <c r="B3" s="62"/>
      <c r="C3" s="62"/>
      <c r="D3" s="62"/>
      <c r="E3" s="62"/>
      <c r="F3" s="62"/>
      <c r="G3" s="62"/>
      <c r="H3" s="62"/>
      <c r="I3" s="62"/>
      <c r="J3" s="62"/>
      <c r="K3" s="62"/>
      <c r="L3" s="62"/>
      <c r="M3" s="62"/>
      <c r="N3" s="62"/>
      <c r="O3" s="62"/>
      <c r="P3" s="62"/>
      <c r="Q3" s="62"/>
      <c r="R3" s="62"/>
      <c r="S3" s="62"/>
      <c r="T3" s="63"/>
      <c r="U3" s="63"/>
      <c r="V3" s="63"/>
      <c r="W3" s="63"/>
      <c r="X3" s="63"/>
      <c r="Y3" s="63"/>
      <c r="Z3" s="63"/>
      <c r="AA3" s="63"/>
      <c r="AB3" s="63"/>
    </row>
    <row r="4" spans="2:28" ht="20.100000000000001" customHeight="1" x14ac:dyDescent="0.3">
      <c r="C4" s="19" t="s">
        <v>534</v>
      </c>
      <c r="D4" s="19"/>
      <c r="E4" s="19"/>
      <c r="F4" s="19"/>
    </row>
    <row r="5" spans="2:28" ht="9.9499999999999993" customHeight="1" x14ac:dyDescent="0.3">
      <c r="D5" s="19"/>
    </row>
    <row r="6" spans="2:28" ht="19.5" customHeight="1" x14ac:dyDescent="0.2">
      <c r="E6" s="152" t="s">
        <v>16</v>
      </c>
      <c r="F6" s="152"/>
      <c r="G6" s="152"/>
      <c r="H6" s="152"/>
      <c r="I6" s="72"/>
      <c r="J6" s="152" t="s">
        <v>13</v>
      </c>
      <c r="K6" s="152"/>
      <c r="L6" s="152"/>
      <c r="M6" s="152"/>
      <c r="N6" s="72"/>
      <c r="O6" s="152" t="s">
        <v>14</v>
      </c>
      <c r="P6" s="152"/>
      <c r="Q6" s="152"/>
      <c r="R6" s="152"/>
      <c r="S6" s="72"/>
      <c r="T6" s="152" t="s">
        <v>12</v>
      </c>
      <c r="U6" s="152"/>
      <c r="V6" s="152"/>
      <c r="W6" s="152"/>
      <c r="X6" s="72"/>
      <c r="Y6" s="152" t="s">
        <v>15</v>
      </c>
      <c r="Z6" s="152"/>
      <c r="AA6" s="152"/>
      <c r="AB6" s="152"/>
    </row>
    <row r="7" spans="2:28" x14ac:dyDescent="0.2">
      <c r="E7" s="12" t="s">
        <v>283</v>
      </c>
      <c r="F7" s="12" t="s">
        <v>284</v>
      </c>
      <c r="G7" s="12" t="s">
        <v>285</v>
      </c>
      <c r="H7" s="12" t="s">
        <v>318</v>
      </c>
      <c r="I7" s="12"/>
      <c r="J7" s="12" t="s">
        <v>283</v>
      </c>
      <c r="K7" s="12" t="s">
        <v>284</v>
      </c>
      <c r="L7" s="12" t="s">
        <v>285</v>
      </c>
      <c r="M7" s="12" t="s">
        <v>318</v>
      </c>
      <c r="N7" s="12"/>
      <c r="O7" s="12" t="s">
        <v>283</v>
      </c>
      <c r="P7" s="12" t="s">
        <v>284</v>
      </c>
      <c r="Q7" s="12" t="s">
        <v>285</v>
      </c>
      <c r="R7" s="12" t="s">
        <v>318</v>
      </c>
      <c r="S7" s="12"/>
      <c r="T7" s="12" t="s">
        <v>283</v>
      </c>
      <c r="U7" s="12" t="s">
        <v>284</v>
      </c>
      <c r="V7" s="12" t="s">
        <v>285</v>
      </c>
      <c r="W7" s="12" t="s">
        <v>318</v>
      </c>
      <c r="X7" s="12"/>
      <c r="Y7" s="12" t="s">
        <v>283</v>
      </c>
      <c r="Z7" s="12" t="s">
        <v>284</v>
      </c>
      <c r="AA7" s="12" t="s">
        <v>285</v>
      </c>
      <c r="AB7" s="12" t="s">
        <v>318</v>
      </c>
    </row>
    <row r="8" spans="2:28" ht="15" x14ac:dyDescent="0.25">
      <c r="D8" s="8" t="s">
        <v>536</v>
      </c>
      <c r="E8" s="102">
        <f>IF(ISERROR(E25+E46),0,E25+E46)</f>
        <v>0</v>
      </c>
      <c r="F8" s="102">
        <f>IF('User inputs - run and wind farm'!D7=1,0,IF('User inputs - run and wind farm'!D7="",0,IF(ISERROR(F25+F46),0,F25+F46)))</f>
        <v>0</v>
      </c>
      <c r="G8" s="102">
        <f>IF('User inputs - run and wind farm'!D7&lt;&gt;3,0,IF(ISERROR(G25+G46),0,G25+G46))</f>
        <v>0</v>
      </c>
      <c r="H8" s="102" t="str">
        <f>IF('User inputs - run and wind farm'!D9="Additive",SUM(E8:G8),"-")</f>
        <v>-</v>
      </c>
      <c r="J8" s="102">
        <f>IF(ISERROR(J25+J46),0,J25+J46)</f>
        <v>0</v>
      </c>
      <c r="K8" s="102">
        <f>IF('User inputs - run and wind farm'!D7=1,0,IF('User inputs - run and wind farm'!D7="",0,IF(ISERROR(K25+K46),0,K25+K46)))</f>
        <v>0</v>
      </c>
      <c r="L8" s="102">
        <f>IF('User inputs - run and wind farm'!D7&lt;&gt;3,0,IF(ISERROR(L25+L46),0,L25+L46))</f>
        <v>0</v>
      </c>
      <c r="M8" s="102" t="str">
        <f>IF('User inputs - run and wind farm'!D9="Additive",SUM(J8:L8),"-")</f>
        <v>-</v>
      </c>
      <c r="O8" s="102">
        <f>O25</f>
        <v>0</v>
      </c>
      <c r="P8" s="102">
        <f>IF('User inputs - run and wind farm'!D7=1,0,IF('User inputs - run and wind farm'!D7="",0,P25))</f>
        <v>0</v>
      </c>
      <c r="Q8" s="102">
        <f>IF('User inputs - run and wind farm'!D7&lt;&gt;3,0,Q25)</f>
        <v>0</v>
      </c>
      <c r="R8" s="102">
        <f>SUM(O8:Q8)</f>
        <v>0</v>
      </c>
      <c r="T8" s="102">
        <f>T25</f>
        <v>0</v>
      </c>
      <c r="U8" s="102">
        <f>IF('User inputs - run and wind farm'!D7=1,0,IF('User inputs - run and wind farm'!D7="",0,U25))</f>
        <v>0</v>
      </c>
      <c r="V8" s="102">
        <f>IF('User inputs - run and wind farm'!D7&lt;&gt;3,0,V25)</f>
        <v>0</v>
      </c>
      <c r="W8" s="102">
        <f>SUM(T8:V8)</f>
        <v>0</v>
      </c>
      <c r="Y8" s="102">
        <f>Y25</f>
        <v>0</v>
      </c>
      <c r="Z8" s="102">
        <f>IF('User inputs - run and wind farm'!D7=1,0,IF('User inputs - run and wind farm'!D7="",0,Z25))</f>
        <v>0</v>
      </c>
      <c r="AA8" s="102">
        <f>IF('User inputs - run and wind farm'!D7&lt;&gt;3,0,AA25)</f>
        <v>0</v>
      </c>
      <c r="AB8" s="102">
        <f>SUM(Y8:AA8)</f>
        <v>0</v>
      </c>
    </row>
    <row r="9" spans="2:28" ht="9.9499999999999993" customHeight="1" x14ac:dyDescent="0.2"/>
    <row r="10" spans="2:28" x14ac:dyDescent="0.2">
      <c r="D10" s="8" t="s">
        <v>537</v>
      </c>
      <c r="E10" s="107">
        <f>IF(ISERROR(E34+E55),0,E34+E55)</f>
        <v>0</v>
      </c>
      <c r="F10" s="107">
        <f>IF(ISERROR(F34+F55),0,F34+F55)</f>
        <v>0</v>
      </c>
      <c r="G10" s="107">
        <f>IF(ISERROR(G34+G55),0,G34+G55)</f>
        <v>0</v>
      </c>
      <c r="H10" s="107">
        <f>IF(ISERROR(H34+H55),0,H34+H55)</f>
        <v>0</v>
      </c>
      <c r="J10" s="107">
        <f>IF(ISERROR(J34+J55),0,J34+J55)</f>
        <v>0</v>
      </c>
      <c r="K10" s="107">
        <f>IF(ISERROR(K34+K55),0,K34+K55)</f>
        <v>0</v>
      </c>
      <c r="L10" s="107">
        <f>IF(ISERROR(L34+L55),0,L34+L55)</f>
        <v>0</v>
      </c>
      <c r="M10" s="107">
        <f>IF(ISERROR(M34+M55),0,M34+M55)</f>
        <v>0</v>
      </c>
      <c r="O10" s="107">
        <f>O34</f>
        <v>0</v>
      </c>
      <c r="P10" s="107">
        <f t="shared" ref="P10:R10" si="0">P34</f>
        <v>0</v>
      </c>
      <c r="Q10" s="107">
        <f t="shared" si="0"/>
        <v>0</v>
      </c>
      <c r="R10" s="107" t="str">
        <f t="shared" si="0"/>
        <v>-</v>
      </c>
      <c r="T10" s="107">
        <f>T34</f>
        <v>0</v>
      </c>
      <c r="U10" s="107">
        <f t="shared" ref="U10:W10" si="1">U34</f>
        <v>0</v>
      </c>
      <c r="V10" s="107">
        <f t="shared" si="1"/>
        <v>0</v>
      </c>
      <c r="W10" s="107" t="str">
        <f t="shared" si="1"/>
        <v>-</v>
      </c>
      <c r="Y10" s="107">
        <f>Y34</f>
        <v>0</v>
      </c>
      <c r="Z10" s="107">
        <f t="shared" ref="Z10:AB10" si="2">Z34</f>
        <v>0</v>
      </c>
      <c r="AA10" s="107">
        <f t="shared" si="2"/>
        <v>0</v>
      </c>
      <c r="AB10" s="107" t="str">
        <f t="shared" si="2"/>
        <v>-</v>
      </c>
    </row>
    <row r="12" spans="2:28" x14ac:dyDescent="0.2">
      <c r="D12" s="8" t="s">
        <v>19</v>
      </c>
      <c r="E12" s="73">
        <f>'User inputs - bird populations'!E21</f>
        <v>0</v>
      </c>
      <c r="F12" s="73">
        <f>IF('User inputs - run and wind farm'!D7=1,0,IF('User inputs - run and wind farm'!D7="",0,IF('User inputs - bird populations'!E7 = "Yes - same over PSs",Results!E12,'User inputs - bird populations'!E52)))</f>
        <v>0</v>
      </c>
      <c r="G12" s="73">
        <f>IF('User inputs - run and wind farm'!D7&lt;&gt;3,0,IF('User inputs - bird populations'!E7 = "Yes - same over PSs",Results!E12,'User inputs - bird populations'!E83))</f>
        <v>0</v>
      </c>
      <c r="H12" s="73" t="str">
        <f>IF(AND('User inputs - run and wind farm'!$D$9="Additive",'User inputs - bird populations'!$E$7="Yes - sum over PSs"),SUM(E12:G12),IF(AND('User inputs - run and wind farm'!$D$9="Additive",'User inputs - bird populations'!$E$7="Yes - same over PSs"),E12,"-"))</f>
        <v>-</v>
      </c>
      <c r="J12" s="73">
        <f>'User inputs - bird populations'!H21</f>
        <v>0</v>
      </c>
      <c r="K12" s="73">
        <f>IF('User inputs - run and wind farm'!D7=1,0,IF('User inputs - run and wind farm'!D7="",0,IF('User inputs - bird populations'!E7 = "Yes - same over PSs",Results!J12,'User inputs - bird populations'!H52)))</f>
        <v>0</v>
      </c>
      <c r="L12" s="73">
        <f>IF('User inputs - run and wind farm'!D7&lt;&gt;3,0,IF('User inputs - bird populations'!E7 = "Yes - same over PSs",Results!J12,'User inputs - bird populations'!H83))</f>
        <v>0</v>
      </c>
      <c r="M12" s="73" t="str">
        <f>IF(AND('User inputs - run and wind farm'!$D$9="Additive",'User inputs - bird populations'!$E$7="Yes - sum over PSs"),SUM(J12:L12),IF(AND('User inputs - run and wind farm'!$D$9="Additive",'User inputs - bird populations'!$E$7="Yes - same over PSs"),J12,"-"))</f>
        <v>-</v>
      </c>
      <c r="O12" s="73">
        <f>'User inputs - bird populations'!K21</f>
        <v>0</v>
      </c>
      <c r="P12" s="73">
        <f>IF('User inputs - run and wind farm'!D7=1,0,IF('User inputs - run and wind farm'!D7="",0,IF('User inputs - bird populations'!E7 = "Yes - same over PSs",Results!O12,'User inputs - bird populations'!K52)))</f>
        <v>0</v>
      </c>
      <c r="Q12" s="73">
        <f>IF('User inputs - run and wind farm'!D7&lt;&gt;3,0,IF('User inputs - bird populations'!E7 = "Yes - same over PSs",Results!O12,'User inputs - bird populations'!K83))</f>
        <v>0</v>
      </c>
      <c r="R12" s="73" t="str">
        <f>IF(AND('User inputs - run and wind farm'!$D$9="Additive",'User inputs - bird populations'!$E$7="Yes - sum over PSs"),SUM(O12:Q12),IF(AND('User inputs - run and wind farm'!$D$9="Additive",'User inputs - bird populations'!$E$7="Yes - same over PSs"),O12,"-"))</f>
        <v>-</v>
      </c>
      <c r="T12" s="73">
        <f>'User inputs - bird populations'!N21</f>
        <v>0</v>
      </c>
      <c r="U12" s="73">
        <f>IF('User inputs - run and wind farm'!D7=1,0,IF('User inputs - run and wind farm'!D7="",0,IF('User inputs - bird populations'!E7 = "Yes - same over PSs",Results!T12,'User inputs - bird populations'!N52)))</f>
        <v>0</v>
      </c>
      <c r="V12" s="73">
        <f>IF('User inputs - run and wind farm'!D7&lt;&gt;3,0,IF('User inputs - bird populations'!E7 = "Yes - same over PSs",Results!T12,'User inputs - bird populations'!N83))</f>
        <v>0</v>
      </c>
      <c r="W12" s="73" t="str">
        <f>IF(AND('User inputs - run and wind farm'!$D$9="Additive",'User inputs - bird populations'!$E$7="Yes - sum over PSs"),SUM(T12:V12),IF(AND('User inputs - run and wind farm'!$D$9="Additive",'User inputs - bird populations'!$E$7="Yes - same over PSs"),T12,"-"))</f>
        <v>-</v>
      </c>
      <c r="Y12" s="73">
        <f>'User inputs - bird populations'!Q21</f>
        <v>0</v>
      </c>
      <c r="Z12" s="73">
        <f>IF('User inputs - run and wind farm'!D7=1,0,IF('User inputs - run and wind farm'!D7="",0,IF('User inputs - bird populations'!E7 = "Yes - same over PSs",Results!Y12,'User inputs - bird populations'!Q52)))</f>
        <v>0</v>
      </c>
      <c r="AA12" s="73">
        <f>IF('User inputs - run and wind farm'!D7&lt;&gt;3,0,IF('User inputs - bird populations'!E7 = "Yes - same over PSs",Results!Y12,'User inputs - bird populations'!Q83))</f>
        <v>0</v>
      </c>
      <c r="AB12" s="73" t="str">
        <f>IF(AND('User inputs - run and wind farm'!$D$9="Additive",'User inputs - bird populations'!$E$7="Yes - sum over PSs"),SUM(Y12:AA12),IF(AND('User inputs - run and wind farm'!$D$9="Additive",'User inputs - bird populations'!$E$7="Yes - same over PSs"),Y12,"-"))</f>
        <v>-</v>
      </c>
    </row>
    <row r="13" spans="2:28" ht="15" x14ac:dyDescent="0.25">
      <c r="D13" s="8" t="s">
        <v>320</v>
      </c>
      <c r="E13" s="103" t="str">
        <f>IF(E12=0,"-",IF(E12="","-",E10/E12))</f>
        <v>-</v>
      </c>
      <c r="F13" s="103">
        <f>IF('User inputs - run and wind farm'!D7=1,0,IF('User inputs - run and wind farm'!D7="",0,IF(F12=0,"-",IF(F12="","-",F10/F12))))</f>
        <v>0</v>
      </c>
      <c r="G13" s="103">
        <f>IF('User inputs - run and wind farm'!D7&lt;&gt;3,0,IF(G12=0,"-",IF(G12="","-",G10/G12)))</f>
        <v>0</v>
      </c>
      <c r="H13" s="103" t="str">
        <f>IF('User inputs - run and wind farm'!D9&lt;&gt;"Additive", "-", IF(H12=0,"-",IF(H12="","-",H10/H12)))</f>
        <v>-</v>
      </c>
      <c r="I13" s="104"/>
      <c r="J13" s="103" t="str">
        <f>IF(J12=0,"-",IF(J12="","-",J10/J12))</f>
        <v>-</v>
      </c>
      <c r="K13" s="103">
        <f>IF('User inputs - run and wind farm'!D7=1,0,IF('User inputs - run and wind farm'!D7="",0,IF(K12=0,"-",IF(K12="","-",K10/K12))))</f>
        <v>0</v>
      </c>
      <c r="L13" s="103">
        <f>IF('User inputs - run and wind farm'!D7&lt;&gt;3,0,IF(L12=0,"-",IF(L12="","-",L10/L12)))</f>
        <v>0</v>
      </c>
      <c r="M13" s="103" t="str">
        <f>IF('User inputs - run and wind farm'!D9&lt;&gt;"Additive", "-", IF(M12 = 0, "-", IF(M12="",  "-", M10/M12)))</f>
        <v>-</v>
      </c>
      <c r="N13" s="104"/>
      <c r="O13" s="103" t="str">
        <f>IF(O12=0,"-",IF(O12="","-",O10/O12))</f>
        <v>-</v>
      </c>
      <c r="P13" s="103">
        <f>IF('User inputs - run and wind farm'!D7=1,0,IF('User inputs - run and wind farm'!D7="",0,IF(P12=0,"-",IF(P12="","-",P10/P12))))</f>
        <v>0</v>
      </c>
      <c r="Q13" s="103">
        <f>IF('User inputs - run and wind farm'!D7&lt;&gt;3,0,IF(Q12=0,"-",IF(Q12="","-",Q10/Q12)))</f>
        <v>0</v>
      </c>
      <c r="R13" s="103" t="str">
        <f>IF('User inputs - run and wind farm'!D9&lt;&gt;"Additive", "-", IF(R12=0,"-",IF(R12="","-",R10/R12)))</f>
        <v>-</v>
      </c>
      <c r="S13" s="104"/>
      <c r="T13" s="103" t="str">
        <f>IF(T12=0,"-",IF(T12="","-",T10/T12))</f>
        <v>-</v>
      </c>
      <c r="U13" s="103">
        <f>IF('User inputs - run and wind farm'!D7=1,0,IF('User inputs - run and wind farm'!D7="",0,IF(U12=0,"-",IF(U12="","-",U10/U12))))</f>
        <v>0</v>
      </c>
      <c r="V13" s="103">
        <f>IF('User inputs - run and wind farm'!D7&lt;&gt;3,0,IF(V12=0,"-",IF(V12="","-",V10/V12)))</f>
        <v>0</v>
      </c>
      <c r="W13" s="103" t="str">
        <f>IF('User inputs - run and wind farm'!D9&lt;&gt;"Additive","-",IF(W12=0,"-",IF(W12="","-",W10/W12)))</f>
        <v>-</v>
      </c>
      <c r="X13" s="104"/>
      <c r="Y13" s="103" t="str">
        <f>IF(Y12=0,"-",IF(Y12="","-",Y10/Y12))</f>
        <v>-</v>
      </c>
      <c r="Z13" s="103">
        <f>IF('User inputs - run and wind farm'!D7=1,0,IF('User inputs - run and wind farm'!D7="",0,IF(Z12=0,"-",IF(Z12="","-",Z10/Z12))))</f>
        <v>0</v>
      </c>
      <c r="AA13" s="103">
        <f>IF('User inputs - run and wind farm'!D7&lt;&gt;3,0,IF(AA12=0,"-",IF(AA12="","-",AA10/AA12)))</f>
        <v>0</v>
      </c>
      <c r="AB13" s="103" t="str">
        <f>IF('User inputs - run and wind farm'!D9&lt;&gt;"Additive", "-", IF(AB12=0,"-",IF(AB12="","-",AB10/AB12)))</f>
        <v>-</v>
      </c>
    </row>
    <row r="16" spans="2:28" ht="20.100000000000001" customHeight="1" x14ac:dyDescent="0.3">
      <c r="C16" s="145" t="s">
        <v>535</v>
      </c>
      <c r="D16" s="145"/>
    </row>
    <row r="17" spans="4:29" ht="9.9499999999999993" customHeight="1" x14ac:dyDescent="0.3">
      <c r="D17" s="19"/>
    </row>
    <row r="18" spans="4:29" ht="19.5" customHeight="1" x14ac:dyDescent="0.2">
      <c r="E18" s="152" t="s">
        <v>16</v>
      </c>
      <c r="F18" s="152"/>
      <c r="G18" s="152"/>
      <c r="H18" s="152"/>
      <c r="I18" s="72"/>
      <c r="J18" s="152" t="s">
        <v>13</v>
      </c>
      <c r="K18" s="152"/>
      <c r="L18" s="152"/>
      <c r="M18" s="152"/>
      <c r="N18" s="72"/>
      <c r="O18" s="152" t="s">
        <v>14</v>
      </c>
      <c r="P18" s="152"/>
      <c r="Q18" s="152"/>
      <c r="R18" s="152"/>
      <c r="S18" s="72"/>
      <c r="T18" s="152" t="s">
        <v>12</v>
      </c>
      <c r="U18" s="152"/>
      <c r="V18" s="152"/>
      <c r="W18" s="152"/>
      <c r="X18" s="72"/>
      <c r="Y18" s="152" t="s">
        <v>15</v>
      </c>
      <c r="Z18" s="152"/>
      <c r="AA18" s="152"/>
      <c r="AB18" s="152"/>
    </row>
    <row r="19" spans="4:29" x14ac:dyDescent="0.2">
      <c r="E19" s="12" t="s">
        <v>283</v>
      </c>
      <c r="F19" s="12" t="s">
        <v>284</v>
      </c>
      <c r="G19" s="12" t="s">
        <v>285</v>
      </c>
      <c r="H19" s="12" t="s">
        <v>318</v>
      </c>
      <c r="I19" s="12"/>
      <c r="J19" s="12" t="s">
        <v>283</v>
      </c>
      <c r="K19" s="12" t="s">
        <v>284</v>
      </c>
      <c r="L19" s="12" t="s">
        <v>285</v>
      </c>
      <c r="M19" s="12" t="s">
        <v>318</v>
      </c>
      <c r="N19" s="12"/>
      <c r="O19" s="12" t="s">
        <v>283</v>
      </c>
      <c r="P19" s="12" t="s">
        <v>284</v>
      </c>
      <c r="Q19" s="12" t="s">
        <v>285</v>
      </c>
      <c r="R19" s="12" t="s">
        <v>318</v>
      </c>
      <c r="S19" s="12"/>
      <c r="T19" s="12" t="s">
        <v>283</v>
      </c>
      <c r="U19" s="12" t="s">
        <v>284</v>
      </c>
      <c r="V19" s="12" t="s">
        <v>285</v>
      </c>
      <c r="W19" s="12" t="s">
        <v>318</v>
      </c>
      <c r="X19" s="12"/>
      <c r="Y19" s="12" t="s">
        <v>283</v>
      </c>
      <c r="Z19" s="12" t="s">
        <v>284</v>
      </c>
      <c r="AA19" s="12" t="s">
        <v>285</v>
      </c>
      <c r="AB19" s="12" t="s">
        <v>318</v>
      </c>
    </row>
    <row r="20" spans="4:29" x14ac:dyDescent="0.2">
      <c r="D20" s="68" t="s">
        <v>539</v>
      </c>
      <c r="E20" s="74">
        <f>IF('User inputs - bird impacts'!E26&lt;&gt;"No",'User inputs - run and wind farm'!D29*'User inputs - bird impacts'!E31*'User inputs - bird impacts'!E36*'User inputs - bird impacts'!E38,0)</f>
        <v>0</v>
      </c>
      <c r="F20" s="74">
        <f>IF('User inputs - bird impacts'!E63="No", 0,IF('User inputs - run and wind farm'!D7=1,0,IF('User inputs - run and wind farm'!D7="",0,'User inputs - run and wind farm'!E29*'User inputs - bird impacts'!E68*'User inputs - bird impacts'!E73*'User inputs - bird impacts'!E75)))</f>
        <v>0</v>
      </c>
      <c r="G20" s="74">
        <f>IF('User inputs - bird impacts'!E100="No", 0,IF('User inputs - run and wind farm'!D7&lt;&gt;3,0,'User inputs - run and wind farm'!F29*'User inputs - bird impacts'!E105*'User inputs - bird impacts'!E110*'User inputs - bird impacts'!E112))</f>
        <v>0</v>
      </c>
      <c r="H20" s="74" t="str">
        <f>IF('User inputs - run and wind farm'!$D$9="Additive",SUM(E20:G20),"-")</f>
        <v>-</v>
      </c>
      <c r="I20" s="12"/>
      <c r="J20" s="74">
        <f>'User inputs - run and wind farm'!D29*'User inputs - bird impacts'!G31*'User inputs - bird impacts'!G36*'User inputs - bird impacts'!G38</f>
        <v>0</v>
      </c>
      <c r="K20" s="74">
        <f>IF('User inputs - run and wind farm'!D7=1,0,IF('User inputs - run and wind farm'!D7="",0,'User inputs - run and wind farm'!E29*'User inputs - bird impacts'!G68*'User inputs - bird impacts'!G73*'User inputs - bird impacts'!G75))</f>
        <v>0</v>
      </c>
      <c r="L20" s="74">
        <f>IF('User inputs - run and wind farm'!D7&lt;&gt;3,0,'User inputs - run and wind farm'!F29*'User inputs - bird impacts'!G105*'User inputs - bird impacts'!G110*'User inputs - bird impacts'!G112)</f>
        <v>0</v>
      </c>
      <c r="M20" s="74" t="str">
        <f>IF('User inputs - run and wind farm'!$D$9="Additive",SUM(J20:L20),"-")</f>
        <v>-</v>
      </c>
      <c r="O20" s="74">
        <f>'User inputs - run and wind farm'!D29*'User inputs - bird impacts'!I31*'User inputs - bird impacts'!I36*'User inputs - bird impacts'!I38</f>
        <v>0</v>
      </c>
      <c r="P20" s="74">
        <f>IF('User inputs - run and wind farm'!D7=1,0,IF('User inputs - run and wind farm'!D7="",0,'User inputs - run and wind farm'!E29*'User inputs - bird impacts'!I68*'User inputs - bird impacts'!I73*'User inputs - bird impacts'!I75))</f>
        <v>0</v>
      </c>
      <c r="Q20" s="74">
        <f>IF('User inputs - run and wind farm'!D7&lt;&gt;3,0,'User inputs - run and wind farm'!F29*'User inputs - bird impacts'!I105*'User inputs - bird impacts'!K110*'User inputs - bird impacts'!K112)</f>
        <v>0</v>
      </c>
      <c r="R20" s="74" t="str">
        <f>IF('User inputs - run and wind farm'!$D$9="Additive",SUM(O20:Q20),"-")</f>
        <v>-</v>
      </c>
      <c r="T20" s="74">
        <f>'User inputs - run and wind farm'!D29*'User inputs - bird impacts'!K31*'User inputs - bird impacts'!K36*'User inputs - bird impacts'!K38</f>
        <v>0</v>
      </c>
      <c r="U20" s="74">
        <f>IF('User inputs - run and wind farm'!D7=1,0,IF('User inputs - run and wind farm'!D7="",0,'User inputs - run and wind farm'!E29*'User inputs - bird impacts'!K68*'User inputs - bird impacts'!K73*'User inputs - bird impacts'!K75))</f>
        <v>0</v>
      </c>
      <c r="V20" s="74">
        <f>IF('User inputs - run and wind farm'!D7&lt;&gt;3,0,'User inputs - run and wind farm'!F29*'User inputs - bird impacts'!K105*'User inputs - bird impacts'!K110*'User inputs - bird impacts'!K112)</f>
        <v>0</v>
      </c>
      <c r="W20" s="74" t="str">
        <f>IF('User inputs - run and wind farm'!$D$9="Additive",SUM(T20:V20),"-")</f>
        <v>-</v>
      </c>
      <c r="Y20" s="74">
        <f>'User inputs - run and wind farm'!D29*'User inputs - bird impacts'!M31*'User inputs - bird impacts'!M36*'User inputs - bird impacts'!M38</f>
        <v>0</v>
      </c>
      <c r="Z20" s="74">
        <f>IF('User inputs - run and wind farm'!D7=1,0,IF('User inputs - run and wind farm'!D7="",0,'User inputs - run and wind farm'!E29*'User inputs - bird impacts'!M68*'User inputs - bird impacts'!M73*'User inputs - bird impacts'!M75))</f>
        <v>0</v>
      </c>
      <c r="AA20" s="74">
        <f>IF('User inputs - run and wind farm'!D7&lt;&gt;3,0,'User inputs - run and wind farm'!F29*'User inputs - bird impacts'!M105*'User inputs - bird impacts'!M110*'User inputs - bird impacts'!M112)</f>
        <v>0</v>
      </c>
      <c r="AB20" s="74" t="str">
        <f>IF('User inputs - run and wind farm'!$D$9="Additive",SUM(Y20:AA20),"-")</f>
        <v>-</v>
      </c>
    </row>
    <row r="21" spans="4:29" x14ac:dyDescent="0.2">
      <c r="D21" s="68" t="s">
        <v>540</v>
      </c>
      <c r="E21" s="18"/>
      <c r="F21" s="18"/>
      <c r="G21" s="18"/>
      <c r="H21" s="18"/>
      <c r="I21" s="12"/>
      <c r="J21" s="18"/>
      <c r="K21" s="18"/>
      <c r="L21" s="18"/>
      <c r="M21" s="18"/>
      <c r="O21" s="74">
        <f>'User inputs - run and wind farm'!D29*'User inputs - bird impacts'!I32*'User inputs - bird impacts'!I36*'User inputs - bird impacts'!I39</f>
        <v>0</v>
      </c>
      <c r="P21" s="74">
        <f>IF('User inputs - run and wind farm'!D7=1,0,IF('User inputs - run and wind farm'!D7="",0,'User inputs - run and wind farm'!E29*'User inputs - bird impacts'!I69*'User inputs - bird impacts'!I73*'User inputs - bird impacts'!I76))</f>
        <v>0</v>
      </c>
      <c r="Q21" s="74">
        <f>IF('User inputs - run and wind farm'!D7&lt;&gt;3,0,'User inputs - run and wind farm'!F29*'User inputs - bird impacts'!I106*'User inputs - bird impacts'!I110*'User inputs - bird impacts'!I113)</f>
        <v>0</v>
      </c>
      <c r="R21" s="74">
        <f>SUM(O21:Q21)</f>
        <v>0</v>
      </c>
      <c r="T21" s="74">
        <f>'User inputs - run and wind farm'!D29*'User inputs - bird impacts'!K32*'User inputs - bird impacts'!K36*'User inputs - bird impacts'!K39</f>
        <v>0</v>
      </c>
      <c r="U21" s="74">
        <f>IF('User inputs - run and wind farm'!D7=1,0,IF('User inputs - run and wind farm'!D7="",0,'User inputs - run and wind farm'!E29*'User inputs - bird impacts'!K69*'User inputs - bird impacts'!K73*'User inputs - bird impacts'!K76))</f>
        <v>0</v>
      </c>
      <c r="V21" s="74">
        <f>IF('User inputs - run and wind farm'!D7&lt;&gt;3,0,'User inputs - run and wind farm'!F29*'User inputs - bird impacts'!K106*'User inputs - bird impacts'!K110*'User inputs - bird impacts'!K113)</f>
        <v>0</v>
      </c>
      <c r="W21" s="74" t="str">
        <f>IF('User inputs - run and wind farm'!$D$9="Additive",SUM(T21:V21),"-")</f>
        <v>-</v>
      </c>
      <c r="Y21" s="74">
        <f>'User inputs - run and wind farm'!D29*'User inputs - bird impacts'!M32*'User inputs - bird impacts'!M36*'User inputs - bird impacts'!M39</f>
        <v>0</v>
      </c>
      <c r="Z21" s="74">
        <f>IF('User inputs - run and wind farm'!D7=1,0,IF('User inputs - run and wind farm'!D7="",0,'User inputs - run and wind farm'!E29*'User inputs - bird impacts'!M69*'User inputs - bird impacts'!M73*'User inputs - bird impacts'!M76))</f>
        <v>0</v>
      </c>
      <c r="AA21" s="74">
        <f>IF('User inputs - run and wind farm'!D7&lt;&gt;3,0,'User inputs - run and wind farm'!F29*'User inputs - bird impacts'!M106*'User inputs - bird impacts'!M110*'User inputs - bird impacts'!M113)</f>
        <v>0</v>
      </c>
      <c r="AB21" s="74" t="str">
        <f>IF('User inputs - run and wind farm'!$D$9="Additive",SUM(Y21:AA21),"-")</f>
        <v>-</v>
      </c>
    </row>
    <row r="22" spans="4:29" x14ac:dyDescent="0.2">
      <c r="D22" s="68" t="s">
        <v>538</v>
      </c>
      <c r="E22" s="74">
        <f>IF('User inputs - bird impacts'!E26&lt;&gt;"No",'User inputs - run and wind farm'!D29*'User inputs - bird impacts'!E33*'User inputs - bird impacts'!E36*'User inputs - bird impacts'!E39,0)</f>
        <v>0</v>
      </c>
      <c r="F22" s="74">
        <f>IF('User inputs - bird impacts'!E63="No", 0,IF('User inputs - run and wind farm'!D7=1,0,IF('User inputs - run and wind farm'!D7="",0,'User inputs - run and wind farm'!E29*'User inputs - bird impacts'!E70*'User inputs - bird impacts'!E73*'User inputs - bird impacts'!E76)))</f>
        <v>0</v>
      </c>
      <c r="G22" s="74">
        <f>IF('User inputs - bird impacts'!E100="No", 0,IF('User inputs - run and wind farm'!D7&lt;&gt;3,0,'User inputs - run and wind farm'!F29*'User inputs - bird impacts'!E107*'User inputs - bird impacts'!E110*'User inputs - bird impacts'!E113))</f>
        <v>0</v>
      </c>
      <c r="H22" s="74" t="str">
        <f>IF('User inputs - run and wind farm'!$D$9="Additive",SUM(E22:G22),"-")</f>
        <v>-</v>
      </c>
      <c r="I22" s="12"/>
      <c r="J22" s="74">
        <f>'User inputs - run and wind farm'!D29*'User inputs - bird impacts'!G33*'User inputs - bird impacts'!G36*'User inputs - bird impacts'!G39</f>
        <v>0</v>
      </c>
      <c r="K22" s="74">
        <f>IF('User inputs - run and wind farm'!D7=1,0,IF('User inputs - run and wind farm'!D7="",0,'User inputs - run and wind farm'!E29*'User inputs - bird impacts'!G70*'User inputs - bird impacts'!G73*'User inputs - bird impacts'!G76))</f>
        <v>0</v>
      </c>
      <c r="L22" s="74">
        <f>IF('User inputs - run and wind farm'!D7&lt;&gt;3,0,'User inputs - run and wind farm'!F29*'User inputs - bird impacts'!G107*'User inputs - bird impacts'!G110*'User inputs - bird impacts'!G113)</f>
        <v>0</v>
      </c>
      <c r="M22" s="74" t="str">
        <f>IF('User inputs - run and wind farm'!$D$9="Additive",SUM(J22:L22),"-")</f>
        <v>-</v>
      </c>
      <c r="O22" s="18"/>
      <c r="P22" s="18"/>
      <c r="Q22" s="18"/>
      <c r="R22" s="18"/>
      <c r="T22" s="74">
        <f>'User inputs - run and wind farm'!D29*'User inputs - bird impacts'!K33*'User inputs - bird impacts'!K36*'User inputs - bird impacts'!K39</f>
        <v>0</v>
      </c>
      <c r="U22" s="74">
        <f>IF('User inputs - run and wind farm'!D7=1,0,IF('User inputs - run and wind farm'!D7="",0,'User inputs - run and wind farm'!E29*'User inputs - bird impacts'!K70*'User inputs - bird impacts'!K73*'User inputs - bird impacts'!K76))</f>
        <v>0</v>
      </c>
      <c r="V22" s="74">
        <f>IF('User inputs - run and wind farm'!D7&lt;&gt;3,0,'User inputs - run and wind farm'!F29*'User inputs - bird impacts'!K107*'User inputs - bird impacts'!K110*'User inputs - bird impacts'!K113)</f>
        <v>0</v>
      </c>
      <c r="W22" s="74" t="str">
        <f>IF('User inputs - run and wind farm'!$D$9="Additive",SUM(T22:V22),"-")</f>
        <v>-</v>
      </c>
      <c r="Y22" s="18"/>
      <c r="Z22" s="18"/>
      <c r="AA22" s="18"/>
      <c r="AB22" s="18"/>
    </row>
    <row r="23" spans="4:29" x14ac:dyDescent="0.2">
      <c r="D23" s="68" t="s">
        <v>541</v>
      </c>
      <c r="E23" s="74">
        <f>IF('User inputs - bird impacts'!E26&lt;&gt;"No",'User inputs - run and wind farm'!D29*'User inputs - bird impacts'!E34*'User inputs - bird impacts'!E36*'User inputs - bird impacts'!E39,0)</f>
        <v>0</v>
      </c>
      <c r="F23" s="74">
        <f>IF('User inputs - bird impacts'!E63="No", 0,IF('User inputs - run and wind farm'!D7=1,0,IF('User inputs - run and wind farm'!D7="",0,'User inputs - run and wind farm'!E29*'User inputs - bird impacts'!E71*'User inputs - bird impacts'!E73*'User inputs - bird impacts'!E76)))</f>
        <v>0</v>
      </c>
      <c r="G23" s="74">
        <f>IF('User inputs - bird impacts'!E100="No", 0,IF('User inputs - run and wind farm'!D7&lt;&gt;3,0,'User inputs - run and wind farm'!F29*'User inputs - bird impacts'!E108*'User inputs - bird impacts'!E110*'User inputs - bird impacts'!E113))</f>
        <v>0</v>
      </c>
      <c r="H23" s="74" t="str">
        <f>IF('User inputs - run and wind farm'!D9="Additive",SUM(E23:G23), "-")</f>
        <v>-</v>
      </c>
      <c r="I23" s="12"/>
      <c r="J23" s="74">
        <f>'User inputs - run and wind farm'!D29*'User inputs - bird impacts'!G34*'User inputs - bird impacts'!G36*'User inputs - bird impacts'!G39</f>
        <v>0</v>
      </c>
      <c r="K23" s="74">
        <f>IF('User inputs - run and wind farm'!D7=1,0,IF('User inputs - run and wind farm'!D7="",0,'User inputs - run and wind farm'!E29*'User inputs - bird impacts'!G71*'User inputs - bird impacts'!G73*'User inputs - bird impacts'!G76))</f>
        <v>0</v>
      </c>
      <c r="L23" s="74">
        <f>IF('User inputs - run and wind farm'!D7&lt;&gt;3,0,'User inputs - run and wind farm'!F29*'User inputs - bird impacts'!G108*'User inputs - bird impacts'!G110*'User inputs - bird impacts'!G113)</f>
        <v>0</v>
      </c>
      <c r="M23" s="74" t="str">
        <f>IF('User inputs - run and wind farm'!$D$9="Additive",SUM(J23:L23),"-")</f>
        <v>-</v>
      </c>
      <c r="O23" s="18"/>
      <c r="P23" s="18"/>
      <c r="Q23" s="18"/>
      <c r="R23" s="18"/>
      <c r="T23" s="74">
        <f>'User inputs - run and wind farm'!D29*'User inputs - bird impacts'!K34*'User inputs - bird impacts'!K36*'User inputs - bird impacts'!K39</f>
        <v>0</v>
      </c>
      <c r="U23" s="74">
        <f>IF('User inputs - run and wind farm'!D7=1,0,IF('User inputs - run and wind farm'!D7="",0,'User inputs - run and wind farm'!E29*'User inputs - bird impacts'!K71*'User inputs - bird impacts'!K73*'User inputs - bird impacts'!K76))</f>
        <v>0</v>
      </c>
      <c r="V23" s="74">
        <f>IF('User inputs - run and wind farm'!D7&lt;&gt;3,0,'User inputs - run and wind farm'!F29*'User inputs - bird impacts'!K108*'User inputs - bird impacts'!K110*'User inputs - bird impacts'!K113)</f>
        <v>0</v>
      </c>
      <c r="W23" s="74" t="str">
        <f>IF('User inputs - run and wind farm'!$D$9="Additive",SUM(T23:V23),"-")</f>
        <v>-</v>
      </c>
      <c r="Y23" s="18"/>
      <c r="Z23" s="18"/>
      <c r="AA23" s="18"/>
      <c r="AB23" s="18"/>
    </row>
    <row r="24" spans="4:29" ht="9.9499999999999993" customHeight="1" x14ac:dyDescent="0.2">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row>
    <row r="25" spans="4:29" x14ac:dyDescent="0.2">
      <c r="D25" s="24" t="s">
        <v>550</v>
      </c>
      <c r="E25" s="74">
        <f>SUM(E20:E23)</f>
        <v>0</v>
      </c>
      <c r="F25" s="74">
        <f>IF('User inputs - run and wind farm'!D7=1,0,IF('User inputs - run and wind farm'!D7="",0,SUM(F20:F23)))</f>
        <v>0</v>
      </c>
      <c r="G25" s="74">
        <f>IF('User inputs - run and wind farm'!D7&lt;&gt;3,0,SUM(G20:G23))</f>
        <v>0</v>
      </c>
      <c r="H25" s="74" t="str">
        <f>IF('User inputs - run and wind farm'!$D$9="Additive",SUM(H20:H23),"-")</f>
        <v>-</v>
      </c>
      <c r="I25" s="12"/>
      <c r="J25" s="74">
        <f>SUM(J20:J23)</f>
        <v>0</v>
      </c>
      <c r="K25" s="74">
        <f>IF('User inputs - run and wind farm'!D7=1,0,IF('User inputs - run and wind farm'!D7="",0,SUM(K20:K23)))</f>
        <v>0</v>
      </c>
      <c r="L25" s="74">
        <f>IF('User inputs - run and wind farm'!D7&lt;&gt;3,0,SUM(L20:L23))</f>
        <v>0</v>
      </c>
      <c r="M25" s="74" t="str">
        <f>IF('User inputs - run and wind farm'!$D$9="Additive",SUM(M20:M23),"-")</f>
        <v>-</v>
      </c>
      <c r="O25" s="74">
        <f>SUM(O20:O23)</f>
        <v>0</v>
      </c>
      <c r="P25" s="74">
        <f>IF('User inputs - run and wind farm'!D7=1,0,IF('User inputs - run and wind farm'!D7="",0,SUM(P20:P23)))</f>
        <v>0</v>
      </c>
      <c r="Q25" s="74">
        <f>IF('User inputs - run and wind farm'!D7&lt;&gt;3,0,SUM(Q20:Q23))</f>
        <v>0</v>
      </c>
      <c r="R25" s="74" t="str">
        <f>IF('User inputs - run and wind farm'!$D$9="Additive",SUM(R20:R23),"-")</f>
        <v>-</v>
      </c>
      <c r="T25" s="74">
        <f>SUM(T20:T23)</f>
        <v>0</v>
      </c>
      <c r="U25" s="74">
        <f>IF('User inputs - run and wind farm'!D7=1,0,IF('User inputs - run and wind farm'!D7="",0,SUM(U20:U23)))</f>
        <v>0</v>
      </c>
      <c r="V25" s="74">
        <f>IF('User inputs - run and wind farm'!D7&lt;&gt;3,0,SUM(V20:V23))</f>
        <v>0</v>
      </c>
      <c r="W25" s="74" t="str">
        <f>IF('User inputs - run and wind farm'!$D$9="Additive",SUM(W20:W23),"-")</f>
        <v>-</v>
      </c>
      <c r="Y25" s="74">
        <f>SUM(Y20:Y23)</f>
        <v>0</v>
      </c>
      <c r="Z25" s="74">
        <f>IF('User inputs - run and wind farm'!D7=1,0,IF('User inputs - run and wind farm'!D7="",0,SUM(Z20:Z23)))</f>
        <v>0</v>
      </c>
      <c r="AA25" s="74">
        <f>IF('User inputs - run and wind farm'!D7&lt;&gt;3,0,SUM(AA20:AA23))</f>
        <v>0</v>
      </c>
      <c r="AB25" s="74" t="str">
        <f>IF('User inputs - run and wind farm'!$D$9="Additive",SUM(AB20:AB23),"-")</f>
        <v>-</v>
      </c>
    </row>
    <row r="26" spans="4:29" ht="15" x14ac:dyDescent="0.2">
      <c r="D26" s="75"/>
      <c r="E26" s="64"/>
      <c r="F26" s="64"/>
      <c r="G26" s="64"/>
      <c r="H26" s="64"/>
      <c r="I26" s="12"/>
    </row>
    <row r="27" spans="4:29" ht="15" x14ac:dyDescent="0.25">
      <c r="D27" s="69" t="s">
        <v>246</v>
      </c>
      <c r="E27" s="76"/>
      <c r="F27" s="76"/>
      <c r="G27" s="76"/>
      <c r="H27" s="76"/>
      <c r="I27" s="76"/>
    </row>
    <row r="28" spans="4:29" ht="15" x14ac:dyDescent="0.25">
      <c r="D28" s="69"/>
      <c r="E28" s="76"/>
      <c r="F28" s="76"/>
      <c r="G28" s="76"/>
      <c r="H28" s="76"/>
      <c r="I28" s="76"/>
    </row>
    <row r="29" spans="4:29" x14ac:dyDescent="0.2">
      <c r="D29" s="68" t="s">
        <v>539</v>
      </c>
      <c r="E29" s="74">
        <f>E20*'User inputs - bird populations'!F24*'User inputs - bird populations'!F25*'User inputs - bird populations'!F26</f>
        <v>0</v>
      </c>
      <c r="F29" s="74">
        <f>IF('User inputs - run and wind farm'!D7=1,0,IF('User inputs - run and wind farm'!D7="",0,F20*'User inputs - bird populations'!F55*'User inputs - bird populations'!F56*'User inputs - bird populations'!F57))</f>
        <v>0</v>
      </c>
      <c r="G29" s="74">
        <f>IF('User inputs - run and wind farm'!D7&lt;&gt;3,0,G20*'User inputs - bird populations'!F86*'User inputs - bird populations'!F87*'User inputs - bird populations'!F88)</f>
        <v>0</v>
      </c>
      <c r="H29" s="74" t="str">
        <f>IF('User inputs - run and wind farm'!$D$9="Additive",SUM(E29:G29),"-")</f>
        <v>-</v>
      </c>
      <c r="I29" s="76"/>
      <c r="J29" s="74">
        <f>J20*'User inputs - bird populations'!I24*'User inputs - bird populations'!I25*'User inputs - bird populations'!I26</f>
        <v>0</v>
      </c>
      <c r="K29" s="74">
        <f>IF('User inputs - run and wind farm'!D7=1,0,IF('User inputs - run and wind farm'!D7="",0,K20*'User inputs - bird populations'!I55*'User inputs - bird populations'!I56*'User inputs - bird populations'!I57))</f>
        <v>0</v>
      </c>
      <c r="L29" s="74">
        <f>IF('User inputs - run and wind farm'!D7&lt;&gt;3,0,L20*'User inputs - bird populations'!I86*'User inputs - bird populations'!I87*'User inputs - bird populations'!I88)</f>
        <v>0</v>
      </c>
      <c r="M29" s="74" t="str">
        <f>IF('User inputs - run and wind farm'!$D$9="Additive",SUM(J29:L29),"-")</f>
        <v>-</v>
      </c>
      <c r="O29" s="74">
        <f>O20*'User inputs - bird populations'!L24*'User inputs - bird populations'!L25*'User inputs - bird populations'!L26</f>
        <v>0</v>
      </c>
      <c r="P29" s="74">
        <f>IF('User inputs - run and wind farm'!D7=1,0,IF('User inputs - run and wind farm'!D7="",0,P20*'User inputs - bird populations'!L55*'User inputs - bird populations'!L56*'User inputs - bird populations'!L57))</f>
        <v>0</v>
      </c>
      <c r="Q29" s="74">
        <f>IF('User inputs - run and wind farm'!D7&lt;&gt;3,0,Q20*'User inputs - bird populations'!L86*'User inputs - bird populations'!L87*'User inputs - bird populations'!L88)</f>
        <v>0</v>
      </c>
      <c r="R29" s="74" t="str">
        <f>IF('User inputs - run and wind farm'!$D$9="Additive",SUM(O29:Q29),"-")</f>
        <v>-</v>
      </c>
      <c r="T29" s="74">
        <f>T20*'User inputs - bird populations'!O24*'User inputs - bird populations'!O25*'User inputs - bird populations'!O26</f>
        <v>0</v>
      </c>
      <c r="U29" s="74">
        <f>IF('User inputs - run and wind farm'!D7=1,0,IF('User inputs - run and wind farm'!D7="",0,U20*'User inputs - bird populations'!O55*'User inputs - bird populations'!O56*'User inputs - bird populations'!O57))</f>
        <v>0</v>
      </c>
      <c r="V29" s="74">
        <f>IF('User inputs - run and wind farm'!D7&lt;&gt;3,0,V20*'User inputs - bird populations'!O86*'User inputs - bird populations'!O87*'User inputs - bird populations'!O88)</f>
        <v>0</v>
      </c>
      <c r="W29" s="74" t="str">
        <f>IF('User inputs - run and wind farm'!$D$9="Additive",SUM(T29:V29),"-")</f>
        <v>-</v>
      </c>
      <c r="Y29" s="74">
        <f>Y20*'User inputs - bird populations'!R24*'User inputs - bird populations'!R25*'User inputs - bird populations'!R26</f>
        <v>0</v>
      </c>
      <c r="Z29" s="74">
        <f>IF('User inputs - run and wind farm'!D7=1,0,IF('User inputs - run and wind farm'!D7="",0,Z20*'User inputs - bird populations'!R55*'User inputs - bird populations'!R56*'User inputs - bird populations'!R57))</f>
        <v>0</v>
      </c>
      <c r="AA29" s="74">
        <f>IF('User inputs - run and wind farm'!D7&lt;&gt;3,0,AA20*'User inputs - bird populations'!R86*'User inputs - bird populations'!R87*'User inputs - bird populations'!R88)</f>
        <v>0</v>
      </c>
      <c r="AB29" s="74" t="str">
        <f>IF('User inputs - run and wind farm'!$D$9="Additive",SUM(Y29:AA29),"-")</f>
        <v>-</v>
      </c>
    </row>
    <row r="30" spans="4:29" x14ac:dyDescent="0.2">
      <c r="D30" s="68" t="s">
        <v>540</v>
      </c>
      <c r="E30" s="18"/>
      <c r="F30" s="18"/>
      <c r="G30" s="18"/>
      <c r="H30" s="18"/>
      <c r="I30" s="76"/>
      <c r="J30" s="18"/>
      <c r="K30" s="18"/>
      <c r="L30" s="18"/>
      <c r="M30" s="18"/>
      <c r="O30" s="74">
        <f>O21*'User inputs - bird populations'!L28*'User inputs - bird populations'!L29*'User inputs - bird populations'!L30</f>
        <v>0</v>
      </c>
      <c r="P30" s="74">
        <f>IF('User inputs - run and wind farm'!D7=1,0,IF('User inputs - run and wind farm'!D7="",0,P21*'User inputs - bird populations'!L59*'User inputs - bird populations'!L60*'User inputs - bird populations'!L61))</f>
        <v>0</v>
      </c>
      <c r="Q30" s="74">
        <f>IF('User inputs - run and wind farm'!D7&lt;&gt;3,0,Q21*'User inputs - bird populations'!L90*'User inputs - bird populations'!L91*'User inputs - bird populations'!L92)</f>
        <v>0</v>
      </c>
      <c r="R30" s="74" t="str">
        <f>IF('User inputs - run and wind farm'!$D$9="Additive",SUM(O30:Q30),"-")</f>
        <v>-</v>
      </c>
      <c r="T30" s="74">
        <f>T21*'User inputs - bird populations'!O28*'User inputs - bird populations'!O29*'User inputs - bird populations'!O30</f>
        <v>0</v>
      </c>
      <c r="U30" s="74">
        <f>IF('User inputs - run and wind farm'!D7=1,0,IF('User inputs - run and wind farm'!D7="",0,U21*'User inputs - bird populations'!O59*'User inputs - bird populations'!O60*'User inputs - bird populations'!O61))</f>
        <v>0</v>
      </c>
      <c r="V30" s="74">
        <f>IF('User inputs - run and wind farm'!D7&lt;&gt;3,0,V21*'User inputs - bird populations'!O90*'User inputs - bird populations'!O91*'User inputs - bird populations'!O92)</f>
        <v>0</v>
      </c>
      <c r="W30" s="74" t="str">
        <f>IF('User inputs - run and wind farm'!$D$9="Additive",SUM(T30:V30),"-")</f>
        <v>-</v>
      </c>
      <c r="Y30" s="74">
        <f>Y21*'User inputs - bird populations'!R28*'User inputs - bird populations'!R29*'User inputs - bird populations'!R30</f>
        <v>0</v>
      </c>
      <c r="Z30" s="74">
        <f>IF('User inputs - run and wind farm'!D7=1,0,IF('User inputs - run and wind farm'!D7="",0,Z21*'User inputs - bird populations'!R59*'User inputs - bird populations'!R60*'User inputs - bird populations'!R61))</f>
        <v>0</v>
      </c>
      <c r="AA30" s="74">
        <f>IF('User inputs - run and wind farm'!D7&lt;&gt;3,0,AA21*'User inputs - bird populations'!R90*'User inputs - bird populations'!R91*'User inputs - bird populations'!R92)</f>
        <v>0</v>
      </c>
      <c r="AB30" s="74" t="str">
        <f>IF('User inputs - run and wind farm'!$D$9="Additive",SUM(Y30:AA30),"-")</f>
        <v>-</v>
      </c>
    </row>
    <row r="31" spans="4:29" x14ac:dyDescent="0.2">
      <c r="D31" s="68" t="s">
        <v>538</v>
      </c>
      <c r="E31" s="74">
        <f>E22*'User inputs - bird populations'!F32*'User inputs - bird populations'!F33*'User inputs - bird populations'!F34</f>
        <v>0</v>
      </c>
      <c r="F31" s="74">
        <f>IF('User inputs - run and wind farm'!D7=1,0,IF('User inputs - run and wind farm'!D7="",0,F22*'User inputs - bird populations'!F63*'User inputs - bird populations'!F64*'User inputs - bird populations'!F65))</f>
        <v>0</v>
      </c>
      <c r="G31" s="74">
        <f>IF('User inputs - run and wind farm'!D7&lt;&gt;3,0,G22*'User inputs - bird populations'!F94*'User inputs - bird populations'!F95*'User inputs - bird populations'!F96)</f>
        <v>0</v>
      </c>
      <c r="H31" s="74" t="str">
        <f>IF('User inputs - run and wind farm'!D9="Additive",SUM(E31:G31),"-")</f>
        <v>-</v>
      </c>
      <c r="I31" s="76"/>
      <c r="J31" s="74">
        <f>J22*'User inputs - bird populations'!I32*'User inputs - bird populations'!I33*'User inputs - bird populations'!I34</f>
        <v>0</v>
      </c>
      <c r="K31" s="74">
        <f>IF('User inputs - run and wind farm'!D7=1,0,IF('User inputs - run and wind farm'!D7="",0,K22*'User inputs - bird populations'!I63*'User inputs - bird populations'!I64*'User inputs - bird populations'!I65))</f>
        <v>0</v>
      </c>
      <c r="L31" s="74">
        <f>IF('User inputs - run and wind farm'!D7&lt;&gt;3,0,L22*'User inputs - bird populations'!I94*'User inputs - bird populations'!I95*'User inputs - bird populations'!I96)</f>
        <v>0</v>
      </c>
      <c r="M31" s="74" t="str">
        <f>IF('User inputs - run and wind farm'!$D$9="Additive",SUM(J31:L31),"-")</f>
        <v>-</v>
      </c>
      <c r="O31" s="18"/>
      <c r="P31" s="18"/>
      <c r="Q31" s="18"/>
      <c r="R31" s="18"/>
      <c r="T31" s="74">
        <f>T22*'User inputs - bird populations'!O32*'User inputs - bird populations'!O33*'User inputs - bird populations'!O34</f>
        <v>0</v>
      </c>
      <c r="U31" s="74">
        <f>IF('User inputs - run and wind farm'!D7=1,0,IF('User inputs - run and wind farm'!D7="",0,U22*'User inputs - bird populations'!O63*'User inputs - bird populations'!O64*'User inputs - bird populations'!O65))</f>
        <v>0</v>
      </c>
      <c r="V31" s="74">
        <f>IF('User inputs - run and wind farm'!D7&lt;&gt;3,0,V22*'User inputs - bird populations'!O94*'User inputs - bird populations'!O95*'User inputs - bird populations'!O96)</f>
        <v>0</v>
      </c>
      <c r="W31" s="74" t="str">
        <f>IF('User inputs - run and wind farm'!$D$9="Additive",SUM(T31:V31),"-")</f>
        <v>-</v>
      </c>
      <c r="Y31" s="18"/>
      <c r="Z31" s="18"/>
      <c r="AA31" s="18"/>
      <c r="AB31" s="18"/>
    </row>
    <row r="32" spans="4:29" x14ac:dyDescent="0.2">
      <c r="D32" s="68" t="s">
        <v>541</v>
      </c>
      <c r="E32" s="74">
        <f>E23*'User inputs - bird populations'!F36*'User inputs - bird populations'!F37*'User inputs - bird populations'!F38</f>
        <v>0</v>
      </c>
      <c r="F32" s="74">
        <f>IF('User inputs - run and wind farm'!D7=1,0,IF('User inputs - run and wind farm'!D7="",0,F23*'User inputs - bird populations'!F67*'User inputs - bird populations'!F68*'User inputs - bird populations'!F69))</f>
        <v>0</v>
      </c>
      <c r="G32" s="74">
        <f>IF('User inputs - run and wind farm'!D7&lt;&gt;3,0,G23*'User inputs - bird populations'!F98*'User inputs - bird populations'!F99*'User inputs - bird populations'!F100)</f>
        <v>0</v>
      </c>
      <c r="H32" s="74" t="str">
        <f>IF('User inputs - run and wind farm'!D9="Additive",SUM(E32:G32),"-")</f>
        <v>-</v>
      </c>
      <c r="I32" s="76"/>
      <c r="J32" s="74">
        <f>J23*'User inputs - bird populations'!I36*'User inputs - bird populations'!I37*'User inputs - bird populations'!I38</f>
        <v>0</v>
      </c>
      <c r="K32" s="74">
        <f>IF('User inputs - run and wind farm'!D7=1,0,IF('User inputs - run and wind farm'!D7="",0,K23*'User inputs - bird populations'!I67*'User inputs - bird populations'!I68*'User inputs - bird populations'!I69))</f>
        <v>0</v>
      </c>
      <c r="L32" s="74">
        <f>IF('User inputs - run and wind farm'!D7&lt;&gt;3,0,L23*'User inputs - bird populations'!I98*'User inputs - bird populations'!I99*'User inputs - bird populations'!I100)</f>
        <v>0</v>
      </c>
      <c r="M32" s="74" t="str">
        <f>IF('User inputs - run and wind farm'!$D$9="Additive",SUM(J32:L32),"-")</f>
        <v>-</v>
      </c>
      <c r="O32" s="18"/>
      <c r="P32" s="18"/>
      <c r="Q32" s="18"/>
      <c r="R32" s="18"/>
      <c r="T32" s="74">
        <f>T23*'User inputs - bird populations'!O36*'User inputs - bird populations'!O37*'User inputs - bird populations'!O38</f>
        <v>0</v>
      </c>
      <c r="U32" s="74">
        <f>IF('User inputs - run and wind farm'!D7=1,0,IF('User inputs - run and wind farm'!D7="",0,U23*'User inputs - bird populations'!O67*'User inputs - bird populations'!O68*'User inputs - bird populations'!O69))</f>
        <v>0</v>
      </c>
      <c r="V32" s="74">
        <f>IF('User inputs - run and wind farm'!D7&lt;&gt;3,0,V23*'User inputs - bird populations'!O98*'User inputs - bird populations'!O99*'User inputs - bird populations'!O100)</f>
        <v>0</v>
      </c>
      <c r="W32" s="74" t="str">
        <f>IF('User inputs - run and wind farm'!$D$9="Additive",SUM(T32:V32),"-")</f>
        <v>-</v>
      </c>
      <c r="Y32" s="18"/>
      <c r="Z32" s="18"/>
      <c r="AA32" s="18"/>
      <c r="AB32" s="18"/>
    </row>
    <row r="33" spans="3:29" ht="9.9499999999999993" customHeight="1" x14ac:dyDescent="0.2">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row>
    <row r="34" spans="3:29" x14ac:dyDescent="0.2">
      <c r="D34" s="24" t="s">
        <v>549</v>
      </c>
      <c r="E34" s="74">
        <f>SUM(E29:E32)</f>
        <v>0</v>
      </c>
      <c r="F34" s="74">
        <f>IF('User inputs - run and wind farm'!D7=1,0,IF('User inputs - run and wind farm'!D7="",0,SUM(F29:F32)))</f>
        <v>0</v>
      </c>
      <c r="G34" s="74">
        <f>IF('User inputs - run and wind farm'!D7&lt;&gt;3,0,SUM(G29:G32))</f>
        <v>0</v>
      </c>
      <c r="H34" s="74">
        <f t="shared" ref="H34" si="3">SUM(H29:H32)</f>
        <v>0</v>
      </c>
      <c r="I34" s="12"/>
      <c r="J34" s="74">
        <f>SUM(J29:J32)</f>
        <v>0</v>
      </c>
      <c r="K34" s="74">
        <f>IF('User inputs - run and wind farm'!D7=1,0,IF('User inputs - run and wind farm'!D7="",0,SUM(K29:K32)))</f>
        <v>0</v>
      </c>
      <c r="L34" s="74">
        <f>IF('User inputs - run and wind farm'!D7&lt;&gt;3,0,SUM(L29:L32))</f>
        <v>0</v>
      </c>
      <c r="M34" s="74" t="str">
        <f>IF('User inputs - run and wind farm'!$D$9="Additive",SUM(M29:M32),"-")</f>
        <v>-</v>
      </c>
      <c r="O34" s="74">
        <f>SUM(O29:O32)</f>
        <v>0</v>
      </c>
      <c r="P34" s="74">
        <f>IF('User inputs - run and wind farm'!D16=1,0,IF('User inputs - run and wind farm'!D7="",0,SUM(P29:P32)))</f>
        <v>0</v>
      </c>
      <c r="Q34" s="74">
        <f>IF('User inputs - run and wind farm'!D7&lt;&gt;3,0,SUM(Q29:Q32))</f>
        <v>0</v>
      </c>
      <c r="R34" s="74" t="str">
        <f>IF('User inputs - run and wind farm'!$D$9="Additive",SUM(R29:R32),"-")</f>
        <v>-</v>
      </c>
      <c r="T34" s="74">
        <f>SUM(T29:T32)</f>
        <v>0</v>
      </c>
      <c r="U34" s="74">
        <f>IF('User inputs - run and wind farm'!D16=1,0,IF('User inputs - run and wind farm'!D7="",0,SUM(U29:U32)))</f>
        <v>0</v>
      </c>
      <c r="V34" s="74">
        <f>IF('User inputs - run and wind farm'!D7&lt;&gt;3,0,SUM(V29:V32))</f>
        <v>0</v>
      </c>
      <c r="W34" s="74" t="str">
        <f>IF('User inputs - run and wind farm'!$D$9="Additive",SUM(W29:W32),"-")</f>
        <v>-</v>
      </c>
      <c r="Y34" s="74">
        <f>SUM(Y29:Y32)</f>
        <v>0</v>
      </c>
      <c r="Z34" s="74">
        <f>IF('User inputs - run and wind farm'!D16=1,0,IF('User inputs - run and wind farm'!D7="",0,SUM(Z29:Z32)))</f>
        <v>0</v>
      </c>
      <c r="AA34" s="74">
        <f>IF('User inputs - run and wind farm'!D7&lt;&gt;3,0,SUM(AA29:AA32))</f>
        <v>0</v>
      </c>
      <c r="AB34" s="74" t="str">
        <f>IF('User inputs - run and wind farm'!$D$9="Additive",SUM(AB29:AB32),"-")</f>
        <v>-</v>
      </c>
    </row>
    <row r="35" spans="3:29" x14ac:dyDescent="0.2">
      <c r="I35" s="76"/>
    </row>
    <row r="37" spans="3:29" ht="20.100000000000001" customHeight="1" x14ac:dyDescent="0.3">
      <c r="C37" s="145" t="s">
        <v>237</v>
      </c>
      <c r="D37" s="145"/>
    </row>
    <row r="38" spans="3:29" ht="9.9499999999999993" customHeight="1" x14ac:dyDescent="0.3">
      <c r="D38" s="19"/>
    </row>
    <row r="39" spans="3:29" ht="19.5" customHeight="1" x14ac:dyDescent="0.2">
      <c r="E39" s="152" t="s">
        <v>16</v>
      </c>
      <c r="F39" s="152"/>
      <c r="G39" s="152"/>
      <c r="H39" s="152"/>
      <c r="I39" s="72"/>
      <c r="J39" s="152" t="s">
        <v>13</v>
      </c>
      <c r="K39" s="152"/>
      <c r="L39" s="152"/>
      <c r="M39" s="152"/>
      <c r="N39" s="72"/>
    </row>
    <row r="40" spans="3:29" x14ac:dyDescent="0.2">
      <c r="E40" s="12" t="s">
        <v>283</v>
      </c>
      <c r="F40" s="12" t="s">
        <v>284</v>
      </c>
      <c r="G40" s="12" t="s">
        <v>285</v>
      </c>
      <c r="H40" s="12" t="s">
        <v>318</v>
      </c>
      <c r="I40" s="12"/>
      <c r="J40" s="12" t="s">
        <v>283</v>
      </c>
      <c r="K40" s="12" t="s">
        <v>284</v>
      </c>
      <c r="L40" s="12" t="s">
        <v>285</v>
      </c>
      <c r="M40" s="12" t="s">
        <v>318</v>
      </c>
    </row>
    <row r="41" spans="3:29" x14ac:dyDescent="0.2">
      <c r="D41" s="68" t="s">
        <v>539</v>
      </c>
      <c r="E41" s="74">
        <f>IF(ISERROR('Overall collision risk'!Q38),0,'Overall collision risk'!Q38)</f>
        <v>0</v>
      </c>
      <c r="F41" s="74">
        <f>IF('User inputs - run and wind farm'!D7="",0,IF('User inputs - run and wind farm'!$D$7=1,0,IF(ISERROR('Overall collision risk'!$Q$77),0,'Overall collision risk'!$Q$77)))</f>
        <v>0</v>
      </c>
      <c r="G41" s="74">
        <f>IF('User inputs - run and wind farm'!D7&lt;&gt;3,0,IF('User inputs - run and wind farm'!$D$7 &lt;&gt; 3,0,IF(ISERROR('Overall collision risk'!$Q$116),0,'Overall collision risk'!$Q$116)))</f>
        <v>0</v>
      </c>
      <c r="H41" s="74" t="str">
        <f>IF('User inputs - run and wind farm'!$D$9="Additive",SUM(E41:G41),"-")</f>
        <v>-</v>
      </c>
      <c r="I41" s="12"/>
      <c r="J41" s="74">
        <f>IF(ISERROR('Overall collision risk'!AI38),0,'Overall collision risk'!AI38)</f>
        <v>0</v>
      </c>
      <c r="K41" s="74">
        <f>IF('User inputs - run and wind farm'!D7=1,0,IF('User inputs - run and wind farm'!D7="",0,IF('User inputs - run and wind farm'!$D$7 = 1,0,IF(ISERROR('Overall collision risk'!$AI$77),0,'Overall collision risk'!$AI$77))))</f>
        <v>0</v>
      </c>
      <c r="L41" s="74">
        <f>IF('User inputs - run and wind farm'!D7&lt;&gt;3,0,IF('User inputs - run and wind farm'!$D$7 &lt;&gt; 3,0,IF(ISERROR('Overall collision risk'!$AI$116),0,'Overall collision risk'!$AI$116)))</f>
        <v>0</v>
      </c>
      <c r="M41" s="74" t="str">
        <f>IF('User inputs - run and wind farm'!$D$9="Additive",SUM(J41:L41),"-")</f>
        <v>-</v>
      </c>
    </row>
    <row r="42" spans="3:29" ht="15" x14ac:dyDescent="0.2">
      <c r="D42" s="68" t="s">
        <v>540</v>
      </c>
      <c r="E42" s="18"/>
      <c r="F42" s="18"/>
      <c r="G42" s="18"/>
      <c r="H42" s="18"/>
      <c r="I42" s="12"/>
      <c r="J42" s="18"/>
      <c r="K42" s="18"/>
      <c r="L42" s="18"/>
      <c r="M42" s="18"/>
      <c r="O42" s="151" t="s">
        <v>319</v>
      </c>
      <c r="P42" s="151"/>
      <c r="Q42" s="151"/>
      <c r="R42" s="151"/>
      <c r="S42" s="151"/>
      <c r="T42" s="151"/>
      <c r="U42" s="151"/>
      <c r="V42" s="151"/>
      <c r="W42" s="151"/>
      <c r="X42" s="151"/>
      <c r="Y42" s="151"/>
      <c r="Z42" s="151"/>
      <c r="AA42" s="151"/>
      <c r="AB42" s="151"/>
    </row>
    <row r="43" spans="3:29" x14ac:dyDescent="0.2">
      <c r="D43" s="68" t="s">
        <v>538</v>
      </c>
      <c r="E43" s="74">
        <f>IF(ISERROR('Overall collision risk'!Q39),0,'Overall collision risk'!Q39)</f>
        <v>0</v>
      </c>
      <c r="F43" s="74">
        <f>IF('User inputs - run and wind farm'!D7="",0,IF('User inputs - run and wind farm'!$D$7=1,0,IF(ISERROR('Overall collision risk'!$Q$78),0,'Overall collision risk'!$Q$78)))</f>
        <v>0</v>
      </c>
      <c r="G43" s="74">
        <f>IF('User inputs - run and wind farm'!D7&lt;&gt;3,0,IF('User inputs - run and wind farm'!$D$7 &lt;&gt; 3,0,IF(ISERROR('Overall collision risk'!$Q$117),0,'Overall collision risk'!$Q$117)))</f>
        <v>0</v>
      </c>
      <c r="H43" s="74" t="str">
        <f>IF('User inputs - run and wind farm'!$D$9="Additive",SUM(E43:G43),"-")</f>
        <v>-</v>
      </c>
      <c r="I43" s="12"/>
      <c r="J43" s="74">
        <f>IF(ISERROR('Overall collision risk'!AI39),0,'Overall collision risk'!AI39)</f>
        <v>0</v>
      </c>
      <c r="K43" s="74">
        <f>IF('User inputs - run and wind farm'!D7=1,0,IF('User inputs - run and wind farm'!D7="",0,IF('User inputs - run and wind farm'!$D$7 = 1,0,IF(ISERROR('Overall collision risk'!$AI$78),0,'Overall collision risk'!$AI$78))))</f>
        <v>0</v>
      </c>
      <c r="L43" s="74">
        <f>IF('User inputs - run and wind farm'!D7&lt;&gt;3,0,IF('User inputs - run and wind farm'!$D$7 &lt;&gt; 3,0,IF(ISERROR('Overall collision risk'!$AI$117),0,'Overall collision risk'!$AI$117)))</f>
        <v>0</v>
      </c>
      <c r="M43" s="74" t="str">
        <f>IF('User inputs - run and wind farm'!$D$9="Additive",SUM(J43:L43),"-")</f>
        <v>-</v>
      </c>
    </row>
    <row r="44" spans="3:29" x14ac:dyDescent="0.2">
      <c r="D44" s="68" t="s">
        <v>541</v>
      </c>
      <c r="E44" s="74">
        <f>IF(ISERROR('Overall collision risk'!Q40),0,'Overall collision risk'!Q40)</f>
        <v>0</v>
      </c>
      <c r="F44" s="74">
        <f>IF('User inputs - run and wind farm'!D7="",0,IF('User inputs - run and wind farm'!$D$7 = 1,0,IF(ISERROR('Overall collision risk'!$Q$79),0,'Overall collision risk'!$Q$79)))</f>
        <v>0</v>
      </c>
      <c r="G44" s="74">
        <f>IF('User inputs - run and wind farm'!D7&lt;&gt;3,0,IF('User inputs - run and wind farm'!$D$7 &lt;&gt; 3,0,IF(ISERROR('Overall collision risk'!$Q$118),0,'Overall collision risk'!$Q$118)))</f>
        <v>0</v>
      </c>
      <c r="H44" s="74" t="str">
        <f>IF('User inputs - run and wind farm'!$D$9="Additive",SUM(E44:G44),"-")</f>
        <v>-</v>
      </c>
      <c r="I44" s="12"/>
      <c r="J44" s="74">
        <f>IF(ISERROR('Overall collision risk'!AI40),0,'Overall collision risk'!AI40)</f>
        <v>0</v>
      </c>
      <c r="K44" s="74">
        <f>IF('User inputs - run and wind farm'!D7=1,0,IF('User inputs - run and wind farm'!D7="",0,IF('User inputs - run and wind farm'!$D$7 = 1,0,IF(ISERROR('Overall collision risk'!$AI$79),0,'Overall collision risk'!$AI$79))))</f>
        <v>0</v>
      </c>
      <c r="L44" s="74">
        <f>IF('User inputs - run and wind farm'!D7&lt;&gt;3,0,IF('User inputs - run and wind farm'!$D$7 &lt;&gt; 3,0,IF(ISERROR('Overall collision risk'!$AI$118),0,'Overall collision risk'!$AI$118)))</f>
        <v>0</v>
      </c>
      <c r="M44" s="74" t="str">
        <f>IF('User inputs - run and wind farm'!$D$9="Additive",SUM(J44:L44),"-")</f>
        <v>-</v>
      </c>
    </row>
    <row r="45" spans="3:29" ht="9.9499999999999993" customHeight="1" x14ac:dyDescent="0.2">
      <c r="D45" s="68"/>
      <c r="E45" s="68"/>
      <c r="F45" s="68"/>
      <c r="G45" s="68"/>
      <c r="H45" s="68"/>
      <c r="I45" s="68"/>
      <c r="J45" s="68"/>
      <c r="K45" s="68"/>
      <c r="L45" s="68"/>
      <c r="M45" s="68"/>
      <c r="N45" s="68"/>
      <c r="AC45" s="68"/>
    </row>
    <row r="46" spans="3:29" x14ac:dyDescent="0.2">
      <c r="D46" s="24" t="s">
        <v>551</v>
      </c>
      <c r="E46" s="74">
        <f>SUM(E41:E44)</f>
        <v>0</v>
      </c>
      <c r="F46" s="74">
        <f>IF('User inputs - run and wind farm'!D7=1,0,IF('User inputs - run and wind farm'!D7="",0,SUM(F41:F44)))</f>
        <v>0</v>
      </c>
      <c r="G46" s="74">
        <f>IF('User inputs - run and wind farm'!D7&lt;&gt;3,0,SUM(G41:G44))</f>
        <v>0</v>
      </c>
      <c r="H46" s="74" t="str">
        <f>IF('User inputs - run and wind farm'!$D$9="Additive",SUM(E46:G46),"-")</f>
        <v>-</v>
      </c>
      <c r="I46" s="12"/>
      <c r="J46" s="74">
        <f>SUM(J41:J44)</f>
        <v>0</v>
      </c>
      <c r="K46" s="74">
        <f>IF('User inputs - run and wind farm'!D7=1,0,IF('User inputs - run and wind farm'!D7="",0,SUM(K41:K44)))</f>
        <v>0</v>
      </c>
      <c r="L46" s="74">
        <f>IF('User inputs - run and wind farm'!D7&lt;&gt;3,0,SUM(L41:L44))</f>
        <v>0</v>
      </c>
      <c r="M46" s="74" t="str">
        <f>IF('User inputs - run and wind farm'!D9="Additive",SUM(M41:M44),"-")</f>
        <v>-</v>
      </c>
    </row>
    <row r="47" spans="3:29" ht="15" x14ac:dyDescent="0.2">
      <c r="D47" s="75"/>
      <c r="E47" s="64"/>
      <c r="F47" s="64"/>
      <c r="G47" s="64"/>
      <c r="H47" s="64"/>
      <c r="I47" s="12"/>
    </row>
    <row r="48" spans="3:29" ht="15" x14ac:dyDescent="0.25">
      <c r="D48" s="69" t="s">
        <v>246</v>
      </c>
      <c r="E48" s="76"/>
      <c r="F48" s="76"/>
      <c r="G48" s="76"/>
      <c r="H48" s="76"/>
      <c r="I48" s="76"/>
    </row>
    <row r="49" spans="4:14" ht="15" x14ac:dyDescent="0.25">
      <c r="D49" s="69"/>
      <c r="E49" s="76"/>
      <c r="F49" s="76"/>
      <c r="G49" s="76"/>
      <c r="H49" s="76"/>
      <c r="I49" s="76"/>
    </row>
    <row r="50" spans="4:14" x14ac:dyDescent="0.2">
      <c r="D50" s="68" t="s">
        <v>539</v>
      </c>
      <c r="E50" s="74">
        <f>E41*'User inputs - bird populations'!F24*'User inputs - bird populations'!F25*'User inputs - bird populations'!F26</f>
        <v>0</v>
      </c>
      <c r="F50" s="74">
        <f>IF('User inputs - run and wind farm'!D7=1,0,IF('User inputs - run and wind farm'!D7="",0,F41*'User inputs - bird populations'!F55*'User inputs - bird populations'!F56*'User inputs - bird populations'!F57))</f>
        <v>0</v>
      </c>
      <c r="G50" s="74">
        <f>IF('User inputs - run and wind farm'!D7&lt;&gt;3,0,G41*'User inputs - bird populations'!F86*'User inputs - bird populations'!F87*'User inputs - bird populations'!F88)</f>
        <v>0</v>
      </c>
      <c r="H50" s="74" t="str">
        <f>IF('User inputs - run and wind farm'!$D$9="Additive",SUM(E50:G50),"-")</f>
        <v>-</v>
      </c>
      <c r="I50" s="76"/>
      <c r="J50" s="74">
        <f>J41*'User inputs - bird populations'!I24*'User inputs - bird populations'!I25*'User inputs - bird populations'!I26</f>
        <v>0</v>
      </c>
      <c r="K50" s="74">
        <f>IF('User inputs - run and wind farm'!D7=1,0,IF('User inputs - run and wind farm'!D7="",0,K41*'User inputs - bird populations'!I55*'User inputs - bird populations'!I56*'User inputs - bird populations'!I57))</f>
        <v>0</v>
      </c>
      <c r="L50" s="74">
        <f>IF('User inputs - run and wind farm'!D7&lt;&gt;3,0,L41*'User inputs - bird populations'!I86*'User inputs - bird populations'!I87*'User inputs - bird populations'!I88)</f>
        <v>0</v>
      </c>
      <c r="M50" s="74" t="str">
        <f>IF('User inputs - run and wind farm'!$D$9="Additive",SUM(J50:L50),"-")</f>
        <v>-</v>
      </c>
    </row>
    <row r="51" spans="4:14" x14ac:dyDescent="0.2">
      <c r="D51" s="68" t="s">
        <v>540</v>
      </c>
      <c r="E51" s="18"/>
      <c r="F51" s="18"/>
      <c r="G51" s="18" t="s">
        <v>379</v>
      </c>
      <c r="H51" s="18"/>
      <c r="I51" s="76"/>
      <c r="J51" s="18"/>
      <c r="K51" s="18"/>
      <c r="L51" s="18"/>
      <c r="M51" s="18"/>
    </row>
    <row r="52" spans="4:14" x14ac:dyDescent="0.2">
      <c r="D52" s="68" t="s">
        <v>538</v>
      </c>
      <c r="E52" s="74">
        <f>E43*'User inputs - bird populations'!F32*'User inputs - bird populations'!F33*'User inputs - bird populations'!F34</f>
        <v>0</v>
      </c>
      <c r="F52" s="74">
        <f>IF('User inputs - run and wind farm'!D7=1,0,IF('User inputs - run and wind farm'!D7="",0,F43*'User inputs - bird populations'!F63*'User inputs - bird populations'!F64*'User inputs - bird populations'!F65))</f>
        <v>0</v>
      </c>
      <c r="G52" s="74">
        <f>IF('User inputs - run and wind farm'!D7&lt;&gt;3,0,G43*'User inputs - bird populations'!F94*'User inputs - bird populations'!F95*'User inputs - bird populations'!F96)</f>
        <v>0</v>
      </c>
      <c r="H52" s="74" t="str">
        <f>IF('User inputs - run and wind farm'!$D$9="Additive",SUM(E52:G52),"-")</f>
        <v>-</v>
      </c>
      <c r="I52" s="76"/>
      <c r="J52" s="74">
        <f>J43*'User inputs - bird populations'!I32*'User inputs - bird populations'!I33*'User inputs - bird populations'!I34</f>
        <v>0</v>
      </c>
      <c r="K52" s="74">
        <f>IF('User inputs - run and wind farm'!D7=1,0,IF('User inputs - run and wind farm'!D7="",0,K43*'User inputs - bird populations'!I63*'User inputs - bird populations'!I64*'User inputs - bird populations'!I65))</f>
        <v>0</v>
      </c>
      <c r="L52" s="74">
        <f>IF('User inputs - run and wind farm'!D7&lt;&gt;3,0,L43*'User inputs - bird populations'!I94*'User inputs - bird populations'!I95*'User inputs - bird populations'!I96)</f>
        <v>0</v>
      </c>
      <c r="M52" s="74" t="str">
        <f>IF('User inputs - run and wind farm'!$D$9="Additive",SUM(J52:L52),"-")</f>
        <v>-</v>
      </c>
    </row>
    <row r="53" spans="4:14" x14ac:dyDescent="0.2">
      <c r="D53" s="68" t="s">
        <v>541</v>
      </c>
      <c r="E53" s="74">
        <f>E44*'User inputs - bird populations'!F36*'User inputs - bird populations'!F37*'User inputs - bird populations'!F38</f>
        <v>0</v>
      </c>
      <c r="F53" s="74">
        <f>IF('User inputs - run and wind farm'!D7=1,0,IF('User inputs - run and wind farm'!D7="",0,F44*'User inputs - bird populations'!F67*'User inputs - bird populations'!F68*'User inputs - bird populations'!F69))</f>
        <v>0</v>
      </c>
      <c r="G53" s="74">
        <f>IF('User inputs - run and wind farm'!D7&lt;&gt;3,0,G44*'User inputs - bird populations'!F98*'User inputs - bird populations'!F99*'User inputs - bird populations'!F100)</f>
        <v>0</v>
      </c>
      <c r="H53" s="74" t="str">
        <f>IF('User inputs - run and wind farm'!$D$9="Additive",SUM(E53:G53),"-")</f>
        <v>-</v>
      </c>
      <c r="I53" s="76"/>
      <c r="J53" s="74">
        <f>J44*'User inputs - bird populations'!I36*'User inputs - bird populations'!I37*'User inputs - bird populations'!I38</f>
        <v>0</v>
      </c>
      <c r="K53" s="74">
        <f>IF('User inputs - run and wind farm'!D7=1,0,IF('User inputs - run and wind farm'!D7="",0,K44*'User inputs - bird populations'!I67*'User inputs - bird populations'!I68*'User inputs - bird populations'!I69))</f>
        <v>0</v>
      </c>
      <c r="L53" s="74">
        <f>IF('User inputs - run and wind farm'!D7&lt;&gt;3,0,L44*'User inputs - bird populations'!I98*'User inputs - bird populations'!I99*'User inputs - bird populations'!I100)</f>
        <v>0</v>
      </c>
      <c r="M53" s="74" t="str">
        <f>IF('User inputs - run and wind farm'!$D$9="Additive",SUM(J53:L53),"-")</f>
        <v>-</v>
      </c>
    </row>
    <row r="54" spans="4:14" ht="9.9499999999999993" customHeight="1" x14ac:dyDescent="0.2">
      <c r="D54" s="68"/>
      <c r="E54" s="68"/>
      <c r="F54" s="68"/>
      <c r="G54" s="68"/>
      <c r="H54" s="68"/>
      <c r="I54" s="68"/>
      <c r="J54" s="68"/>
      <c r="K54" s="68"/>
      <c r="L54" s="68"/>
      <c r="M54" s="68"/>
      <c r="N54" s="68"/>
    </row>
    <row r="55" spans="4:14" ht="14.1" customHeight="1" x14ac:dyDescent="0.2">
      <c r="D55" s="24" t="s">
        <v>552</v>
      </c>
      <c r="E55" s="74">
        <f>SUM(E50:E53)</f>
        <v>0</v>
      </c>
      <c r="F55" s="74">
        <f>IF('User inputs - run and wind farm'!D7=1,0,IF('User inputs - run and wind farm'!D7="",0,SUM(F50:F53)))</f>
        <v>0</v>
      </c>
      <c r="G55" s="74">
        <f>IF('User inputs - run and wind farm'!D7&lt;&gt;3,0,SUM(G50:G53))</f>
        <v>0</v>
      </c>
      <c r="H55" s="74" t="str">
        <f>IF('User inputs - run and wind farm'!$D$9="Additive",SUM(H50:H53),"-")</f>
        <v>-</v>
      </c>
      <c r="I55" s="68"/>
      <c r="J55" s="74">
        <f>SUM(J50:J53)</f>
        <v>0</v>
      </c>
      <c r="K55" s="74">
        <f>IF('User inputs - run and wind farm'!D7=1,0,IF('User inputs - run and wind farm'!D7="",0,SUM(K50:K53)))</f>
        <v>0</v>
      </c>
      <c r="L55" s="74">
        <f>IF('User inputs - run and wind farm'!D7&lt;&gt;3,0,SUM(L50:L53))</f>
        <v>0</v>
      </c>
      <c r="M55" s="74" t="str">
        <f>IF('User inputs - run and wind farm'!$D$9="Additive",SUM(M50:M53),"-")</f>
        <v>-</v>
      </c>
      <c r="N55" s="68"/>
    </row>
  </sheetData>
  <sheetProtection sheet="1" objects="1" scenarios="1"/>
  <mergeCells count="16">
    <mergeCell ref="B2:Y2"/>
    <mergeCell ref="O42:AB42"/>
    <mergeCell ref="E39:H39"/>
    <mergeCell ref="J39:M39"/>
    <mergeCell ref="E18:H18"/>
    <mergeCell ref="J18:M18"/>
    <mergeCell ref="O18:R18"/>
    <mergeCell ref="T18:W18"/>
    <mergeCell ref="Y18:AB18"/>
    <mergeCell ref="E6:H6"/>
    <mergeCell ref="J6:M6"/>
    <mergeCell ref="O6:R6"/>
    <mergeCell ref="T6:W6"/>
    <mergeCell ref="Y6:AB6"/>
    <mergeCell ref="C16:D16"/>
    <mergeCell ref="C37:D37"/>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5" id="{462AA81E-5DB8-404F-B2D3-C8493E8CE70D}">
            <xm:f>'User inputs - bird impacts'!$E$26="No"</xm:f>
            <x14:dxf>
              <font>
                <color theme="0" tint="-0.14996795556505021"/>
              </font>
              <fill>
                <patternFill>
                  <bgColor theme="0" tint="-0.14996795556505021"/>
                </patternFill>
              </fill>
            </x14:dxf>
          </x14:cfRule>
          <xm:sqref>E20:E23 E25 E29:E32 E34</xm:sqref>
        </x14:conditionalFormatting>
        <x14:conditionalFormatting xmlns:xm="http://schemas.microsoft.com/office/excel/2006/main">
          <x14:cfRule type="expression" priority="94" id="{C0B8002D-2E0C-49FC-AB7A-5B1598869129}">
            <xm:f>'User inputs - bird populations'!$E$7="No"</xm:f>
            <x14:dxf>
              <font>
                <color theme="0" tint="-0.14996795556505021"/>
              </font>
              <fill>
                <patternFill>
                  <bgColor theme="0" tint="-0.14996795556505021"/>
                </patternFill>
              </fill>
            </x14:dxf>
          </x14:cfRule>
          <xm:sqref>E10:H10 J10:M10 O10:R10 T10:W10 Y10:AB10 E12:H13 J12:M13 O12:R13 T12:W13 Y12:AB13</xm:sqref>
        </x14:conditionalFormatting>
        <x14:conditionalFormatting xmlns:xm="http://schemas.microsoft.com/office/excel/2006/main">
          <x14:cfRule type="expression" priority="92" id="{91309C62-878D-4AFA-AB03-0B0F4F0AEBC6}">
            <xm:f>'User inputs - bird populations'!$E$7="No"</xm:f>
            <x14:dxf>
              <font>
                <color theme="0" tint="-0.14996795556505021"/>
              </font>
              <fill>
                <patternFill>
                  <bgColor theme="0" tint="-0.14996795556505021"/>
                </patternFill>
              </fill>
            </x14:dxf>
          </x14:cfRule>
          <xm:sqref>E29:H29 J29:M29 O29:R30 Y29:AB30 T29:W32 E31:H32 J31:M32 E50:H53 J50:M53</xm:sqref>
        </x14:conditionalFormatting>
        <x14:conditionalFormatting xmlns:xm="http://schemas.microsoft.com/office/excel/2006/main">
          <x14:cfRule type="expression" priority="6" id="{012AF66F-86A8-4AEA-AD15-B784CC588C55}">
            <xm:f>OR('User inputs - bird populations'!$E$7="No",'User inputs - bird populations'!$E$7="")</xm:f>
            <x14:dxf>
              <font>
                <color theme="0" tint="-0.14996795556505021"/>
              </font>
              <fill>
                <patternFill>
                  <bgColor theme="0" tint="-0.14996795556505021"/>
                </patternFill>
              </fill>
            </x14:dxf>
          </x14:cfRule>
          <xm:sqref>E34:H34 J34:M34 O34:R34 T34:W34 Y34:AB34</xm:sqref>
        </x14:conditionalFormatting>
        <x14:conditionalFormatting xmlns:xm="http://schemas.microsoft.com/office/excel/2006/main">
          <x14:cfRule type="expression" priority="71" id="{BF11D395-8829-43EF-A356-71BAB6094CA7}">
            <xm:f>'User inputs - bird populations'!$E$7="No"</xm:f>
            <x14:dxf>
              <font>
                <color theme="0" tint="-0.14996795556505021"/>
              </font>
              <fill>
                <patternFill>
                  <bgColor theme="0" tint="-0.14996795556505021"/>
                </patternFill>
              </fill>
            </x14:dxf>
          </x14:cfRule>
          <xm:sqref>E55:H55</xm:sqref>
        </x14:conditionalFormatting>
        <x14:conditionalFormatting xmlns:xm="http://schemas.microsoft.com/office/excel/2006/main">
          <x14:cfRule type="expression" priority="21" id="{27FA4E9A-A684-4FFD-86BC-F87345ED1FFC}">
            <xm:f>OR('User inputs - run and wind farm'!$D$7=1,'User inputs - run and wind farm'!$D$7="")</xm:f>
            <x14:dxf>
              <font>
                <color theme="0" tint="-0.14996795556505021"/>
              </font>
              <fill>
                <patternFill>
                  <bgColor theme="0" tint="-0.14996795556505021"/>
                </patternFill>
              </fill>
            </x14:dxf>
          </x14:cfRule>
          <xm:sqref>F8 K8 P8 U8 Z8 F10 F12:F13 K12:K13 P12:P13 U12:U13 Z12:Z13 Z20:Z21 F20:F23 K20:K23 P20:P23 U20:U23 F25 K25 P25 U25 Z25 Z29:Z30 F29:F32 K29:K32 P29:P32 U29:U32 F41:F44 K41:K44 F46 K46 F50:F53 K50:K53 F55 K55</xm:sqref>
        </x14:conditionalFormatting>
        <x14:conditionalFormatting xmlns:xm="http://schemas.microsoft.com/office/excel/2006/main">
          <x14:cfRule type="expression" priority="4" id="{8FE14DB3-71C8-4EEA-ACC0-5B7576008CAD}">
            <xm:f>'User inputs - bird impacts'!$E$63="No"</xm:f>
            <x14:dxf>
              <font>
                <color theme="0" tint="-0.14996795556505021"/>
              </font>
              <fill>
                <patternFill>
                  <bgColor theme="0" tint="-0.14996795556505021"/>
                </patternFill>
              </fill>
            </x14:dxf>
          </x14:cfRule>
          <xm:sqref>F20:F23 F25 F29:F32 F34</xm:sqref>
        </x14:conditionalFormatting>
        <x14:conditionalFormatting xmlns:xm="http://schemas.microsoft.com/office/excel/2006/main">
          <x14:cfRule type="expression" priority="75" id="{68A60C87-1F89-4B10-9D8D-3A075C39335F}">
            <xm:f>'User inputs - run and wind farm'!$D$7&lt;&gt;3</xm:f>
            <x14:dxf>
              <font>
                <color theme="0" tint="-0.14996795556505021"/>
              </font>
              <fill>
                <patternFill>
                  <bgColor theme="0" tint="-0.14996795556505021"/>
                </patternFill>
              </fill>
            </x14:dxf>
          </x14:cfRule>
          <xm:sqref>G8 L8 Q8 V8 AA8 G10 L10 Q10 V10 AA10 G12:G13 L12:L13 Q12:Q13 V12:V13 AA12:AA13 G20:G23 L20:L23 Q20:Q23 V20:V23 AA20:AA23 G25 L25 Q25 V25 AA25 G29:G32 L29:L32 Q29:Q32 V29:V32 AA29:AA32 G34 G41:G44 L41:L44 G46 G50:G53 L50:L53 G55 L55</xm:sqref>
        </x14:conditionalFormatting>
        <x14:conditionalFormatting xmlns:xm="http://schemas.microsoft.com/office/excel/2006/main">
          <x14:cfRule type="expression" priority="3" id="{D86DE9EA-EDC0-470C-BD7F-BD9395401A0E}">
            <xm:f>'User inputs - bird impacts'!$E$100="No"</xm:f>
            <x14:dxf>
              <font>
                <color theme="0" tint="-0.14996795556505021"/>
              </font>
              <fill>
                <patternFill>
                  <bgColor theme="0" tint="-0.14996795556505021"/>
                </patternFill>
              </fill>
            </x14:dxf>
          </x14:cfRule>
          <xm:sqref>G20:G23 G25 G29:G32 G34</xm:sqref>
        </x14:conditionalFormatting>
        <x14:conditionalFormatting xmlns:xm="http://schemas.microsoft.com/office/excel/2006/main">
          <x14:cfRule type="expression" priority="74" id="{9B5633D1-7A36-49E7-979B-2E24C309A15D}">
            <xm:f>OR('User inputs - run and wind farm'!$D$9="Alternative",'User inputs - run and wind farm'!$D$9="")</xm:f>
            <x14:dxf>
              <font>
                <color theme="0" tint="-0.14996795556505021"/>
              </font>
              <fill>
                <patternFill>
                  <bgColor theme="0" tint="-0.14996795556505021"/>
                </patternFill>
              </fill>
            </x14:dxf>
          </x14:cfRule>
          <xm:sqref>H8 M8 R8 W8 AB8 H10 M10 R10 W10 AB10 H12:H13 M12:M13 R12:R13 W12:W13 AB12:AB13 H20:H23 M20:M23 R20:R23 W20:W23 AB20:AB23 H25 M25 R25 W25 AB25 H29:H32 M29:M32 R29:R32 W29:W32 AB29:AB32 H41:H44 M41:M44 H46 M46 H50:H53 M50:M53 H55 M55</xm:sqref>
        </x14:conditionalFormatting>
        <x14:conditionalFormatting xmlns:xm="http://schemas.microsoft.com/office/excel/2006/main">
          <x14:cfRule type="expression" priority="18" id="{7920B856-4255-455F-BBBF-6CF940332A0D}">
            <xm:f>OR('User inputs - run and wind farm'!$D$7=1,'User inputs - run and wind farm'!$D$7="")</xm:f>
            <x14:dxf>
              <font>
                <color theme="0" tint="-0.14996795556505021"/>
              </font>
              <fill>
                <patternFill>
                  <bgColor theme="0" tint="-0.14996795556505021"/>
                </patternFill>
              </fill>
            </x14:dxf>
          </x14:cfRule>
          <xm:sqref>H8</xm:sqref>
        </x14:conditionalFormatting>
        <x14:conditionalFormatting xmlns:xm="http://schemas.microsoft.com/office/excel/2006/main">
          <x14:cfRule type="expression" priority="2" id="{33F36069-53D4-4196-B37A-EF17E8F20280}">
            <xm:f>AND('User inputs - bird impacts'!$E$26="No",'User inputs - bird impacts'!$E$63="No",'User inputs - bird impacts'!$E$100="No")</xm:f>
            <x14:dxf>
              <font>
                <color theme="0" tint="-0.14996795556505021"/>
              </font>
              <fill>
                <patternFill>
                  <bgColor theme="0" tint="-0.14996795556505021"/>
                </patternFill>
              </fill>
            </x14:dxf>
          </x14:cfRule>
          <xm:sqref>H20:H23 H25 H29:H32 H34</xm:sqref>
        </x14:conditionalFormatting>
        <x14:conditionalFormatting xmlns:xm="http://schemas.microsoft.com/office/excel/2006/main">
          <x14:cfRule type="expression" priority="1" id="{9B67C762-A069-4760-B6E8-566B713B1163}">
            <xm:f>OR('User inputs - run and wind farm'!$D$9="",'User inputs - run and wind farm'!$D$9="Alternative")</xm:f>
            <x14:dxf>
              <font>
                <color theme="0" tint="-0.14996795556505021"/>
              </font>
              <fill>
                <patternFill>
                  <bgColor theme="0" tint="-0.14996795556505021"/>
                </patternFill>
              </fill>
            </x14:dxf>
          </x14:cfRule>
          <xm:sqref>H34</xm:sqref>
        </x14:conditionalFormatting>
        <x14:conditionalFormatting xmlns:xm="http://schemas.microsoft.com/office/excel/2006/main">
          <x14:cfRule type="expression" priority="41" id="{57AB0AC0-D130-4264-B54D-DF0961412272}">
            <xm:f>'User inputs - bird populations'!$E$7="No"</xm:f>
            <x14:dxf>
              <font>
                <color theme="0" tint="-0.14996795556505021"/>
              </font>
              <fill>
                <patternFill>
                  <bgColor theme="0" tint="-0.14996795556505021"/>
                </patternFill>
              </fill>
            </x14:dxf>
          </x14:cfRule>
          <xm:sqref>J55:M55</xm:sqref>
        </x14:conditionalFormatting>
        <x14:conditionalFormatting xmlns:xm="http://schemas.microsoft.com/office/excel/2006/main">
          <x14:cfRule type="expression" priority="14" id="{59275BB2-675C-4AF0-926B-D506F0BE917D}">
            <xm:f>OR('User inputs - run and wind farm'!$D$7=1,'User inputs - run and wind farm'!$D$7="")</xm:f>
            <x14:dxf>
              <font>
                <color theme="0" tint="-0.14996795556505021"/>
              </font>
              <fill>
                <patternFill>
                  <bgColor theme="0" tint="-0.14996795556505021"/>
                </patternFill>
              </fill>
            </x14:dxf>
          </x14:cfRule>
          <xm:sqref>K34 P34 U34 Z34</xm:sqref>
        </x14:conditionalFormatting>
        <x14:conditionalFormatting xmlns:xm="http://schemas.microsoft.com/office/excel/2006/main">
          <x14:cfRule type="expression" priority="12" id="{AF89323B-1B07-4660-B9EE-C8ED9F3A8907}">
            <xm:f>OR('User inputs - run and wind farm'!$D$7=1,'User inputs - run and wind farm'!$D$7="")</xm:f>
            <x14:dxf>
              <font>
                <color theme="0" tint="-0.14996795556505021"/>
              </font>
              <fill>
                <patternFill>
                  <bgColor theme="0" tint="-0.14996795556505021"/>
                </patternFill>
              </fill>
            </x14:dxf>
          </x14:cfRule>
          <xm:sqref>K10:M10</xm:sqref>
        </x14:conditionalFormatting>
        <x14:conditionalFormatting xmlns:xm="http://schemas.microsoft.com/office/excel/2006/main">
          <x14:cfRule type="expression" priority="16" id="{8357BDC3-3553-4F3F-9326-EE91EBB6D074}">
            <xm:f>'User inputs - run and wind farm'!$D$7&lt;&gt;3</xm:f>
            <x14:dxf>
              <font>
                <color theme="0" tint="-0.14996795556505021"/>
              </font>
              <fill>
                <patternFill>
                  <bgColor theme="0" tint="-0.14996795556505021"/>
                </patternFill>
              </fill>
            </x14:dxf>
          </x14:cfRule>
          <xm:sqref>L34 Q34 V34 AA34</xm:sqref>
        </x14:conditionalFormatting>
        <x14:conditionalFormatting xmlns:xm="http://schemas.microsoft.com/office/excel/2006/main">
          <x14:cfRule type="expression" priority="20" id="{696F3A91-682B-4EA7-890B-1DEDFD03A917}">
            <xm:f>'User inputs - run and wind farm'!$D$7&lt;&gt;3</xm:f>
            <x14:dxf>
              <font>
                <color theme="0" tint="-0.14996795556505021"/>
              </font>
              <fill>
                <patternFill>
                  <bgColor theme="0" tint="-0.14996795556505021"/>
                </patternFill>
              </fill>
            </x14:dxf>
          </x14:cfRule>
          <xm:sqref>L46</xm:sqref>
        </x14:conditionalFormatting>
        <x14:conditionalFormatting xmlns:xm="http://schemas.microsoft.com/office/excel/2006/main">
          <x14:cfRule type="expression" priority="17" id="{0694CB9A-10D4-4693-8EE0-275EA2951CDE}">
            <xm:f>OR('User inputs - run and wind farm'!$D$7=1,'User inputs - run and wind farm'!$D$7="")</xm:f>
            <x14:dxf>
              <font>
                <color theme="0" tint="-0.14996795556505021"/>
              </font>
              <fill>
                <patternFill>
                  <bgColor theme="0" tint="-0.14996795556505021"/>
                </patternFill>
              </fill>
            </x14:dxf>
          </x14:cfRule>
          <xm:sqref>M8 R8 W8 AB8 H10 H12:H13 M12:M13 R12:R13 W12:W13 AB12:AB13 H20 M20 R20:R21 AB20:AB21 W20:W23 H22:H23 M22:M23 H25 M25 R25 W25 AB25 H29 M29 R29:R30 AB29:AB30 W29:W32 H31:H32 M31:M32 H41 M41 H43:H44 M43:M44 H46 M46 H50 M50 H52:H53 M52:M53 H55 M55</xm:sqref>
        </x14:conditionalFormatting>
        <x14:conditionalFormatting xmlns:xm="http://schemas.microsoft.com/office/excel/2006/main">
          <x14:cfRule type="expression" priority="13" id="{4F90A2B0-4B54-4B97-ACCA-B5CCF311D8F6}">
            <xm:f>OR('User inputs - run and wind farm'!$D$7=1,'User inputs - run and wind farm'!$D$7="")</xm:f>
            <x14:dxf>
              <font>
                <color theme="0" tint="-0.14996795556505021"/>
              </font>
              <fill>
                <patternFill>
                  <bgColor theme="0" tint="-0.14996795556505021"/>
                </patternFill>
              </fill>
            </x14:dxf>
          </x14:cfRule>
          <x14:cfRule type="expression" priority="15" id="{D8CE8F8C-9DE4-4E65-970E-1A60F45C7E6C}">
            <xm:f>OR('User inputs - run and wind farm'!$D$9="Alternative",'User inputs - run and wind farm'!$D$9="")</xm:f>
            <x14:dxf>
              <font>
                <color theme="0" tint="-0.14996795556505021"/>
              </font>
              <fill>
                <patternFill>
                  <bgColor theme="0" tint="-0.14996795556505021"/>
                </patternFill>
              </fill>
            </x14:dxf>
          </x14:cfRule>
          <xm:sqref>M34 R34 W34 AB34</xm:sqref>
        </x14:conditionalFormatting>
        <x14:conditionalFormatting xmlns:xm="http://schemas.microsoft.com/office/excel/2006/main">
          <x14:cfRule type="expression" priority="19" id="{E4B8E795-4A15-4063-8D2B-C9F809BCE81C}">
            <xm:f>'User inputs - run and wind farm'!$D$9="Alternative"</xm:f>
            <x14:dxf>
              <font>
                <color theme="0" tint="-0.14996795556505021"/>
              </font>
              <fill>
                <patternFill>
                  <bgColor theme="0" tint="-0.14996795556505021"/>
                </patternFill>
              </fill>
            </x14:dxf>
          </x14:cfRule>
          <xm:sqref>M46</xm:sqref>
        </x14:conditionalFormatting>
        <x14:conditionalFormatting xmlns:xm="http://schemas.microsoft.com/office/excel/2006/main">
          <x14:cfRule type="expression" priority="11" id="{79C4495A-BFE3-464E-AC91-77764BF813B7}">
            <xm:f>OR('User inputs - run and wind farm'!$D$7=1,'User inputs - run and wind farm'!$D$7="")</xm:f>
            <x14:dxf>
              <font>
                <color theme="0" tint="-0.14996795556505021"/>
              </font>
              <fill>
                <patternFill>
                  <bgColor theme="0" tint="-0.14996795556505021"/>
                </patternFill>
              </fill>
            </x14:dxf>
          </x14:cfRule>
          <xm:sqref>P10:R10</xm:sqref>
        </x14:conditionalFormatting>
        <x14:conditionalFormatting xmlns:xm="http://schemas.microsoft.com/office/excel/2006/main">
          <x14:cfRule type="expression" priority="27" id="{43212506-EF28-4C89-A4F7-BABD7C2DFB2B}">
            <xm:f>'User inputs - run and wind farm'!$D$7=1</xm:f>
            <x14:dxf>
              <font>
                <color theme="0" tint="-0.14996795556505021"/>
              </font>
              <fill>
                <patternFill>
                  <bgColor theme="0" tint="-0.14996795556505021"/>
                </patternFill>
              </fill>
            </x14:dxf>
          </x14:cfRule>
          <xm:sqref>Q29:Q30</xm:sqref>
        </x14:conditionalFormatting>
        <x14:conditionalFormatting xmlns:xm="http://schemas.microsoft.com/office/excel/2006/main">
          <x14:cfRule type="expression" priority="8" id="{2F4C7F6A-F5EF-4292-93B9-6CA7BBB29449}">
            <xm:f>OR('User inputs - run and wind farm'!$D$7=1,'User inputs - run and wind farm'!$D$7="")</xm:f>
            <x14:dxf>
              <font>
                <color theme="0" tint="-0.14996795556505021"/>
              </font>
              <fill>
                <patternFill>
                  <bgColor theme="0" tint="-0.14996795556505021"/>
                </patternFill>
              </fill>
            </x14:dxf>
          </x14:cfRule>
          <xm:sqref>U10:W10</xm:sqref>
        </x14:conditionalFormatting>
        <x14:conditionalFormatting xmlns:xm="http://schemas.microsoft.com/office/excel/2006/main">
          <x14:cfRule type="expression" priority="7" id="{1A874F6A-2BDF-40AB-8F34-4B5254326DCF}">
            <xm:f>OR('User inputs - run and wind farm'!$D$7=1,'User inputs - run and wind farm'!$D$7="")</xm:f>
            <x14:dxf>
              <font>
                <color theme="0" tint="-0.14996795556505021"/>
              </font>
              <fill>
                <patternFill>
                  <bgColor theme="0" tint="-0.14996795556505021"/>
                </patternFill>
              </fill>
            </x14:dxf>
          </x14:cfRule>
          <xm:sqref>Z10:AB10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2A5E-0911-41C0-9238-79BEA49B7899}">
  <dimension ref="A1:H209"/>
  <sheetViews>
    <sheetView workbookViewId="0">
      <pane ySplit="1" topLeftCell="A2" activePane="bottomLeft" state="frozen"/>
      <selection pane="bottomLeft"/>
    </sheetView>
  </sheetViews>
  <sheetFormatPr defaultColWidth="8.7109375" defaultRowHeight="15" x14ac:dyDescent="0.25"/>
  <cols>
    <col min="1" max="1" width="74.42578125" style="109" bestFit="1" customWidth="1"/>
    <col min="2" max="2" width="15.42578125" style="109" bestFit="1" customWidth="1"/>
    <col min="3" max="4" width="15.42578125" style="109" customWidth="1"/>
    <col min="5" max="5" width="8.7109375" style="109"/>
    <col min="6" max="6" width="42.5703125" style="109" bestFit="1" customWidth="1"/>
    <col min="7" max="8" width="42.5703125" style="109" customWidth="1"/>
    <col min="9" max="16384" width="8.7109375" style="109"/>
  </cols>
  <sheetData>
    <row r="1" spans="1:8" s="123" customFormat="1" ht="15.75" thickBot="1" x14ac:dyDescent="0.3">
      <c r="A1" s="121" t="s">
        <v>592</v>
      </c>
      <c r="B1" s="122" t="s">
        <v>283</v>
      </c>
      <c r="C1" s="122" t="s">
        <v>284</v>
      </c>
      <c r="D1" s="122" t="s">
        <v>285</v>
      </c>
      <c r="E1" s="121"/>
      <c r="F1" s="121" t="s">
        <v>375</v>
      </c>
      <c r="G1" s="121" t="s">
        <v>376</v>
      </c>
      <c r="H1" s="121" t="s">
        <v>377</v>
      </c>
    </row>
    <row r="2" spans="1:8" ht="15.75" thickTop="1" x14ac:dyDescent="0.25">
      <c r="A2" s="109" t="s">
        <v>361</v>
      </c>
      <c r="B2" s="109" t="str">
        <f>Introduction!$C$2</f>
        <v>OCcAM v2.2</v>
      </c>
      <c r="C2" s="109" t="str">
        <f>Introduction!$C$2</f>
        <v>OCcAM v2.2</v>
      </c>
      <c r="D2" s="109" t="str">
        <f>Introduction!$C$2</f>
        <v>OCcAM v2.2</v>
      </c>
    </row>
    <row r="4" spans="1:8" x14ac:dyDescent="0.25">
      <c r="A4" s="110" t="s">
        <v>370</v>
      </c>
    </row>
    <row r="5" spans="1:8" x14ac:dyDescent="0.25">
      <c r="A5" s="109" t="s">
        <v>362</v>
      </c>
      <c r="B5" s="109">
        <f>'User inputs - run and wind farm'!D$15</f>
        <v>0</v>
      </c>
      <c r="C5" s="109">
        <f>'User inputs - run and wind farm'!E$15</f>
        <v>0</v>
      </c>
      <c r="D5" s="109">
        <f>'User inputs - run and wind farm'!F$15</f>
        <v>0</v>
      </c>
      <c r="F5" s="113"/>
      <c r="G5" s="113"/>
      <c r="H5" s="113"/>
    </row>
    <row r="6" spans="1:8" x14ac:dyDescent="0.25">
      <c r="A6" s="109" t="s">
        <v>21</v>
      </c>
      <c r="B6" s="109">
        <f>'User inputs - run and wind farm'!D$17</f>
        <v>0</v>
      </c>
      <c r="C6" s="109">
        <f>'User inputs - run and wind farm'!E$17</f>
        <v>0</v>
      </c>
      <c r="D6" s="109">
        <f>'User inputs - run and wind farm'!F$17</f>
        <v>0</v>
      </c>
      <c r="F6" s="113"/>
      <c r="G6" s="113"/>
      <c r="H6" s="113"/>
    </row>
    <row r="7" spans="1:8" x14ac:dyDescent="0.25">
      <c r="A7" s="109" t="s">
        <v>364</v>
      </c>
      <c r="B7" s="109">
        <f>'User inputs - run and wind farm'!D$19</f>
        <v>0</v>
      </c>
      <c r="C7" s="109">
        <f>'User inputs - run and wind farm'!E$19</f>
        <v>0</v>
      </c>
      <c r="D7" s="109">
        <f>'User inputs - run and wind farm'!F$19</f>
        <v>0</v>
      </c>
      <c r="F7" s="113"/>
      <c r="G7" s="113"/>
      <c r="H7" s="113"/>
    </row>
    <row r="8" spans="1:8" x14ac:dyDescent="0.25">
      <c r="A8" s="109" t="s">
        <v>363</v>
      </c>
      <c r="B8" s="109">
        <f>'User inputs - run and wind farm'!D$23</f>
        <v>0</v>
      </c>
      <c r="C8" s="109">
        <f>'User inputs - run and wind farm'!E$23</f>
        <v>0</v>
      </c>
      <c r="D8" s="109">
        <f>'User inputs - run and wind farm'!F$23</f>
        <v>0</v>
      </c>
      <c r="F8" s="113"/>
      <c r="G8" s="113"/>
      <c r="H8" s="113"/>
    </row>
    <row r="9" spans="1:8" x14ac:dyDescent="0.25">
      <c r="A9" s="109" t="s">
        <v>365</v>
      </c>
      <c r="B9" s="109">
        <f>'User inputs - run and wind farm'!D29</f>
        <v>0</v>
      </c>
      <c r="C9" s="109">
        <f>'User inputs - run and wind farm'!E29</f>
        <v>0</v>
      </c>
      <c r="D9" s="109">
        <f>'User inputs - run and wind farm'!F29</f>
        <v>0</v>
      </c>
      <c r="F9" s="113"/>
      <c r="G9" s="113"/>
      <c r="H9" s="113"/>
    </row>
    <row r="10" spans="1:8" x14ac:dyDescent="0.25">
      <c r="A10" s="109" t="s">
        <v>366</v>
      </c>
      <c r="B10" s="109">
        <f>'User inputs - bird impacts'!E8</f>
        <v>0</v>
      </c>
      <c r="C10" s="109">
        <f>'User inputs - bird impacts'!E45</f>
        <v>0</v>
      </c>
      <c r="D10" s="109">
        <f>'User inputs - bird impacts'!E82</f>
        <v>0</v>
      </c>
      <c r="F10" s="113"/>
      <c r="G10" s="113"/>
      <c r="H10" s="113"/>
    </row>
    <row r="11" spans="1:8" x14ac:dyDescent="0.25">
      <c r="A11" s="109" t="s">
        <v>431</v>
      </c>
      <c r="B11" s="109">
        <f>'User inputs - bird impacts'!$E$13</f>
        <v>0</v>
      </c>
      <c r="C11" s="109">
        <f>'User inputs - bird impacts'!$E$50</f>
        <v>0</v>
      </c>
      <c r="D11" s="109">
        <f>'User inputs - bird impacts'!$E$87</f>
        <v>0</v>
      </c>
      <c r="F11" s="113"/>
      <c r="G11" s="113"/>
      <c r="H11" s="113"/>
    </row>
    <row r="12" spans="1:8" x14ac:dyDescent="0.25">
      <c r="A12" s="109" t="s">
        <v>432</v>
      </c>
      <c r="B12" s="109">
        <f>'User inputs - bird impacts'!$G$13</f>
        <v>0</v>
      </c>
      <c r="C12" s="109">
        <f>'User inputs - bird impacts'!$G$50</f>
        <v>0</v>
      </c>
      <c r="D12" s="109">
        <f>'User inputs - bird impacts'!$G$87</f>
        <v>0</v>
      </c>
      <c r="F12" s="113"/>
      <c r="G12" s="113"/>
      <c r="H12" s="113"/>
    </row>
    <row r="13" spans="1:8" x14ac:dyDescent="0.25">
      <c r="A13" s="109" t="s">
        <v>433</v>
      </c>
      <c r="B13" s="109">
        <f>'User inputs - bird impacts'!$I$13</f>
        <v>0</v>
      </c>
      <c r="C13" s="109">
        <f>'User inputs - bird impacts'!$I$50</f>
        <v>0</v>
      </c>
      <c r="D13" s="109">
        <f>'User inputs - bird impacts'!$I$87</f>
        <v>0</v>
      </c>
      <c r="F13" s="113"/>
      <c r="G13" s="113"/>
      <c r="H13" s="113"/>
    </row>
    <row r="14" spans="1:8" x14ac:dyDescent="0.25">
      <c r="A14" s="109" t="s">
        <v>434</v>
      </c>
      <c r="B14" s="109">
        <f>'User inputs - bird impacts'!$K$13</f>
        <v>0</v>
      </c>
      <c r="C14" s="109">
        <f>'User inputs - bird impacts'!$K$50</f>
        <v>0</v>
      </c>
      <c r="D14" s="109">
        <f>'User inputs - bird impacts'!$K$87</f>
        <v>0</v>
      </c>
      <c r="F14" s="113"/>
      <c r="G14" s="113"/>
      <c r="H14" s="113"/>
    </row>
    <row r="15" spans="1:8" x14ac:dyDescent="0.25">
      <c r="A15" s="109" t="s">
        <v>435</v>
      </c>
      <c r="B15" s="109">
        <f>'User inputs - bird impacts'!$M$13</f>
        <v>0</v>
      </c>
      <c r="C15" s="109">
        <f>'User inputs - bird impacts'!$M$50</f>
        <v>0</v>
      </c>
      <c r="D15" s="109">
        <f>'User inputs - bird impacts'!$M$87</f>
        <v>0</v>
      </c>
      <c r="F15" s="113"/>
      <c r="G15" s="113"/>
      <c r="H15" s="113"/>
    </row>
    <row r="16" spans="1:8" x14ac:dyDescent="0.25">
      <c r="A16" s="109" t="s">
        <v>436</v>
      </c>
      <c r="B16" s="109">
        <f>'User inputs - bird impacts'!$O$13</f>
        <v>0</v>
      </c>
      <c r="C16" s="109">
        <f>'User inputs - bird impacts'!$O$50</f>
        <v>0</v>
      </c>
      <c r="D16" s="109">
        <f>'User inputs - bird impacts'!$O$87</f>
        <v>0</v>
      </c>
      <c r="F16" s="113"/>
      <c r="G16" s="113"/>
      <c r="H16" s="113"/>
    </row>
    <row r="17" spans="1:8" x14ac:dyDescent="0.25">
      <c r="A17" s="109" t="s">
        <v>437</v>
      </c>
      <c r="B17" s="109">
        <f>'User inputs - bird impacts'!$Q$13</f>
        <v>0</v>
      </c>
      <c r="C17" s="109">
        <f>'User inputs - bird impacts'!$Q$50</f>
        <v>0</v>
      </c>
      <c r="D17" s="109">
        <f>'User inputs - bird impacts'!$Q$87</f>
        <v>0</v>
      </c>
      <c r="F17" s="113"/>
      <c r="G17" s="113"/>
      <c r="H17" s="113"/>
    </row>
    <row r="18" spans="1:8" x14ac:dyDescent="0.25">
      <c r="A18" s="109" t="s">
        <v>438</v>
      </c>
      <c r="B18" s="109">
        <f>'User inputs - bird impacts'!$S$13</f>
        <v>0</v>
      </c>
      <c r="C18" s="109">
        <f>'User inputs - bird impacts'!$S$50</f>
        <v>0</v>
      </c>
      <c r="D18" s="109">
        <f>'User inputs - bird impacts'!$S$87</f>
        <v>0</v>
      </c>
      <c r="F18" s="113"/>
      <c r="G18" s="113"/>
      <c r="H18" s="113"/>
    </row>
    <row r="19" spans="1:8" x14ac:dyDescent="0.25">
      <c r="A19" s="109" t="s">
        <v>439</v>
      </c>
      <c r="B19" s="109">
        <f>'User inputs - bird impacts'!$U$13</f>
        <v>0</v>
      </c>
      <c r="C19" s="109">
        <f>'User inputs - bird impacts'!$U$50</f>
        <v>0</v>
      </c>
      <c r="D19" s="109">
        <f>'User inputs - bird impacts'!$U$87</f>
        <v>0</v>
      </c>
      <c r="F19" s="113"/>
      <c r="G19" s="113"/>
      <c r="H19" s="113"/>
    </row>
    <row r="20" spans="1:8" x14ac:dyDescent="0.25">
      <c r="A20" s="109" t="s">
        <v>440</v>
      </c>
      <c r="B20" s="109">
        <f>'User inputs - bird impacts'!$W$13</f>
        <v>0</v>
      </c>
      <c r="C20" s="109">
        <f>'User inputs - bird impacts'!$W$50</f>
        <v>0</v>
      </c>
      <c r="D20" s="109">
        <f>'User inputs - bird impacts'!$W$87</f>
        <v>0</v>
      </c>
      <c r="F20" s="113"/>
      <c r="G20" s="113"/>
      <c r="H20" s="113"/>
    </row>
    <row r="21" spans="1:8" x14ac:dyDescent="0.25">
      <c r="A21" s="109" t="s">
        <v>441</v>
      </c>
      <c r="B21" s="109">
        <f>'User inputs - bird impacts'!$Y$13</f>
        <v>0</v>
      </c>
      <c r="C21" s="109">
        <f>'User inputs - bird impacts'!$Y$50</f>
        <v>0</v>
      </c>
      <c r="D21" s="109">
        <f>'User inputs - bird impacts'!$Y$87</f>
        <v>0</v>
      </c>
      <c r="F21" s="113"/>
      <c r="G21" s="113"/>
      <c r="H21" s="113"/>
    </row>
    <row r="22" spans="1:8" x14ac:dyDescent="0.25">
      <c r="A22" s="109" t="s">
        <v>442</v>
      </c>
      <c r="B22" s="109">
        <f>'User inputs - bird impacts'!$AA$13</f>
        <v>0</v>
      </c>
      <c r="C22" s="109">
        <f>'User inputs - bird impacts'!$AA$50</f>
        <v>0</v>
      </c>
      <c r="D22" s="109">
        <f>'User inputs - bird impacts'!$AA$87</f>
        <v>0</v>
      </c>
      <c r="F22" s="113"/>
      <c r="G22" s="113"/>
      <c r="H22" s="113"/>
    </row>
    <row r="23" spans="1:8" x14ac:dyDescent="0.25">
      <c r="A23" s="109" t="s">
        <v>380</v>
      </c>
      <c r="B23" s="109">
        <f>'User inputs - bird impacts'!$E$14</f>
        <v>0</v>
      </c>
      <c r="C23" s="109">
        <f>'User inputs - bird impacts'!$E$51</f>
        <v>0</v>
      </c>
      <c r="D23" s="109">
        <f>'User inputs - bird impacts'!$E$88</f>
        <v>0</v>
      </c>
      <c r="F23" s="113"/>
      <c r="G23" s="113"/>
      <c r="H23" s="113"/>
    </row>
    <row r="24" spans="1:8" x14ac:dyDescent="0.25">
      <c r="A24" s="109" t="s">
        <v>381</v>
      </c>
      <c r="B24" s="109">
        <f>'User inputs - bird impacts'!$G$14</f>
        <v>0</v>
      </c>
      <c r="C24" s="109">
        <f>'User inputs - bird impacts'!$G$51</f>
        <v>0</v>
      </c>
      <c r="D24" s="109">
        <f>'User inputs - bird impacts'!$G$88</f>
        <v>0</v>
      </c>
      <c r="F24" s="113"/>
      <c r="G24" s="113"/>
      <c r="H24" s="113"/>
    </row>
    <row r="25" spans="1:8" x14ac:dyDescent="0.25">
      <c r="A25" s="109" t="s">
        <v>382</v>
      </c>
      <c r="B25" s="109">
        <f>'User inputs - bird impacts'!$I$14</f>
        <v>0</v>
      </c>
      <c r="C25" s="109">
        <f>'User inputs - bird impacts'!$I$51</f>
        <v>0</v>
      </c>
      <c r="D25" s="109">
        <f>'User inputs - bird impacts'!$I$88</f>
        <v>0</v>
      </c>
      <c r="F25" s="113"/>
      <c r="G25" s="113"/>
      <c r="H25" s="113"/>
    </row>
    <row r="26" spans="1:8" x14ac:dyDescent="0.25">
      <c r="A26" s="109" t="s">
        <v>383</v>
      </c>
      <c r="B26" s="109">
        <f>'User inputs - bird impacts'!$K$14</f>
        <v>0</v>
      </c>
      <c r="C26" s="109">
        <f>'User inputs - bird impacts'!$K$51</f>
        <v>0</v>
      </c>
      <c r="D26" s="109">
        <f>'User inputs - bird impacts'!$K$88</f>
        <v>0</v>
      </c>
      <c r="F26" s="113"/>
      <c r="G26" s="113"/>
      <c r="H26" s="113"/>
    </row>
    <row r="27" spans="1:8" x14ac:dyDescent="0.25">
      <c r="A27" s="109" t="s">
        <v>384</v>
      </c>
      <c r="B27" s="109">
        <f>'User inputs - bird impacts'!$M$14</f>
        <v>0</v>
      </c>
      <c r="C27" s="109">
        <f>'User inputs - bird impacts'!$M$51</f>
        <v>0</v>
      </c>
      <c r="D27" s="109">
        <f>'User inputs - bird impacts'!$M$88</f>
        <v>0</v>
      </c>
      <c r="F27" s="113"/>
      <c r="G27" s="113"/>
      <c r="H27" s="113"/>
    </row>
    <row r="28" spans="1:8" x14ac:dyDescent="0.25">
      <c r="A28" s="109" t="s">
        <v>385</v>
      </c>
      <c r="B28" s="109">
        <f>'User inputs - bird impacts'!$O$14</f>
        <v>0</v>
      </c>
      <c r="C28" s="109">
        <f>'User inputs - bird impacts'!$O$51</f>
        <v>0</v>
      </c>
      <c r="D28" s="109">
        <f>'User inputs - bird impacts'!$O$88</f>
        <v>0</v>
      </c>
      <c r="F28" s="113"/>
      <c r="G28" s="113"/>
      <c r="H28" s="113"/>
    </row>
    <row r="29" spans="1:8" x14ac:dyDescent="0.25">
      <c r="A29" s="109" t="s">
        <v>386</v>
      </c>
      <c r="B29" s="109">
        <f>'User inputs - bird impacts'!$Q$14</f>
        <v>0</v>
      </c>
      <c r="C29" s="109">
        <f>'User inputs - bird impacts'!$Q$51</f>
        <v>0</v>
      </c>
      <c r="D29" s="109">
        <f>'User inputs - bird impacts'!$Q$88</f>
        <v>0</v>
      </c>
      <c r="F29" s="113"/>
      <c r="G29" s="113"/>
      <c r="H29" s="113"/>
    </row>
    <row r="30" spans="1:8" x14ac:dyDescent="0.25">
      <c r="A30" s="109" t="s">
        <v>387</v>
      </c>
      <c r="B30" s="109">
        <f>'User inputs - bird impacts'!$S$14</f>
        <v>0</v>
      </c>
      <c r="C30" s="109">
        <f>'User inputs - bird impacts'!$S$51</f>
        <v>0</v>
      </c>
      <c r="D30" s="109">
        <f>'User inputs - bird impacts'!$S$88</f>
        <v>0</v>
      </c>
      <c r="F30" s="113"/>
      <c r="G30" s="113"/>
      <c r="H30" s="113"/>
    </row>
    <row r="31" spans="1:8" x14ac:dyDescent="0.25">
      <c r="A31" s="109" t="s">
        <v>388</v>
      </c>
      <c r="B31" s="109">
        <f>'User inputs - bird impacts'!$U$14</f>
        <v>0</v>
      </c>
      <c r="C31" s="109">
        <f>'User inputs - bird impacts'!$U$51</f>
        <v>0</v>
      </c>
      <c r="D31" s="109">
        <f>'User inputs - bird impacts'!$U$88</f>
        <v>0</v>
      </c>
      <c r="F31" s="113"/>
      <c r="G31" s="113"/>
      <c r="H31" s="113"/>
    </row>
    <row r="32" spans="1:8" x14ac:dyDescent="0.25">
      <c r="A32" s="109" t="s">
        <v>389</v>
      </c>
      <c r="B32" s="109">
        <f>'User inputs - bird impacts'!$W$14</f>
        <v>0</v>
      </c>
      <c r="C32" s="109">
        <f>'User inputs - bird impacts'!$W$51</f>
        <v>0</v>
      </c>
      <c r="D32" s="109">
        <f>'User inputs - bird impacts'!$W$88</f>
        <v>0</v>
      </c>
      <c r="F32" s="113"/>
      <c r="G32" s="113"/>
      <c r="H32" s="113"/>
    </row>
    <row r="33" spans="1:8" x14ac:dyDescent="0.25">
      <c r="A33" s="109" t="s">
        <v>390</v>
      </c>
      <c r="B33" s="109">
        <f>'User inputs - bird impacts'!$Y$14</f>
        <v>0</v>
      </c>
      <c r="C33" s="109">
        <f>'User inputs - bird impacts'!$Y$51</f>
        <v>0</v>
      </c>
      <c r="D33" s="109">
        <f>'User inputs - bird impacts'!$Y$88</f>
        <v>0</v>
      </c>
      <c r="F33" s="113"/>
      <c r="G33" s="113"/>
      <c r="H33" s="113"/>
    </row>
    <row r="34" spans="1:8" x14ac:dyDescent="0.25">
      <c r="A34" s="109" t="s">
        <v>391</v>
      </c>
      <c r="B34" s="109">
        <f>'User inputs - bird impacts'!$AA$14</f>
        <v>0</v>
      </c>
      <c r="C34" s="109">
        <f>'User inputs - bird impacts'!$AA$51</f>
        <v>0</v>
      </c>
      <c r="D34" s="109">
        <f>'User inputs - bird impacts'!$AA$88</f>
        <v>0</v>
      </c>
      <c r="F34" s="113"/>
      <c r="G34" s="113"/>
      <c r="H34" s="113"/>
    </row>
    <row r="35" spans="1:8" x14ac:dyDescent="0.25">
      <c r="A35" s="109" t="s">
        <v>367</v>
      </c>
      <c r="B35" s="109">
        <f>'User inputs - bird impacts'!E18</f>
        <v>0</v>
      </c>
      <c r="C35" s="109">
        <f>'User inputs - bird impacts'!E55</f>
        <v>0</v>
      </c>
      <c r="D35" s="109">
        <f>'User inputs - bird impacts'!E92</f>
        <v>0</v>
      </c>
      <c r="F35" s="113"/>
      <c r="G35" s="113"/>
      <c r="H35" s="113"/>
    </row>
    <row r="36" spans="1:8" x14ac:dyDescent="0.25">
      <c r="A36" s="109" t="s">
        <v>368</v>
      </c>
      <c r="B36" s="109">
        <f>'User inputs - bird impacts'!G18</f>
        <v>0</v>
      </c>
      <c r="C36" s="109">
        <f>'User inputs - bird impacts'!G55</f>
        <v>0</v>
      </c>
      <c r="D36" s="109">
        <f>'User inputs - bird impacts'!G92</f>
        <v>0</v>
      </c>
      <c r="F36" s="113"/>
      <c r="G36" s="113"/>
      <c r="H36" s="113"/>
    </row>
    <row r="37" spans="1:8" x14ac:dyDescent="0.25">
      <c r="A37" s="109" t="s">
        <v>369</v>
      </c>
      <c r="B37" s="109">
        <f>'User inputs - bird impacts'!G20</f>
        <v>0</v>
      </c>
      <c r="C37" s="109">
        <f>'User inputs - bird impacts'!G57</f>
        <v>0</v>
      </c>
      <c r="D37" s="109">
        <f>'User inputs - bird impacts'!G94</f>
        <v>0</v>
      </c>
      <c r="F37" s="113"/>
      <c r="G37" s="113"/>
      <c r="H37" s="113"/>
    </row>
    <row r="38" spans="1:8" x14ac:dyDescent="0.25">
      <c r="A38" s="109" t="s">
        <v>429</v>
      </c>
      <c r="B38" s="109">
        <f>'User inputs - bird impacts'!E22</f>
        <v>0</v>
      </c>
      <c r="C38" s="109">
        <f>'User inputs - bird impacts'!E59</f>
        <v>0</v>
      </c>
      <c r="D38" s="109">
        <f>'User inputs - bird impacts'!E96</f>
        <v>0</v>
      </c>
      <c r="F38" s="113"/>
      <c r="G38" s="113"/>
      <c r="H38" s="113"/>
    </row>
    <row r="39" spans="1:8" x14ac:dyDescent="0.25">
      <c r="A39" s="109" t="s">
        <v>430</v>
      </c>
      <c r="B39" s="109">
        <f>'User inputs - bird impacts'!G22</f>
        <v>0</v>
      </c>
      <c r="C39" s="109">
        <f>'User inputs - bird impacts'!G59</f>
        <v>0</v>
      </c>
      <c r="D39" s="109">
        <f>'User inputs - bird impacts'!G96</f>
        <v>0</v>
      </c>
      <c r="F39" s="113"/>
      <c r="G39" s="113"/>
      <c r="H39" s="113"/>
    </row>
    <row r="40" spans="1:8" x14ac:dyDescent="0.25">
      <c r="A40" s="109" t="s">
        <v>392</v>
      </c>
      <c r="B40" s="109">
        <f>'User inputs - bird impacts'!E26</f>
        <v>0</v>
      </c>
      <c r="C40" s="109">
        <f>'User inputs - bird impacts'!E63</f>
        <v>0</v>
      </c>
      <c r="D40" s="109">
        <f>'User inputs - bird impacts'!E100</f>
        <v>0</v>
      </c>
      <c r="F40" s="113"/>
      <c r="G40" s="113"/>
      <c r="H40" s="113"/>
    </row>
    <row r="41" spans="1:8" x14ac:dyDescent="0.25">
      <c r="A41" s="109" t="s">
        <v>464</v>
      </c>
      <c r="B41" s="109">
        <f>'User inputs - bird impacts'!E31</f>
        <v>0</v>
      </c>
      <c r="C41" s="109">
        <f>'User inputs - bird impacts'!E68</f>
        <v>0</v>
      </c>
      <c r="D41" s="109">
        <f>'User inputs - bird impacts'!E105</f>
        <v>0</v>
      </c>
      <c r="F41" s="113"/>
      <c r="G41" s="113"/>
      <c r="H41" s="113"/>
    </row>
    <row r="42" spans="1:8" x14ac:dyDescent="0.25">
      <c r="A42" s="109" t="s">
        <v>465</v>
      </c>
      <c r="B42" s="109">
        <f>'User inputs - bird impacts'!E33</f>
        <v>0</v>
      </c>
      <c r="C42" s="109">
        <f>'User inputs - bird impacts'!E70</f>
        <v>0</v>
      </c>
      <c r="D42" s="109">
        <f>'User inputs - bird impacts'!E107</f>
        <v>0</v>
      </c>
      <c r="F42" s="113"/>
      <c r="G42" s="113"/>
      <c r="H42" s="113"/>
    </row>
    <row r="43" spans="1:8" x14ac:dyDescent="0.25">
      <c r="A43" s="109" t="s">
        <v>466</v>
      </c>
      <c r="B43" s="109">
        <f>'User inputs - bird impacts'!E34</f>
        <v>0</v>
      </c>
      <c r="C43" s="109">
        <f>'User inputs - bird impacts'!E71</f>
        <v>0</v>
      </c>
      <c r="D43" s="109">
        <f>'User inputs - bird impacts'!E108</f>
        <v>0</v>
      </c>
      <c r="F43" s="113"/>
      <c r="G43" s="113"/>
      <c r="H43" s="113"/>
    </row>
    <row r="44" spans="1:8" x14ac:dyDescent="0.25">
      <c r="A44" s="109" t="s">
        <v>467</v>
      </c>
      <c r="B44" s="109">
        <f>'User inputs - bird impacts'!G31</f>
        <v>0</v>
      </c>
      <c r="C44" s="109">
        <f>'User inputs - bird impacts'!G68</f>
        <v>0</v>
      </c>
      <c r="D44" s="109">
        <f>'User inputs - bird impacts'!G105</f>
        <v>0</v>
      </c>
      <c r="F44" s="113"/>
      <c r="G44" s="113"/>
      <c r="H44" s="113"/>
    </row>
    <row r="45" spans="1:8" x14ac:dyDescent="0.25">
      <c r="A45" s="109" t="s">
        <v>468</v>
      </c>
      <c r="B45" s="109">
        <f>'User inputs - bird impacts'!G33</f>
        <v>0</v>
      </c>
      <c r="C45" s="109">
        <f>'User inputs - bird impacts'!G70</f>
        <v>0</v>
      </c>
      <c r="D45" s="109">
        <f>'User inputs - bird impacts'!G107</f>
        <v>0</v>
      </c>
      <c r="F45" s="113"/>
      <c r="G45" s="113"/>
      <c r="H45" s="113"/>
    </row>
    <row r="46" spans="1:8" x14ac:dyDescent="0.25">
      <c r="A46" s="109" t="s">
        <v>469</v>
      </c>
      <c r="B46" s="109">
        <f>'User inputs - bird impacts'!G34</f>
        <v>0</v>
      </c>
      <c r="C46" s="109">
        <f>'User inputs - bird impacts'!G71</f>
        <v>0</v>
      </c>
      <c r="D46" s="109">
        <f>'User inputs - bird impacts'!G108</f>
        <v>0</v>
      </c>
      <c r="F46" s="113"/>
      <c r="G46" s="113"/>
      <c r="H46" s="113"/>
    </row>
    <row r="47" spans="1:8" x14ac:dyDescent="0.25">
      <c r="A47" s="109" t="s">
        <v>470</v>
      </c>
      <c r="B47" s="109">
        <f>'User inputs - bird impacts'!I31</f>
        <v>0</v>
      </c>
      <c r="C47" s="109">
        <f>'User inputs - bird impacts'!I68</f>
        <v>0</v>
      </c>
      <c r="D47" s="109">
        <f>'User inputs - bird impacts'!I105</f>
        <v>0</v>
      </c>
      <c r="F47" s="113"/>
      <c r="G47" s="113"/>
      <c r="H47" s="113"/>
    </row>
    <row r="48" spans="1:8" x14ac:dyDescent="0.25">
      <c r="A48" s="109" t="s">
        <v>471</v>
      </c>
      <c r="B48" s="109">
        <f>'User inputs - bird impacts'!I32</f>
        <v>0</v>
      </c>
      <c r="C48" s="109">
        <f>'User inputs - bird impacts'!I69</f>
        <v>0</v>
      </c>
      <c r="D48" s="109">
        <f>'User inputs - bird impacts'!I106</f>
        <v>0</v>
      </c>
      <c r="F48" s="113"/>
      <c r="G48" s="113"/>
      <c r="H48" s="113"/>
    </row>
    <row r="49" spans="1:8" x14ac:dyDescent="0.25">
      <c r="A49" s="109" t="s">
        <v>472</v>
      </c>
      <c r="B49" s="109">
        <f>'User inputs - bird impacts'!K31</f>
        <v>0</v>
      </c>
      <c r="C49" s="109">
        <f>'User inputs - bird impacts'!K68</f>
        <v>0</v>
      </c>
      <c r="D49" s="109">
        <f>'User inputs - bird impacts'!K105</f>
        <v>0</v>
      </c>
      <c r="F49" s="113"/>
      <c r="G49" s="113"/>
      <c r="H49" s="113"/>
    </row>
    <row r="50" spans="1:8" x14ac:dyDescent="0.25">
      <c r="A50" s="109" t="s">
        <v>473</v>
      </c>
      <c r="B50" s="109">
        <f>'User inputs - bird impacts'!K32</f>
        <v>0</v>
      </c>
      <c r="C50" s="109">
        <f>'User inputs - bird impacts'!K69</f>
        <v>0</v>
      </c>
      <c r="D50" s="109">
        <f>'User inputs - bird impacts'!K106</f>
        <v>0</v>
      </c>
      <c r="F50" s="113"/>
      <c r="G50" s="113"/>
      <c r="H50" s="113"/>
    </row>
    <row r="51" spans="1:8" x14ac:dyDescent="0.25">
      <c r="A51" s="109" t="s">
        <v>474</v>
      </c>
      <c r="B51" s="109">
        <f>'User inputs - bird impacts'!K33</f>
        <v>0</v>
      </c>
      <c r="C51" s="109">
        <f>'User inputs - bird impacts'!K70</f>
        <v>0</v>
      </c>
      <c r="D51" s="109">
        <f>'User inputs - bird impacts'!K107</f>
        <v>0</v>
      </c>
      <c r="F51" s="113"/>
      <c r="G51" s="113"/>
      <c r="H51" s="113"/>
    </row>
    <row r="52" spans="1:8" x14ac:dyDescent="0.25">
      <c r="A52" s="109" t="s">
        <v>475</v>
      </c>
      <c r="B52" s="109">
        <f>'User inputs - bird impacts'!K34</f>
        <v>0</v>
      </c>
      <c r="C52" s="109">
        <f>'User inputs - bird impacts'!K71</f>
        <v>0</v>
      </c>
      <c r="D52" s="109">
        <f>'User inputs - bird impacts'!K108</f>
        <v>0</v>
      </c>
      <c r="F52" s="113"/>
      <c r="G52" s="113"/>
      <c r="H52" s="113"/>
    </row>
    <row r="53" spans="1:8" x14ac:dyDescent="0.25">
      <c r="A53" s="109" t="s">
        <v>476</v>
      </c>
      <c r="B53" s="109">
        <f>'User inputs - bird impacts'!M31</f>
        <v>0</v>
      </c>
      <c r="C53" s="109">
        <f>'User inputs - bird impacts'!M68</f>
        <v>0</v>
      </c>
      <c r="D53" s="109">
        <f>'User inputs - bird impacts'!M105</f>
        <v>0</v>
      </c>
      <c r="F53" s="113"/>
      <c r="G53" s="113"/>
      <c r="H53" s="113"/>
    </row>
    <row r="54" spans="1:8" x14ac:dyDescent="0.25">
      <c r="A54" s="109" t="s">
        <v>477</v>
      </c>
      <c r="B54" s="109">
        <f>'User inputs - bird impacts'!M32</f>
        <v>0</v>
      </c>
      <c r="C54" s="109">
        <f>'User inputs - bird impacts'!M69</f>
        <v>0</v>
      </c>
      <c r="D54" s="109">
        <f>'User inputs - bird impacts'!M106</f>
        <v>0</v>
      </c>
      <c r="F54" s="113"/>
      <c r="G54" s="113"/>
      <c r="H54" s="113"/>
    </row>
    <row r="55" spans="1:8" x14ac:dyDescent="0.25">
      <c r="A55" s="109" t="s">
        <v>396</v>
      </c>
      <c r="B55" s="109">
        <f>'User inputs - bird impacts'!E36</f>
        <v>0</v>
      </c>
      <c r="C55" s="109">
        <f>'User inputs - bird impacts'!E73</f>
        <v>0</v>
      </c>
      <c r="D55" s="109">
        <f>'User inputs - bird impacts'!E110</f>
        <v>0</v>
      </c>
      <c r="F55" s="113"/>
      <c r="G55" s="113"/>
      <c r="H55" s="113"/>
    </row>
    <row r="56" spans="1:8" x14ac:dyDescent="0.25">
      <c r="A56" s="109" t="s">
        <v>397</v>
      </c>
      <c r="B56" s="109">
        <f>'User inputs - bird impacts'!E38</f>
        <v>0</v>
      </c>
      <c r="C56" s="109">
        <f>'User inputs - bird impacts'!E75</f>
        <v>0</v>
      </c>
      <c r="D56" s="109">
        <f>'User inputs - bird impacts'!E112</f>
        <v>0</v>
      </c>
      <c r="F56" s="113"/>
      <c r="G56" s="113"/>
      <c r="H56" s="113"/>
    </row>
    <row r="57" spans="1:8" x14ac:dyDescent="0.25">
      <c r="A57" s="109" t="s">
        <v>398</v>
      </c>
      <c r="B57" s="109">
        <f>'User inputs - bird impacts'!E39</f>
        <v>0</v>
      </c>
      <c r="C57" s="109">
        <f>'User inputs - bird impacts'!E76</f>
        <v>0</v>
      </c>
      <c r="D57" s="109">
        <f>'User inputs - bird impacts'!E113</f>
        <v>0</v>
      </c>
      <c r="F57" s="113"/>
      <c r="G57" s="113"/>
      <c r="H57" s="113"/>
    </row>
    <row r="58" spans="1:8" x14ac:dyDescent="0.25">
      <c r="A58" s="109" t="s">
        <v>393</v>
      </c>
      <c r="B58" s="109">
        <f>'User inputs - bird impacts'!G36</f>
        <v>0</v>
      </c>
      <c r="C58" s="109">
        <f>'User inputs - bird impacts'!G73</f>
        <v>0</v>
      </c>
      <c r="D58" s="109">
        <f>'User inputs - bird impacts'!G110</f>
        <v>0</v>
      </c>
      <c r="F58" s="113"/>
      <c r="G58" s="113"/>
      <c r="H58" s="113"/>
    </row>
    <row r="59" spans="1:8" x14ac:dyDescent="0.25">
      <c r="A59" s="109" t="s">
        <v>394</v>
      </c>
      <c r="B59" s="109">
        <f>'User inputs - bird impacts'!G38</f>
        <v>0</v>
      </c>
      <c r="C59" s="109">
        <f>'User inputs - bird impacts'!G75</f>
        <v>0</v>
      </c>
      <c r="D59" s="109">
        <f>'User inputs - bird impacts'!G112</f>
        <v>0</v>
      </c>
      <c r="F59" s="113"/>
      <c r="G59" s="113"/>
      <c r="H59" s="113"/>
    </row>
    <row r="60" spans="1:8" x14ac:dyDescent="0.25">
      <c r="A60" s="109" t="s">
        <v>395</v>
      </c>
      <c r="B60" s="109">
        <f>'User inputs - bird impacts'!G39</f>
        <v>0</v>
      </c>
      <c r="C60" s="109">
        <f>'User inputs - bird impacts'!G76</f>
        <v>0</v>
      </c>
      <c r="D60" s="109">
        <f>'User inputs - bird impacts'!G113</f>
        <v>0</v>
      </c>
      <c r="F60" s="113"/>
      <c r="G60" s="113"/>
      <c r="H60" s="113"/>
    </row>
    <row r="61" spans="1:8" x14ac:dyDescent="0.25">
      <c r="A61" s="109" t="s">
        <v>399</v>
      </c>
      <c r="B61" s="109">
        <f>'User inputs - bird impacts'!I36</f>
        <v>0</v>
      </c>
      <c r="C61" s="109">
        <f>'User inputs - bird impacts'!I73</f>
        <v>0</v>
      </c>
      <c r="D61" s="109">
        <f>'User inputs - bird impacts'!I110</f>
        <v>0</v>
      </c>
      <c r="F61" s="113"/>
      <c r="G61" s="113"/>
      <c r="H61" s="113"/>
    </row>
    <row r="62" spans="1:8" x14ac:dyDescent="0.25">
      <c r="A62" s="109" t="s">
        <v>400</v>
      </c>
      <c r="B62" s="109">
        <f>'User inputs - bird impacts'!I38</f>
        <v>0</v>
      </c>
      <c r="C62" s="109">
        <f>'User inputs - bird impacts'!I75</f>
        <v>0</v>
      </c>
      <c r="D62" s="109">
        <f>'User inputs - bird impacts'!I112</f>
        <v>0</v>
      </c>
      <c r="F62" s="113"/>
      <c r="G62" s="113"/>
      <c r="H62" s="113"/>
    </row>
    <row r="63" spans="1:8" x14ac:dyDescent="0.25">
      <c r="A63" s="109" t="s">
        <v>405</v>
      </c>
      <c r="B63" s="109">
        <f>'User inputs - bird impacts'!I39</f>
        <v>0</v>
      </c>
      <c r="C63" s="109">
        <f>'User inputs - bird impacts'!I76</f>
        <v>0</v>
      </c>
      <c r="D63" s="109">
        <f>'User inputs - bird impacts'!I113</f>
        <v>0</v>
      </c>
      <c r="F63" s="113"/>
      <c r="G63" s="113"/>
      <c r="H63" s="113"/>
    </row>
    <row r="64" spans="1:8" x14ac:dyDescent="0.25">
      <c r="A64" s="109" t="s">
        <v>401</v>
      </c>
      <c r="B64" s="109">
        <f>'User inputs - bird impacts'!K36</f>
        <v>0</v>
      </c>
      <c r="C64" s="109">
        <f>'User inputs - bird impacts'!K73</f>
        <v>0</v>
      </c>
      <c r="D64" s="109">
        <f>'User inputs - bird impacts'!K110</f>
        <v>0</v>
      </c>
      <c r="F64" s="113"/>
      <c r="G64" s="113"/>
      <c r="H64" s="113"/>
    </row>
    <row r="65" spans="1:8" x14ac:dyDescent="0.25">
      <c r="A65" s="109" t="s">
        <v>402</v>
      </c>
      <c r="B65" s="109">
        <f>'User inputs - bird impacts'!K38</f>
        <v>0</v>
      </c>
      <c r="C65" s="109">
        <f>'User inputs - bird impacts'!K75</f>
        <v>0</v>
      </c>
      <c r="D65" s="109">
        <f>'User inputs - bird impacts'!K112</f>
        <v>0</v>
      </c>
      <c r="F65" s="113"/>
      <c r="G65" s="113"/>
      <c r="H65" s="113"/>
    </row>
    <row r="66" spans="1:8" x14ac:dyDescent="0.25">
      <c r="A66" s="109" t="s">
        <v>406</v>
      </c>
      <c r="B66" s="109">
        <f>'User inputs - bird impacts'!K39</f>
        <v>0</v>
      </c>
      <c r="C66" s="109">
        <f>'User inputs - bird impacts'!K76</f>
        <v>0</v>
      </c>
      <c r="D66" s="109">
        <f>'User inputs - bird impacts'!K113</f>
        <v>0</v>
      </c>
      <c r="F66" s="113"/>
      <c r="G66" s="113"/>
      <c r="H66" s="113"/>
    </row>
    <row r="67" spans="1:8" x14ac:dyDescent="0.25">
      <c r="A67" s="109" t="s">
        <v>403</v>
      </c>
      <c r="B67" s="109">
        <f>'User inputs - bird impacts'!M36</f>
        <v>0</v>
      </c>
      <c r="C67" s="109">
        <f>'User inputs - bird impacts'!M73</f>
        <v>0</v>
      </c>
      <c r="D67" s="109">
        <f>'User inputs - bird impacts'!M110</f>
        <v>0</v>
      </c>
      <c r="F67" s="113"/>
      <c r="G67" s="113"/>
      <c r="H67" s="113"/>
    </row>
    <row r="68" spans="1:8" x14ac:dyDescent="0.25">
      <c r="A68" s="109" t="s">
        <v>404</v>
      </c>
      <c r="B68" s="109">
        <f>'User inputs - bird impacts'!M38</f>
        <v>0</v>
      </c>
      <c r="C68" s="109">
        <f>'User inputs - bird impacts'!M75</f>
        <v>0</v>
      </c>
      <c r="D68" s="109">
        <f>'User inputs - bird impacts'!M112</f>
        <v>0</v>
      </c>
      <c r="F68" s="113"/>
      <c r="G68" s="113"/>
      <c r="H68" s="113"/>
    </row>
    <row r="69" spans="1:8" x14ac:dyDescent="0.25">
      <c r="A69" s="109" t="s">
        <v>407</v>
      </c>
      <c r="B69" s="109">
        <f>'User inputs - bird impacts'!M39</f>
        <v>0</v>
      </c>
      <c r="C69" s="109">
        <f>'User inputs - bird impacts'!M76</f>
        <v>0</v>
      </c>
      <c r="D69" s="109">
        <f>'User inputs - bird impacts'!M113</f>
        <v>0</v>
      </c>
      <c r="F69" s="113"/>
      <c r="G69" s="113"/>
      <c r="H69" s="113"/>
    </row>
    <row r="70" spans="1:8" x14ac:dyDescent="0.25">
      <c r="A70" s="109" t="s">
        <v>408</v>
      </c>
      <c r="B70" s="153">
        <f>'User inputs - bird populations'!E7</f>
        <v>0</v>
      </c>
      <c r="C70" s="153"/>
      <c r="D70" s="153"/>
      <c r="F70" s="113"/>
      <c r="G70" s="113"/>
      <c r="H70" s="113"/>
    </row>
    <row r="71" spans="1:8" x14ac:dyDescent="0.25">
      <c r="A71" s="109" t="s">
        <v>409</v>
      </c>
      <c r="B71" s="109">
        <f>'User inputs - bird populations'!E10</f>
        <v>0</v>
      </c>
      <c r="C71" s="109">
        <f>'User inputs - bird populations'!E41</f>
        <v>0</v>
      </c>
      <c r="D71" s="109">
        <f>'User inputs - bird populations'!E72</f>
        <v>0</v>
      </c>
      <c r="F71" s="113"/>
      <c r="G71" s="113"/>
      <c r="H71" s="113"/>
    </row>
    <row r="72" spans="1:8" x14ac:dyDescent="0.25">
      <c r="A72" s="109" t="s">
        <v>257</v>
      </c>
      <c r="B72" s="109">
        <f>'User inputs - bird populations'!E12</f>
        <v>0</v>
      </c>
      <c r="C72" s="109">
        <f>'User inputs - bird populations'!E43</f>
        <v>0</v>
      </c>
      <c r="D72" s="109">
        <f>'User inputs - bird populations'!E74</f>
        <v>0</v>
      </c>
      <c r="F72" s="113"/>
      <c r="G72" s="113"/>
      <c r="H72" s="113"/>
    </row>
    <row r="73" spans="1:8" x14ac:dyDescent="0.25">
      <c r="A73" s="109" t="s">
        <v>258</v>
      </c>
      <c r="B73" s="109">
        <f>'User inputs - bird populations'!E14</f>
        <v>0</v>
      </c>
      <c r="C73" s="109">
        <f>'User inputs - bird populations'!E45</f>
        <v>0</v>
      </c>
      <c r="D73" s="109">
        <f>'User inputs - bird populations'!E76</f>
        <v>0</v>
      </c>
      <c r="F73" s="113"/>
      <c r="G73" s="113"/>
      <c r="H73" s="113"/>
    </row>
    <row r="74" spans="1:8" x14ac:dyDescent="0.25">
      <c r="A74" s="109" t="s">
        <v>411</v>
      </c>
      <c r="B74" s="109">
        <f>'User inputs - bird populations'!E21</f>
        <v>0</v>
      </c>
      <c r="C74" s="109">
        <f>'User inputs - bird populations'!E52</f>
        <v>0</v>
      </c>
      <c r="D74" s="109">
        <f>'User inputs - bird populations'!E83</f>
        <v>0</v>
      </c>
      <c r="F74" s="113"/>
      <c r="G74" s="113"/>
      <c r="H74" s="113"/>
    </row>
    <row r="75" spans="1:8" x14ac:dyDescent="0.25">
      <c r="A75" s="109" t="s">
        <v>410</v>
      </c>
      <c r="B75" s="109">
        <f>'User inputs - bird populations'!H21</f>
        <v>0</v>
      </c>
      <c r="C75" s="109">
        <f>'User inputs - bird populations'!H52</f>
        <v>0</v>
      </c>
      <c r="D75" s="109">
        <f>'User inputs - bird populations'!H83</f>
        <v>0</v>
      </c>
      <c r="F75" s="113"/>
      <c r="G75" s="113"/>
      <c r="H75" s="113"/>
    </row>
    <row r="76" spans="1:8" x14ac:dyDescent="0.25">
      <c r="A76" s="109" t="s">
        <v>412</v>
      </c>
      <c r="B76" s="109">
        <f>'User inputs - bird populations'!K21</f>
        <v>0</v>
      </c>
      <c r="C76" s="109">
        <f>'User inputs - bird populations'!K52</f>
        <v>0</v>
      </c>
      <c r="D76" s="109">
        <f>'User inputs - bird populations'!K83</f>
        <v>0</v>
      </c>
      <c r="F76" s="113"/>
      <c r="G76" s="113"/>
      <c r="H76" s="113"/>
    </row>
    <row r="77" spans="1:8" x14ac:dyDescent="0.25">
      <c r="A77" s="109" t="s">
        <v>413</v>
      </c>
      <c r="B77" s="109">
        <f>'User inputs - bird populations'!N21</f>
        <v>0</v>
      </c>
      <c r="C77" s="109">
        <f>'User inputs - bird populations'!N52</f>
        <v>0</v>
      </c>
      <c r="D77" s="109">
        <f>'User inputs - bird populations'!N83</f>
        <v>0</v>
      </c>
      <c r="F77" s="113"/>
      <c r="G77" s="113"/>
      <c r="H77" s="113"/>
    </row>
    <row r="78" spans="1:8" x14ac:dyDescent="0.25">
      <c r="A78" s="109" t="s">
        <v>414</v>
      </c>
      <c r="B78" s="109">
        <f>'User inputs - bird populations'!Q21</f>
        <v>0</v>
      </c>
      <c r="C78" s="109">
        <f>'User inputs - bird populations'!Q52</f>
        <v>0</v>
      </c>
      <c r="D78" s="109">
        <f>'User inputs - bird populations'!Q83</f>
        <v>0</v>
      </c>
      <c r="F78" s="113"/>
      <c r="G78" s="113"/>
      <c r="H78" s="113"/>
    </row>
    <row r="79" spans="1:8" x14ac:dyDescent="0.25">
      <c r="A79" s="109" t="s">
        <v>415</v>
      </c>
      <c r="B79" s="120">
        <f>'User inputs - bird populations'!F24</f>
        <v>1</v>
      </c>
      <c r="C79" s="120">
        <f>'User inputs - bird populations'!F55</f>
        <v>1</v>
      </c>
      <c r="D79" s="120">
        <f>'User inputs - bird populations'!F86</f>
        <v>1</v>
      </c>
      <c r="F79" s="113"/>
      <c r="G79" s="113"/>
      <c r="H79" s="113"/>
    </row>
    <row r="80" spans="1:8" x14ac:dyDescent="0.25">
      <c r="A80" s="109" t="s">
        <v>558</v>
      </c>
      <c r="B80" s="120">
        <f>'User inputs - bird populations'!F25</f>
        <v>1</v>
      </c>
      <c r="C80" s="120">
        <f>'User inputs - bird populations'!F56</f>
        <v>1</v>
      </c>
      <c r="D80" s="120">
        <f>'User inputs - bird populations'!F87</f>
        <v>1</v>
      </c>
      <c r="F80" s="113"/>
      <c r="G80" s="113"/>
      <c r="H80" s="113"/>
    </row>
    <row r="81" spans="1:8" x14ac:dyDescent="0.25">
      <c r="A81" s="109" t="s">
        <v>559</v>
      </c>
      <c r="B81" s="120">
        <f>'User inputs - bird populations'!F26</f>
        <v>1</v>
      </c>
      <c r="C81" s="120">
        <f>'User inputs - bird populations'!F57</f>
        <v>1</v>
      </c>
      <c r="D81" s="120">
        <f>'User inputs - bird populations'!F88</f>
        <v>1</v>
      </c>
      <c r="F81" s="113"/>
      <c r="G81" s="113"/>
      <c r="H81" s="113"/>
    </row>
    <row r="82" spans="1:8" x14ac:dyDescent="0.25">
      <c r="A82" s="109" t="s">
        <v>416</v>
      </c>
      <c r="B82" s="120">
        <f>'User inputs - bird populations'!F32</f>
        <v>1</v>
      </c>
      <c r="C82" s="120">
        <f>'User inputs - bird populations'!F63</f>
        <v>1</v>
      </c>
      <c r="D82" s="120">
        <f>'User inputs - bird populations'!F94</f>
        <v>1</v>
      </c>
      <c r="F82" s="113"/>
      <c r="G82" s="113"/>
      <c r="H82" s="113"/>
    </row>
    <row r="83" spans="1:8" x14ac:dyDescent="0.25">
      <c r="A83" s="109" t="s">
        <v>560</v>
      </c>
      <c r="B83" s="120">
        <f>'User inputs - bird populations'!F33</f>
        <v>1</v>
      </c>
      <c r="C83" s="120">
        <f>'User inputs - bird populations'!F64</f>
        <v>1</v>
      </c>
      <c r="D83" s="120">
        <f>'User inputs - bird populations'!F95</f>
        <v>1</v>
      </c>
      <c r="F83" s="113"/>
      <c r="G83" s="113"/>
      <c r="H83" s="113"/>
    </row>
    <row r="84" spans="1:8" x14ac:dyDescent="0.25">
      <c r="A84" s="109" t="s">
        <v>561</v>
      </c>
      <c r="B84" s="120">
        <f>'User inputs - bird populations'!F34</f>
        <v>1</v>
      </c>
      <c r="C84" s="120">
        <f>'User inputs - bird populations'!F65</f>
        <v>1</v>
      </c>
      <c r="D84" s="120">
        <f>'User inputs - bird populations'!F96</f>
        <v>1</v>
      </c>
      <c r="F84" s="113"/>
      <c r="G84" s="113"/>
      <c r="H84" s="113"/>
    </row>
    <row r="85" spans="1:8" x14ac:dyDescent="0.25">
      <c r="A85" s="109" t="s">
        <v>417</v>
      </c>
      <c r="B85" s="120">
        <f>'User inputs - bird populations'!F36</f>
        <v>1</v>
      </c>
      <c r="C85" s="120">
        <f>'User inputs - bird populations'!F67</f>
        <v>1</v>
      </c>
      <c r="D85" s="120">
        <f>'User inputs - bird populations'!F98</f>
        <v>1</v>
      </c>
      <c r="F85" s="113"/>
      <c r="G85" s="113"/>
      <c r="H85" s="113"/>
    </row>
    <row r="86" spans="1:8" x14ac:dyDescent="0.25">
      <c r="A86" s="109" t="s">
        <v>562</v>
      </c>
      <c r="B86" s="120">
        <f>'User inputs - bird populations'!F37</f>
        <v>1</v>
      </c>
      <c r="C86" s="120">
        <f>'User inputs - bird populations'!F68</f>
        <v>1</v>
      </c>
      <c r="D86" s="120">
        <f>'User inputs - bird populations'!F99</f>
        <v>1</v>
      </c>
      <c r="F86" s="113"/>
      <c r="G86" s="113"/>
      <c r="H86" s="113"/>
    </row>
    <row r="87" spans="1:8" x14ac:dyDescent="0.25">
      <c r="A87" s="109" t="s">
        <v>563</v>
      </c>
      <c r="B87" s="120">
        <f>'User inputs - bird populations'!F38</f>
        <v>1</v>
      </c>
      <c r="C87" s="120">
        <f>'User inputs - bird populations'!F69</f>
        <v>1</v>
      </c>
      <c r="D87" s="120">
        <f>'User inputs - bird populations'!F100</f>
        <v>1</v>
      </c>
      <c r="F87" s="113"/>
      <c r="G87" s="113"/>
      <c r="H87" s="113"/>
    </row>
    <row r="88" spans="1:8" x14ac:dyDescent="0.25">
      <c r="A88" s="109" t="s">
        <v>418</v>
      </c>
      <c r="B88" s="120">
        <f>'User inputs - bird populations'!I24</f>
        <v>1</v>
      </c>
      <c r="C88" s="120">
        <f>'User inputs - bird populations'!I55</f>
        <v>1</v>
      </c>
      <c r="D88" s="120">
        <f>'User inputs - bird populations'!I86</f>
        <v>1</v>
      </c>
      <c r="F88" s="113"/>
      <c r="G88" s="113"/>
      <c r="H88" s="113"/>
    </row>
    <row r="89" spans="1:8" x14ac:dyDescent="0.25">
      <c r="A89" s="109" t="s">
        <v>564</v>
      </c>
      <c r="B89" s="120">
        <f>'User inputs - bird populations'!I25</f>
        <v>1</v>
      </c>
      <c r="C89" s="120">
        <f>'User inputs - bird populations'!I56</f>
        <v>1</v>
      </c>
      <c r="D89" s="120">
        <f>'User inputs - bird populations'!I87</f>
        <v>1</v>
      </c>
      <c r="F89" s="113"/>
      <c r="G89" s="113"/>
      <c r="H89" s="113"/>
    </row>
    <row r="90" spans="1:8" x14ac:dyDescent="0.25">
      <c r="A90" s="109" t="s">
        <v>565</v>
      </c>
      <c r="B90" s="120">
        <f>'User inputs - bird populations'!I26</f>
        <v>1</v>
      </c>
      <c r="C90" s="120">
        <f>'User inputs - bird populations'!I57</f>
        <v>1</v>
      </c>
      <c r="D90" s="120">
        <f>'User inputs - bird populations'!I88</f>
        <v>1</v>
      </c>
      <c r="F90" s="113"/>
      <c r="G90" s="113"/>
      <c r="H90" s="113"/>
    </row>
    <row r="91" spans="1:8" x14ac:dyDescent="0.25">
      <c r="A91" s="109" t="s">
        <v>419</v>
      </c>
      <c r="B91" s="120">
        <f>'User inputs - bird populations'!I32</f>
        <v>1</v>
      </c>
      <c r="C91" s="120">
        <f>'User inputs - bird populations'!I63</f>
        <v>1</v>
      </c>
      <c r="D91" s="120">
        <f>'User inputs - bird populations'!I94</f>
        <v>1</v>
      </c>
      <c r="F91" s="113"/>
      <c r="G91" s="113"/>
      <c r="H91" s="113"/>
    </row>
    <row r="92" spans="1:8" x14ac:dyDescent="0.25">
      <c r="A92" s="109" t="s">
        <v>566</v>
      </c>
      <c r="B92" s="120">
        <f>'User inputs - bird populations'!I33</f>
        <v>1</v>
      </c>
      <c r="C92" s="120">
        <f>'User inputs - bird populations'!I64</f>
        <v>1</v>
      </c>
      <c r="D92" s="120">
        <f>'User inputs - bird populations'!I95</f>
        <v>1</v>
      </c>
      <c r="F92" s="113"/>
      <c r="G92" s="113"/>
      <c r="H92" s="113"/>
    </row>
    <row r="93" spans="1:8" x14ac:dyDescent="0.25">
      <c r="A93" s="109" t="s">
        <v>567</v>
      </c>
      <c r="B93" s="120">
        <f>'User inputs - bird populations'!I34</f>
        <v>1</v>
      </c>
      <c r="C93" s="120">
        <f>'User inputs - bird populations'!I65</f>
        <v>1</v>
      </c>
      <c r="D93" s="120">
        <f>'User inputs - bird populations'!I96</f>
        <v>1</v>
      </c>
      <c r="F93" s="113"/>
      <c r="G93" s="113"/>
      <c r="H93" s="113"/>
    </row>
    <row r="94" spans="1:8" x14ac:dyDescent="0.25">
      <c r="A94" s="109" t="s">
        <v>420</v>
      </c>
      <c r="B94" s="120">
        <f>'User inputs - bird populations'!I36</f>
        <v>1</v>
      </c>
      <c r="C94" s="120">
        <f>'User inputs - bird populations'!I67</f>
        <v>1</v>
      </c>
      <c r="D94" s="120">
        <f>'User inputs - bird populations'!I98</f>
        <v>1</v>
      </c>
      <c r="F94" s="113"/>
      <c r="G94" s="113"/>
      <c r="H94" s="113"/>
    </row>
    <row r="95" spans="1:8" x14ac:dyDescent="0.25">
      <c r="A95" s="109" t="s">
        <v>568</v>
      </c>
      <c r="B95" s="120">
        <f>'User inputs - bird populations'!I37</f>
        <v>1</v>
      </c>
      <c r="C95" s="120">
        <f>'User inputs - bird populations'!I68</f>
        <v>1</v>
      </c>
      <c r="D95" s="120">
        <f>'User inputs - bird populations'!I99</f>
        <v>1</v>
      </c>
      <c r="F95" s="113"/>
      <c r="G95" s="113"/>
      <c r="H95" s="113"/>
    </row>
    <row r="96" spans="1:8" x14ac:dyDescent="0.25">
      <c r="A96" s="109" t="s">
        <v>569</v>
      </c>
      <c r="B96" s="120">
        <f>'User inputs - bird populations'!I38</f>
        <v>1</v>
      </c>
      <c r="C96" s="120">
        <f>'User inputs - bird populations'!I69</f>
        <v>1</v>
      </c>
      <c r="D96" s="120">
        <f>'User inputs - bird populations'!I100</f>
        <v>1</v>
      </c>
      <c r="F96" s="113"/>
      <c r="G96" s="113"/>
      <c r="H96" s="113"/>
    </row>
    <row r="97" spans="1:8" x14ac:dyDescent="0.25">
      <c r="A97" s="109" t="s">
        <v>421</v>
      </c>
      <c r="B97" s="120">
        <f>'User inputs - bird populations'!L24</f>
        <v>1</v>
      </c>
      <c r="C97" s="120">
        <f>'User inputs - bird populations'!L55</f>
        <v>1</v>
      </c>
      <c r="D97" s="120">
        <f>'User inputs - bird populations'!L86</f>
        <v>1</v>
      </c>
      <c r="F97" s="113"/>
      <c r="G97" s="113"/>
      <c r="H97" s="113"/>
    </row>
    <row r="98" spans="1:8" x14ac:dyDescent="0.25">
      <c r="A98" s="109" t="s">
        <v>570</v>
      </c>
      <c r="B98" s="120">
        <f>'User inputs - bird populations'!L25</f>
        <v>1</v>
      </c>
      <c r="C98" s="120">
        <f>'User inputs - bird populations'!L56</f>
        <v>1</v>
      </c>
      <c r="D98" s="120">
        <f>'User inputs - bird populations'!L87</f>
        <v>1</v>
      </c>
      <c r="F98" s="113"/>
      <c r="G98" s="113"/>
      <c r="H98" s="113"/>
    </row>
    <row r="99" spans="1:8" x14ac:dyDescent="0.25">
      <c r="A99" s="109" t="s">
        <v>571</v>
      </c>
      <c r="B99" s="120">
        <f>'User inputs - bird populations'!L26</f>
        <v>1</v>
      </c>
      <c r="C99" s="120">
        <f>'User inputs - bird populations'!L57</f>
        <v>1</v>
      </c>
      <c r="D99" s="120">
        <f>'User inputs - bird populations'!L88</f>
        <v>1</v>
      </c>
      <c r="F99" s="113"/>
      <c r="G99" s="113"/>
      <c r="H99" s="113"/>
    </row>
    <row r="100" spans="1:8" x14ac:dyDescent="0.25">
      <c r="A100" s="109" t="s">
        <v>422</v>
      </c>
      <c r="B100" s="120">
        <f>'User inputs - bird populations'!L28</f>
        <v>1</v>
      </c>
      <c r="C100" s="120">
        <f>'User inputs - bird populations'!L59</f>
        <v>1</v>
      </c>
      <c r="D100" s="120">
        <f>'User inputs - bird populations'!L90</f>
        <v>1</v>
      </c>
      <c r="F100" s="113"/>
      <c r="G100" s="113"/>
      <c r="H100" s="113"/>
    </row>
    <row r="101" spans="1:8" x14ac:dyDescent="0.25">
      <c r="A101" s="109" t="s">
        <v>572</v>
      </c>
      <c r="B101" s="120">
        <f>'User inputs - bird populations'!L29</f>
        <v>1</v>
      </c>
      <c r="C101" s="120">
        <f>'User inputs - bird populations'!L60</f>
        <v>1</v>
      </c>
      <c r="D101" s="120">
        <f>'User inputs - bird populations'!L91</f>
        <v>1</v>
      </c>
      <c r="F101" s="113"/>
      <c r="G101" s="113"/>
      <c r="H101" s="113"/>
    </row>
    <row r="102" spans="1:8" x14ac:dyDescent="0.25">
      <c r="A102" s="109" t="s">
        <v>573</v>
      </c>
      <c r="B102" s="120">
        <f>'User inputs - bird populations'!L30</f>
        <v>1</v>
      </c>
      <c r="C102" s="120">
        <f>'User inputs - bird populations'!L61</f>
        <v>1</v>
      </c>
      <c r="D102" s="120">
        <f>'User inputs - bird populations'!L92</f>
        <v>1</v>
      </c>
      <c r="F102" s="113"/>
      <c r="G102" s="113"/>
      <c r="H102" s="113"/>
    </row>
    <row r="103" spans="1:8" x14ac:dyDescent="0.25">
      <c r="A103" s="109" t="s">
        <v>423</v>
      </c>
      <c r="B103" s="120">
        <f>'User inputs - bird populations'!O24</f>
        <v>1</v>
      </c>
      <c r="C103" s="120">
        <f>'User inputs - bird populations'!O55</f>
        <v>1</v>
      </c>
      <c r="D103" s="120">
        <f>'User inputs - bird populations'!O86</f>
        <v>1</v>
      </c>
      <c r="F103" s="113"/>
      <c r="G103" s="113"/>
      <c r="H103" s="113"/>
    </row>
    <row r="104" spans="1:8" x14ac:dyDescent="0.25">
      <c r="A104" s="109" t="s">
        <v>574</v>
      </c>
      <c r="B104" s="120">
        <f>'User inputs - bird populations'!O25</f>
        <v>1</v>
      </c>
      <c r="C104" s="120">
        <f>'User inputs - bird populations'!O56</f>
        <v>1</v>
      </c>
      <c r="D104" s="120">
        <f>'User inputs - bird populations'!O87</f>
        <v>1</v>
      </c>
      <c r="F104" s="113"/>
      <c r="G104" s="113"/>
      <c r="H104" s="113"/>
    </row>
    <row r="105" spans="1:8" x14ac:dyDescent="0.25">
      <c r="A105" s="109" t="s">
        <v>575</v>
      </c>
      <c r="B105" s="120">
        <f>'User inputs - bird populations'!O26</f>
        <v>1</v>
      </c>
      <c r="C105" s="120">
        <f>'User inputs - bird populations'!O57</f>
        <v>1</v>
      </c>
      <c r="D105" s="120">
        <f>'User inputs - bird populations'!O88</f>
        <v>1</v>
      </c>
      <c r="F105" s="113"/>
      <c r="G105" s="113"/>
      <c r="H105" s="113"/>
    </row>
    <row r="106" spans="1:8" x14ac:dyDescent="0.25">
      <c r="A106" s="109" t="s">
        <v>425</v>
      </c>
      <c r="B106" s="120">
        <f>'User inputs - bird populations'!O28</f>
        <v>1</v>
      </c>
      <c r="C106" s="120">
        <f>'User inputs - bird populations'!O59</f>
        <v>1</v>
      </c>
      <c r="D106" s="120">
        <f>'User inputs - bird populations'!O90</f>
        <v>1</v>
      </c>
      <c r="F106" s="113"/>
      <c r="G106" s="113"/>
      <c r="H106" s="113"/>
    </row>
    <row r="107" spans="1:8" x14ac:dyDescent="0.25">
      <c r="A107" s="109" t="s">
        <v>580</v>
      </c>
      <c r="B107" s="120">
        <f>'User inputs - bird populations'!O29</f>
        <v>1</v>
      </c>
      <c r="C107" s="120">
        <f>'User inputs - bird populations'!O60</f>
        <v>1</v>
      </c>
      <c r="D107" s="120">
        <f>'User inputs - bird populations'!O91</f>
        <v>1</v>
      </c>
      <c r="F107" s="113"/>
      <c r="G107" s="113"/>
      <c r="H107" s="113"/>
    </row>
    <row r="108" spans="1:8" x14ac:dyDescent="0.25">
      <c r="A108" s="109" t="s">
        <v>581</v>
      </c>
      <c r="B108" s="120">
        <f>'User inputs - bird populations'!O30</f>
        <v>1</v>
      </c>
      <c r="C108" s="120">
        <f>'User inputs - bird populations'!O61</f>
        <v>1</v>
      </c>
      <c r="D108" s="120">
        <f>'User inputs - bird populations'!O92</f>
        <v>1</v>
      </c>
      <c r="F108" s="113"/>
      <c r="G108" s="113"/>
      <c r="H108" s="113"/>
    </row>
    <row r="109" spans="1:8" x14ac:dyDescent="0.25">
      <c r="A109" s="109" t="s">
        <v>426</v>
      </c>
      <c r="B109" s="120">
        <f>'User inputs - bird populations'!O32</f>
        <v>1</v>
      </c>
      <c r="C109" s="120">
        <f>'User inputs - bird populations'!O63</f>
        <v>1</v>
      </c>
      <c r="D109" s="120">
        <f>'User inputs - bird populations'!O94</f>
        <v>1</v>
      </c>
      <c r="F109" s="113"/>
      <c r="G109" s="113"/>
      <c r="H109" s="113"/>
    </row>
    <row r="110" spans="1:8" x14ac:dyDescent="0.25">
      <c r="A110" s="109" t="s">
        <v>576</v>
      </c>
      <c r="B110" s="120">
        <f>'User inputs - bird populations'!O33</f>
        <v>1</v>
      </c>
      <c r="C110" s="120">
        <f>'User inputs - bird populations'!O64</f>
        <v>1</v>
      </c>
      <c r="D110" s="120">
        <f>'User inputs - bird populations'!O95</f>
        <v>1</v>
      </c>
      <c r="F110" s="113"/>
      <c r="G110" s="113"/>
      <c r="H110" s="113"/>
    </row>
    <row r="111" spans="1:8" x14ac:dyDescent="0.25">
      <c r="A111" s="109" t="s">
        <v>577</v>
      </c>
      <c r="B111" s="120">
        <f>'User inputs - bird populations'!O34</f>
        <v>1</v>
      </c>
      <c r="C111" s="120">
        <f>'User inputs - bird populations'!O65</f>
        <v>1</v>
      </c>
      <c r="D111" s="120">
        <f>'User inputs - bird populations'!O96</f>
        <v>1</v>
      </c>
      <c r="F111" s="113"/>
      <c r="G111" s="113"/>
      <c r="H111" s="113"/>
    </row>
    <row r="112" spans="1:8" x14ac:dyDescent="0.25">
      <c r="A112" s="109" t="s">
        <v>427</v>
      </c>
      <c r="B112" s="120">
        <f>'User inputs - bird populations'!O36</f>
        <v>1</v>
      </c>
      <c r="C112" s="120">
        <f>'User inputs - bird populations'!O67</f>
        <v>1</v>
      </c>
      <c r="D112" s="120">
        <f>'User inputs - bird populations'!O98</f>
        <v>1</v>
      </c>
      <c r="F112" s="113"/>
      <c r="G112" s="113"/>
      <c r="H112" s="113"/>
    </row>
    <row r="113" spans="1:8" x14ac:dyDescent="0.25">
      <c r="A113" s="109" t="s">
        <v>578</v>
      </c>
      <c r="B113" s="120">
        <f>'User inputs - bird populations'!O37</f>
        <v>1</v>
      </c>
      <c r="C113" s="120">
        <f>'User inputs - bird populations'!O68</f>
        <v>1</v>
      </c>
      <c r="D113" s="120">
        <f>'User inputs - bird populations'!O99</f>
        <v>1</v>
      </c>
      <c r="F113" s="113"/>
      <c r="G113" s="113"/>
      <c r="H113" s="113"/>
    </row>
    <row r="114" spans="1:8" x14ac:dyDescent="0.25">
      <c r="A114" s="109" t="s">
        <v>579</v>
      </c>
      <c r="B114" s="120">
        <f>'User inputs - bird populations'!O38</f>
        <v>1</v>
      </c>
      <c r="C114" s="120">
        <f>'User inputs - bird populations'!O69</f>
        <v>1</v>
      </c>
      <c r="D114" s="120">
        <f>'User inputs - bird populations'!O100</f>
        <v>1</v>
      </c>
      <c r="F114" s="113"/>
      <c r="G114" s="113"/>
      <c r="H114" s="113"/>
    </row>
    <row r="115" spans="1:8" x14ac:dyDescent="0.25">
      <c r="A115" s="109" t="s">
        <v>424</v>
      </c>
      <c r="B115" s="120">
        <f>'User inputs - bird populations'!R24</f>
        <v>1</v>
      </c>
      <c r="C115" s="120">
        <f>'User inputs - bird populations'!R55</f>
        <v>1</v>
      </c>
      <c r="D115" s="120">
        <f>'User inputs - bird populations'!R86</f>
        <v>1</v>
      </c>
      <c r="F115" s="113"/>
      <c r="G115" s="113"/>
      <c r="H115" s="113"/>
    </row>
    <row r="116" spans="1:8" x14ac:dyDescent="0.25">
      <c r="A116" s="109" t="s">
        <v>582</v>
      </c>
      <c r="B116" s="120">
        <f>'User inputs - bird populations'!R25</f>
        <v>1</v>
      </c>
      <c r="C116" s="120">
        <f>'User inputs - bird populations'!R56</f>
        <v>1</v>
      </c>
      <c r="D116" s="120">
        <f>'User inputs - bird populations'!R87</f>
        <v>1</v>
      </c>
      <c r="F116" s="113"/>
      <c r="G116" s="113"/>
      <c r="H116" s="113"/>
    </row>
    <row r="117" spans="1:8" x14ac:dyDescent="0.25">
      <c r="A117" s="109" t="s">
        <v>583</v>
      </c>
      <c r="B117" s="120">
        <f>'User inputs - bird populations'!R26</f>
        <v>1</v>
      </c>
      <c r="C117" s="120">
        <f>'User inputs - bird populations'!R57</f>
        <v>1</v>
      </c>
      <c r="D117" s="120">
        <f>'User inputs - bird populations'!R88</f>
        <v>1</v>
      </c>
      <c r="F117" s="113"/>
      <c r="G117" s="113"/>
      <c r="H117" s="113"/>
    </row>
    <row r="118" spans="1:8" x14ac:dyDescent="0.25">
      <c r="A118" s="109" t="s">
        <v>428</v>
      </c>
      <c r="B118" s="120">
        <f>'User inputs - bird populations'!R28</f>
        <v>1</v>
      </c>
      <c r="C118" s="120">
        <f>'User inputs - bird populations'!R59</f>
        <v>1</v>
      </c>
      <c r="D118" s="120">
        <f>'User inputs - bird populations'!R90</f>
        <v>1</v>
      </c>
      <c r="F118" s="113"/>
      <c r="G118" s="113"/>
      <c r="H118" s="113"/>
    </row>
    <row r="119" spans="1:8" x14ac:dyDescent="0.25">
      <c r="A119" s="109" t="s">
        <v>584</v>
      </c>
      <c r="B119" s="120">
        <f>'User inputs - bird populations'!R29</f>
        <v>1</v>
      </c>
      <c r="C119" s="120">
        <f>'User inputs - bird populations'!R60</f>
        <v>1</v>
      </c>
      <c r="D119" s="120">
        <f>'User inputs - bird populations'!R91</f>
        <v>1</v>
      </c>
      <c r="F119" s="113"/>
      <c r="G119" s="113"/>
      <c r="H119" s="113"/>
    </row>
    <row r="120" spans="1:8" x14ac:dyDescent="0.25">
      <c r="A120" s="109" t="s">
        <v>585</v>
      </c>
      <c r="B120" s="120">
        <f>'User inputs - bird populations'!R30</f>
        <v>1</v>
      </c>
      <c r="C120" s="120">
        <f>'User inputs - bird populations'!R61</f>
        <v>1</v>
      </c>
      <c r="D120" s="120">
        <f>'User inputs - bird populations'!R92</f>
        <v>1</v>
      </c>
      <c r="F120" s="113"/>
      <c r="G120" s="113"/>
      <c r="H120" s="113"/>
    </row>
    <row r="122" spans="1:8" x14ac:dyDescent="0.25">
      <c r="A122" s="110" t="s">
        <v>371</v>
      </c>
    </row>
    <row r="123" spans="1:8" x14ac:dyDescent="0.25">
      <c r="A123" s="109" t="s">
        <v>372</v>
      </c>
      <c r="B123" s="111">
        <f>Results!E8</f>
        <v>0</v>
      </c>
      <c r="C123" s="111">
        <f>Results!F8</f>
        <v>0</v>
      </c>
      <c r="D123" s="111">
        <f>Results!G8</f>
        <v>0</v>
      </c>
    </row>
    <row r="124" spans="1:8" x14ac:dyDescent="0.25">
      <c r="A124" s="109" t="s">
        <v>443</v>
      </c>
      <c r="B124" s="111">
        <f>Results!E10</f>
        <v>0</v>
      </c>
      <c r="C124" s="111">
        <f>Results!F10</f>
        <v>0</v>
      </c>
      <c r="D124" s="111">
        <f>Results!G10</f>
        <v>0</v>
      </c>
    </row>
    <row r="125" spans="1:8" x14ac:dyDescent="0.25">
      <c r="A125" s="109" t="s">
        <v>373</v>
      </c>
      <c r="B125" s="112" t="str">
        <f>Results!E13</f>
        <v>-</v>
      </c>
      <c r="C125" s="112">
        <f>Results!F13</f>
        <v>0</v>
      </c>
      <c r="D125" s="112">
        <f>Results!G13</f>
        <v>0</v>
      </c>
    </row>
    <row r="127" spans="1:8" x14ac:dyDescent="0.25">
      <c r="A127" s="109" t="s">
        <v>478</v>
      </c>
      <c r="B127" s="111">
        <f>Results!E20</f>
        <v>0</v>
      </c>
      <c r="C127" s="111">
        <f>Results!F20</f>
        <v>0</v>
      </c>
      <c r="D127" s="111">
        <f>Results!G20</f>
        <v>0</v>
      </c>
    </row>
    <row r="128" spans="1:8" x14ac:dyDescent="0.25">
      <c r="A128" s="109" t="s">
        <v>479</v>
      </c>
      <c r="B128" s="111">
        <f>Results!E31</f>
        <v>0</v>
      </c>
      <c r="C128" s="111">
        <f>Results!F31</f>
        <v>0</v>
      </c>
      <c r="D128" s="111">
        <f>Results!G31</f>
        <v>0</v>
      </c>
    </row>
    <row r="129" spans="1:4" x14ac:dyDescent="0.25">
      <c r="A129" s="109" t="s">
        <v>480</v>
      </c>
      <c r="B129" s="111">
        <f>Results!E32</f>
        <v>0</v>
      </c>
      <c r="C129" s="111">
        <f>Results!F32</f>
        <v>0</v>
      </c>
      <c r="D129" s="111">
        <f>Results!G32</f>
        <v>0</v>
      </c>
    </row>
    <row r="130" spans="1:4" x14ac:dyDescent="0.25">
      <c r="A130" s="109" t="s">
        <v>481</v>
      </c>
      <c r="B130" s="111">
        <f>Results!E25</f>
        <v>0</v>
      </c>
      <c r="C130" s="111">
        <f>Results!F25</f>
        <v>0</v>
      </c>
      <c r="D130" s="111">
        <f>Results!G25</f>
        <v>0</v>
      </c>
    </row>
    <row r="132" spans="1:4" x14ac:dyDescent="0.25">
      <c r="A132" s="109" t="s">
        <v>482</v>
      </c>
      <c r="B132" s="111">
        <f>Results!E29</f>
        <v>0</v>
      </c>
      <c r="C132" s="111">
        <f>Results!F29</f>
        <v>0</v>
      </c>
      <c r="D132" s="111">
        <f>Results!G29</f>
        <v>0</v>
      </c>
    </row>
    <row r="133" spans="1:4" x14ac:dyDescent="0.25">
      <c r="A133" s="109" t="s">
        <v>483</v>
      </c>
      <c r="B133" s="111">
        <f>Results!E31</f>
        <v>0</v>
      </c>
      <c r="C133" s="111">
        <f>Results!F31</f>
        <v>0</v>
      </c>
      <c r="D133" s="111">
        <f>Results!G31</f>
        <v>0</v>
      </c>
    </row>
    <row r="134" spans="1:4" x14ac:dyDescent="0.25">
      <c r="A134" s="109" t="s">
        <v>484</v>
      </c>
      <c r="B134" s="111">
        <f>Results!E32</f>
        <v>0</v>
      </c>
      <c r="C134" s="111">
        <f>Results!F32</f>
        <v>0</v>
      </c>
      <c r="D134" s="111">
        <f>Results!G32</f>
        <v>0</v>
      </c>
    </row>
    <row r="135" spans="1:4" x14ac:dyDescent="0.25">
      <c r="A135" s="109" t="s">
        <v>586</v>
      </c>
      <c r="B135" s="111">
        <f>Results!E34</f>
        <v>0</v>
      </c>
      <c r="C135" s="111">
        <f>Results!F34</f>
        <v>0</v>
      </c>
      <c r="D135" s="111">
        <f>Results!G34</f>
        <v>0</v>
      </c>
    </row>
    <row r="137" spans="1:4" x14ac:dyDescent="0.25">
      <c r="A137" s="109" t="s">
        <v>450</v>
      </c>
      <c r="B137" s="111">
        <f>Results!E41</f>
        <v>0</v>
      </c>
      <c r="C137" s="111">
        <f>Results!F41</f>
        <v>0</v>
      </c>
      <c r="D137" s="111">
        <f>Results!G41</f>
        <v>0</v>
      </c>
    </row>
    <row r="138" spans="1:4" x14ac:dyDescent="0.25">
      <c r="A138" s="109" t="s">
        <v>451</v>
      </c>
      <c r="B138" s="111">
        <f>Results!E43</f>
        <v>0</v>
      </c>
      <c r="C138" s="111">
        <f>Results!F43</f>
        <v>0</v>
      </c>
      <c r="D138" s="111">
        <f>Results!G43</f>
        <v>0</v>
      </c>
    </row>
    <row r="139" spans="1:4" x14ac:dyDescent="0.25">
      <c r="A139" s="109" t="s">
        <v>452</v>
      </c>
      <c r="B139" s="111">
        <f>Results!E44</f>
        <v>0</v>
      </c>
      <c r="C139" s="111">
        <f>Results!F44</f>
        <v>0</v>
      </c>
      <c r="D139" s="111">
        <f>Results!G44</f>
        <v>0</v>
      </c>
    </row>
    <row r="140" spans="1:4" x14ac:dyDescent="0.25">
      <c r="A140" s="109" t="s">
        <v>453</v>
      </c>
      <c r="B140" s="111">
        <f>Results!E46</f>
        <v>0</v>
      </c>
      <c r="C140" s="111">
        <f>Results!F46</f>
        <v>0</v>
      </c>
      <c r="D140" s="111">
        <f>Results!G46</f>
        <v>0</v>
      </c>
    </row>
    <row r="142" spans="1:4" x14ac:dyDescent="0.25">
      <c r="A142" s="109" t="s">
        <v>454</v>
      </c>
      <c r="B142" s="111">
        <f>Results!E50</f>
        <v>0</v>
      </c>
      <c r="C142" s="111">
        <f>Results!F50</f>
        <v>0</v>
      </c>
      <c r="D142" s="111">
        <f>Results!G50</f>
        <v>0</v>
      </c>
    </row>
    <row r="143" spans="1:4" x14ac:dyDescent="0.25">
      <c r="A143" s="109" t="s">
        <v>455</v>
      </c>
      <c r="B143" s="111">
        <f>Results!E52</f>
        <v>0</v>
      </c>
      <c r="C143" s="111">
        <f>Results!F52</f>
        <v>0</v>
      </c>
      <c r="D143" s="111">
        <f>Results!G52</f>
        <v>0</v>
      </c>
    </row>
    <row r="144" spans="1:4" x14ac:dyDescent="0.25">
      <c r="A144" s="109" t="s">
        <v>456</v>
      </c>
      <c r="B144" s="111">
        <f>Results!E53</f>
        <v>0</v>
      </c>
      <c r="C144" s="111">
        <f>Results!F53</f>
        <v>0</v>
      </c>
      <c r="D144" s="111">
        <f>Results!G53</f>
        <v>0</v>
      </c>
    </row>
    <row r="145" spans="1:4" x14ac:dyDescent="0.25">
      <c r="A145" s="109" t="s">
        <v>587</v>
      </c>
      <c r="B145" s="111">
        <f>Results!E55</f>
        <v>0</v>
      </c>
      <c r="C145" s="111">
        <f>Results!F55</f>
        <v>0</v>
      </c>
      <c r="D145" s="111">
        <f>Results!G55</f>
        <v>0</v>
      </c>
    </row>
    <row r="147" spans="1:4" x14ac:dyDescent="0.25">
      <c r="A147" s="109" t="s">
        <v>444</v>
      </c>
      <c r="B147" s="111">
        <f>Results!J8</f>
        <v>0</v>
      </c>
      <c r="C147" s="111">
        <f>Results!K8</f>
        <v>0</v>
      </c>
      <c r="D147" s="111">
        <f>Results!L8</f>
        <v>0</v>
      </c>
    </row>
    <row r="148" spans="1:4" x14ac:dyDescent="0.25">
      <c r="A148" s="109" t="s">
        <v>445</v>
      </c>
      <c r="B148" s="111">
        <f>Results!J10</f>
        <v>0</v>
      </c>
      <c r="C148" s="111">
        <f>Results!K10</f>
        <v>0</v>
      </c>
      <c r="D148" s="111">
        <f>Results!L10</f>
        <v>0</v>
      </c>
    </row>
    <row r="149" spans="1:4" x14ac:dyDescent="0.25">
      <c r="A149" s="109" t="s">
        <v>446</v>
      </c>
      <c r="B149" s="112" t="str">
        <f>Results!J13</f>
        <v>-</v>
      </c>
      <c r="C149" s="112">
        <f>Results!K13</f>
        <v>0</v>
      </c>
      <c r="D149" s="112">
        <f>Results!L13</f>
        <v>0</v>
      </c>
    </row>
    <row r="150" spans="1:4" x14ac:dyDescent="0.25">
      <c r="B150" s="111"/>
      <c r="C150" s="111"/>
      <c r="D150" s="111"/>
    </row>
    <row r="151" spans="1:4" x14ac:dyDescent="0.25">
      <c r="A151" s="109" t="s">
        <v>485</v>
      </c>
      <c r="B151" s="111">
        <f>Results!J20</f>
        <v>0</v>
      </c>
      <c r="C151" s="111">
        <f>Results!K20</f>
        <v>0</v>
      </c>
      <c r="D151" s="111">
        <f>Results!L20</f>
        <v>0</v>
      </c>
    </row>
    <row r="152" spans="1:4" x14ac:dyDescent="0.25">
      <c r="A152" s="109" t="s">
        <v>486</v>
      </c>
      <c r="B152" s="111">
        <f>Results!J22</f>
        <v>0</v>
      </c>
      <c r="C152" s="111">
        <f>Results!K22</f>
        <v>0</v>
      </c>
      <c r="D152" s="111">
        <f>Results!L22</f>
        <v>0</v>
      </c>
    </row>
    <row r="153" spans="1:4" x14ac:dyDescent="0.25">
      <c r="A153" s="109" t="s">
        <v>487</v>
      </c>
      <c r="B153" s="111">
        <f>Results!J23</f>
        <v>0</v>
      </c>
      <c r="C153" s="111">
        <f>Results!K23</f>
        <v>0</v>
      </c>
      <c r="D153" s="111">
        <f>Results!L23</f>
        <v>0</v>
      </c>
    </row>
    <row r="154" spans="1:4" x14ac:dyDescent="0.25">
      <c r="A154" s="109" t="s">
        <v>488</v>
      </c>
      <c r="B154" s="111">
        <f>Results!J25</f>
        <v>0</v>
      </c>
      <c r="C154" s="111">
        <f>Results!K25</f>
        <v>0</v>
      </c>
      <c r="D154" s="111">
        <f>Results!L25</f>
        <v>0</v>
      </c>
    </row>
    <row r="156" spans="1:4" x14ac:dyDescent="0.25">
      <c r="A156" s="109" t="s">
        <v>489</v>
      </c>
      <c r="B156" s="111">
        <f>Results!J29</f>
        <v>0</v>
      </c>
      <c r="C156" s="111">
        <f>Results!K29</f>
        <v>0</v>
      </c>
      <c r="D156" s="111">
        <f>Results!L29</f>
        <v>0</v>
      </c>
    </row>
    <row r="157" spans="1:4" x14ac:dyDescent="0.25">
      <c r="A157" s="109" t="s">
        <v>490</v>
      </c>
      <c r="B157" s="111">
        <f>Results!J31</f>
        <v>0</v>
      </c>
      <c r="C157" s="111">
        <f>Results!K31</f>
        <v>0</v>
      </c>
      <c r="D157" s="111">
        <f>Results!L31</f>
        <v>0</v>
      </c>
    </row>
    <row r="158" spans="1:4" x14ac:dyDescent="0.25">
      <c r="A158" s="109" t="s">
        <v>491</v>
      </c>
      <c r="B158" s="111">
        <f>Results!J32</f>
        <v>0</v>
      </c>
      <c r="C158" s="111">
        <f>Results!K32</f>
        <v>0</v>
      </c>
      <c r="D158" s="111">
        <f>Results!L32</f>
        <v>0</v>
      </c>
    </row>
    <row r="159" spans="1:4" x14ac:dyDescent="0.25">
      <c r="A159" s="109" t="s">
        <v>588</v>
      </c>
      <c r="B159" s="111">
        <f>Results!J34</f>
        <v>0</v>
      </c>
      <c r="C159" s="111">
        <f>Results!K34</f>
        <v>0</v>
      </c>
      <c r="D159" s="111">
        <f>Results!L34</f>
        <v>0</v>
      </c>
    </row>
    <row r="161" spans="1:4" x14ac:dyDescent="0.25">
      <c r="A161" s="109" t="s">
        <v>457</v>
      </c>
      <c r="B161" s="111">
        <f>Results!J41</f>
        <v>0</v>
      </c>
      <c r="C161" s="111">
        <f>Results!K41</f>
        <v>0</v>
      </c>
      <c r="D161" s="111">
        <f>Results!L41</f>
        <v>0</v>
      </c>
    </row>
    <row r="162" spans="1:4" x14ac:dyDescent="0.25">
      <c r="A162" s="109" t="s">
        <v>458</v>
      </c>
      <c r="B162" s="111">
        <f>Results!J43</f>
        <v>0</v>
      </c>
      <c r="C162" s="111">
        <f>Results!K43</f>
        <v>0</v>
      </c>
      <c r="D162" s="111">
        <f>Results!L43</f>
        <v>0</v>
      </c>
    </row>
    <row r="163" spans="1:4" x14ac:dyDescent="0.25">
      <c r="A163" s="109" t="s">
        <v>459</v>
      </c>
      <c r="B163" s="111">
        <f>Results!J44</f>
        <v>0</v>
      </c>
      <c r="C163" s="111">
        <f>Results!K44</f>
        <v>0</v>
      </c>
      <c r="D163" s="111">
        <f>Results!L44</f>
        <v>0</v>
      </c>
    </row>
    <row r="164" spans="1:4" x14ac:dyDescent="0.25">
      <c r="A164" s="109" t="s">
        <v>460</v>
      </c>
      <c r="B164" s="111">
        <f>Results!J46</f>
        <v>0</v>
      </c>
      <c r="C164" s="111">
        <f>Results!K46</f>
        <v>0</v>
      </c>
      <c r="D164" s="111">
        <f>Results!L46</f>
        <v>0</v>
      </c>
    </row>
    <row r="166" spans="1:4" x14ac:dyDescent="0.25">
      <c r="A166" s="109" t="s">
        <v>461</v>
      </c>
      <c r="B166" s="111">
        <f>Results!J50</f>
        <v>0</v>
      </c>
      <c r="C166" s="111">
        <f>Results!K50</f>
        <v>0</v>
      </c>
      <c r="D166" s="111">
        <f>Results!L50</f>
        <v>0</v>
      </c>
    </row>
    <row r="167" spans="1:4" x14ac:dyDescent="0.25">
      <c r="A167" s="109" t="s">
        <v>462</v>
      </c>
      <c r="B167" s="111">
        <f>Results!J52</f>
        <v>0</v>
      </c>
      <c r="C167" s="111">
        <f>Results!K52</f>
        <v>0</v>
      </c>
      <c r="D167" s="111">
        <f>Results!L52</f>
        <v>0</v>
      </c>
    </row>
    <row r="168" spans="1:4" x14ac:dyDescent="0.25">
      <c r="A168" s="109" t="s">
        <v>463</v>
      </c>
      <c r="B168" s="111">
        <f>Results!J53</f>
        <v>0</v>
      </c>
      <c r="C168" s="111">
        <f>Results!K53</f>
        <v>0</v>
      </c>
      <c r="D168" s="111">
        <f>Results!L53</f>
        <v>0</v>
      </c>
    </row>
    <row r="169" spans="1:4" x14ac:dyDescent="0.25">
      <c r="A169" s="109" t="s">
        <v>589</v>
      </c>
      <c r="B169" s="111">
        <f>Results!J55</f>
        <v>0</v>
      </c>
      <c r="C169" s="111">
        <f>Results!K55</f>
        <v>0</v>
      </c>
      <c r="D169" s="111">
        <f>Results!L55</f>
        <v>0</v>
      </c>
    </row>
    <row r="171" spans="1:4" x14ac:dyDescent="0.25">
      <c r="A171" s="109" t="s">
        <v>447</v>
      </c>
      <c r="B171" s="111">
        <f>Results!O8</f>
        <v>0</v>
      </c>
      <c r="C171" s="111">
        <f>Results!P8</f>
        <v>0</v>
      </c>
      <c r="D171" s="111">
        <f>Results!Q8</f>
        <v>0</v>
      </c>
    </row>
    <row r="172" spans="1:4" x14ac:dyDescent="0.25">
      <c r="A172" s="109" t="s">
        <v>448</v>
      </c>
      <c r="B172" s="111">
        <f>Results!O10</f>
        <v>0</v>
      </c>
      <c r="C172" s="111">
        <f>Results!P10</f>
        <v>0</v>
      </c>
      <c r="D172" s="111">
        <f>Results!Q10</f>
        <v>0</v>
      </c>
    </row>
    <row r="173" spans="1:4" x14ac:dyDescent="0.25">
      <c r="A173" s="109" t="s">
        <v>449</v>
      </c>
      <c r="B173" s="112" t="str">
        <f>Results!O13</f>
        <v>-</v>
      </c>
      <c r="C173" s="112">
        <f>Results!P13</f>
        <v>0</v>
      </c>
      <c r="D173" s="112">
        <f>Results!Q13</f>
        <v>0</v>
      </c>
    </row>
    <row r="175" spans="1:4" x14ac:dyDescent="0.25">
      <c r="A175" s="109" t="s">
        <v>492</v>
      </c>
      <c r="B175" s="111">
        <f>Results!O20</f>
        <v>0</v>
      </c>
      <c r="C175" s="111">
        <f>Results!P20</f>
        <v>0</v>
      </c>
      <c r="D175" s="111">
        <f>Results!Q20</f>
        <v>0</v>
      </c>
    </row>
    <row r="176" spans="1:4" x14ac:dyDescent="0.25">
      <c r="A176" s="109" t="s">
        <v>495</v>
      </c>
      <c r="B176" s="111">
        <f>Results!O21</f>
        <v>0</v>
      </c>
      <c r="C176" s="111">
        <f>Results!P21</f>
        <v>0</v>
      </c>
      <c r="D176" s="111">
        <f>Results!Q21</f>
        <v>0</v>
      </c>
    </row>
    <row r="177" spans="1:4" x14ac:dyDescent="0.25">
      <c r="A177" s="109" t="s">
        <v>493</v>
      </c>
      <c r="B177" s="111">
        <f>Results!O25</f>
        <v>0</v>
      </c>
      <c r="C177" s="111">
        <f>Results!P25</f>
        <v>0</v>
      </c>
      <c r="D177" s="111">
        <f>Results!Q25</f>
        <v>0</v>
      </c>
    </row>
    <row r="179" spans="1:4" x14ac:dyDescent="0.25">
      <c r="A179" s="109" t="s">
        <v>494</v>
      </c>
      <c r="B179" s="111">
        <f>Results!O29</f>
        <v>0</v>
      </c>
      <c r="C179" s="111">
        <f>Results!P29</f>
        <v>0</v>
      </c>
      <c r="D179" s="111">
        <f>Results!Q29</f>
        <v>0</v>
      </c>
    </row>
    <row r="180" spans="1:4" x14ac:dyDescent="0.25">
      <c r="A180" s="109" t="s">
        <v>496</v>
      </c>
      <c r="B180" s="111">
        <f>Results!O30</f>
        <v>0</v>
      </c>
      <c r="C180" s="111">
        <f>Results!P30</f>
        <v>0</v>
      </c>
      <c r="D180" s="111">
        <f>Results!Q30</f>
        <v>0</v>
      </c>
    </row>
    <row r="181" spans="1:4" x14ac:dyDescent="0.25">
      <c r="A181" s="109" t="s">
        <v>590</v>
      </c>
      <c r="B181" s="111">
        <f>Results!O34</f>
        <v>0</v>
      </c>
      <c r="C181" s="111">
        <f>Results!P34</f>
        <v>0</v>
      </c>
      <c r="D181" s="111">
        <f>Results!Q34</f>
        <v>0</v>
      </c>
    </row>
    <row r="183" spans="1:4" x14ac:dyDescent="0.25">
      <c r="A183" s="109" t="s">
        <v>497</v>
      </c>
      <c r="B183" s="111">
        <f>Results!T8</f>
        <v>0</v>
      </c>
      <c r="C183" s="111">
        <f>Results!U8</f>
        <v>0</v>
      </c>
      <c r="D183" s="111">
        <f>Results!V8</f>
        <v>0</v>
      </c>
    </row>
    <row r="184" spans="1:4" x14ac:dyDescent="0.25">
      <c r="A184" s="109" t="s">
        <v>498</v>
      </c>
      <c r="B184" s="111">
        <f>Results!T10</f>
        <v>0</v>
      </c>
      <c r="C184" s="111">
        <f>Results!U10</f>
        <v>0</v>
      </c>
      <c r="D184" s="111">
        <f>Results!V10</f>
        <v>0</v>
      </c>
    </row>
    <row r="185" spans="1:4" x14ac:dyDescent="0.25">
      <c r="A185" s="109" t="s">
        <v>499</v>
      </c>
      <c r="B185" s="112" t="str">
        <f>Results!T13</f>
        <v>-</v>
      </c>
      <c r="C185" s="112">
        <f>Results!U13</f>
        <v>0</v>
      </c>
      <c r="D185" s="112">
        <f>Results!V13</f>
        <v>0</v>
      </c>
    </row>
    <row r="186" spans="1:4" x14ac:dyDescent="0.25">
      <c r="B186" s="111"/>
      <c r="C186" s="111"/>
      <c r="D186" s="111"/>
    </row>
    <row r="187" spans="1:4" x14ac:dyDescent="0.25">
      <c r="A187" s="109" t="s">
        <v>500</v>
      </c>
      <c r="B187" s="111">
        <f>Results!T20</f>
        <v>0</v>
      </c>
      <c r="C187" s="111">
        <f>Results!U20</f>
        <v>0</v>
      </c>
      <c r="D187" s="111">
        <f>Results!V20</f>
        <v>0</v>
      </c>
    </row>
    <row r="188" spans="1:4" x14ac:dyDescent="0.25">
      <c r="A188" s="109" t="s">
        <v>507</v>
      </c>
      <c r="B188" s="111">
        <f>Results!T21</f>
        <v>0</v>
      </c>
      <c r="C188" s="111">
        <f>Results!U21</f>
        <v>0</v>
      </c>
      <c r="D188" s="111">
        <f>Results!V21</f>
        <v>0</v>
      </c>
    </row>
    <row r="189" spans="1:4" x14ac:dyDescent="0.25">
      <c r="A189" s="109" t="s">
        <v>501</v>
      </c>
      <c r="B189" s="111">
        <f>Results!T22</f>
        <v>0</v>
      </c>
      <c r="C189" s="111">
        <f>Results!U22</f>
        <v>0</v>
      </c>
      <c r="D189" s="111">
        <f>Results!V22</f>
        <v>0</v>
      </c>
    </row>
    <row r="190" spans="1:4" x14ac:dyDescent="0.25">
      <c r="A190" s="109" t="s">
        <v>502</v>
      </c>
      <c r="B190" s="111">
        <f>Results!T23</f>
        <v>0</v>
      </c>
      <c r="C190" s="111">
        <f>Results!U23</f>
        <v>0</v>
      </c>
      <c r="D190" s="111">
        <f>Results!V23</f>
        <v>0</v>
      </c>
    </row>
    <row r="191" spans="1:4" x14ac:dyDescent="0.25">
      <c r="A191" s="109" t="s">
        <v>503</v>
      </c>
      <c r="B191" s="111">
        <f>Results!T25</f>
        <v>0</v>
      </c>
      <c r="C191" s="111">
        <f>Results!U25</f>
        <v>0</v>
      </c>
      <c r="D191" s="111">
        <f>Results!V25</f>
        <v>0</v>
      </c>
    </row>
    <row r="193" spans="1:4" x14ac:dyDescent="0.25">
      <c r="A193" s="109" t="s">
        <v>504</v>
      </c>
      <c r="B193" s="111">
        <f>Results!T29</f>
        <v>0</v>
      </c>
      <c r="C193" s="111">
        <f>Results!U29</f>
        <v>0</v>
      </c>
      <c r="D193" s="111">
        <f>Results!V29</f>
        <v>0</v>
      </c>
    </row>
    <row r="194" spans="1:4" x14ac:dyDescent="0.25">
      <c r="A194" s="109" t="s">
        <v>508</v>
      </c>
      <c r="B194" s="111">
        <f>Results!T30</f>
        <v>0</v>
      </c>
      <c r="C194" s="111">
        <f>Results!U30</f>
        <v>0</v>
      </c>
      <c r="D194" s="111">
        <f>Results!V30</f>
        <v>0</v>
      </c>
    </row>
    <row r="195" spans="1:4" x14ac:dyDescent="0.25">
      <c r="A195" s="109" t="s">
        <v>505</v>
      </c>
      <c r="B195" s="111">
        <f>Results!T31</f>
        <v>0</v>
      </c>
      <c r="C195" s="111">
        <f>Results!U31</f>
        <v>0</v>
      </c>
      <c r="D195" s="111">
        <f>Results!V31</f>
        <v>0</v>
      </c>
    </row>
    <row r="196" spans="1:4" x14ac:dyDescent="0.25">
      <c r="A196" s="109" t="s">
        <v>506</v>
      </c>
      <c r="B196" s="111">
        <f>Results!T32</f>
        <v>0</v>
      </c>
      <c r="C196" s="111">
        <f>Results!U32</f>
        <v>0</v>
      </c>
      <c r="D196" s="111">
        <f>Results!V32</f>
        <v>0</v>
      </c>
    </row>
    <row r="197" spans="1:4" x14ac:dyDescent="0.25">
      <c r="A197" s="109" t="s">
        <v>591</v>
      </c>
      <c r="B197" s="111">
        <f>Results!T34</f>
        <v>0</v>
      </c>
      <c r="C197" s="111">
        <f>Results!U34</f>
        <v>0</v>
      </c>
      <c r="D197" s="111">
        <f>Results!V34</f>
        <v>0</v>
      </c>
    </row>
    <row r="199" spans="1:4" x14ac:dyDescent="0.25">
      <c r="A199" s="109" t="s">
        <v>509</v>
      </c>
      <c r="B199" s="111">
        <f>Results!Y8</f>
        <v>0</v>
      </c>
      <c r="C199" s="111">
        <f>Results!Z8</f>
        <v>0</v>
      </c>
      <c r="D199" s="111">
        <f>Results!AA8</f>
        <v>0</v>
      </c>
    </row>
    <row r="200" spans="1:4" x14ac:dyDescent="0.25">
      <c r="A200" s="109" t="s">
        <v>510</v>
      </c>
      <c r="B200" s="111">
        <f>Results!Y10</f>
        <v>0</v>
      </c>
      <c r="C200" s="111">
        <f>Results!Z10</f>
        <v>0</v>
      </c>
      <c r="D200" s="111">
        <f>Results!AA10</f>
        <v>0</v>
      </c>
    </row>
    <row r="201" spans="1:4" x14ac:dyDescent="0.25">
      <c r="A201" s="109" t="s">
        <v>511</v>
      </c>
      <c r="B201" s="112" t="str">
        <f>Results!Y13</f>
        <v>-</v>
      </c>
      <c r="C201" s="112">
        <f>Results!Z13</f>
        <v>0</v>
      </c>
      <c r="D201" s="112">
        <f>Results!AA13</f>
        <v>0</v>
      </c>
    </row>
    <row r="203" spans="1:4" x14ac:dyDescent="0.25">
      <c r="A203" s="109" t="s">
        <v>512</v>
      </c>
      <c r="B203" s="111">
        <f>Results!Y20</f>
        <v>0</v>
      </c>
      <c r="C203" s="111">
        <f>Results!Z20</f>
        <v>0</v>
      </c>
      <c r="D203" s="111">
        <f>Results!AA20</f>
        <v>0</v>
      </c>
    </row>
    <row r="204" spans="1:4" x14ac:dyDescent="0.25">
      <c r="A204" s="109" t="s">
        <v>513</v>
      </c>
      <c r="B204" s="111">
        <f>Results!Y21</f>
        <v>0</v>
      </c>
      <c r="C204" s="111">
        <f>Results!Z21</f>
        <v>0</v>
      </c>
      <c r="D204" s="111">
        <f>Results!AA21</f>
        <v>0</v>
      </c>
    </row>
    <row r="205" spans="1:4" x14ac:dyDescent="0.25">
      <c r="A205" s="109" t="s">
        <v>514</v>
      </c>
      <c r="B205" s="111">
        <f>Results!Y25</f>
        <v>0</v>
      </c>
      <c r="C205" s="111">
        <f>Results!Z25</f>
        <v>0</v>
      </c>
      <c r="D205" s="111">
        <f>Results!AA25</f>
        <v>0</v>
      </c>
    </row>
    <row r="207" spans="1:4" x14ac:dyDescent="0.25">
      <c r="A207" s="109" t="s">
        <v>515</v>
      </c>
      <c r="B207" s="111">
        <f>Results!Y29</f>
        <v>0</v>
      </c>
      <c r="C207" s="111">
        <f>Results!Z29</f>
        <v>0</v>
      </c>
      <c r="D207" s="111">
        <f>Results!AA29</f>
        <v>0</v>
      </c>
    </row>
    <row r="208" spans="1:4" x14ac:dyDescent="0.25">
      <c r="A208" s="109" t="s">
        <v>516</v>
      </c>
      <c r="B208" s="111">
        <f>Results!Y30</f>
        <v>0</v>
      </c>
      <c r="C208" s="111">
        <f>Results!Z30</f>
        <v>0</v>
      </c>
      <c r="D208" s="111">
        <f>Results!AA30</f>
        <v>0</v>
      </c>
    </row>
    <row r="209" spans="1:4" x14ac:dyDescent="0.25">
      <c r="A209" s="109" t="s">
        <v>516</v>
      </c>
      <c r="B209" s="111">
        <f>Results!Y34</f>
        <v>0</v>
      </c>
      <c r="C209" s="111">
        <f>Results!Z34</f>
        <v>0</v>
      </c>
      <c r="D209" s="111">
        <f>Results!AA34</f>
        <v>0</v>
      </c>
    </row>
  </sheetData>
  <sheetProtection sheet="1" objects="1" scenarios="1"/>
  <mergeCells count="1">
    <mergeCell ref="B70:D70"/>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85C8-3056-40B3-BB6F-BED181866840}">
  <sheetPr codeName="Sheet5"/>
  <dimension ref="B1:AI125"/>
  <sheetViews>
    <sheetView zoomScale="55" zoomScaleNormal="55" workbookViewId="0"/>
  </sheetViews>
  <sheetFormatPr defaultColWidth="8.7109375" defaultRowHeight="14.25" x14ac:dyDescent="0.2"/>
  <cols>
    <col min="1" max="1" width="8.7109375" style="14" customWidth="1"/>
    <col min="2" max="2" width="59.28515625" style="14" bestFit="1" customWidth="1"/>
    <col min="3" max="3" width="11.140625" style="14" customWidth="1"/>
    <col min="4" max="15" width="11.42578125" style="14" customWidth="1"/>
    <col min="16" max="16" width="4.85546875" style="14" customWidth="1"/>
    <col min="17" max="17" width="13" style="14" customWidth="1"/>
    <col min="18" max="19" width="7.5703125" style="14" customWidth="1"/>
    <col min="20" max="20" width="59.28515625" style="14" bestFit="1" customWidth="1"/>
    <col min="21" max="21" width="11.140625" style="14" customWidth="1"/>
    <col min="22" max="33" width="11.42578125" style="14" customWidth="1"/>
    <col min="34" max="34" width="4.85546875" style="14" customWidth="1"/>
    <col min="35" max="35" width="13" style="14" customWidth="1"/>
    <col min="36" max="16384" width="8.7109375" style="14"/>
  </cols>
  <sheetData>
    <row r="1" spans="2:22" ht="15" x14ac:dyDescent="0.25">
      <c r="B1" s="15"/>
    </row>
    <row r="2" spans="2:22" ht="23.25" x14ac:dyDescent="0.3">
      <c r="B2" s="154" t="s">
        <v>360</v>
      </c>
      <c r="C2" s="154"/>
      <c r="D2" s="19"/>
    </row>
    <row r="3" spans="2:22" ht="15" x14ac:dyDescent="0.25">
      <c r="D3" s="15"/>
    </row>
    <row r="4" spans="2:22" ht="18" x14ac:dyDescent="0.25">
      <c r="B4" s="31" t="s">
        <v>313</v>
      </c>
      <c r="D4" s="15"/>
      <c r="R4" s="36"/>
      <c r="S4" s="52"/>
      <c r="T4" s="31" t="s">
        <v>314</v>
      </c>
      <c r="V4" s="15"/>
    </row>
    <row r="5" spans="2:22" ht="15" x14ac:dyDescent="0.25">
      <c r="D5" s="15"/>
      <c r="R5" s="36"/>
      <c r="S5" s="52"/>
      <c r="V5" s="15"/>
    </row>
    <row r="6" spans="2:22" ht="15" x14ac:dyDescent="0.25">
      <c r="B6" s="15" t="s">
        <v>301</v>
      </c>
      <c r="R6" s="36"/>
      <c r="S6" s="52"/>
      <c r="T6" s="15" t="s">
        <v>301</v>
      </c>
    </row>
    <row r="7" spans="2:22" x14ac:dyDescent="0.2">
      <c r="B7" s="14" t="s">
        <v>18</v>
      </c>
      <c r="C7" s="94" t="s">
        <v>16</v>
      </c>
      <c r="R7" s="36"/>
      <c r="S7" s="52"/>
      <c r="T7" s="14" t="s">
        <v>18</v>
      </c>
      <c r="U7" s="94" t="s">
        <v>13</v>
      </c>
    </row>
    <row r="8" spans="2:22" x14ac:dyDescent="0.2">
      <c r="B8" s="14" t="s">
        <v>302</v>
      </c>
      <c r="C8" s="94">
        <f>'Default parameters'!C7</f>
        <v>13.1</v>
      </c>
      <c r="R8" s="36"/>
      <c r="S8" s="52"/>
      <c r="T8" s="14" t="s">
        <v>302</v>
      </c>
      <c r="U8" s="94">
        <f>'Default parameters'!D7</f>
        <v>14.9</v>
      </c>
    </row>
    <row r="9" spans="2:22" x14ac:dyDescent="0.2">
      <c r="B9" s="14" t="s">
        <v>303</v>
      </c>
      <c r="C9" s="101">
        <f>'User inputs - bird impacts'!E22</f>
        <v>0</v>
      </c>
      <c r="R9" s="36"/>
      <c r="S9" s="52"/>
      <c r="T9" s="14" t="s">
        <v>303</v>
      </c>
      <c r="U9" s="116">
        <f>'User inputs - bird impacts'!G22</f>
        <v>0</v>
      </c>
    </row>
    <row r="10" spans="2:22" x14ac:dyDescent="0.2">
      <c r="C10" s="29"/>
      <c r="R10" s="36"/>
      <c r="S10" s="52"/>
      <c r="U10" s="29"/>
    </row>
    <row r="11" spans="2:22" ht="15" x14ac:dyDescent="0.25">
      <c r="B11" s="15" t="s">
        <v>33</v>
      </c>
      <c r="C11" s="44"/>
      <c r="D11" s="34"/>
      <c r="R11" s="36"/>
      <c r="S11" s="52"/>
      <c r="T11" s="15" t="s">
        <v>33</v>
      </c>
      <c r="U11" s="44"/>
      <c r="V11" s="34"/>
    </row>
    <row r="12" spans="2:22" x14ac:dyDescent="0.2">
      <c r="B12" s="14" t="s">
        <v>304</v>
      </c>
      <c r="C12" s="94">
        <f>'User inputs - run and wind farm'!D15</f>
        <v>0</v>
      </c>
      <c r="D12" s="34"/>
      <c r="R12" s="36"/>
      <c r="S12" s="52"/>
      <c r="T12" s="14" t="s">
        <v>304</v>
      </c>
      <c r="U12" s="94">
        <f>'User inputs - run and wind farm'!D15</f>
        <v>0</v>
      </c>
      <c r="V12" s="34"/>
    </row>
    <row r="13" spans="2:22" x14ac:dyDescent="0.2">
      <c r="B13" s="14" t="s">
        <v>21</v>
      </c>
      <c r="C13" s="94">
        <f>'User inputs - run and wind farm'!D17</f>
        <v>0</v>
      </c>
      <c r="D13" s="34"/>
      <c r="R13" s="36"/>
      <c r="S13" s="52"/>
      <c r="T13" s="14" t="s">
        <v>21</v>
      </c>
      <c r="U13" s="94">
        <f>'User inputs - run and wind farm'!D17</f>
        <v>0</v>
      </c>
      <c r="V13" s="34"/>
    </row>
    <row r="14" spans="2:22" x14ac:dyDescent="0.2">
      <c r="B14" s="14" t="s">
        <v>305</v>
      </c>
      <c r="C14" s="94">
        <f>'User inputs - run and wind farm'!D19/2</f>
        <v>0</v>
      </c>
      <c r="D14" s="34"/>
      <c r="R14" s="36"/>
      <c r="S14" s="52"/>
      <c r="T14" s="14" t="s">
        <v>305</v>
      </c>
      <c r="U14" s="94">
        <f>'User inputs - run and wind farm'!D19/2</f>
        <v>0</v>
      </c>
      <c r="V14" s="34"/>
    </row>
    <row r="15" spans="2:22" x14ac:dyDescent="0.2">
      <c r="B15" s="14" t="s">
        <v>306</v>
      </c>
      <c r="C15" s="94">
        <f>'User inputs - run and wind farm'!D23</f>
        <v>0</v>
      </c>
      <c r="D15" s="34"/>
      <c r="R15" s="36"/>
      <c r="S15" s="52"/>
      <c r="T15" s="14" t="s">
        <v>306</v>
      </c>
      <c r="U15" s="94">
        <f>'User inputs - run and wind farm'!D23</f>
        <v>0</v>
      </c>
      <c r="V15" s="34"/>
    </row>
    <row r="16" spans="2:22" ht="16.5" x14ac:dyDescent="0.2">
      <c r="B16" s="14" t="s">
        <v>307</v>
      </c>
      <c r="C16" s="94">
        <f>C13*PI()*C14*C14</f>
        <v>0</v>
      </c>
      <c r="D16" s="34"/>
      <c r="R16" s="36"/>
      <c r="S16" s="52"/>
      <c r="T16" s="14" t="s">
        <v>307</v>
      </c>
      <c r="U16" s="94">
        <f>U13*PI()*U14*U14</f>
        <v>0</v>
      </c>
      <c r="V16" s="34"/>
    </row>
    <row r="17" spans="2:33" x14ac:dyDescent="0.2">
      <c r="C17" s="39"/>
      <c r="D17" s="34"/>
      <c r="R17" s="36"/>
      <c r="S17" s="52"/>
      <c r="U17" s="39"/>
      <c r="V17" s="34"/>
    </row>
    <row r="18" spans="2:33" x14ac:dyDescent="0.2">
      <c r="B18" s="14" t="s">
        <v>281</v>
      </c>
      <c r="D18" s="29" t="s">
        <v>0</v>
      </c>
      <c r="E18" s="29" t="s">
        <v>1</v>
      </c>
      <c r="F18" s="29" t="s">
        <v>2</v>
      </c>
      <c r="G18" s="29" t="s">
        <v>3</v>
      </c>
      <c r="H18" s="29" t="s">
        <v>4</v>
      </c>
      <c r="I18" s="29" t="s">
        <v>5</v>
      </c>
      <c r="J18" s="29" t="s">
        <v>6</v>
      </c>
      <c r="K18" s="29" t="s">
        <v>7</v>
      </c>
      <c r="L18" s="29" t="s">
        <v>8</v>
      </c>
      <c r="M18" s="29" t="s">
        <v>9</v>
      </c>
      <c r="N18" s="29" t="s">
        <v>10</v>
      </c>
      <c r="O18" s="29" t="s">
        <v>11</v>
      </c>
      <c r="R18" s="36"/>
      <c r="S18" s="52"/>
      <c r="T18" s="14" t="s">
        <v>281</v>
      </c>
      <c r="V18" s="29" t="s">
        <v>0</v>
      </c>
      <c r="W18" s="29" t="s">
        <v>1</v>
      </c>
      <c r="X18" s="29" t="s">
        <v>2</v>
      </c>
      <c r="Y18" s="29" t="s">
        <v>3</v>
      </c>
      <c r="Z18" s="29" t="s">
        <v>4</v>
      </c>
      <c r="AA18" s="29" t="s">
        <v>5</v>
      </c>
      <c r="AB18" s="29" t="s">
        <v>6</v>
      </c>
      <c r="AC18" s="29" t="s">
        <v>7</v>
      </c>
      <c r="AD18" s="29" t="s">
        <v>8</v>
      </c>
      <c r="AE18" s="29" t="s">
        <v>9</v>
      </c>
      <c r="AF18" s="29" t="s">
        <v>10</v>
      </c>
      <c r="AG18" s="29" t="s">
        <v>11</v>
      </c>
    </row>
    <row r="19" spans="2:33" ht="10.5" customHeight="1" x14ac:dyDescent="0.2">
      <c r="D19" s="29"/>
      <c r="E19" s="29"/>
      <c r="F19" s="29"/>
      <c r="G19" s="29"/>
      <c r="H19" s="29"/>
      <c r="I19" s="29"/>
      <c r="J19" s="29"/>
      <c r="K19" s="29"/>
      <c r="L19" s="29"/>
      <c r="M19" s="29"/>
      <c r="N19" s="29"/>
      <c r="O19" s="29"/>
      <c r="R19" s="36"/>
      <c r="S19" s="52"/>
      <c r="V19" s="29"/>
      <c r="W19" s="29"/>
      <c r="X19" s="29"/>
      <c r="Y19" s="29"/>
      <c r="Z19" s="29"/>
      <c r="AA19" s="29"/>
      <c r="AB19" s="29"/>
      <c r="AC19" s="29"/>
      <c r="AD19" s="29"/>
      <c r="AE19" s="29"/>
      <c r="AF19" s="29"/>
      <c r="AG19" s="29"/>
    </row>
    <row r="20" spans="2:33" ht="42" customHeight="1" x14ac:dyDescent="0.2">
      <c r="B20" s="14" t="s">
        <v>282</v>
      </c>
      <c r="D20" s="96" t="str">
        <f>VLOOKUP(D18,'Default parameters'!$G$4:$K$15,2,FALSE)</f>
        <v>Return migration</v>
      </c>
      <c r="E20" s="96" t="str">
        <f>VLOOKUP(E18,'Default parameters'!$G$4:$K$15,2,FALSE)</f>
        <v>Return migration</v>
      </c>
      <c r="F20" s="96" t="str">
        <f>VLOOKUP(F18,'Default parameters'!$G$4:$K$15,2,FALSE)</f>
        <v>Return migration</v>
      </c>
      <c r="G20" s="96" t="str">
        <f>VLOOKUP(G18,'Default parameters'!$G$4:$K$15,2,FALSE)</f>
        <v>Return migration</v>
      </c>
      <c r="H20" s="96" t="str">
        <f>VLOOKUP(H18,'Default parameters'!$G$4:$K$15,2,FALSE)</f>
        <v>Breeding</v>
      </c>
      <c r="I20" s="96" t="str">
        <f>VLOOKUP(I18,'Default parameters'!$G$4:$K$15,2,FALSE)</f>
        <v>Breeding</v>
      </c>
      <c r="J20" s="96" t="str">
        <f>VLOOKUP(J18,'Default parameters'!$G$4:$K$15,2,FALSE)</f>
        <v>Breeding</v>
      </c>
      <c r="K20" s="96" t="str">
        <f>VLOOKUP(K18,'Default parameters'!$G$4:$K$15,2,FALSE)</f>
        <v>Post-breeding migration</v>
      </c>
      <c r="L20" s="96" t="str">
        <f>VLOOKUP(L18,'Default parameters'!$G$4:$K$15,2,FALSE)</f>
        <v>Post-breeding migration</v>
      </c>
      <c r="M20" s="96" t="str">
        <f>VLOOKUP(M18,'Default parameters'!$G$4:$K$15,2,FALSE)</f>
        <v>Post-breeding migration</v>
      </c>
      <c r="N20" s="96" t="str">
        <f>VLOOKUP(N18,'Default parameters'!$G$4:$K$15,2,FALSE)</f>
        <v>Post-breeding migration</v>
      </c>
      <c r="O20" s="96" t="str">
        <f>VLOOKUP(O18,'Default parameters'!$G$4:$K$15,2,FALSE)</f>
        <v>Post-breeding migration</v>
      </c>
      <c r="R20" s="36"/>
      <c r="S20" s="52"/>
      <c r="T20" s="14" t="s">
        <v>282</v>
      </c>
      <c r="V20" s="96" t="str">
        <f>VLOOKUP(V18,'Default parameters'!$G$4:$K$15,4,FALSE)</f>
        <v>Return migration</v>
      </c>
      <c r="W20" s="96" t="str">
        <f>VLOOKUP(W18,'Default parameters'!$G$4:$K$15,4,FALSE)</f>
        <v>Return migration</v>
      </c>
      <c r="X20" s="96" t="str">
        <f>VLOOKUP(X18,'Default parameters'!$G$4:$K$15,4,FALSE)</f>
        <v>Return migration</v>
      </c>
      <c r="Y20" s="96" t="str">
        <f>VLOOKUP(Y18,'Default parameters'!$G$4:$K$15,4,FALSE)</f>
        <v>Breeding</v>
      </c>
      <c r="Z20" s="96" t="str">
        <f>VLOOKUP(Z18,'Default parameters'!$G$4:$K$15,4,FALSE)</f>
        <v>Breeding</v>
      </c>
      <c r="AA20" s="96" t="str">
        <f>VLOOKUP(AA18,'Default parameters'!$G$4:$K$15,4,FALSE)</f>
        <v>Breeding</v>
      </c>
      <c r="AB20" s="96" t="str">
        <f>VLOOKUP(AB18,'Default parameters'!$G$4:$K$15,4,FALSE)</f>
        <v>Breeding</v>
      </c>
      <c r="AC20" s="96" t="str">
        <f>VLOOKUP(AC18,'Default parameters'!$G$4:$K$15,4,FALSE)</f>
        <v>Breeding</v>
      </c>
      <c r="AD20" s="96" t="str">
        <f>VLOOKUP(AD18,'Default parameters'!$G$4:$K$15,4,FALSE)</f>
        <v>Post-breeding migration</v>
      </c>
      <c r="AE20" s="96" t="str">
        <f>VLOOKUP(AE18,'Default parameters'!$G$4:$K$15,4,FALSE)</f>
        <v>Post-breeding migration</v>
      </c>
      <c r="AF20" s="96" t="str">
        <f>VLOOKUP(AF18,'Default parameters'!$G$4:$K$15,4,FALSE)</f>
        <v>Post-breeding migration</v>
      </c>
      <c r="AG20" s="96" t="str">
        <f>VLOOKUP(AG18,'Default parameters'!$G$4:$K$15,4,FALSE)</f>
        <v>Return migration</v>
      </c>
    </row>
    <row r="21" spans="2:33" ht="10.5" customHeight="1" x14ac:dyDescent="0.2">
      <c r="D21" s="42"/>
      <c r="E21" s="42"/>
      <c r="F21" s="42"/>
      <c r="G21" s="42"/>
      <c r="H21" s="42"/>
      <c r="I21" s="42"/>
      <c r="J21" s="42"/>
      <c r="K21" s="42"/>
      <c r="L21" s="42"/>
      <c r="M21" s="42"/>
      <c r="N21" s="42"/>
      <c r="O21" s="42"/>
      <c r="R21" s="36"/>
      <c r="S21" s="52"/>
      <c r="V21" s="42"/>
      <c r="W21" s="42"/>
      <c r="X21" s="42"/>
      <c r="Y21" s="42"/>
      <c r="Z21" s="42"/>
      <c r="AA21" s="42"/>
      <c r="AB21" s="42"/>
      <c r="AC21" s="42"/>
      <c r="AD21" s="42"/>
      <c r="AE21" s="42"/>
      <c r="AF21" s="42"/>
      <c r="AG21" s="42"/>
    </row>
    <row r="22" spans="2:33" x14ac:dyDescent="0.2">
      <c r="B22" s="14" t="s">
        <v>39</v>
      </c>
      <c r="D22" s="96">
        <f>'Default parameters'!P12-('Default parameters'!P13)</f>
        <v>0.89129999999999998</v>
      </c>
      <c r="E22" s="96">
        <f>'Default parameters'!Q12-('Default parameters'!Q13)</f>
        <v>0.9265000000000001</v>
      </c>
      <c r="F22" s="96">
        <f>'Default parameters'!R12-('Default parameters'!R13)</f>
        <v>0.89610000000000001</v>
      </c>
      <c r="G22" s="96">
        <f>'Default parameters'!S12-('Default parameters'!S13)</f>
        <v>0.86759999999999993</v>
      </c>
      <c r="H22" s="96">
        <f>'Default parameters'!T12-('Default parameters'!T13)</f>
        <v>0.83389999999999997</v>
      </c>
      <c r="I22" s="96">
        <f>'Default parameters'!U12-('Default parameters'!U13)</f>
        <v>0.87380000000000002</v>
      </c>
      <c r="J22" s="96">
        <f>'Default parameters'!V12-('Default parameters'!V13)</f>
        <v>0.85729999999999995</v>
      </c>
      <c r="K22" s="96">
        <f>'Default parameters'!W12-('Default parameters'!W13)</f>
        <v>0.82200000000000006</v>
      </c>
      <c r="L22" s="96">
        <f>'Default parameters'!X12-('Default parameters'!X13)</f>
        <v>0.89890000000000003</v>
      </c>
      <c r="M22" s="96">
        <f>'Default parameters'!Y12-('Default parameters'!Y13)</f>
        <v>0.9163</v>
      </c>
      <c r="N22" s="96">
        <f>'Default parameters'!Z12-('Default parameters'!Z13)</f>
        <v>0.93790000000000007</v>
      </c>
      <c r="O22" s="96">
        <f>'Default parameters'!AA12-('Default parameters'!AA13)</f>
        <v>0.89189999999999992</v>
      </c>
      <c r="R22" s="36"/>
      <c r="S22" s="52"/>
      <c r="T22" s="14" t="s">
        <v>39</v>
      </c>
      <c r="V22" s="96">
        <f>'Default parameters'!P12-'Default parameters'!P13</f>
        <v>0.89129999999999998</v>
      </c>
      <c r="W22" s="96">
        <f>'Default parameters'!Q12-'Default parameters'!Q13</f>
        <v>0.9265000000000001</v>
      </c>
      <c r="X22" s="96">
        <f>'Default parameters'!R12-'Default parameters'!R13</f>
        <v>0.89610000000000001</v>
      </c>
      <c r="Y22" s="96">
        <f>'Default parameters'!S12-'Default parameters'!S13</f>
        <v>0.86759999999999993</v>
      </c>
      <c r="Z22" s="96">
        <f>'Default parameters'!T12-'Default parameters'!T13</f>
        <v>0.83389999999999997</v>
      </c>
      <c r="AA22" s="96">
        <f>'Default parameters'!U12-'Default parameters'!U13</f>
        <v>0.87380000000000002</v>
      </c>
      <c r="AB22" s="96">
        <f>'Default parameters'!V12-'Default parameters'!V13</f>
        <v>0.85729999999999995</v>
      </c>
      <c r="AC22" s="96">
        <f>'Default parameters'!W12-'Default parameters'!W13</f>
        <v>0.82200000000000006</v>
      </c>
      <c r="AD22" s="96">
        <f>'Default parameters'!X12-'Default parameters'!X13</f>
        <v>0.89890000000000003</v>
      </c>
      <c r="AE22" s="96">
        <f>'Default parameters'!Y12-'Default parameters'!Y13</f>
        <v>0.9163</v>
      </c>
      <c r="AF22" s="96">
        <f>'Default parameters'!Z12-'Default parameters'!Z13</f>
        <v>0.93790000000000007</v>
      </c>
      <c r="AG22" s="96">
        <f>'Default parameters'!AA12-'Default parameters'!AA13</f>
        <v>0.89189999999999992</v>
      </c>
    </row>
    <row r="23" spans="2:33" ht="9.9499999999999993" customHeight="1" x14ac:dyDescent="0.2">
      <c r="D23" s="29"/>
      <c r="E23" s="29"/>
      <c r="F23" s="29"/>
      <c r="G23" s="29"/>
      <c r="H23" s="29"/>
      <c r="I23" s="29"/>
      <c r="J23" s="29"/>
      <c r="K23" s="29"/>
      <c r="L23" s="29"/>
      <c r="M23" s="29"/>
      <c r="N23" s="29"/>
      <c r="O23" s="29"/>
      <c r="R23" s="36"/>
      <c r="S23" s="52"/>
      <c r="V23" s="29"/>
      <c r="W23" s="29"/>
      <c r="X23" s="29"/>
      <c r="Y23" s="29"/>
      <c r="Z23" s="29"/>
      <c r="AA23" s="29"/>
      <c r="AB23" s="29"/>
      <c r="AC23" s="29"/>
      <c r="AD23" s="29"/>
      <c r="AE23" s="29"/>
      <c r="AF23" s="29"/>
      <c r="AG23" s="29"/>
    </row>
    <row r="24" spans="2:33" ht="15" x14ac:dyDescent="0.25">
      <c r="B24" s="15" t="s">
        <v>40</v>
      </c>
      <c r="D24" s="45"/>
      <c r="E24" s="45"/>
      <c r="F24" s="45"/>
      <c r="G24" s="45"/>
      <c r="H24" s="45"/>
      <c r="I24" s="45"/>
      <c r="J24" s="45"/>
      <c r="K24" s="45"/>
      <c r="L24" s="45"/>
      <c r="M24" s="45"/>
      <c r="N24" s="45"/>
      <c r="O24" s="45"/>
      <c r="R24" s="36"/>
      <c r="S24" s="52"/>
      <c r="T24" s="15" t="s">
        <v>40</v>
      </c>
      <c r="V24" s="45"/>
      <c r="W24" s="45"/>
      <c r="X24" s="45"/>
      <c r="Y24" s="45"/>
      <c r="Z24" s="45"/>
      <c r="AA24" s="45"/>
      <c r="AB24" s="45"/>
      <c r="AC24" s="45"/>
      <c r="AD24" s="45"/>
      <c r="AE24" s="45"/>
      <c r="AF24" s="45"/>
      <c r="AG24" s="45"/>
    </row>
    <row r="25" spans="2:33" ht="16.5" x14ac:dyDescent="0.2">
      <c r="B25" s="14" t="s">
        <v>308</v>
      </c>
      <c r="D25" s="97">
        <f>'User inputs - bird impacts'!E13</f>
        <v>0</v>
      </c>
      <c r="E25" s="97">
        <f>'User inputs - bird impacts'!G13</f>
        <v>0</v>
      </c>
      <c r="F25" s="97">
        <f>'User inputs - bird impacts'!I13</f>
        <v>0</v>
      </c>
      <c r="G25" s="97">
        <f>'User inputs - bird impacts'!K13</f>
        <v>0</v>
      </c>
      <c r="H25" s="97">
        <f>'User inputs - bird impacts'!M13</f>
        <v>0</v>
      </c>
      <c r="I25" s="97">
        <f>'User inputs - bird impacts'!O13</f>
        <v>0</v>
      </c>
      <c r="J25" s="97">
        <f>'User inputs - bird impacts'!Q13</f>
        <v>0</v>
      </c>
      <c r="K25" s="97">
        <f>'User inputs - bird impacts'!S13</f>
        <v>0</v>
      </c>
      <c r="L25" s="97">
        <f>'User inputs - bird impacts'!U13</f>
        <v>0</v>
      </c>
      <c r="M25" s="97">
        <f>'User inputs - bird impacts'!W13</f>
        <v>0</v>
      </c>
      <c r="N25" s="97">
        <f>'User inputs - bird impacts'!Y13</f>
        <v>0</v>
      </c>
      <c r="O25" s="97">
        <f>'User inputs - bird impacts'!AA13</f>
        <v>0</v>
      </c>
      <c r="R25" s="36"/>
      <c r="S25" s="52"/>
      <c r="T25" s="14" t="s">
        <v>308</v>
      </c>
      <c r="V25" s="97">
        <f>'User inputs - bird impacts'!E14</f>
        <v>0</v>
      </c>
      <c r="W25" s="97">
        <f>'User inputs - bird impacts'!G14</f>
        <v>0</v>
      </c>
      <c r="X25" s="97">
        <f>'User inputs - bird impacts'!I14</f>
        <v>0</v>
      </c>
      <c r="Y25" s="97">
        <f>'User inputs - bird impacts'!K14</f>
        <v>0</v>
      </c>
      <c r="Z25" s="97">
        <f>'User inputs - bird impacts'!M14</f>
        <v>0</v>
      </c>
      <c r="AA25" s="97">
        <f>'User inputs - bird impacts'!O14</f>
        <v>0</v>
      </c>
      <c r="AB25" s="97">
        <f>'User inputs - bird impacts'!Q14</f>
        <v>0</v>
      </c>
      <c r="AC25" s="97">
        <f>'User inputs - bird impacts'!S14</f>
        <v>0</v>
      </c>
      <c r="AD25" s="97">
        <f>'User inputs - bird impacts'!U14</f>
        <v>0</v>
      </c>
      <c r="AE25" s="97">
        <f>'User inputs - bird impacts'!W14</f>
        <v>0</v>
      </c>
      <c r="AF25" s="97">
        <f>'User inputs - bird impacts'!Y14</f>
        <v>0</v>
      </c>
      <c r="AG25" s="97">
        <f>'User inputs - bird impacts'!AA14</f>
        <v>0</v>
      </c>
    </row>
    <row r="26" spans="2:33" x14ac:dyDescent="0.2">
      <c r="B26" s="14" t="s">
        <v>41</v>
      </c>
      <c r="C26" s="98">
        <f>'Proportion at collision height'!D11</f>
        <v>0</v>
      </c>
      <c r="D26" s="29"/>
      <c r="E26" s="29"/>
      <c r="F26" s="29"/>
      <c r="G26" s="29"/>
      <c r="H26" s="29"/>
      <c r="I26" s="29"/>
      <c r="J26" s="29"/>
      <c r="K26" s="29"/>
      <c r="L26" s="29"/>
      <c r="M26" s="29"/>
      <c r="N26" s="29"/>
      <c r="O26" s="29"/>
      <c r="R26" s="36"/>
      <c r="S26" s="52"/>
      <c r="T26" s="14" t="s">
        <v>41</v>
      </c>
      <c r="U26" s="98">
        <f>'Proportion at collision height'!N11</f>
        <v>0</v>
      </c>
      <c r="V26" s="29"/>
      <c r="W26" s="29"/>
      <c r="X26" s="29"/>
      <c r="Y26" s="29"/>
      <c r="Z26" s="29"/>
      <c r="AA26" s="29"/>
      <c r="AB26" s="29"/>
      <c r="AC26" s="29"/>
      <c r="AD26" s="29"/>
      <c r="AE26" s="29"/>
      <c r="AF26" s="29"/>
      <c r="AG26" s="29"/>
    </row>
    <row r="27" spans="2:33" x14ac:dyDescent="0.2">
      <c r="B27" s="14" t="s">
        <v>42</v>
      </c>
      <c r="D27" s="50">
        <f>'Hours of daylight'!K13</f>
        <v>375.68698270402712</v>
      </c>
      <c r="E27" s="50">
        <f>'Hours of daylight'!L13</f>
        <v>339.19688287090781</v>
      </c>
      <c r="F27" s="50">
        <f>'Hours of daylight'!M13</f>
        <v>375.4530102491978</v>
      </c>
      <c r="G27" s="50">
        <f>'Hours of daylight'!N13</f>
        <v>363.38532179321777</v>
      </c>
      <c r="H27" s="50">
        <f>'Hours of daylight'!O13</f>
        <v>375.63935304279426</v>
      </c>
      <c r="I27" s="50">
        <f>'Hours of daylight'!P13</f>
        <v>363.6225522914749</v>
      </c>
      <c r="J27" s="50">
        <f>'Hours of daylight'!Q13</f>
        <v>375.69746095274434</v>
      </c>
      <c r="K27" s="50">
        <f>'Hours of daylight'!R13</f>
        <v>375.55230300789896</v>
      </c>
      <c r="L27" s="50">
        <f>'Hours of daylight'!S13</f>
        <v>363.34378424215805</v>
      </c>
      <c r="M27" s="50">
        <f>'Hours of daylight'!T13</f>
        <v>375.48854824936672</v>
      </c>
      <c r="N27" s="50">
        <f>'Hours of daylight'!U13</f>
        <v>363.51200749720294</v>
      </c>
      <c r="O27" s="50">
        <f>'Hours of daylight'!V13</f>
        <v>375.74137513849803</v>
      </c>
      <c r="R27" s="36"/>
      <c r="S27" s="52"/>
      <c r="T27" s="14" t="s">
        <v>42</v>
      </c>
      <c r="V27" s="50">
        <f>'Hours of daylight'!K13</f>
        <v>375.68698270402712</v>
      </c>
      <c r="W27" s="50">
        <f>'Hours of daylight'!L13</f>
        <v>339.19688287090781</v>
      </c>
      <c r="X27" s="50">
        <f>'Hours of daylight'!M13</f>
        <v>375.4530102491978</v>
      </c>
      <c r="Y27" s="50">
        <f>'Hours of daylight'!N13</f>
        <v>363.38532179321777</v>
      </c>
      <c r="Z27" s="50">
        <f>'Hours of daylight'!O13</f>
        <v>375.63935304279426</v>
      </c>
      <c r="AA27" s="50">
        <f>'Hours of daylight'!P13</f>
        <v>363.6225522914749</v>
      </c>
      <c r="AB27" s="50">
        <f>'Hours of daylight'!Q13</f>
        <v>375.69746095274434</v>
      </c>
      <c r="AC27" s="50">
        <f>'Hours of daylight'!R13</f>
        <v>375.55230300789896</v>
      </c>
      <c r="AD27" s="50">
        <f>'Hours of daylight'!S13</f>
        <v>363.34378424215805</v>
      </c>
      <c r="AE27" s="50">
        <f>'Hours of daylight'!T13</f>
        <v>375.48854824936672</v>
      </c>
      <c r="AF27" s="50">
        <f>'Hours of daylight'!U13</f>
        <v>363.51200749720294</v>
      </c>
      <c r="AG27" s="50">
        <f>'Hours of daylight'!V13</f>
        <v>375.74137513849803</v>
      </c>
    </row>
    <row r="28" spans="2:33" x14ac:dyDescent="0.2">
      <c r="B28" s="14" t="s">
        <v>43</v>
      </c>
      <c r="D28" s="50">
        <f>'Hours of daylight'!K18</f>
        <v>368.31301729597288</v>
      </c>
      <c r="E28" s="50">
        <f>'Hours of daylight'!L18</f>
        <v>332.80311712909219</v>
      </c>
      <c r="F28" s="50">
        <f>'Hours of daylight'!M18</f>
        <v>368.5469897508022</v>
      </c>
      <c r="G28" s="50">
        <f>'Hours of daylight'!N18</f>
        <v>356.61467820678223</v>
      </c>
      <c r="H28" s="50">
        <f>'Hours of daylight'!O18</f>
        <v>368.36064695720574</v>
      </c>
      <c r="I28" s="50">
        <f>'Hours of daylight'!P18</f>
        <v>356.3774477085251</v>
      </c>
      <c r="J28" s="50">
        <f>'Hours of daylight'!Q18</f>
        <v>368.30253904725566</v>
      </c>
      <c r="K28" s="50">
        <f>'Hours of daylight'!R18</f>
        <v>368.44769699210104</v>
      </c>
      <c r="L28" s="50">
        <f>'Hours of daylight'!S18</f>
        <v>356.65621575784195</v>
      </c>
      <c r="M28" s="50">
        <f>'Hours of daylight'!T18</f>
        <v>368.51145175063328</v>
      </c>
      <c r="N28" s="50">
        <f>'Hours of daylight'!U18</f>
        <v>356.48799250279706</v>
      </c>
      <c r="O28" s="50">
        <f>'Hours of daylight'!V18</f>
        <v>368.25862486150197</v>
      </c>
      <c r="R28" s="36"/>
      <c r="S28" s="52"/>
      <c r="T28" s="14" t="s">
        <v>43</v>
      </c>
      <c r="V28" s="50">
        <f>'Hours of daylight'!K18</f>
        <v>368.31301729597288</v>
      </c>
      <c r="W28" s="50">
        <f>'Hours of daylight'!L18</f>
        <v>332.80311712909219</v>
      </c>
      <c r="X28" s="50">
        <f>'Hours of daylight'!M18</f>
        <v>368.5469897508022</v>
      </c>
      <c r="Y28" s="50">
        <f>'Hours of daylight'!N18</f>
        <v>356.61467820678223</v>
      </c>
      <c r="Z28" s="50">
        <f>'Hours of daylight'!O18</f>
        <v>368.36064695720574</v>
      </c>
      <c r="AA28" s="50">
        <f>'Hours of daylight'!P18</f>
        <v>356.3774477085251</v>
      </c>
      <c r="AB28" s="50">
        <f>'Hours of daylight'!Q18</f>
        <v>368.30253904725566</v>
      </c>
      <c r="AC28" s="50">
        <f>'Hours of daylight'!R18</f>
        <v>368.44769699210104</v>
      </c>
      <c r="AD28" s="50">
        <f>'Hours of daylight'!S18</f>
        <v>356.65621575784195</v>
      </c>
      <c r="AE28" s="50">
        <f>'Hours of daylight'!T18</f>
        <v>368.51145175063328</v>
      </c>
      <c r="AF28" s="50">
        <f>'Hours of daylight'!U18</f>
        <v>356.48799250279706</v>
      </c>
      <c r="AG28" s="50">
        <f>'Hours of daylight'!V18</f>
        <v>368.25862486150197</v>
      </c>
    </row>
    <row r="29" spans="2:33" ht="9.9499999999999993" customHeight="1" x14ac:dyDescent="0.2">
      <c r="D29" s="45"/>
      <c r="E29" s="45"/>
      <c r="F29" s="45"/>
      <c r="G29" s="45"/>
      <c r="H29" s="45"/>
      <c r="I29" s="45"/>
      <c r="J29" s="45"/>
      <c r="K29" s="45"/>
      <c r="L29" s="45"/>
      <c r="M29" s="45"/>
      <c r="N29" s="45"/>
      <c r="O29" s="45"/>
      <c r="R29" s="36"/>
      <c r="S29" s="52"/>
      <c r="V29" s="45"/>
      <c r="W29" s="45"/>
      <c r="X29" s="45"/>
      <c r="Y29" s="45"/>
      <c r="Z29" s="45"/>
      <c r="AA29" s="45"/>
      <c r="AB29" s="45"/>
      <c r="AC29" s="45"/>
      <c r="AD29" s="45"/>
      <c r="AE29" s="45"/>
      <c r="AF29" s="45"/>
      <c r="AG29" s="45"/>
    </row>
    <row r="30" spans="2:33" x14ac:dyDescent="0.2">
      <c r="B30" s="41" t="s">
        <v>44</v>
      </c>
      <c r="D30" s="50" t="e">
        <f t="shared" ref="D30:O30" si="0">$C8*D25/(2*$C14)*$C16*(D27+$C9*D28)*3600/1000000</f>
        <v>#DIV/0!</v>
      </c>
      <c r="E30" s="50" t="e">
        <f t="shared" si="0"/>
        <v>#DIV/0!</v>
      </c>
      <c r="F30" s="50" t="e">
        <f t="shared" si="0"/>
        <v>#DIV/0!</v>
      </c>
      <c r="G30" s="50" t="e">
        <f t="shared" si="0"/>
        <v>#DIV/0!</v>
      </c>
      <c r="H30" s="50" t="e">
        <f t="shared" si="0"/>
        <v>#DIV/0!</v>
      </c>
      <c r="I30" s="50" t="e">
        <f t="shared" si="0"/>
        <v>#DIV/0!</v>
      </c>
      <c r="J30" s="50" t="e">
        <f t="shared" si="0"/>
        <v>#DIV/0!</v>
      </c>
      <c r="K30" s="50" t="e">
        <f t="shared" si="0"/>
        <v>#DIV/0!</v>
      </c>
      <c r="L30" s="50" t="e">
        <f t="shared" si="0"/>
        <v>#DIV/0!</v>
      </c>
      <c r="M30" s="50" t="e">
        <f t="shared" si="0"/>
        <v>#DIV/0!</v>
      </c>
      <c r="N30" s="50" t="e">
        <f t="shared" si="0"/>
        <v>#DIV/0!</v>
      </c>
      <c r="O30" s="50" t="e">
        <f t="shared" si="0"/>
        <v>#DIV/0!</v>
      </c>
      <c r="R30" s="36"/>
      <c r="S30" s="52"/>
      <c r="T30" s="41" t="s">
        <v>44</v>
      </c>
      <c r="V30" s="50" t="e">
        <f>$U8*V25/(2*$U14)*$U16*(V27+$U9*V28)*3600/1000000</f>
        <v>#DIV/0!</v>
      </c>
      <c r="W30" s="50" t="e">
        <f t="shared" ref="W30:AG30" si="1">$U8*W25/(2*$U14)*$U16*(W27+$U9*W28)*3600/1000000</f>
        <v>#DIV/0!</v>
      </c>
      <c r="X30" s="50" t="e">
        <f t="shared" si="1"/>
        <v>#DIV/0!</v>
      </c>
      <c r="Y30" s="50" t="e">
        <f t="shared" si="1"/>
        <v>#DIV/0!</v>
      </c>
      <c r="Z30" s="50" t="e">
        <f t="shared" si="1"/>
        <v>#DIV/0!</v>
      </c>
      <c r="AA30" s="50" t="e">
        <f t="shared" si="1"/>
        <v>#DIV/0!</v>
      </c>
      <c r="AB30" s="50" t="e">
        <f t="shared" si="1"/>
        <v>#DIV/0!</v>
      </c>
      <c r="AC30" s="50" t="e">
        <f t="shared" si="1"/>
        <v>#DIV/0!</v>
      </c>
      <c r="AD30" s="50" t="e">
        <f t="shared" si="1"/>
        <v>#DIV/0!</v>
      </c>
      <c r="AE30" s="50" t="e">
        <f t="shared" si="1"/>
        <v>#DIV/0!</v>
      </c>
      <c r="AF30" s="50" t="e">
        <f t="shared" si="1"/>
        <v>#DIV/0!</v>
      </c>
      <c r="AG30" s="50" t="e">
        <f t="shared" si="1"/>
        <v>#DIV/0!</v>
      </c>
    </row>
    <row r="31" spans="2:33" ht="9.9499999999999993" customHeight="1" x14ac:dyDescent="0.2">
      <c r="B31" s="16"/>
      <c r="D31" s="45"/>
      <c r="E31" s="45"/>
      <c r="F31" s="45"/>
      <c r="G31" s="45"/>
      <c r="H31" s="45"/>
      <c r="I31" s="45"/>
      <c r="J31" s="45"/>
      <c r="K31" s="45"/>
      <c r="L31" s="45"/>
      <c r="M31" s="45"/>
      <c r="N31" s="45"/>
      <c r="O31" s="45"/>
      <c r="R31" s="36"/>
      <c r="S31" s="52"/>
      <c r="T31" s="16"/>
      <c r="V31" s="45"/>
      <c r="W31" s="45"/>
      <c r="X31" s="45"/>
      <c r="Y31" s="45"/>
      <c r="Z31" s="45"/>
      <c r="AA31" s="45"/>
      <c r="AB31" s="45"/>
      <c r="AC31" s="45"/>
      <c r="AD31" s="45"/>
      <c r="AE31" s="45"/>
      <c r="AF31" s="45"/>
      <c r="AG31" s="45"/>
    </row>
    <row r="32" spans="2:33" ht="15" x14ac:dyDescent="0.25">
      <c r="B32" s="15" t="s">
        <v>236</v>
      </c>
      <c r="D32" s="29"/>
      <c r="E32" s="29"/>
      <c r="F32" s="29"/>
      <c r="G32" s="29"/>
      <c r="H32" s="29"/>
      <c r="I32" s="29"/>
      <c r="J32" s="29"/>
      <c r="K32" s="29"/>
      <c r="L32" s="29"/>
      <c r="M32" s="29"/>
      <c r="N32" s="29"/>
      <c r="O32" s="29"/>
      <c r="R32" s="36"/>
      <c r="S32" s="52"/>
      <c r="T32" s="15" t="s">
        <v>236</v>
      </c>
      <c r="V32" s="29"/>
      <c r="W32" s="29"/>
      <c r="X32" s="29"/>
      <c r="Y32" s="29"/>
      <c r="Z32" s="29"/>
      <c r="AA32" s="29"/>
      <c r="AB32" s="29"/>
      <c r="AC32" s="29"/>
      <c r="AD32" s="29"/>
      <c r="AE32" s="29"/>
      <c r="AF32" s="29"/>
      <c r="AG32" s="29"/>
    </row>
    <row r="33" spans="2:35" x14ac:dyDescent="0.2">
      <c r="B33" s="14" t="s">
        <v>45</v>
      </c>
      <c r="D33" s="50" t="e">
        <f t="shared" ref="D33:O33" si="2">D30*$C26</f>
        <v>#DIV/0!</v>
      </c>
      <c r="E33" s="50" t="e">
        <f t="shared" si="2"/>
        <v>#DIV/0!</v>
      </c>
      <c r="F33" s="50" t="e">
        <f t="shared" si="2"/>
        <v>#DIV/0!</v>
      </c>
      <c r="G33" s="50" t="e">
        <f t="shared" si="2"/>
        <v>#DIV/0!</v>
      </c>
      <c r="H33" s="50" t="e">
        <f t="shared" si="2"/>
        <v>#DIV/0!</v>
      </c>
      <c r="I33" s="50" t="e">
        <f t="shared" si="2"/>
        <v>#DIV/0!</v>
      </c>
      <c r="J33" s="50" t="e">
        <f t="shared" si="2"/>
        <v>#DIV/0!</v>
      </c>
      <c r="K33" s="50" t="e">
        <f t="shared" si="2"/>
        <v>#DIV/0!</v>
      </c>
      <c r="L33" s="50" t="e">
        <f t="shared" si="2"/>
        <v>#DIV/0!</v>
      </c>
      <c r="M33" s="50" t="e">
        <f t="shared" si="2"/>
        <v>#DIV/0!</v>
      </c>
      <c r="N33" s="50" t="e">
        <f t="shared" si="2"/>
        <v>#DIV/0!</v>
      </c>
      <c r="O33" s="50" t="e">
        <f t="shared" si="2"/>
        <v>#DIV/0!</v>
      </c>
      <c r="R33" s="36"/>
      <c r="S33" s="52"/>
      <c r="T33" s="14" t="s">
        <v>45</v>
      </c>
      <c r="V33" s="50" t="e">
        <f>V30*$U26</f>
        <v>#DIV/0!</v>
      </c>
      <c r="W33" s="50" t="e">
        <f t="shared" ref="W33:AG33" si="3">W30*$U26</f>
        <v>#DIV/0!</v>
      </c>
      <c r="X33" s="50" t="e">
        <f t="shared" si="3"/>
        <v>#DIV/0!</v>
      </c>
      <c r="Y33" s="50" t="e">
        <f t="shared" si="3"/>
        <v>#DIV/0!</v>
      </c>
      <c r="Z33" s="50" t="e">
        <f t="shared" si="3"/>
        <v>#DIV/0!</v>
      </c>
      <c r="AA33" s="50" t="e">
        <f t="shared" si="3"/>
        <v>#DIV/0!</v>
      </c>
      <c r="AB33" s="50" t="e">
        <f t="shared" si="3"/>
        <v>#DIV/0!</v>
      </c>
      <c r="AC33" s="50" t="e">
        <f t="shared" si="3"/>
        <v>#DIV/0!</v>
      </c>
      <c r="AD33" s="50" t="e">
        <f t="shared" si="3"/>
        <v>#DIV/0!</v>
      </c>
      <c r="AE33" s="50" t="e">
        <f t="shared" si="3"/>
        <v>#DIV/0!</v>
      </c>
      <c r="AF33" s="50" t="e">
        <f t="shared" si="3"/>
        <v>#DIV/0!</v>
      </c>
      <c r="AG33" s="50" t="e">
        <f t="shared" si="3"/>
        <v>#DIV/0!</v>
      </c>
    </row>
    <row r="34" spans="2:35" x14ac:dyDescent="0.2">
      <c r="B34" s="14" t="s">
        <v>46</v>
      </c>
      <c r="C34" s="98" t="e">
        <f>'Single transit collision risk'!J37</f>
        <v>#VALUE!</v>
      </c>
      <c r="D34" s="29"/>
      <c r="E34" s="29"/>
      <c r="F34" s="29"/>
      <c r="G34" s="29"/>
      <c r="H34" s="29"/>
      <c r="I34" s="29"/>
      <c r="J34" s="29"/>
      <c r="K34" s="29"/>
      <c r="L34" s="29"/>
      <c r="M34" s="29"/>
      <c r="N34" s="29"/>
      <c r="O34" s="29"/>
      <c r="R34" s="36"/>
      <c r="S34" s="52"/>
      <c r="T34" s="14" t="s">
        <v>46</v>
      </c>
      <c r="U34" s="98" t="e">
        <f>'Single transit collision risk'!V37</f>
        <v>#VALUE!</v>
      </c>
      <c r="V34" s="29"/>
      <c r="W34" s="29"/>
      <c r="X34" s="29"/>
      <c r="Y34" s="29"/>
      <c r="Z34" s="29"/>
      <c r="AA34" s="29"/>
      <c r="AB34" s="29"/>
      <c r="AC34" s="29"/>
      <c r="AD34" s="29"/>
      <c r="AE34" s="29"/>
      <c r="AF34" s="29"/>
      <c r="AG34" s="29"/>
    </row>
    <row r="35" spans="2:35" ht="9.9499999999999993" customHeight="1" x14ac:dyDescent="0.2">
      <c r="C35" s="35"/>
      <c r="D35" s="29"/>
      <c r="E35" s="29"/>
      <c r="F35" s="29"/>
      <c r="G35" s="29"/>
      <c r="H35" s="29"/>
      <c r="I35" s="29"/>
      <c r="J35" s="29"/>
      <c r="K35" s="29"/>
      <c r="L35" s="29"/>
      <c r="M35" s="29"/>
      <c r="N35" s="29"/>
      <c r="O35" s="29"/>
      <c r="R35" s="36"/>
      <c r="S35" s="52"/>
      <c r="U35" s="35"/>
      <c r="V35" s="29"/>
      <c r="W35" s="29"/>
      <c r="X35" s="29"/>
      <c r="Y35" s="29"/>
      <c r="Z35" s="29"/>
      <c r="AA35" s="29"/>
      <c r="AB35" s="29"/>
      <c r="AC35" s="29"/>
      <c r="AD35" s="29"/>
      <c r="AE35" s="29"/>
      <c r="AF35" s="29"/>
      <c r="AG35" s="29"/>
    </row>
    <row r="36" spans="2:35" ht="29.25" x14ac:dyDescent="0.25">
      <c r="B36" s="40" t="s">
        <v>309</v>
      </c>
      <c r="D36" s="50" t="e">
        <f t="shared" ref="D36:O36" si="4">D33*$C$34*D22</f>
        <v>#DIV/0!</v>
      </c>
      <c r="E36" s="50" t="e">
        <f t="shared" si="4"/>
        <v>#DIV/0!</v>
      </c>
      <c r="F36" s="50" t="e">
        <f t="shared" si="4"/>
        <v>#DIV/0!</v>
      </c>
      <c r="G36" s="50" t="e">
        <f t="shared" si="4"/>
        <v>#DIV/0!</v>
      </c>
      <c r="H36" s="50" t="e">
        <f t="shared" si="4"/>
        <v>#DIV/0!</v>
      </c>
      <c r="I36" s="50" t="e">
        <f t="shared" si="4"/>
        <v>#DIV/0!</v>
      </c>
      <c r="J36" s="50" t="e">
        <f t="shared" si="4"/>
        <v>#DIV/0!</v>
      </c>
      <c r="K36" s="50" t="e">
        <f t="shared" si="4"/>
        <v>#DIV/0!</v>
      </c>
      <c r="L36" s="50" t="e">
        <f t="shared" si="4"/>
        <v>#DIV/0!</v>
      </c>
      <c r="M36" s="50" t="e">
        <f t="shared" si="4"/>
        <v>#DIV/0!</v>
      </c>
      <c r="N36" s="50" t="e">
        <f t="shared" si="4"/>
        <v>#DIV/0!</v>
      </c>
      <c r="O36" s="50" t="e">
        <f t="shared" si="4"/>
        <v>#DIV/0!</v>
      </c>
      <c r="Q36" s="43" t="s">
        <v>31</v>
      </c>
      <c r="R36" s="53"/>
      <c r="S36" s="54"/>
      <c r="T36" s="40" t="s">
        <v>309</v>
      </c>
      <c r="V36" s="50" t="e">
        <f>V33*$U$34*V22</f>
        <v>#DIV/0!</v>
      </c>
      <c r="W36" s="50" t="e">
        <f>W33*$U$34*W22</f>
        <v>#DIV/0!</v>
      </c>
      <c r="X36" s="50" t="e">
        <f t="shared" ref="X36:AG36" si="5">X33*$U$34*X22</f>
        <v>#DIV/0!</v>
      </c>
      <c r="Y36" s="50" t="e">
        <f t="shared" si="5"/>
        <v>#DIV/0!</v>
      </c>
      <c r="Z36" s="50" t="e">
        <f t="shared" si="5"/>
        <v>#DIV/0!</v>
      </c>
      <c r="AA36" s="50" t="e">
        <f t="shared" si="5"/>
        <v>#DIV/0!</v>
      </c>
      <c r="AB36" s="50" t="e">
        <f t="shared" si="5"/>
        <v>#DIV/0!</v>
      </c>
      <c r="AC36" s="50" t="e">
        <f t="shared" si="5"/>
        <v>#DIV/0!</v>
      </c>
      <c r="AD36" s="50" t="e">
        <f t="shared" si="5"/>
        <v>#DIV/0!</v>
      </c>
      <c r="AE36" s="50" t="e">
        <f t="shared" si="5"/>
        <v>#DIV/0!</v>
      </c>
      <c r="AF36" s="50" t="e">
        <f t="shared" si="5"/>
        <v>#DIV/0!</v>
      </c>
      <c r="AG36" s="50" t="e">
        <f t="shared" si="5"/>
        <v>#DIV/0!</v>
      </c>
      <c r="AI36" s="43" t="s">
        <v>31</v>
      </c>
    </row>
    <row r="37" spans="2:35" ht="9.9499999999999993" customHeight="1" x14ac:dyDescent="0.2">
      <c r="D37" s="45"/>
      <c r="E37" s="45"/>
      <c r="F37" s="45"/>
      <c r="G37" s="45"/>
      <c r="H37" s="45"/>
      <c r="I37" s="45"/>
      <c r="J37" s="45"/>
      <c r="K37" s="45"/>
      <c r="L37" s="45"/>
      <c r="M37" s="45"/>
      <c r="N37" s="45"/>
      <c r="O37" s="45"/>
      <c r="R37" s="36"/>
      <c r="S37" s="52"/>
      <c r="V37" s="45"/>
      <c r="W37" s="45"/>
      <c r="X37" s="45"/>
      <c r="Y37" s="45"/>
      <c r="Z37" s="45"/>
      <c r="AA37" s="45"/>
      <c r="AB37" s="45"/>
      <c r="AC37" s="45"/>
      <c r="AD37" s="45"/>
      <c r="AE37" s="45"/>
      <c r="AF37" s="45"/>
      <c r="AG37" s="45"/>
    </row>
    <row r="38" spans="2:35" ht="15" x14ac:dyDescent="0.25">
      <c r="B38" s="14" t="s">
        <v>310</v>
      </c>
      <c r="D38" s="100">
        <f>IF(D20="Breeding",D36*(1-'User inputs - bird impacts'!$E$18),0)</f>
        <v>0</v>
      </c>
      <c r="E38" s="100">
        <f>IF(E20="Breeding",E36*(1-'User inputs - bird impacts'!$E$18),0)</f>
        <v>0</v>
      </c>
      <c r="F38" s="100">
        <f>IF(F20="Breeding",F36*(1-'User inputs - bird impacts'!$E$18),0)</f>
        <v>0</v>
      </c>
      <c r="G38" s="100">
        <f>IF(G20="Breeding",G36*(1-'User inputs - bird impacts'!$E$18),0)</f>
        <v>0</v>
      </c>
      <c r="H38" s="100" t="e">
        <f>IF(H20="Breeding",H36*(1-'User inputs - bird impacts'!$E$18),0)</f>
        <v>#DIV/0!</v>
      </c>
      <c r="I38" s="100" t="e">
        <f>IF(I20="Breeding",I36*(1-'User inputs - bird impacts'!$E$18),0)</f>
        <v>#DIV/0!</v>
      </c>
      <c r="J38" s="100" t="e">
        <f>IF(J20="Breeding",J36*(1-'User inputs - bird impacts'!$E$18),0)</f>
        <v>#DIV/0!</v>
      </c>
      <c r="K38" s="100">
        <f>IF(K20="Breeding",K36*(1-'User inputs - bird impacts'!$E$18),0)</f>
        <v>0</v>
      </c>
      <c r="L38" s="100">
        <f>IF(L20="Breeding",L36*(1-'User inputs - bird impacts'!$E$18),0)</f>
        <v>0</v>
      </c>
      <c r="M38" s="100">
        <f>IF(M20="Breeding",M36*(1-'User inputs - bird impacts'!$E$18),0)</f>
        <v>0</v>
      </c>
      <c r="N38" s="100">
        <f>IF(N20="Breeding",N36*(1-'User inputs - bird impacts'!$E$18),0)</f>
        <v>0</v>
      </c>
      <c r="O38" s="100">
        <f>IF(O20="Breeding",O36*(1-'User inputs - bird impacts'!$E$18),0)</f>
        <v>0</v>
      </c>
      <c r="Q38" s="99" t="e">
        <f>SUM(D38:O38)</f>
        <v>#DIV/0!</v>
      </c>
      <c r="R38" s="53"/>
      <c r="S38" s="54"/>
      <c r="T38" s="14" t="s">
        <v>310</v>
      </c>
      <c r="V38" s="100">
        <f>IF(V20="Breeding",V36*(1-'User inputs - bird impacts'!$G$20),0)</f>
        <v>0</v>
      </c>
      <c r="W38" s="100">
        <f>IF(W20="Breeding",W36*(1-'User inputs - bird impacts'!$G$20),0)</f>
        <v>0</v>
      </c>
      <c r="X38" s="100">
        <f>IF(X20="Breeding",X36*(1-'User inputs - bird impacts'!$G$20),0)</f>
        <v>0</v>
      </c>
      <c r="Y38" s="100" t="e">
        <f>IF(Y20="Breeding",Y36*(1-'User inputs - bird impacts'!$G$20),0)</f>
        <v>#DIV/0!</v>
      </c>
      <c r="Z38" s="100" t="e">
        <f>IF(Z20="Breeding",Z36*(1-'User inputs - bird impacts'!$G$20),0)</f>
        <v>#DIV/0!</v>
      </c>
      <c r="AA38" s="100" t="e">
        <f>IF(AA20="Breeding",AA36*(1-'User inputs - bird impacts'!$G$20),0)</f>
        <v>#DIV/0!</v>
      </c>
      <c r="AB38" s="100" t="e">
        <f>IF(AB20="Breeding",AB36*(1-'User inputs - bird impacts'!$G$20),0)</f>
        <v>#DIV/0!</v>
      </c>
      <c r="AC38" s="100" t="e">
        <f>IF(AC20="Breeding",AC36*(1-'User inputs - bird impacts'!$G$20),0)</f>
        <v>#DIV/0!</v>
      </c>
      <c r="AD38" s="100">
        <f>IF(AD20="Breeding",AD36*(1-'User inputs - bird impacts'!$G$20),0)</f>
        <v>0</v>
      </c>
      <c r="AE38" s="100">
        <f>IF(AE20="Breeding",AE36*(1-'User inputs - bird impacts'!$G$20),0)</f>
        <v>0</v>
      </c>
      <c r="AF38" s="100">
        <f>IF(AF20="Breeding",AF36*(1-'User inputs - bird impacts'!$G$20),0)</f>
        <v>0</v>
      </c>
      <c r="AG38" s="100">
        <f>IF(AG20="Breeding",AG36*(1-'User inputs - bird impacts'!$G$20),0)</f>
        <v>0</v>
      </c>
      <c r="AI38" s="99" t="e">
        <f>SUM(V38:AG38)</f>
        <v>#DIV/0!</v>
      </c>
    </row>
    <row r="39" spans="2:35" ht="15" x14ac:dyDescent="0.25">
      <c r="B39" s="14" t="s">
        <v>311</v>
      </c>
      <c r="D39" s="100">
        <f>IF(D20="Post-breeding migration",D36*(1-'User inputs - bird impacts'!$E$18),0)</f>
        <v>0</v>
      </c>
      <c r="E39" s="100">
        <f>IF(E20="Post-breeding migration",E36*(1-'User inputs - bird impacts'!$E$18),0)</f>
        <v>0</v>
      </c>
      <c r="F39" s="100">
        <f>IF(F20="Post-breeding migration",F36*(1-'User inputs - bird impacts'!$E$18),0)</f>
        <v>0</v>
      </c>
      <c r="G39" s="100">
        <f>IF(G20="Post-breeding migration",G36*(1-'User inputs - bird impacts'!$E$18),0)</f>
        <v>0</v>
      </c>
      <c r="H39" s="100">
        <f>IF(H20="Post-breeding migration",H36*(1-'User inputs - bird impacts'!$E$18),0)</f>
        <v>0</v>
      </c>
      <c r="I39" s="100">
        <f>IF(I20="Post-breeding migration",I36*(1-'User inputs - bird impacts'!$E$18),0)</f>
        <v>0</v>
      </c>
      <c r="J39" s="100">
        <f>IF(J20="Post-breeding migration",J36*(1-'User inputs - bird impacts'!$E$18),0)</f>
        <v>0</v>
      </c>
      <c r="K39" s="100" t="e">
        <f>IF(K20="Post-breeding migration",K36*(1-'User inputs - bird impacts'!$E$18),0)</f>
        <v>#DIV/0!</v>
      </c>
      <c r="L39" s="100" t="e">
        <f>IF(L20="Post-breeding migration",L36*(1-'User inputs - bird impacts'!$E$18),0)</f>
        <v>#DIV/0!</v>
      </c>
      <c r="M39" s="100" t="e">
        <f>IF(M20="Post-breeding migration",M36*(1-'User inputs - bird impacts'!$E$18),0)</f>
        <v>#DIV/0!</v>
      </c>
      <c r="N39" s="100" t="e">
        <f>IF(N20="Post-breeding migration",N36*(1-'User inputs - bird impacts'!$E$18),0)</f>
        <v>#DIV/0!</v>
      </c>
      <c r="O39" s="100" t="e">
        <f>IF(O20="Post-breeding migration",O36*(1-'User inputs - bird impacts'!$E$18),0)</f>
        <v>#DIV/0!</v>
      </c>
      <c r="Q39" s="99" t="e">
        <f t="shared" ref="Q39:Q40" si="6">SUM(D39:O39)</f>
        <v>#DIV/0!</v>
      </c>
      <c r="R39" s="53"/>
      <c r="S39" s="54"/>
      <c r="T39" s="14" t="s">
        <v>311</v>
      </c>
      <c r="V39" s="100">
        <f>IF(V20="Post-breeding migration",V36*(1-'User inputs - bird impacts'!$G$20),0)</f>
        <v>0</v>
      </c>
      <c r="W39" s="100">
        <f>IF(W20="Post-breeding migration",W36*(1-'User inputs - bird impacts'!$G$20),0)</f>
        <v>0</v>
      </c>
      <c r="X39" s="100">
        <f>IF(X20="Post-breeding migration",X36*(1-'User inputs - bird impacts'!$G$20),0)</f>
        <v>0</v>
      </c>
      <c r="Y39" s="100">
        <f>IF(Y20="Post-breeding migration",Y36*(1-'User inputs - bird impacts'!$G$20),0)</f>
        <v>0</v>
      </c>
      <c r="Z39" s="100">
        <f>IF(Z20="Post-breeding migration",Z36*(1-'User inputs - bird impacts'!$G$20),0)</f>
        <v>0</v>
      </c>
      <c r="AA39" s="100">
        <f>IF(AA20="Post-breeding migration",AA36*(1-'User inputs - bird impacts'!$G$20),0)</f>
        <v>0</v>
      </c>
      <c r="AB39" s="100">
        <f>IF(AB20="Post-breeding migration",AB36*(1-'User inputs - bird impacts'!$G$20),0)</f>
        <v>0</v>
      </c>
      <c r="AC39" s="100">
        <f>IF(AC20="Post-breeding migration",AC36*(1-'User inputs - bird impacts'!$G$20),0)</f>
        <v>0</v>
      </c>
      <c r="AD39" s="100" t="e">
        <f>IF(AD20="Post-breeding migration",AD36*(1-'User inputs - bird impacts'!$G$20),0)</f>
        <v>#DIV/0!</v>
      </c>
      <c r="AE39" s="100" t="e">
        <f>IF(AE20="Post-breeding migration",AE36*(1-'User inputs - bird impacts'!$G$20),0)</f>
        <v>#DIV/0!</v>
      </c>
      <c r="AF39" s="100" t="e">
        <f>IF(AF20="Post-breeding migration",AF36*(1-'User inputs - bird impacts'!$G$20),0)</f>
        <v>#DIV/0!</v>
      </c>
      <c r="AG39" s="100">
        <f>IF(AG20="Post-breeding migration",AG36*(1-'User inputs - bird impacts'!$G$20),0)</f>
        <v>0</v>
      </c>
      <c r="AI39" s="99" t="e">
        <f t="shared" ref="AI39:AI40" si="7">SUM(V39:AG39)</f>
        <v>#DIV/0!</v>
      </c>
    </row>
    <row r="40" spans="2:35" ht="15" x14ac:dyDescent="0.25">
      <c r="B40" s="14" t="s">
        <v>312</v>
      </c>
      <c r="D40" s="100" t="e">
        <f>IF(D20="Return migration",D36*(1-'User inputs - bird impacts'!$E$18),0)</f>
        <v>#DIV/0!</v>
      </c>
      <c r="E40" s="100" t="e">
        <f>IF(E20="Return migration",E36*(1-'User inputs - bird impacts'!$E$18),0)</f>
        <v>#DIV/0!</v>
      </c>
      <c r="F40" s="100" t="e">
        <f>IF(F20="Return migration",F36*(1-'User inputs - bird impacts'!$E$18),0)</f>
        <v>#DIV/0!</v>
      </c>
      <c r="G40" s="100" t="e">
        <f>IF(G20="Return migration",G36*(1-'User inputs - bird impacts'!$E$18),0)</f>
        <v>#DIV/0!</v>
      </c>
      <c r="H40" s="100">
        <f>IF(H20="Return migration",H36*(1-'User inputs - bird impacts'!$E$18),0)</f>
        <v>0</v>
      </c>
      <c r="I40" s="100">
        <f>IF(I20="Return migration",I36*(1-'User inputs - bird impacts'!$E$18),0)</f>
        <v>0</v>
      </c>
      <c r="J40" s="100">
        <f>IF(J20="Return migration",J36*(1-'User inputs - bird impacts'!$E$18),0)</f>
        <v>0</v>
      </c>
      <c r="K40" s="100">
        <f>IF(K20="Return migration",K36*(1-'User inputs - bird impacts'!$E$18),0)</f>
        <v>0</v>
      </c>
      <c r="L40" s="100">
        <f>IF(L20="Return migration",L36*(1-'User inputs - bird impacts'!$E$18),0)</f>
        <v>0</v>
      </c>
      <c r="M40" s="100">
        <f>IF(M20="Return migration",M36*(1-'User inputs - bird impacts'!$E$18),0)</f>
        <v>0</v>
      </c>
      <c r="N40" s="100">
        <f>IF(N20="Return migration",N36*(1-'User inputs - bird impacts'!$E$18),0)</f>
        <v>0</v>
      </c>
      <c r="O40" s="100">
        <f>IF(O20="Return migration",O36*(1-'User inputs - bird impacts'!$E$18),0)</f>
        <v>0</v>
      </c>
      <c r="Q40" s="99" t="e">
        <f t="shared" si="6"/>
        <v>#DIV/0!</v>
      </c>
      <c r="R40" s="53"/>
      <c r="S40" s="54"/>
      <c r="T40" s="14" t="s">
        <v>312</v>
      </c>
      <c r="V40" s="100" t="e">
        <f>IF(V20="Return migration",V36*(1-'User inputs - bird impacts'!$G$20),0)</f>
        <v>#DIV/0!</v>
      </c>
      <c r="W40" s="100" t="e">
        <f>IF(W20="Return migration",W36*(1-'User inputs - bird impacts'!$G$20),0)</f>
        <v>#DIV/0!</v>
      </c>
      <c r="X40" s="100" t="e">
        <f>IF(X20="Return migration",X36*(1-'User inputs - bird impacts'!$G$20),0)</f>
        <v>#DIV/0!</v>
      </c>
      <c r="Y40" s="100">
        <f>IF(Y20="Return migration",Y36*(1-'User inputs - bird impacts'!$G$20),0)</f>
        <v>0</v>
      </c>
      <c r="Z40" s="100">
        <f>IF(Z20="Return migration",Z36*(1-'User inputs - bird impacts'!$G$20),0)</f>
        <v>0</v>
      </c>
      <c r="AA40" s="100">
        <f>IF(AA20="Return migration",AA36*(1-'User inputs - bird impacts'!$G$20),0)</f>
        <v>0</v>
      </c>
      <c r="AB40" s="100">
        <f>IF(AB20="Return migration",AB36*(1-'User inputs - bird impacts'!$G$20),0)</f>
        <v>0</v>
      </c>
      <c r="AC40" s="100">
        <f>IF(AC20="Return migration",AC36*(1-'User inputs - bird impacts'!$G$20),0)</f>
        <v>0</v>
      </c>
      <c r="AD40" s="100">
        <f>IF(AD20="Return migration",AD36*(1-'User inputs - bird impacts'!$G$20),0)</f>
        <v>0</v>
      </c>
      <c r="AE40" s="100">
        <f>IF(AE20="Return migration",AE36*(1-'User inputs - bird impacts'!$G$20),0)</f>
        <v>0</v>
      </c>
      <c r="AF40" s="100">
        <f>IF(AF20="Return migration",AF36*(1-'User inputs - bird impacts'!$G$20),0)</f>
        <v>0</v>
      </c>
      <c r="AG40" s="100" t="e">
        <f>IF(AG20="Return migration",AG36*(1-'User inputs - bird impacts'!$G$20),0)</f>
        <v>#DIV/0!</v>
      </c>
      <c r="AI40" s="99" t="e">
        <f t="shared" si="7"/>
        <v>#DIV/0!</v>
      </c>
    </row>
    <row r="41" spans="2:35" x14ac:dyDescent="0.2">
      <c r="B41" s="37"/>
      <c r="C41" s="37"/>
      <c r="D41" s="37"/>
      <c r="E41" s="37"/>
      <c r="F41" s="37"/>
      <c r="G41" s="37"/>
      <c r="H41" s="37"/>
      <c r="I41" s="37"/>
      <c r="J41" s="37"/>
      <c r="K41" s="37"/>
      <c r="L41" s="37"/>
      <c r="M41" s="37"/>
      <c r="N41" s="37"/>
      <c r="O41" s="37"/>
      <c r="P41" s="37"/>
      <c r="Q41" s="37"/>
      <c r="R41" s="36"/>
      <c r="S41" s="52"/>
      <c r="T41" s="37"/>
      <c r="U41" s="37"/>
      <c r="V41" s="37"/>
      <c r="W41" s="37"/>
      <c r="X41" s="37"/>
      <c r="Y41" s="37"/>
      <c r="Z41" s="37"/>
      <c r="AA41" s="37"/>
      <c r="AB41" s="37"/>
      <c r="AC41" s="37"/>
      <c r="AD41" s="37"/>
      <c r="AE41" s="37"/>
      <c r="AF41" s="37"/>
      <c r="AG41" s="37"/>
      <c r="AH41" s="37"/>
      <c r="AI41" s="37"/>
    </row>
    <row r="42" spans="2:35" x14ac:dyDescent="0.2">
      <c r="B42" s="38"/>
      <c r="C42" s="38"/>
      <c r="D42" s="38"/>
      <c r="E42" s="38"/>
      <c r="F42" s="38"/>
      <c r="G42" s="38"/>
      <c r="H42" s="38"/>
      <c r="I42" s="38"/>
      <c r="J42" s="38"/>
      <c r="K42" s="38"/>
      <c r="L42" s="38"/>
      <c r="M42" s="38"/>
      <c r="N42" s="38"/>
      <c r="O42" s="38"/>
      <c r="P42" s="38"/>
      <c r="Q42" s="38"/>
      <c r="R42" s="36"/>
    </row>
    <row r="43" spans="2:35" ht="18" x14ac:dyDescent="0.25">
      <c r="B43" s="31" t="s">
        <v>321</v>
      </c>
      <c r="D43" s="15"/>
      <c r="R43" s="36"/>
      <c r="S43" s="52"/>
      <c r="T43" s="31" t="s">
        <v>323</v>
      </c>
      <c r="V43" s="15"/>
    </row>
    <row r="44" spans="2:35" ht="15" x14ac:dyDescent="0.25">
      <c r="D44" s="15"/>
      <c r="R44" s="36"/>
      <c r="S44" s="52"/>
      <c r="V44" s="15"/>
    </row>
    <row r="45" spans="2:35" ht="15" x14ac:dyDescent="0.25">
      <c r="B45" s="15" t="s">
        <v>301</v>
      </c>
      <c r="R45" s="36"/>
      <c r="S45" s="52"/>
      <c r="T45" s="15" t="s">
        <v>301</v>
      </c>
    </row>
    <row r="46" spans="2:35" x14ac:dyDescent="0.2">
      <c r="B46" s="14" t="s">
        <v>18</v>
      </c>
      <c r="C46" s="94" t="s">
        <v>16</v>
      </c>
      <c r="R46" s="36"/>
      <c r="S46" s="52"/>
      <c r="T46" s="14" t="s">
        <v>18</v>
      </c>
      <c r="U46" s="94" t="s">
        <v>13</v>
      </c>
    </row>
    <row r="47" spans="2:35" x14ac:dyDescent="0.2">
      <c r="B47" s="14" t="s">
        <v>302</v>
      </c>
      <c r="C47" s="94">
        <f>'Default parameters'!C7</f>
        <v>13.1</v>
      </c>
      <c r="R47" s="36"/>
      <c r="S47" s="52"/>
      <c r="T47" s="14" t="s">
        <v>302</v>
      </c>
      <c r="U47" s="94">
        <f>'Default parameters'!D7</f>
        <v>14.9</v>
      </c>
    </row>
    <row r="48" spans="2:35" x14ac:dyDescent="0.2">
      <c r="B48" s="14" t="s">
        <v>303</v>
      </c>
      <c r="C48" s="94">
        <f>'User inputs - bird impacts'!E59</f>
        <v>0</v>
      </c>
      <c r="R48" s="36"/>
      <c r="S48" s="52"/>
      <c r="T48" s="14" t="s">
        <v>303</v>
      </c>
      <c r="U48" s="101">
        <f>'User inputs - bird impacts'!G59</f>
        <v>0</v>
      </c>
    </row>
    <row r="49" spans="2:33" x14ac:dyDescent="0.2">
      <c r="C49" s="29"/>
      <c r="R49" s="36"/>
      <c r="S49" s="52"/>
      <c r="U49" s="29"/>
    </row>
    <row r="50" spans="2:33" ht="15" x14ac:dyDescent="0.25">
      <c r="B50" s="15" t="s">
        <v>33</v>
      </c>
      <c r="C50" s="44"/>
      <c r="D50" s="34"/>
      <c r="R50" s="36"/>
      <c r="S50" s="52"/>
      <c r="T50" s="15" t="s">
        <v>33</v>
      </c>
      <c r="U50" s="44"/>
      <c r="V50" s="34"/>
    </row>
    <row r="51" spans="2:33" x14ac:dyDescent="0.2">
      <c r="B51" s="14" t="s">
        <v>304</v>
      </c>
      <c r="C51" s="94">
        <f>'User inputs - run and wind farm'!E15</f>
        <v>0</v>
      </c>
      <c r="D51" s="34"/>
      <c r="R51" s="36"/>
      <c r="S51" s="52"/>
      <c r="T51" s="14" t="s">
        <v>304</v>
      </c>
      <c r="U51" s="94">
        <f>'User inputs - run and wind farm'!E15</f>
        <v>0</v>
      </c>
      <c r="V51" s="34"/>
    </row>
    <row r="52" spans="2:33" x14ac:dyDescent="0.2">
      <c r="B52" s="14" t="s">
        <v>21</v>
      </c>
      <c r="C52" s="94">
        <f>'User inputs - run and wind farm'!E17</f>
        <v>0</v>
      </c>
      <c r="D52" s="34"/>
      <c r="R52" s="36"/>
      <c r="S52" s="52"/>
      <c r="T52" s="14" t="s">
        <v>21</v>
      </c>
      <c r="U52" s="94">
        <f>'User inputs - run and wind farm'!E17</f>
        <v>0</v>
      </c>
      <c r="V52" s="34"/>
    </row>
    <row r="53" spans="2:33" x14ac:dyDescent="0.2">
      <c r="B53" s="14" t="s">
        <v>305</v>
      </c>
      <c r="C53" s="94">
        <f>'User inputs - run and wind farm'!E19/2</f>
        <v>0</v>
      </c>
      <c r="D53" s="34"/>
      <c r="R53" s="36"/>
      <c r="S53" s="52"/>
      <c r="T53" s="14" t="s">
        <v>305</v>
      </c>
      <c r="U53" s="94">
        <f>'User inputs - run and wind farm'!E19/2</f>
        <v>0</v>
      </c>
      <c r="V53" s="34"/>
    </row>
    <row r="54" spans="2:33" x14ac:dyDescent="0.2">
      <c r="B54" s="14" t="s">
        <v>306</v>
      </c>
      <c r="C54" s="94">
        <f>'User inputs - run and wind farm'!E23</f>
        <v>0</v>
      </c>
      <c r="D54" s="34"/>
      <c r="R54" s="36"/>
      <c r="S54" s="52"/>
      <c r="T54" s="14" t="s">
        <v>306</v>
      </c>
      <c r="U54" s="94">
        <f>'User inputs - run and wind farm'!E23</f>
        <v>0</v>
      </c>
      <c r="V54" s="34"/>
    </row>
    <row r="55" spans="2:33" ht="16.5" x14ac:dyDescent="0.2">
      <c r="B55" s="14" t="s">
        <v>307</v>
      </c>
      <c r="C55" s="94">
        <f>C52*PI()*C53*C53</f>
        <v>0</v>
      </c>
      <c r="D55" s="34"/>
      <c r="R55" s="36"/>
      <c r="S55" s="52"/>
      <c r="T55" s="14" t="s">
        <v>307</v>
      </c>
      <c r="U55" s="94">
        <f>U52*PI()*U53*U53</f>
        <v>0</v>
      </c>
      <c r="V55" s="34"/>
    </row>
    <row r="56" spans="2:33" x14ac:dyDescent="0.2">
      <c r="C56" s="39"/>
      <c r="D56" s="34"/>
      <c r="R56" s="36"/>
      <c r="S56" s="52"/>
      <c r="U56" s="39"/>
      <c r="V56" s="34"/>
    </row>
    <row r="57" spans="2:33" x14ac:dyDescent="0.2">
      <c r="B57" s="14" t="s">
        <v>281</v>
      </c>
      <c r="D57" s="29" t="s">
        <v>0</v>
      </c>
      <c r="E57" s="29" t="s">
        <v>1</v>
      </c>
      <c r="F57" s="29" t="s">
        <v>2</v>
      </c>
      <c r="G57" s="29" t="s">
        <v>3</v>
      </c>
      <c r="H57" s="29" t="s">
        <v>4</v>
      </c>
      <c r="I57" s="29" t="s">
        <v>5</v>
      </c>
      <c r="J57" s="29" t="s">
        <v>6</v>
      </c>
      <c r="K57" s="29" t="s">
        <v>7</v>
      </c>
      <c r="L57" s="29" t="s">
        <v>8</v>
      </c>
      <c r="M57" s="29" t="s">
        <v>9</v>
      </c>
      <c r="N57" s="29" t="s">
        <v>10</v>
      </c>
      <c r="O57" s="29" t="s">
        <v>11</v>
      </c>
      <c r="R57" s="36"/>
      <c r="S57" s="52"/>
      <c r="T57" s="14" t="s">
        <v>281</v>
      </c>
      <c r="V57" s="29" t="s">
        <v>0</v>
      </c>
      <c r="W57" s="29" t="s">
        <v>1</v>
      </c>
      <c r="X57" s="29" t="s">
        <v>2</v>
      </c>
      <c r="Y57" s="29" t="s">
        <v>3</v>
      </c>
      <c r="Z57" s="29" t="s">
        <v>4</v>
      </c>
      <c r="AA57" s="29" t="s">
        <v>5</v>
      </c>
      <c r="AB57" s="29" t="s">
        <v>6</v>
      </c>
      <c r="AC57" s="29" t="s">
        <v>7</v>
      </c>
      <c r="AD57" s="29" t="s">
        <v>8</v>
      </c>
      <c r="AE57" s="29" t="s">
        <v>9</v>
      </c>
      <c r="AF57" s="29" t="s">
        <v>10</v>
      </c>
      <c r="AG57" s="29" t="s">
        <v>11</v>
      </c>
    </row>
    <row r="58" spans="2:33" x14ac:dyDescent="0.2">
      <c r="D58" s="29"/>
      <c r="E58" s="29"/>
      <c r="F58" s="29"/>
      <c r="G58" s="29"/>
      <c r="H58" s="29"/>
      <c r="I58" s="29"/>
      <c r="J58" s="29"/>
      <c r="K58" s="29"/>
      <c r="L58" s="29"/>
      <c r="M58" s="29"/>
      <c r="N58" s="29"/>
      <c r="O58" s="29"/>
      <c r="R58" s="36"/>
      <c r="S58" s="52"/>
      <c r="V58" s="29"/>
      <c r="W58" s="29"/>
      <c r="X58" s="29"/>
      <c r="Y58" s="29"/>
      <c r="Z58" s="29"/>
      <c r="AA58" s="29"/>
      <c r="AB58" s="29"/>
      <c r="AC58" s="29"/>
      <c r="AD58" s="29"/>
      <c r="AE58" s="29"/>
      <c r="AF58" s="29"/>
      <c r="AG58" s="29"/>
    </row>
    <row r="59" spans="2:33" ht="42.75" x14ac:dyDescent="0.2">
      <c r="B59" s="14" t="s">
        <v>282</v>
      </c>
      <c r="D59" s="96" t="str">
        <f>VLOOKUP(D57,'Default parameters'!$G$4:$K$15,2,FALSE)</f>
        <v>Return migration</v>
      </c>
      <c r="E59" s="96" t="str">
        <f>VLOOKUP(E57,'Default parameters'!$G$4:$K$15,2,FALSE)</f>
        <v>Return migration</v>
      </c>
      <c r="F59" s="96" t="str">
        <f>VLOOKUP(F57,'Default parameters'!$G$4:$K$15,2,FALSE)</f>
        <v>Return migration</v>
      </c>
      <c r="G59" s="96" t="str">
        <f>VLOOKUP(G57,'Default parameters'!$G$4:$K$15,2,FALSE)</f>
        <v>Return migration</v>
      </c>
      <c r="H59" s="96" t="str">
        <f>VLOOKUP(H57,'Default parameters'!$G$4:$K$15,2,FALSE)</f>
        <v>Breeding</v>
      </c>
      <c r="I59" s="96" t="str">
        <f>VLOOKUP(I57,'Default parameters'!$G$4:$K$15,2,FALSE)</f>
        <v>Breeding</v>
      </c>
      <c r="J59" s="96" t="str">
        <f>VLOOKUP(J57,'Default parameters'!$G$4:$K$15,2,FALSE)</f>
        <v>Breeding</v>
      </c>
      <c r="K59" s="96" t="str">
        <f>VLOOKUP(K57,'Default parameters'!$G$4:$K$15,2,FALSE)</f>
        <v>Post-breeding migration</v>
      </c>
      <c r="L59" s="96" t="str">
        <f>VLOOKUP(L57,'Default parameters'!$G$4:$K$15,2,FALSE)</f>
        <v>Post-breeding migration</v>
      </c>
      <c r="M59" s="96" t="str">
        <f>VLOOKUP(M57,'Default parameters'!$G$4:$K$15,2,FALSE)</f>
        <v>Post-breeding migration</v>
      </c>
      <c r="N59" s="96" t="str">
        <f>VLOOKUP(N57,'Default parameters'!$G$4:$K$15,2,FALSE)</f>
        <v>Post-breeding migration</v>
      </c>
      <c r="O59" s="96" t="str">
        <f>VLOOKUP(O57,'Default parameters'!$G$4:$K$15,2,FALSE)</f>
        <v>Post-breeding migration</v>
      </c>
      <c r="R59" s="36"/>
      <c r="S59" s="52"/>
      <c r="T59" s="14" t="s">
        <v>282</v>
      </c>
      <c r="V59" s="96" t="str">
        <f>VLOOKUP(V57,'Default parameters'!$G$4:$K$15,4,FALSE)</f>
        <v>Return migration</v>
      </c>
      <c r="W59" s="96" t="str">
        <f>VLOOKUP(W57,'Default parameters'!$G$4:$K$15,4,FALSE)</f>
        <v>Return migration</v>
      </c>
      <c r="X59" s="96" t="str">
        <f>VLOOKUP(X57,'Default parameters'!$G$4:$K$15,4,FALSE)</f>
        <v>Return migration</v>
      </c>
      <c r="Y59" s="96" t="str">
        <f>VLOOKUP(Y57,'Default parameters'!$G$4:$K$15,4,FALSE)</f>
        <v>Breeding</v>
      </c>
      <c r="Z59" s="96" t="str">
        <f>VLOOKUP(Z57,'Default parameters'!$G$4:$K$15,4,FALSE)</f>
        <v>Breeding</v>
      </c>
      <c r="AA59" s="96" t="str">
        <f>VLOOKUP(AA57,'Default parameters'!$G$4:$K$15,4,FALSE)</f>
        <v>Breeding</v>
      </c>
      <c r="AB59" s="96" t="str">
        <f>VLOOKUP(AB57,'Default parameters'!$G$4:$K$15,4,FALSE)</f>
        <v>Breeding</v>
      </c>
      <c r="AC59" s="96" t="str">
        <f>VLOOKUP(AC57,'Default parameters'!$G$4:$K$15,4,FALSE)</f>
        <v>Breeding</v>
      </c>
      <c r="AD59" s="96" t="str">
        <f>VLOOKUP(AD57,'Default parameters'!$G$4:$K$15,4,FALSE)</f>
        <v>Post-breeding migration</v>
      </c>
      <c r="AE59" s="96" t="str">
        <f>VLOOKUP(AE57,'Default parameters'!$G$4:$K$15,4,FALSE)</f>
        <v>Post-breeding migration</v>
      </c>
      <c r="AF59" s="96" t="str">
        <f>VLOOKUP(AF57,'Default parameters'!$G$4:$K$15,4,FALSE)</f>
        <v>Post-breeding migration</v>
      </c>
      <c r="AG59" s="96" t="str">
        <f>VLOOKUP(AG57,'Default parameters'!$G$4:$K$15,4,FALSE)</f>
        <v>Return migration</v>
      </c>
    </row>
    <row r="60" spans="2:33" x14ac:dyDescent="0.2">
      <c r="D60" s="42"/>
      <c r="E60" s="42"/>
      <c r="F60" s="42"/>
      <c r="G60" s="42"/>
      <c r="H60" s="42"/>
      <c r="I60" s="42"/>
      <c r="J60" s="42"/>
      <c r="K60" s="42"/>
      <c r="L60" s="42"/>
      <c r="M60" s="42"/>
      <c r="N60" s="42"/>
      <c r="O60" s="42"/>
      <c r="R60" s="36"/>
      <c r="S60" s="52"/>
      <c r="V60" s="42"/>
      <c r="W60" s="42"/>
      <c r="X60" s="42"/>
      <c r="Y60" s="42"/>
      <c r="Z60" s="42"/>
      <c r="AA60" s="42"/>
      <c r="AB60" s="42"/>
      <c r="AC60" s="42"/>
      <c r="AD60" s="42"/>
      <c r="AE60" s="42"/>
      <c r="AF60" s="42"/>
      <c r="AG60" s="42"/>
    </row>
    <row r="61" spans="2:33" x14ac:dyDescent="0.2">
      <c r="B61" s="14" t="s">
        <v>39</v>
      </c>
      <c r="D61" s="96">
        <f>'Default parameters'!P12-('Default parameters'!P13)</f>
        <v>0.89129999999999998</v>
      </c>
      <c r="E61" s="96">
        <f>'Default parameters'!Q12-('Default parameters'!Q13)</f>
        <v>0.9265000000000001</v>
      </c>
      <c r="F61" s="96">
        <f>'Default parameters'!R12-('Default parameters'!R13)</f>
        <v>0.89610000000000001</v>
      </c>
      <c r="G61" s="96">
        <f>'Default parameters'!S12-('Default parameters'!S13)</f>
        <v>0.86759999999999993</v>
      </c>
      <c r="H61" s="96">
        <f>'Default parameters'!T12-('Default parameters'!T13)</f>
        <v>0.83389999999999997</v>
      </c>
      <c r="I61" s="96">
        <f>'Default parameters'!U12-('Default parameters'!U13)</f>
        <v>0.87380000000000002</v>
      </c>
      <c r="J61" s="96">
        <f>'Default parameters'!V12-('Default parameters'!V13)</f>
        <v>0.85729999999999995</v>
      </c>
      <c r="K61" s="96">
        <f>'Default parameters'!W12-('Default parameters'!W13)</f>
        <v>0.82200000000000006</v>
      </c>
      <c r="L61" s="96">
        <f>'Default parameters'!X12-('Default parameters'!X13)</f>
        <v>0.89890000000000003</v>
      </c>
      <c r="M61" s="96">
        <f>'Default parameters'!Y12-('Default parameters'!Y13)</f>
        <v>0.9163</v>
      </c>
      <c r="N61" s="96">
        <f>'Default parameters'!Z12-('Default parameters'!Z13)</f>
        <v>0.93790000000000007</v>
      </c>
      <c r="O61" s="96">
        <f>'Default parameters'!AA12-('Default parameters'!AA13)</f>
        <v>0.89189999999999992</v>
      </c>
      <c r="R61" s="36"/>
      <c r="S61" s="52"/>
      <c r="T61" s="14" t="s">
        <v>39</v>
      </c>
      <c r="V61" s="96">
        <f>'Default parameters'!P12-'Default parameters'!P13</f>
        <v>0.89129999999999998</v>
      </c>
      <c r="W61" s="96">
        <f>'Default parameters'!Q12-'Default parameters'!Q13</f>
        <v>0.9265000000000001</v>
      </c>
      <c r="X61" s="96">
        <f>'Default parameters'!R12-'Default parameters'!R13</f>
        <v>0.89610000000000001</v>
      </c>
      <c r="Y61" s="96">
        <f>'Default parameters'!S12-'Default parameters'!S13</f>
        <v>0.86759999999999993</v>
      </c>
      <c r="Z61" s="96">
        <f>'Default parameters'!T12-'Default parameters'!T13</f>
        <v>0.83389999999999997</v>
      </c>
      <c r="AA61" s="96">
        <f>'Default parameters'!U12-'Default parameters'!U13</f>
        <v>0.87380000000000002</v>
      </c>
      <c r="AB61" s="96">
        <f>'Default parameters'!V12-'Default parameters'!V13</f>
        <v>0.85729999999999995</v>
      </c>
      <c r="AC61" s="96">
        <f>'Default parameters'!W12-'Default parameters'!W13</f>
        <v>0.82200000000000006</v>
      </c>
      <c r="AD61" s="96">
        <f>'Default parameters'!X12-'Default parameters'!X13</f>
        <v>0.89890000000000003</v>
      </c>
      <c r="AE61" s="96">
        <f>'Default parameters'!Y12-'Default parameters'!Y13</f>
        <v>0.9163</v>
      </c>
      <c r="AF61" s="96">
        <f>'Default parameters'!Z12-'Default parameters'!Z13</f>
        <v>0.93790000000000007</v>
      </c>
      <c r="AG61" s="96">
        <f>'Default parameters'!AA12-'Default parameters'!AA13</f>
        <v>0.89189999999999992</v>
      </c>
    </row>
    <row r="62" spans="2:33" x14ac:dyDescent="0.2">
      <c r="D62" s="29"/>
      <c r="E62" s="29"/>
      <c r="F62" s="29"/>
      <c r="G62" s="29"/>
      <c r="H62" s="29"/>
      <c r="I62" s="29"/>
      <c r="J62" s="29"/>
      <c r="K62" s="29"/>
      <c r="L62" s="29"/>
      <c r="M62" s="29"/>
      <c r="N62" s="29"/>
      <c r="O62" s="29"/>
      <c r="R62" s="36"/>
      <c r="S62" s="52"/>
      <c r="V62" s="29"/>
      <c r="W62" s="29"/>
      <c r="X62" s="29"/>
      <c r="Y62" s="29"/>
      <c r="Z62" s="29"/>
      <c r="AA62" s="29"/>
      <c r="AB62" s="29"/>
      <c r="AC62" s="29"/>
      <c r="AD62" s="29"/>
      <c r="AE62" s="29"/>
      <c r="AF62" s="29"/>
      <c r="AG62" s="29"/>
    </row>
    <row r="63" spans="2:33" ht="15" x14ac:dyDescent="0.25">
      <c r="B63" s="15" t="s">
        <v>40</v>
      </c>
      <c r="D63" s="45"/>
      <c r="E63" s="45"/>
      <c r="F63" s="45"/>
      <c r="G63" s="45"/>
      <c r="H63" s="45"/>
      <c r="I63" s="45"/>
      <c r="J63" s="45"/>
      <c r="K63" s="45"/>
      <c r="L63" s="45"/>
      <c r="M63" s="45"/>
      <c r="N63" s="45"/>
      <c r="O63" s="45"/>
      <c r="R63" s="36"/>
      <c r="S63" s="52"/>
      <c r="T63" s="15" t="s">
        <v>40</v>
      </c>
      <c r="V63" s="45"/>
      <c r="W63" s="45"/>
      <c r="X63" s="45"/>
      <c r="Y63" s="45"/>
      <c r="Z63" s="45"/>
      <c r="AA63" s="45"/>
      <c r="AB63" s="45"/>
      <c r="AC63" s="45"/>
      <c r="AD63" s="45"/>
      <c r="AE63" s="45"/>
      <c r="AF63" s="45"/>
      <c r="AG63" s="45"/>
    </row>
    <row r="64" spans="2:33" ht="16.5" x14ac:dyDescent="0.2">
      <c r="B64" s="14" t="s">
        <v>308</v>
      </c>
      <c r="D64" s="97">
        <f>'User inputs - bird impacts'!E50</f>
        <v>0</v>
      </c>
      <c r="E64" s="97">
        <f>'User inputs - bird impacts'!G50</f>
        <v>0</v>
      </c>
      <c r="F64" s="97">
        <f>'User inputs - bird impacts'!I50</f>
        <v>0</v>
      </c>
      <c r="G64" s="97">
        <f>'User inputs - bird impacts'!K50</f>
        <v>0</v>
      </c>
      <c r="H64" s="97">
        <f>'User inputs - bird impacts'!M50</f>
        <v>0</v>
      </c>
      <c r="I64" s="97">
        <f>'User inputs - bird impacts'!O50</f>
        <v>0</v>
      </c>
      <c r="J64" s="97">
        <f>'User inputs - bird impacts'!Q50</f>
        <v>0</v>
      </c>
      <c r="K64" s="97">
        <f>'User inputs - bird impacts'!S50</f>
        <v>0</v>
      </c>
      <c r="L64" s="97">
        <f>'User inputs - bird impacts'!U50</f>
        <v>0</v>
      </c>
      <c r="M64" s="97">
        <f>'User inputs - bird impacts'!W50</f>
        <v>0</v>
      </c>
      <c r="N64" s="97">
        <f>'User inputs - bird impacts'!Y50</f>
        <v>0</v>
      </c>
      <c r="O64" s="97">
        <f>'User inputs - bird impacts'!AA50</f>
        <v>0</v>
      </c>
      <c r="R64" s="36"/>
      <c r="S64" s="52"/>
      <c r="T64" s="14" t="s">
        <v>308</v>
      </c>
      <c r="V64" s="97">
        <f>'User inputs - bird impacts'!E51</f>
        <v>0</v>
      </c>
      <c r="W64" s="97">
        <f>'User inputs - bird impacts'!G51</f>
        <v>0</v>
      </c>
      <c r="X64" s="97">
        <f>'User inputs - bird impacts'!I51</f>
        <v>0</v>
      </c>
      <c r="Y64" s="97">
        <f>'User inputs - bird impacts'!K51</f>
        <v>0</v>
      </c>
      <c r="Z64" s="97">
        <f>'User inputs - bird impacts'!M51</f>
        <v>0</v>
      </c>
      <c r="AA64" s="97">
        <f>'User inputs - bird impacts'!O51</f>
        <v>0</v>
      </c>
      <c r="AB64" s="97">
        <f>'User inputs - bird impacts'!Q51</f>
        <v>0</v>
      </c>
      <c r="AC64" s="97">
        <f>'User inputs - bird impacts'!S51</f>
        <v>0</v>
      </c>
      <c r="AD64" s="97">
        <f>'User inputs - bird impacts'!U51</f>
        <v>0</v>
      </c>
      <c r="AE64" s="97">
        <f>'User inputs - bird impacts'!W51</f>
        <v>0</v>
      </c>
      <c r="AF64" s="97">
        <f>'User inputs - bird impacts'!Y51</f>
        <v>0</v>
      </c>
      <c r="AG64" s="97">
        <f>'User inputs - bird impacts'!AA51</f>
        <v>0</v>
      </c>
    </row>
    <row r="65" spans="2:35" x14ac:dyDescent="0.2">
      <c r="B65" s="14" t="s">
        <v>41</v>
      </c>
      <c r="C65" s="98">
        <f>'Proportion at collision height'!E11</f>
        <v>0</v>
      </c>
      <c r="D65" s="29"/>
      <c r="E65" s="29"/>
      <c r="F65" s="29"/>
      <c r="G65" s="29"/>
      <c r="H65" s="29"/>
      <c r="I65" s="29"/>
      <c r="J65" s="29"/>
      <c r="K65" s="29"/>
      <c r="L65" s="29"/>
      <c r="M65" s="29"/>
      <c r="N65" s="29"/>
      <c r="O65" s="29"/>
      <c r="R65" s="36"/>
      <c r="S65" s="52"/>
      <c r="T65" s="14" t="s">
        <v>41</v>
      </c>
      <c r="U65" s="98">
        <f>'Proportion at collision height'!O11</f>
        <v>0</v>
      </c>
      <c r="V65" s="29"/>
      <c r="W65" s="29"/>
      <c r="X65" s="29"/>
      <c r="Y65" s="29"/>
      <c r="Z65" s="29"/>
      <c r="AA65" s="29"/>
      <c r="AB65" s="29"/>
      <c r="AC65" s="29"/>
      <c r="AD65" s="29"/>
      <c r="AE65" s="29"/>
      <c r="AF65" s="29"/>
      <c r="AG65" s="29"/>
    </row>
    <row r="66" spans="2:35" x14ac:dyDescent="0.2">
      <c r="B66" s="14" t="s">
        <v>42</v>
      </c>
      <c r="D66" s="50">
        <f>'Hours of daylight'!K14</f>
        <v>375.68698270402712</v>
      </c>
      <c r="E66" s="50">
        <f>'Hours of daylight'!L14</f>
        <v>339.19688287090781</v>
      </c>
      <c r="F66" s="50">
        <f>'Hours of daylight'!M14</f>
        <v>375.4530102491978</v>
      </c>
      <c r="G66" s="50">
        <f>'Hours of daylight'!N14</f>
        <v>363.38532179321777</v>
      </c>
      <c r="H66" s="50">
        <f>'Hours of daylight'!O14</f>
        <v>375.63935304279426</v>
      </c>
      <c r="I66" s="50">
        <f>'Hours of daylight'!P14</f>
        <v>363.6225522914749</v>
      </c>
      <c r="J66" s="50">
        <f>'Hours of daylight'!Q14</f>
        <v>375.69746095274434</v>
      </c>
      <c r="K66" s="50">
        <f>'Hours of daylight'!R14</f>
        <v>375.55230300789896</v>
      </c>
      <c r="L66" s="50">
        <f>'Hours of daylight'!S14</f>
        <v>363.34378424215805</v>
      </c>
      <c r="M66" s="50">
        <f>'Hours of daylight'!T14</f>
        <v>375.48854824936672</v>
      </c>
      <c r="N66" s="50">
        <f>'Hours of daylight'!U14</f>
        <v>363.51200749720294</v>
      </c>
      <c r="O66" s="50">
        <f>'Hours of daylight'!V14</f>
        <v>375.74137513849803</v>
      </c>
      <c r="R66" s="36"/>
      <c r="S66" s="52"/>
      <c r="T66" s="14" t="s">
        <v>42</v>
      </c>
      <c r="V66" s="50">
        <f>'Hours of daylight'!K14</f>
        <v>375.68698270402712</v>
      </c>
      <c r="W66" s="50">
        <f>'Hours of daylight'!L14</f>
        <v>339.19688287090781</v>
      </c>
      <c r="X66" s="50">
        <f>'Hours of daylight'!M14</f>
        <v>375.4530102491978</v>
      </c>
      <c r="Y66" s="50">
        <f>'Hours of daylight'!N14</f>
        <v>363.38532179321777</v>
      </c>
      <c r="Z66" s="50">
        <f>'Hours of daylight'!O14</f>
        <v>375.63935304279426</v>
      </c>
      <c r="AA66" s="50">
        <f>'Hours of daylight'!P14</f>
        <v>363.6225522914749</v>
      </c>
      <c r="AB66" s="50">
        <f>'Hours of daylight'!Q14</f>
        <v>375.69746095274434</v>
      </c>
      <c r="AC66" s="50">
        <f>'Hours of daylight'!R14</f>
        <v>375.55230300789896</v>
      </c>
      <c r="AD66" s="50">
        <f>'Hours of daylight'!S14</f>
        <v>363.34378424215805</v>
      </c>
      <c r="AE66" s="50">
        <f>'Hours of daylight'!T14</f>
        <v>375.48854824936672</v>
      </c>
      <c r="AF66" s="50">
        <f>'Hours of daylight'!U14</f>
        <v>363.51200749720294</v>
      </c>
      <c r="AG66" s="50">
        <f>'Hours of daylight'!V14</f>
        <v>375.74137513849803</v>
      </c>
    </row>
    <row r="67" spans="2:35" x14ac:dyDescent="0.2">
      <c r="B67" s="14" t="s">
        <v>43</v>
      </c>
      <c r="D67" s="50">
        <f>'Hours of daylight'!K19</f>
        <v>368.31301729597288</v>
      </c>
      <c r="E67" s="50">
        <f>'Hours of daylight'!L19</f>
        <v>332.80311712909219</v>
      </c>
      <c r="F67" s="50">
        <f>'Hours of daylight'!M19</f>
        <v>368.5469897508022</v>
      </c>
      <c r="G67" s="50">
        <f>'Hours of daylight'!N19</f>
        <v>356.61467820678223</v>
      </c>
      <c r="H67" s="50">
        <f>'Hours of daylight'!O19</f>
        <v>368.36064695720574</v>
      </c>
      <c r="I67" s="50">
        <f>'Hours of daylight'!P19</f>
        <v>356.3774477085251</v>
      </c>
      <c r="J67" s="50">
        <f>'Hours of daylight'!Q19</f>
        <v>368.30253904725566</v>
      </c>
      <c r="K67" s="50">
        <f>'Hours of daylight'!R19</f>
        <v>368.44769699210104</v>
      </c>
      <c r="L67" s="50">
        <f>'Hours of daylight'!S19</f>
        <v>356.65621575784195</v>
      </c>
      <c r="M67" s="50">
        <f>'Hours of daylight'!T19</f>
        <v>368.51145175063328</v>
      </c>
      <c r="N67" s="50">
        <f>'Hours of daylight'!U19</f>
        <v>356.48799250279706</v>
      </c>
      <c r="O67" s="50">
        <f>'Hours of daylight'!V19</f>
        <v>368.25862486150197</v>
      </c>
      <c r="R67" s="36"/>
      <c r="S67" s="52"/>
      <c r="T67" s="14" t="s">
        <v>43</v>
      </c>
      <c r="V67" s="50">
        <f>'Hours of daylight'!K19</f>
        <v>368.31301729597288</v>
      </c>
      <c r="W67" s="50">
        <f>'Hours of daylight'!L19</f>
        <v>332.80311712909219</v>
      </c>
      <c r="X67" s="50">
        <f>'Hours of daylight'!M19</f>
        <v>368.5469897508022</v>
      </c>
      <c r="Y67" s="50">
        <f>'Hours of daylight'!N19</f>
        <v>356.61467820678223</v>
      </c>
      <c r="Z67" s="50">
        <f>'Hours of daylight'!O19</f>
        <v>368.36064695720574</v>
      </c>
      <c r="AA67" s="50">
        <f>'Hours of daylight'!P19</f>
        <v>356.3774477085251</v>
      </c>
      <c r="AB67" s="50">
        <f>'Hours of daylight'!Q19</f>
        <v>368.30253904725566</v>
      </c>
      <c r="AC67" s="50">
        <f>'Hours of daylight'!R19</f>
        <v>368.44769699210104</v>
      </c>
      <c r="AD67" s="50">
        <f>'Hours of daylight'!S19</f>
        <v>356.65621575784195</v>
      </c>
      <c r="AE67" s="50">
        <f>'Hours of daylight'!T19</f>
        <v>368.51145175063328</v>
      </c>
      <c r="AF67" s="50">
        <f>'Hours of daylight'!U19</f>
        <v>356.48799250279706</v>
      </c>
      <c r="AG67" s="50">
        <f>'Hours of daylight'!V19</f>
        <v>368.25862486150197</v>
      </c>
    </row>
    <row r="68" spans="2:35" x14ac:dyDescent="0.2">
      <c r="D68" s="45"/>
      <c r="E68" s="45"/>
      <c r="F68" s="45"/>
      <c r="G68" s="45"/>
      <c r="H68" s="45"/>
      <c r="I68" s="45"/>
      <c r="J68" s="45"/>
      <c r="K68" s="45"/>
      <c r="L68" s="45"/>
      <c r="M68" s="45"/>
      <c r="N68" s="45"/>
      <c r="O68" s="45"/>
      <c r="R68" s="36"/>
      <c r="S68" s="52"/>
      <c r="V68" s="45"/>
      <c r="W68" s="45"/>
      <c r="X68" s="45"/>
      <c r="Y68" s="45"/>
      <c r="Z68" s="45"/>
      <c r="AA68" s="45"/>
      <c r="AB68" s="45"/>
      <c r="AC68" s="45"/>
      <c r="AD68" s="45"/>
      <c r="AE68" s="45"/>
      <c r="AF68" s="45"/>
      <c r="AG68" s="45"/>
    </row>
    <row r="69" spans="2:35" x14ac:dyDescent="0.2">
      <c r="B69" s="41" t="s">
        <v>44</v>
      </c>
      <c r="D69" s="50" t="e">
        <f t="shared" ref="D69:O69" si="8">$C47*D64/(2*$C53)*$C55*(D66+$C48*D67)*3600/1000000</f>
        <v>#DIV/0!</v>
      </c>
      <c r="E69" s="50" t="e">
        <f t="shared" si="8"/>
        <v>#DIV/0!</v>
      </c>
      <c r="F69" s="50" t="e">
        <f t="shared" si="8"/>
        <v>#DIV/0!</v>
      </c>
      <c r="G69" s="50" t="e">
        <f t="shared" si="8"/>
        <v>#DIV/0!</v>
      </c>
      <c r="H69" s="50" t="e">
        <f t="shared" si="8"/>
        <v>#DIV/0!</v>
      </c>
      <c r="I69" s="50" t="e">
        <f t="shared" si="8"/>
        <v>#DIV/0!</v>
      </c>
      <c r="J69" s="50" t="e">
        <f t="shared" si="8"/>
        <v>#DIV/0!</v>
      </c>
      <c r="K69" s="50" t="e">
        <f t="shared" si="8"/>
        <v>#DIV/0!</v>
      </c>
      <c r="L69" s="50" t="e">
        <f t="shared" si="8"/>
        <v>#DIV/0!</v>
      </c>
      <c r="M69" s="50" t="e">
        <f t="shared" si="8"/>
        <v>#DIV/0!</v>
      </c>
      <c r="N69" s="50" t="e">
        <f t="shared" si="8"/>
        <v>#DIV/0!</v>
      </c>
      <c r="O69" s="50" t="e">
        <f t="shared" si="8"/>
        <v>#DIV/0!</v>
      </c>
      <c r="R69" s="36"/>
      <c r="S69" s="52"/>
      <c r="T69" s="41" t="s">
        <v>44</v>
      </c>
      <c r="V69" s="50" t="e">
        <f>$U47*V64/(2*$U53)*$U55*(V66+$U48*V67)*3600/1000000</f>
        <v>#DIV/0!</v>
      </c>
      <c r="W69" s="50" t="e">
        <f t="shared" ref="W69:AG69" si="9">$U47*W64/(2*$U53)*$U55*(W66+$U48*W67)*3600/1000000</f>
        <v>#DIV/0!</v>
      </c>
      <c r="X69" s="50" t="e">
        <f t="shared" si="9"/>
        <v>#DIV/0!</v>
      </c>
      <c r="Y69" s="50" t="e">
        <f t="shared" si="9"/>
        <v>#DIV/0!</v>
      </c>
      <c r="Z69" s="50" t="e">
        <f t="shared" si="9"/>
        <v>#DIV/0!</v>
      </c>
      <c r="AA69" s="50" t="e">
        <f t="shared" si="9"/>
        <v>#DIV/0!</v>
      </c>
      <c r="AB69" s="50" t="e">
        <f t="shared" si="9"/>
        <v>#DIV/0!</v>
      </c>
      <c r="AC69" s="50" t="e">
        <f t="shared" si="9"/>
        <v>#DIV/0!</v>
      </c>
      <c r="AD69" s="50" t="e">
        <f t="shared" si="9"/>
        <v>#DIV/0!</v>
      </c>
      <c r="AE69" s="50" t="e">
        <f t="shared" si="9"/>
        <v>#DIV/0!</v>
      </c>
      <c r="AF69" s="50" t="e">
        <f t="shared" si="9"/>
        <v>#DIV/0!</v>
      </c>
      <c r="AG69" s="50" t="e">
        <f t="shared" si="9"/>
        <v>#DIV/0!</v>
      </c>
    </row>
    <row r="70" spans="2:35" x14ac:dyDescent="0.2">
      <c r="B70" s="16"/>
      <c r="D70" s="45"/>
      <c r="E70" s="45"/>
      <c r="F70" s="45"/>
      <c r="G70" s="45"/>
      <c r="H70" s="45"/>
      <c r="I70" s="45"/>
      <c r="J70" s="45"/>
      <c r="K70" s="45"/>
      <c r="L70" s="45"/>
      <c r="M70" s="45"/>
      <c r="N70" s="45"/>
      <c r="O70" s="45"/>
      <c r="R70" s="36"/>
      <c r="S70" s="52"/>
      <c r="T70" s="16"/>
      <c r="V70" s="45"/>
      <c r="W70" s="45"/>
      <c r="X70" s="45"/>
      <c r="Y70" s="45"/>
      <c r="Z70" s="45"/>
      <c r="AA70" s="45"/>
      <c r="AB70" s="45"/>
      <c r="AC70" s="45"/>
      <c r="AD70" s="45"/>
      <c r="AE70" s="45"/>
      <c r="AF70" s="45"/>
      <c r="AG70" s="45"/>
    </row>
    <row r="71" spans="2:35" ht="15" x14ac:dyDescent="0.25">
      <c r="B71" s="15" t="s">
        <v>236</v>
      </c>
      <c r="D71" s="29"/>
      <c r="E71" s="29"/>
      <c r="F71" s="29"/>
      <c r="G71" s="29"/>
      <c r="H71" s="29"/>
      <c r="I71" s="29"/>
      <c r="J71" s="29"/>
      <c r="K71" s="29"/>
      <c r="L71" s="29"/>
      <c r="M71" s="29"/>
      <c r="N71" s="29"/>
      <c r="O71" s="29"/>
      <c r="R71" s="36"/>
      <c r="S71" s="52"/>
      <c r="T71" s="15" t="s">
        <v>236</v>
      </c>
      <c r="V71" s="29"/>
      <c r="W71" s="29"/>
      <c r="X71" s="29"/>
      <c r="Y71" s="29"/>
      <c r="Z71" s="29"/>
      <c r="AA71" s="29"/>
      <c r="AB71" s="29"/>
      <c r="AC71" s="29"/>
      <c r="AD71" s="29"/>
      <c r="AE71" s="29"/>
      <c r="AF71" s="29"/>
      <c r="AG71" s="29"/>
    </row>
    <row r="72" spans="2:35" x14ac:dyDescent="0.2">
      <c r="B72" s="14" t="s">
        <v>45</v>
      </c>
      <c r="D72" s="50" t="e">
        <f t="shared" ref="D72:O72" si="10">D69*$C65</f>
        <v>#DIV/0!</v>
      </c>
      <c r="E72" s="50" t="e">
        <f t="shared" si="10"/>
        <v>#DIV/0!</v>
      </c>
      <c r="F72" s="50" t="e">
        <f t="shared" si="10"/>
        <v>#DIV/0!</v>
      </c>
      <c r="G72" s="50" t="e">
        <f t="shared" si="10"/>
        <v>#DIV/0!</v>
      </c>
      <c r="H72" s="50" t="e">
        <f t="shared" si="10"/>
        <v>#DIV/0!</v>
      </c>
      <c r="I72" s="50" t="e">
        <f t="shared" si="10"/>
        <v>#DIV/0!</v>
      </c>
      <c r="J72" s="50" t="e">
        <f t="shared" si="10"/>
        <v>#DIV/0!</v>
      </c>
      <c r="K72" s="50" t="e">
        <f t="shared" si="10"/>
        <v>#DIV/0!</v>
      </c>
      <c r="L72" s="50" t="e">
        <f t="shared" si="10"/>
        <v>#DIV/0!</v>
      </c>
      <c r="M72" s="50" t="e">
        <f t="shared" si="10"/>
        <v>#DIV/0!</v>
      </c>
      <c r="N72" s="50" t="e">
        <f t="shared" si="10"/>
        <v>#DIV/0!</v>
      </c>
      <c r="O72" s="50" t="e">
        <f t="shared" si="10"/>
        <v>#DIV/0!</v>
      </c>
      <c r="R72" s="36"/>
      <c r="S72" s="52"/>
      <c r="T72" s="14" t="s">
        <v>45</v>
      </c>
      <c r="V72" s="50" t="e">
        <f>V69*$U65</f>
        <v>#DIV/0!</v>
      </c>
      <c r="W72" s="50" t="e">
        <f t="shared" ref="W72:AG72" si="11">W69*$U65</f>
        <v>#DIV/0!</v>
      </c>
      <c r="X72" s="50" t="e">
        <f t="shared" si="11"/>
        <v>#DIV/0!</v>
      </c>
      <c r="Y72" s="50" t="e">
        <f t="shared" si="11"/>
        <v>#DIV/0!</v>
      </c>
      <c r="Z72" s="50" t="e">
        <f t="shared" si="11"/>
        <v>#DIV/0!</v>
      </c>
      <c r="AA72" s="50" t="e">
        <f t="shared" si="11"/>
        <v>#DIV/0!</v>
      </c>
      <c r="AB72" s="50" t="e">
        <f t="shared" si="11"/>
        <v>#DIV/0!</v>
      </c>
      <c r="AC72" s="50" t="e">
        <f t="shared" si="11"/>
        <v>#DIV/0!</v>
      </c>
      <c r="AD72" s="50" t="e">
        <f t="shared" si="11"/>
        <v>#DIV/0!</v>
      </c>
      <c r="AE72" s="50" t="e">
        <f t="shared" si="11"/>
        <v>#DIV/0!</v>
      </c>
      <c r="AF72" s="50" t="e">
        <f t="shared" si="11"/>
        <v>#DIV/0!</v>
      </c>
      <c r="AG72" s="50" t="e">
        <f t="shared" si="11"/>
        <v>#DIV/0!</v>
      </c>
    </row>
    <row r="73" spans="2:35" x14ac:dyDescent="0.2">
      <c r="B73" s="14" t="s">
        <v>46</v>
      </c>
      <c r="C73" s="98" t="e">
        <f>'Single transit collision risk'!J73</f>
        <v>#VALUE!</v>
      </c>
      <c r="D73" s="29"/>
      <c r="E73" s="29"/>
      <c r="F73" s="29"/>
      <c r="G73" s="29"/>
      <c r="H73" s="29"/>
      <c r="I73" s="29"/>
      <c r="J73" s="29"/>
      <c r="K73" s="29"/>
      <c r="L73" s="29"/>
      <c r="M73" s="29"/>
      <c r="N73" s="29"/>
      <c r="O73" s="29"/>
      <c r="R73" s="36"/>
      <c r="S73" s="52"/>
      <c r="T73" s="14" t="s">
        <v>46</v>
      </c>
      <c r="U73" s="98" t="e">
        <f>'Single transit collision risk'!V73</f>
        <v>#VALUE!</v>
      </c>
      <c r="V73" s="29"/>
      <c r="W73" s="29"/>
      <c r="X73" s="29"/>
      <c r="Y73" s="29"/>
      <c r="Z73" s="29"/>
      <c r="AA73" s="29"/>
      <c r="AB73" s="29"/>
      <c r="AC73" s="29"/>
      <c r="AD73" s="29"/>
      <c r="AE73" s="29"/>
      <c r="AF73" s="29"/>
      <c r="AG73" s="29"/>
    </row>
    <row r="74" spans="2:35" x14ac:dyDescent="0.2">
      <c r="C74" s="35"/>
      <c r="D74" s="29"/>
      <c r="E74" s="29"/>
      <c r="F74" s="29"/>
      <c r="G74" s="29"/>
      <c r="H74" s="29"/>
      <c r="I74" s="29"/>
      <c r="J74" s="29"/>
      <c r="K74" s="29"/>
      <c r="L74" s="29"/>
      <c r="M74" s="29"/>
      <c r="N74" s="29"/>
      <c r="O74" s="29"/>
      <c r="R74" s="36"/>
      <c r="S74" s="52"/>
      <c r="U74" s="35"/>
      <c r="V74" s="29"/>
      <c r="W74" s="29"/>
      <c r="X74" s="29"/>
      <c r="Y74" s="29"/>
      <c r="Z74" s="29"/>
      <c r="AA74" s="29"/>
      <c r="AB74" s="29"/>
      <c r="AC74" s="29"/>
      <c r="AD74" s="29"/>
      <c r="AE74" s="29"/>
      <c r="AF74" s="29"/>
      <c r="AG74" s="29"/>
    </row>
    <row r="75" spans="2:35" ht="29.25" x14ac:dyDescent="0.25">
      <c r="B75" s="40" t="s">
        <v>309</v>
      </c>
      <c r="D75" s="50" t="e">
        <f>D72*$C$73*D61</f>
        <v>#DIV/0!</v>
      </c>
      <c r="E75" s="50" t="e">
        <f t="shared" ref="E75:O75" si="12">E72*$C$73*E61</f>
        <v>#DIV/0!</v>
      </c>
      <c r="F75" s="50" t="e">
        <f t="shared" si="12"/>
        <v>#DIV/0!</v>
      </c>
      <c r="G75" s="50" t="e">
        <f t="shared" si="12"/>
        <v>#DIV/0!</v>
      </c>
      <c r="H75" s="50" t="e">
        <f t="shared" si="12"/>
        <v>#DIV/0!</v>
      </c>
      <c r="I75" s="50" t="e">
        <f t="shared" si="12"/>
        <v>#DIV/0!</v>
      </c>
      <c r="J75" s="50" t="e">
        <f t="shared" si="12"/>
        <v>#DIV/0!</v>
      </c>
      <c r="K75" s="50" t="e">
        <f t="shared" si="12"/>
        <v>#DIV/0!</v>
      </c>
      <c r="L75" s="50" t="e">
        <f t="shared" si="12"/>
        <v>#DIV/0!</v>
      </c>
      <c r="M75" s="50" t="e">
        <f t="shared" si="12"/>
        <v>#DIV/0!</v>
      </c>
      <c r="N75" s="50" t="e">
        <f t="shared" si="12"/>
        <v>#DIV/0!</v>
      </c>
      <c r="O75" s="50" t="e">
        <f t="shared" si="12"/>
        <v>#DIV/0!</v>
      </c>
      <c r="Q75" s="43" t="s">
        <v>31</v>
      </c>
      <c r="R75" s="53"/>
      <c r="S75" s="54"/>
      <c r="T75" s="40" t="s">
        <v>309</v>
      </c>
      <c r="V75" s="50" t="e">
        <f>V72*$U$73*V61</f>
        <v>#DIV/0!</v>
      </c>
      <c r="W75" s="50" t="e">
        <f t="shared" ref="W75:AG75" si="13">W72*$U$73*W61</f>
        <v>#DIV/0!</v>
      </c>
      <c r="X75" s="50" t="e">
        <f t="shared" si="13"/>
        <v>#DIV/0!</v>
      </c>
      <c r="Y75" s="50" t="e">
        <f t="shared" si="13"/>
        <v>#DIV/0!</v>
      </c>
      <c r="Z75" s="50" t="e">
        <f t="shared" si="13"/>
        <v>#DIV/0!</v>
      </c>
      <c r="AA75" s="50" t="e">
        <f t="shared" si="13"/>
        <v>#DIV/0!</v>
      </c>
      <c r="AB75" s="50" t="e">
        <f t="shared" si="13"/>
        <v>#DIV/0!</v>
      </c>
      <c r="AC75" s="50" t="e">
        <f t="shared" si="13"/>
        <v>#DIV/0!</v>
      </c>
      <c r="AD75" s="50" t="e">
        <f t="shared" si="13"/>
        <v>#DIV/0!</v>
      </c>
      <c r="AE75" s="50" t="e">
        <f t="shared" si="13"/>
        <v>#DIV/0!</v>
      </c>
      <c r="AF75" s="50" t="e">
        <f t="shared" si="13"/>
        <v>#DIV/0!</v>
      </c>
      <c r="AG75" s="50" t="e">
        <f t="shared" si="13"/>
        <v>#DIV/0!</v>
      </c>
      <c r="AI75" s="43" t="s">
        <v>31</v>
      </c>
    </row>
    <row r="76" spans="2:35" x14ac:dyDescent="0.2">
      <c r="D76" s="45"/>
      <c r="E76" s="45"/>
      <c r="F76" s="45"/>
      <c r="G76" s="45"/>
      <c r="H76" s="45"/>
      <c r="I76" s="45"/>
      <c r="J76" s="45"/>
      <c r="K76" s="45"/>
      <c r="L76" s="45"/>
      <c r="M76" s="45"/>
      <c r="N76" s="45"/>
      <c r="O76" s="45"/>
      <c r="R76" s="36"/>
      <c r="S76" s="52"/>
      <c r="V76" s="45"/>
      <c r="W76" s="45"/>
      <c r="X76" s="45"/>
      <c r="Y76" s="45"/>
      <c r="Z76" s="45"/>
      <c r="AA76" s="45"/>
      <c r="AB76" s="45"/>
      <c r="AC76" s="45"/>
      <c r="AD76" s="45"/>
      <c r="AE76" s="45"/>
      <c r="AF76" s="45"/>
      <c r="AG76" s="45"/>
    </row>
    <row r="77" spans="2:35" ht="15" x14ac:dyDescent="0.25">
      <c r="B77" s="14" t="s">
        <v>310</v>
      </c>
      <c r="D77" s="100">
        <f>IF(D59="Breeding",D75*(1-'User inputs - bird impacts'!$E$55),0)</f>
        <v>0</v>
      </c>
      <c r="E77" s="100">
        <f>IF(E59="Breeding",E75*(1-'User inputs - bird impacts'!$E$55),0)</f>
        <v>0</v>
      </c>
      <c r="F77" s="100">
        <f>IF(F59="Breeding",F75*(1-'User inputs - bird impacts'!$E$55),0)</f>
        <v>0</v>
      </c>
      <c r="G77" s="100">
        <f>IF(G59="Breeding",G75*(1-'User inputs - bird impacts'!$E$55),0)</f>
        <v>0</v>
      </c>
      <c r="H77" s="100" t="e">
        <f>IF(H59="Breeding",H75*(1-'User inputs - bird impacts'!$E$55),0)</f>
        <v>#DIV/0!</v>
      </c>
      <c r="I77" s="100" t="e">
        <f>IF(I59="Breeding",I75*(1-'User inputs - bird impacts'!$E$55),0)</f>
        <v>#DIV/0!</v>
      </c>
      <c r="J77" s="100" t="e">
        <f>IF(J59="Breeding",J75*(1-'User inputs - bird impacts'!$E$55),0)</f>
        <v>#DIV/0!</v>
      </c>
      <c r="K77" s="100">
        <f>IF(K59="Breeding",K75*(1-'User inputs - bird impacts'!$E$55),0)</f>
        <v>0</v>
      </c>
      <c r="L77" s="100">
        <f>IF(L59="Breeding",L75*(1-'User inputs - bird impacts'!$E$55),0)</f>
        <v>0</v>
      </c>
      <c r="M77" s="100">
        <f>IF(M59="Breeding",M75*(1-'User inputs - bird impacts'!$E$55),0)</f>
        <v>0</v>
      </c>
      <c r="N77" s="100">
        <f>IF(N59="Breeding",N75*(1-'User inputs - bird impacts'!$E$55),0)</f>
        <v>0</v>
      </c>
      <c r="O77" s="100">
        <f>IF(O59="Breeding",O75*(1-'User inputs - bird impacts'!$E$55),0)</f>
        <v>0</v>
      </c>
      <c r="Q77" s="99" t="e">
        <f>SUM(D77:O77)</f>
        <v>#DIV/0!</v>
      </c>
      <c r="R77" s="36"/>
      <c r="S77" s="54"/>
      <c r="T77" s="14" t="s">
        <v>310</v>
      </c>
      <c r="V77" s="100">
        <f>IF(V59="Breeding",V75*(1-'User inputs - bird impacts'!$G$57),0)</f>
        <v>0</v>
      </c>
      <c r="W77" s="100">
        <f>IF(W59="Breeding",W75*(1-'User inputs - bird impacts'!$G$57),0)</f>
        <v>0</v>
      </c>
      <c r="X77" s="100">
        <f>IF(X59="Breeding",X75*(1-'User inputs - bird impacts'!$G$57),0)</f>
        <v>0</v>
      </c>
      <c r="Y77" s="100" t="e">
        <f>IF(Y59="Breeding",Y75*(1-'User inputs - bird impacts'!$G$57),0)</f>
        <v>#DIV/0!</v>
      </c>
      <c r="Z77" s="100" t="e">
        <f>IF(Z59="Breeding",Z75*(1-'User inputs - bird impacts'!$G$57),0)</f>
        <v>#DIV/0!</v>
      </c>
      <c r="AA77" s="100" t="e">
        <f>IF(AA59="Breeding",AA75*(1-'User inputs - bird impacts'!$G$57),0)</f>
        <v>#DIV/0!</v>
      </c>
      <c r="AB77" s="100" t="e">
        <f>IF(AB59="Breeding",AB75*(1-'User inputs - bird impacts'!$G$57),0)</f>
        <v>#DIV/0!</v>
      </c>
      <c r="AC77" s="100" t="e">
        <f>IF(AC59="Breeding",AC75*(1-'User inputs - bird impacts'!$G$57),0)</f>
        <v>#DIV/0!</v>
      </c>
      <c r="AD77" s="100">
        <f>IF(AD59="Breeding",AD75*(1-'User inputs - bird impacts'!$G$57),0)</f>
        <v>0</v>
      </c>
      <c r="AE77" s="100">
        <f>IF(AE59="Breeding",AE75*(1-'User inputs - bird impacts'!$G$57),0)</f>
        <v>0</v>
      </c>
      <c r="AF77" s="100">
        <f>IF(AF59="Breeding",AF75*(1-'User inputs - bird impacts'!$G$57),0)</f>
        <v>0</v>
      </c>
      <c r="AG77" s="100">
        <f>IF(AG59="Breeding",AG75*(1-'User inputs - bird impacts'!$G$57),0)</f>
        <v>0</v>
      </c>
      <c r="AI77" s="99" t="e">
        <f>SUM(V77:AG77)</f>
        <v>#DIV/0!</v>
      </c>
    </row>
    <row r="78" spans="2:35" ht="15" x14ac:dyDescent="0.25">
      <c r="B78" s="14" t="s">
        <v>311</v>
      </c>
      <c r="D78" s="100">
        <f>IF(D59="Post-breeding migration",D75*(1-'User inputs - bird impacts'!$E$55),0)</f>
        <v>0</v>
      </c>
      <c r="E78" s="100">
        <f>IF(E59="Post-breeding migration",E75*(1-'User inputs - bird impacts'!$E$55),0)</f>
        <v>0</v>
      </c>
      <c r="F78" s="100">
        <f>IF(F59="Post-breeding migration",F75*(1-'User inputs - bird impacts'!$E$55),0)</f>
        <v>0</v>
      </c>
      <c r="G78" s="100">
        <f>IF(G59="Post-breeding migration",G75*(1-'User inputs - bird impacts'!$E$55),0)</f>
        <v>0</v>
      </c>
      <c r="H78" s="100">
        <f>IF(H59="Post-breeding migration",H75*(1-'User inputs - bird impacts'!$E$55),0)</f>
        <v>0</v>
      </c>
      <c r="I78" s="100">
        <f>IF(I59="Post-breeding migration",I75*(1-'User inputs - bird impacts'!$E$55),0)</f>
        <v>0</v>
      </c>
      <c r="J78" s="100">
        <f>IF(J59="Post-breeding migration",J75*(1-'User inputs - bird impacts'!$E$55),0)</f>
        <v>0</v>
      </c>
      <c r="K78" s="100" t="e">
        <f>IF(K59="Post-breeding migration",K75*(1-'User inputs - bird impacts'!$E$55),0)</f>
        <v>#DIV/0!</v>
      </c>
      <c r="L78" s="100" t="e">
        <f>IF(L59="Post-breeding migration",L75*(1-'User inputs - bird impacts'!$E$55),0)</f>
        <v>#DIV/0!</v>
      </c>
      <c r="M78" s="100" t="e">
        <f>IF(M59="Post-breeding migration",M75*(1-'User inputs - bird impacts'!$E$55),0)</f>
        <v>#DIV/0!</v>
      </c>
      <c r="N78" s="100" t="e">
        <f>IF(N59="Post-breeding migration",N75*(1-'User inputs - bird impacts'!$E$55),0)</f>
        <v>#DIV/0!</v>
      </c>
      <c r="O78" s="100" t="e">
        <f>IF(O59="Post-breeding migration",O75*(1-'User inputs - bird impacts'!$E$55),0)</f>
        <v>#DIV/0!</v>
      </c>
      <c r="Q78" s="99" t="e">
        <f t="shared" ref="Q78:Q79" si="14">SUM(D78:O78)</f>
        <v>#DIV/0!</v>
      </c>
      <c r="R78" s="36"/>
      <c r="S78" s="54"/>
      <c r="T78" s="14" t="s">
        <v>311</v>
      </c>
      <c r="V78" s="100">
        <f>IF(V59="Post-breeding migration",V75*(1-'User inputs - bird impacts'!$G$57),0)</f>
        <v>0</v>
      </c>
      <c r="W78" s="100">
        <f>IF(W59="Post-breeding migration",W75*(1-'User inputs - bird impacts'!$G$57),0)</f>
        <v>0</v>
      </c>
      <c r="X78" s="100">
        <f>IF(X59="Post-breeding migration",X75*(1-'User inputs - bird impacts'!$G$57),0)</f>
        <v>0</v>
      </c>
      <c r="Y78" s="100">
        <f>IF(Y59="Post-breeding migration",Y75*(1-'User inputs - bird impacts'!$G$57),0)</f>
        <v>0</v>
      </c>
      <c r="Z78" s="100">
        <f>IF(Z59="Post-breeding migration",Z75*(1-'User inputs - bird impacts'!$G$57),0)</f>
        <v>0</v>
      </c>
      <c r="AA78" s="100">
        <f>IF(AA59="Post-breeding migration",AA75*(1-'User inputs - bird impacts'!$G$57),0)</f>
        <v>0</v>
      </c>
      <c r="AB78" s="100">
        <f>IF(AB59="Post-breeding migration",AB75*(1-'User inputs - bird impacts'!$G$57),0)</f>
        <v>0</v>
      </c>
      <c r="AC78" s="100">
        <f>IF(AC59="Post-breeding migration",AC75*(1-'User inputs - bird impacts'!$G$57),0)</f>
        <v>0</v>
      </c>
      <c r="AD78" s="100" t="e">
        <f>IF(AD59="Post-breeding migration",AD75*(1-'User inputs - bird impacts'!$G$57),0)</f>
        <v>#DIV/0!</v>
      </c>
      <c r="AE78" s="100" t="e">
        <f>IF(AE59="Post-breeding migration",AE75*(1-'User inputs - bird impacts'!$G$57),0)</f>
        <v>#DIV/0!</v>
      </c>
      <c r="AF78" s="100" t="e">
        <f>IF(AF59="Post-breeding migration",AF75*(1-'User inputs - bird impacts'!$G$57),0)</f>
        <v>#DIV/0!</v>
      </c>
      <c r="AG78" s="100">
        <f>IF(AG59="Post-breeding migration",AG75*(1-'User inputs - bird impacts'!$G$57),0)</f>
        <v>0</v>
      </c>
      <c r="AI78" s="99" t="e">
        <f t="shared" ref="AI78:AI79" si="15">SUM(V78:AG78)</f>
        <v>#DIV/0!</v>
      </c>
    </row>
    <row r="79" spans="2:35" ht="15" x14ac:dyDescent="0.25">
      <c r="B79" s="14" t="s">
        <v>312</v>
      </c>
      <c r="D79" s="100" t="e">
        <f>IF(D59="Return migration",D75*(1-'User inputs - bird impacts'!$E$55),0)</f>
        <v>#DIV/0!</v>
      </c>
      <c r="E79" s="100" t="e">
        <f>IF(E59="Return migration",E75*(1-'User inputs - bird impacts'!$E$55),0)</f>
        <v>#DIV/0!</v>
      </c>
      <c r="F79" s="100" t="e">
        <f>IF(F59="Return migration",F75*(1-'User inputs - bird impacts'!$E$55),0)</f>
        <v>#DIV/0!</v>
      </c>
      <c r="G79" s="100" t="e">
        <f>IF(G59="Return migration",G75*(1-'User inputs - bird impacts'!$E$55),0)</f>
        <v>#DIV/0!</v>
      </c>
      <c r="H79" s="100">
        <f>IF(H59="Return migration",H75*(1-'User inputs - bird impacts'!$E$55),0)</f>
        <v>0</v>
      </c>
      <c r="I79" s="100">
        <f>IF(I59="Return migration",I75*(1-'User inputs - bird impacts'!$E$55),0)</f>
        <v>0</v>
      </c>
      <c r="J79" s="100">
        <f>IF(J59="Return migration",J75*(1-'User inputs - bird impacts'!$E$55),0)</f>
        <v>0</v>
      </c>
      <c r="K79" s="100">
        <f>IF(K59="Return migration",K75*(1-'User inputs - bird impacts'!$E$55),0)</f>
        <v>0</v>
      </c>
      <c r="L79" s="100">
        <f>IF(L59="Return migration",L75*(1-'User inputs - bird impacts'!$E$55),0)</f>
        <v>0</v>
      </c>
      <c r="M79" s="100">
        <f>IF(M59="Return migration",M75*(1-'User inputs - bird impacts'!$E$55),0)</f>
        <v>0</v>
      </c>
      <c r="N79" s="100">
        <f>IF(N59="Return migration",N75*(1-'User inputs - bird impacts'!$E$55),0)</f>
        <v>0</v>
      </c>
      <c r="O79" s="100">
        <f>IF(O59="Return migration",O75*(1-'User inputs - bird impacts'!$E$55),0)</f>
        <v>0</v>
      </c>
      <c r="Q79" s="99" t="e">
        <f t="shared" si="14"/>
        <v>#DIV/0!</v>
      </c>
      <c r="R79" s="36"/>
      <c r="S79" s="54"/>
      <c r="T79" s="14" t="s">
        <v>312</v>
      </c>
      <c r="V79" s="100" t="e">
        <f>IF(V59="Return migration",V75*(1-'User inputs - bird impacts'!$G$57),0)</f>
        <v>#DIV/0!</v>
      </c>
      <c r="W79" s="100" t="e">
        <f>IF(W59="Return migration",W75*(1-'User inputs - bird impacts'!$G$57),0)</f>
        <v>#DIV/0!</v>
      </c>
      <c r="X79" s="100" t="e">
        <f>IF(X59="Return migration",X75*(1-'User inputs - bird impacts'!$G$57),0)</f>
        <v>#DIV/0!</v>
      </c>
      <c r="Y79" s="100">
        <f>IF(Y59="Return migration",Y75*(1-'User inputs - bird impacts'!$G$57),0)</f>
        <v>0</v>
      </c>
      <c r="Z79" s="100">
        <f>IF(Z59="Return migration",Z75*(1-'User inputs - bird impacts'!$G$57),0)</f>
        <v>0</v>
      </c>
      <c r="AA79" s="100">
        <f>IF(AA59="Return migration",AA75*(1-'User inputs - bird impacts'!$G$57),0)</f>
        <v>0</v>
      </c>
      <c r="AB79" s="100">
        <f>IF(AB59="Return migration",AB75*(1-'User inputs - bird impacts'!$G$57),0)</f>
        <v>0</v>
      </c>
      <c r="AC79" s="100">
        <f>IF(AC59="Return migration",AC75*(1-'User inputs - bird impacts'!$G$57),0)</f>
        <v>0</v>
      </c>
      <c r="AD79" s="100">
        <f>IF(AD59="Return migration",AD75*(1-'User inputs - bird impacts'!$G$57),0)</f>
        <v>0</v>
      </c>
      <c r="AE79" s="100">
        <f>IF(AE59="Return migration",AE75*(1-'User inputs - bird impacts'!$G$57),0)</f>
        <v>0</v>
      </c>
      <c r="AF79" s="100">
        <f>IF(AF59="Return migration",AF75*(1-'User inputs - bird impacts'!$G$57),0)</f>
        <v>0</v>
      </c>
      <c r="AG79" s="100" t="e">
        <f>IF(AG59="Return migration",AG75*(1-'User inputs - bird impacts'!$G$57),0)</f>
        <v>#DIV/0!</v>
      </c>
      <c r="AI79" s="99" t="e">
        <f t="shared" si="15"/>
        <v>#DIV/0!</v>
      </c>
    </row>
    <row r="80" spans="2:35" x14ac:dyDescent="0.2">
      <c r="B80" s="37"/>
      <c r="C80" s="37"/>
      <c r="D80" s="37"/>
      <c r="E80" s="37"/>
      <c r="F80" s="37"/>
      <c r="G80" s="37"/>
      <c r="H80" s="37"/>
      <c r="I80" s="37"/>
      <c r="J80" s="37"/>
      <c r="K80" s="37"/>
      <c r="L80" s="37"/>
      <c r="M80" s="37"/>
      <c r="N80" s="37"/>
      <c r="O80" s="37"/>
      <c r="P80" s="37"/>
      <c r="Q80" s="37"/>
      <c r="R80" s="36"/>
      <c r="S80" s="52"/>
      <c r="T80" s="37"/>
      <c r="U80" s="37"/>
      <c r="V80" s="37"/>
      <c r="W80" s="37"/>
      <c r="X80" s="37"/>
      <c r="Y80" s="37"/>
      <c r="Z80" s="37"/>
      <c r="AA80" s="37"/>
      <c r="AB80" s="37"/>
      <c r="AC80" s="37"/>
      <c r="AD80" s="37"/>
      <c r="AE80" s="37"/>
      <c r="AF80" s="37"/>
      <c r="AG80" s="37"/>
      <c r="AH80" s="37"/>
      <c r="AI80" s="37"/>
    </row>
    <row r="81" spans="2:33" x14ac:dyDescent="0.2">
      <c r="B81" s="38"/>
      <c r="C81" s="38"/>
      <c r="D81" s="38"/>
      <c r="E81" s="38"/>
      <c r="F81" s="38"/>
      <c r="G81" s="38"/>
      <c r="H81" s="38"/>
      <c r="I81" s="38"/>
      <c r="J81" s="38"/>
      <c r="K81" s="38"/>
      <c r="L81" s="38"/>
      <c r="M81" s="38"/>
      <c r="N81" s="38"/>
      <c r="O81" s="38"/>
      <c r="P81" s="38"/>
      <c r="Q81" s="38"/>
      <c r="R81" s="36"/>
    </row>
    <row r="82" spans="2:33" ht="18" x14ac:dyDescent="0.25">
      <c r="B82" s="31" t="s">
        <v>322</v>
      </c>
      <c r="D82" s="15"/>
      <c r="R82" s="36"/>
      <c r="S82" s="52"/>
      <c r="T82" s="31" t="s">
        <v>324</v>
      </c>
      <c r="V82" s="15"/>
    </row>
    <row r="83" spans="2:33" ht="15" x14ac:dyDescent="0.25">
      <c r="D83" s="15"/>
      <c r="R83" s="36"/>
      <c r="S83" s="52"/>
      <c r="V83" s="15"/>
    </row>
    <row r="84" spans="2:33" ht="15" x14ac:dyDescent="0.25">
      <c r="B84" s="15" t="s">
        <v>301</v>
      </c>
      <c r="R84" s="36"/>
      <c r="S84" s="52"/>
      <c r="T84" s="15" t="s">
        <v>301</v>
      </c>
    </row>
    <row r="85" spans="2:33" x14ac:dyDescent="0.2">
      <c r="B85" s="14" t="s">
        <v>18</v>
      </c>
      <c r="C85" s="11" t="s">
        <v>16</v>
      </c>
      <c r="R85" s="36"/>
      <c r="S85" s="52"/>
      <c r="T85" s="14" t="s">
        <v>18</v>
      </c>
      <c r="U85" s="11" t="s">
        <v>13</v>
      </c>
    </row>
    <row r="86" spans="2:33" x14ac:dyDescent="0.2">
      <c r="B86" s="14" t="s">
        <v>302</v>
      </c>
      <c r="C86" s="11">
        <f>'Default parameters'!C7</f>
        <v>13.1</v>
      </c>
      <c r="R86" s="36"/>
      <c r="S86" s="52"/>
      <c r="T86" s="14" t="s">
        <v>302</v>
      </c>
      <c r="U86" s="11">
        <f>'Default parameters'!D7</f>
        <v>14.9</v>
      </c>
    </row>
    <row r="87" spans="2:33" x14ac:dyDescent="0.2">
      <c r="B87" s="14" t="s">
        <v>303</v>
      </c>
      <c r="C87" s="11">
        <f>'User inputs - bird impacts'!E96</f>
        <v>0</v>
      </c>
      <c r="R87" s="36"/>
      <c r="S87" s="52"/>
      <c r="T87" s="14" t="s">
        <v>303</v>
      </c>
      <c r="U87" s="18">
        <f>'User inputs - bird impacts'!G96</f>
        <v>0</v>
      </c>
    </row>
    <row r="88" spans="2:33" x14ac:dyDescent="0.2">
      <c r="C88" s="29"/>
      <c r="R88" s="36"/>
      <c r="S88" s="52"/>
      <c r="U88" s="29"/>
    </row>
    <row r="89" spans="2:33" ht="15" x14ac:dyDescent="0.25">
      <c r="B89" s="15" t="s">
        <v>33</v>
      </c>
      <c r="C89" s="44"/>
      <c r="D89" s="34"/>
      <c r="R89" s="36"/>
      <c r="S89" s="52"/>
      <c r="T89" s="15" t="s">
        <v>33</v>
      </c>
      <c r="U89" s="44"/>
      <c r="V89" s="34"/>
    </row>
    <row r="90" spans="2:33" x14ac:dyDescent="0.2">
      <c r="B90" s="14" t="s">
        <v>304</v>
      </c>
      <c r="C90" s="11">
        <f>'User inputs - run and wind farm'!F15</f>
        <v>0</v>
      </c>
      <c r="D90" s="34"/>
      <c r="R90" s="36"/>
      <c r="S90" s="52"/>
      <c r="T90" s="14" t="s">
        <v>304</v>
      </c>
      <c r="U90" s="11">
        <f>'User inputs - run and wind farm'!F15</f>
        <v>0</v>
      </c>
      <c r="V90" s="34"/>
    </row>
    <row r="91" spans="2:33" x14ac:dyDescent="0.2">
      <c r="B91" s="14" t="s">
        <v>21</v>
      </c>
      <c r="C91" s="11">
        <f>'User inputs - run and wind farm'!F17</f>
        <v>0</v>
      </c>
      <c r="D91" s="34"/>
      <c r="R91" s="36"/>
      <c r="S91" s="52"/>
      <c r="T91" s="14" t="s">
        <v>21</v>
      </c>
      <c r="U91" s="11">
        <f>'User inputs - run and wind farm'!F17</f>
        <v>0</v>
      </c>
      <c r="V91" s="34"/>
    </row>
    <row r="92" spans="2:33" x14ac:dyDescent="0.2">
      <c r="B92" s="14" t="s">
        <v>305</v>
      </c>
      <c r="C92" s="11">
        <f>'User inputs - run and wind farm'!F19/2</f>
        <v>0</v>
      </c>
      <c r="D92" s="34"/>
      <c r="R92" s="36"/>
      <c r="S92" s="52"/>
      <c r="T92" s="14" t="s">
        <v>305</v>
      </c>
      <c r="U92" s="11">
        <f>'User inputs - run and wind farm'!F19/2</f>
        <v>0</v>
      </c>
      <c r="V92" s="34"/>
    </row>
    <row r="93" spans="2:33" x14ac:dyDescent="0.2">
      <c r="B93" s="14" t="s">
        <v>306</v>
      </c>
      <c r="C93" s="11">
        <f>'User inputs - run and wind farm'!F23</f>
        <v>0</v>
      </c>
      <c r="D93" s="34"/>
      <c r="R93" s="36"/>
      <c r="S93" s="52"/>
      <c r="T93" s="14" t="s">
        <v>306</v>
      </c>
      <c r="U93" s="11">
        <f>'User inputs - run and wind farm'!F23</f>
        <v>0</v>
      </c>
      <c r="V93" s="34"/>
    </row>
    <row r="94" spans="2:33" ht="16.5" x14ac:dyDescent="0.2">
      <c r="B94" s="14" t="s">
        <v>307</v>
      </c>
      <c r="C94" s="11">
        <f>C91*PI()*C92*C92</f>
        <v>0</v>
      </c>
      <c r="D94" s="34"/>
      <c r="R94" s="36"/>
      <c r="S94" s="52"/>
      <c r="T94" s="14" t="s">
        <v>307</v>
      </c>
      <c r="U94" s="11">
        <f>U91*PI()*U92*U92</f>
        <v>0</v>
      </c>
      <c r="V94" s="34"/>
    </row>
    <row r="95" spans="2:33" x14ac:dyDescent="0.2">
      <c r="C95" s="39"/>
      <c r="D95" s="34"/>
      <c r="R95" s="36"/>
      <c r="S95" s="52"/>
      <c r="U95" s="39"/>
      <c r="V95" s="34"/>
    </row>
    <row r="96" spans="2:33" x14ac:dyDescent="0.2">
      <c r="B96" s="14" t="s">
        <v>281</v>
      </c>
      <c r="D96" s="29" t="s">
        <v>0</v>
      </c>
      <c r="E96" s="29" t="s">
        <v>1</v>
      </c>
      <c r="F96" s="29" t="s">
        <v>2</v>
      </c>
      <c r="G96" s="29" t="s">
        <v>3</v>
      </c>
      <c r="H96" s="29" t="s">
        <v>4</v>
      </c>
      <c r="I96" s="29" t="s">
        <v>5</v>
      </c>
      <c r="J96" s="29" t="s">
        <v>6</v>
      </c>
      <c r="K96" s="29" t="s">
        <v>7</v>
      </c>
      <c r="L96" s="29" t="s">
        <v>8</v>
      </c>
      <c r="M96" s="29" t="s">
        <v>9</v>
      </c>
      <c r="N96" s="29" t="s">
        <v>10</v>
      </c>
      <c r="O96" s="29" t="s">
        <v>11</v>
      </c>
      <c r="R96" s="36"/>
      <c r="S96" s="52"/>
      <c r="T96" s="14" t="s">
        <v>281</v>
      </c>
      <c r="V96" s="29" t="s">
        <v>0</v>
      </c>
      <c r="W96" s="29" t="s">
        <v>1</v>
      </c>
      <c r="X96" s="29" t="s">
        <v>2</v>
      </c>
      <c r="Y96" s="29" t="s">
        <v>3</v>
      </c>
      <c r="Z96" s="29" t="s">
        <v>4</v>
      </c>
      <c r="AA96" s="29" t="s">
        <v>5</v>
      </c>
      <c r="AB96" s="29" t="s">
        <v>6</v>
      </c>
      <c r="AC96" s="29" t="s">
        <v>7</v>
      </c>
      <c r="AD96" s="29" t="s">
        <v>8</v>
      </c>
      <c r="AE96" s="29" t="s">
        <v>9</v>
      </c>
      <c r="AF96" s="29" t="s">
        <v>10</v>
      </c>
      <c r="AG96" s="29" t="s">
        <v>11</v>
      </c>
    </row>
    <row r="97" spans="2:33" x14ac:dyDescent="0.2">
      <c r="D97" s="29"/>
      <c r="E97" s="29"/>
      <c r="F97" s="29"/>
      <c r="G97" s="29"/>
      <c r="H97" s="29"/>
      <c r="I97" s="29"/>
      <c r="J97" s="29"/>
      <c r="K97" s="29"/>
      <c r="L97" s="29"/>
      <c r="M97" s="29"/>
      <c r="N97" s="29"/>
      <c r="O97" s="29"/>
      <c r="R97" s="36"/>
      <c r="S97" s="52"/>
      <c r="V97" s="29"/>
      <c r="W97" s="29"/>
      <c r="X97" s="29"/>
      <c r="Y97" s="29"/>
      <c r="Z97" s="29"/>
      <c r="AA97" s="29"/>
      <c r="AB97" s="29"/>
      <c r="AC97" s="29"/>
      <c r="AD97" s="29"/>
      <c r="AE97" s="29"/>
      <c r="AF97" s="29"/>
      <c r="AG97" s="29"/>
    </row>
    <row r="98" spans="2:33" ht="42.75" x14ac:dyDescent="0.2">
      <c r="B98" s="14" t="s">
        <v>282</v>
      </c>
      <c r="D98" s="96" t="str">
        <f>VLOOKUP(D96,'Default parameters'!$G$4:$K$15,2,FALSE)</f>
        <v>Return migration</v>
      </c>
      <c r="E98" s="96" t="str">
        <f>VLOOKUP(E96,'Default parameters'!$G$4:$K$15,2,FALSE)</f>
        <v>Return migration</v>
      </c>
      <c r="F98" s="96" t="str">
        <f>VLOOKUP(F96,'Default parameters'!$G$4:$K$15,2,FALSE)</f>
        <v>Return migration</v>
      </c>
      <c r="G98" s="96" t="str">
        <f>VLOOKUP(G96,'Default parameters'!$G$4:$K$15,2,FALSE)</f>
        <v>Return migration</v>
      </c>
      <c r="H98" s="96" t="str">
        <f>VLOOKUP(H96,'Default parameters'!$G$4:$K$15,2,FALSE)</f>
        <v>Breeding</v>
      </c>
      <c r="I98" s="96" t="str">
        <f>VLOOKUP(I96,'Default parameters'!$G$4:$K$15,2,FALSE)</f>
        <v>Breeding</v>
      </c>
      <c r="J98" s="96" t="str">
        <f>VLOOKUP(J96,'Default parameters'!$G$4:$K$15,2,FALSE)</f>
        <v>Breeding</v>
      </c>
      <c r="K98" s="96" t="str">
        <f>VLOOKUP(K96,'Default parameters'!$G$4:$K$15,2,FALSE)</f>
        <v>Post-breeding migration</v>
      </c>
      <c r="L98" s="96" t="str">
        <f>VLOOKUP(L96,'Default parameters'!$G$4:$K$15,2,FALSE)</f>
        <v>Post-breeding migration</v>
      </c>
      <c r="M98" s="96" t="str">
        <f>VLOOKUP(M96,'Default parameters'!$G$4:$K$15,2,FALSE)</f>
        <v>Post-breeding migration</v>
      </c>
      <c r="N98" s="96" t="str">
        <f>VLOOKUP(N96,'Default parameters'!$G$4:$K$15,2,FALSE)</f>
        <v>Post-breeding migration</v>
      </c>
      <c r="O98" s="96" t="str">
        <f>VLOOKUP(O96,'Default parameters'!$G$4:$K$15,2,FALSE)</f>
        <v>Post-breeding migration</v>
      </c>
      <c r="R98" s="36"/>
      <c r="S98" s="52"/>
      <c r="T98" s="14" t="s">
        <v>282</v>
      </c>
      <c r="V98" s="96" t="str">
        <f>VLOOKUP(V96,'Default parameters'!$G$4:$K$15,4,FALSE)</f>
        <v>Return migration</v>
      </c>
      <c r="W98" s="96" t="str">
        <f>VLOOKUP(W96,'Default parameters'!$G$4:$K$15,4,FALSE)</f>
        <v>Return migration</v>
      </c>
      <c r="X98" s="96" t="str">
        <f>VLOOKUP(X96,'Default parameters'!$G$4:$K$15,4,FALSE)</f>
        <v>Return migration</v>
      </c>
      <c r="Y98" s="96" t="str">
        <f>VLOOKUP(Y96,'Default parameters'!$G$4:$K$15,4,FALSE)</f>
        <v>Breeding</v>
      </c>
      <c r="Z98" s="96" t="str">
        <f>VLOOKUP(Z96,'Default parameters'!$G$4:$K$15,4,FALSE)</f>
        <v>Breeding</v>
      </c>
      <c r="AA98" s="96" t="str">
        <f>VLOOKUP(AA96,'Default parameters'!$G$4:$K$15,4,FALSE)</f>
        <v>Breeding</v>
      </c>
      <c r="AB98" s="96" t="str">
        <f>VLOOKUP(AB96,'Default parameters'!$G$4:$K$15,4,FALSE)</f>
        <v>Breeding</v>
      </c>
      <c r="AC98" s="96" t="str">
        <f>VLOOKUP(AC96,'Default parameters'!$G$4:$K$15,4,FALSE)</f>
        <v>Breeding</v>
      </c>
      <c r="AD98" s="96" t="str">
        <f>VLOOKUP(AD96,'Default parameters'!$G$4:$K$15,4,FALSE)</f>
        <v>Post-breeding migration</v>
      </c>
      <c r="AE98" s="96" t="str">
        <f>VLOOKUP(AE96,'Default parameters'!$G$4:$K$15,4,FALSE)</f>
        <v>Post-breeding migration</v>
      </c>
      <c r="AF98" s="96" t="str">
        <f>VLOOKUP(AF96,'Default parameters'!$G$4:$K$15,4,FALSE)</f>
        <v>Post-breeding migration</v>
      </c>
      <c r="AG98" s="96" t="str">
        <f>VLOOKUP(AG96,'Default parameters'!$G$4:$K$15,4,FALSE)</f>
        <v>Return migration</v>
      </c>
    </row>
    <row r="99" spans="2:33" x14ac:dyDescent="0.2">
      <c r="D99" s="42"/>
      <c r="E99" s="42"/>
      <c r="F99" s="42"/>
      <c r="G99" s="42"/>
      <c r="H99" s="42"/>
      <c r="I99" s="42"/>
      <c r="J99" s="42"/>
      <c r="K99" s="42"/>
      <c r="L99" s="42"/>
      <c r="M99" s="42"/>
      <c r="N99" s="42"/>
      <c r="O99" s="42"/>
      <c r="R99" s="36"/>
      <c r="S99" s="52"/>
      <c r="V99" s="42"/>
      <c r="W99" s="42"/>
      <c r="X99" s="42"/>
      <c r="Y99" s="42"/>
      <c r="Z99" s="42"/>
      <c r="AA99" s="42"/>
      <c r="AB99" s="42"/>
      <c r="AC99" s="42"/>
      <c r="AD99" s="42"/>
      <c r="AE99" s="42"/>
      <c r="AF99" s="42"/>
      <c r="AG99" s="42"/>
    </row>
    <row r="100" spans="2:33" x14ac:dyDescent="0.2">
      <c r="B100" s="14" t="s">
        <v>39</v>
      </c>
      <c r="D100" s="46">
        <f>'Default parameters'!P12-'Default parameters'!P13</f>
        <v>0.89129999999999998</v>
      </c>
      <c r="E100" s="46">
        <f>'Default parameters'!Q12-'Default parameters'!Q13</f>
        <v>0.9265000000000001</v>
      </c>
      <c r="F100" s="46">
        <f>'Default parameters'!R12-'Default parameters'!R13</f>
        <v>0.89610000000000001</v>
      </c>
      <c r="G100" s="46">
        <f>'Default parameters'!S12-'Default parameters'!S13</f>
        <v>0.86759999999999993</v>
      </c>
      <c r="H100" s="46">
        <f>'Default parameters'!T12-'Default parameters'!T13</f>
        <v>0.83389999999999997</v>
      </c>
      <c r="I100" s="46">
        <f>'Default parameters'!U12-'Default parameters'!U13</f>
        <v>0.87380000000000002</v>
      </c>
      <c r="J100" s="46">
        <f>'Default parameters'!V12-'Default parameters'!V13</f>
        <v>0.85729999999999995</v>
      </c>
      <c r="K100" s="46">
        <f>'Default parameters'!W12-'Default parameters'!W13</f>
        <v>0.82200000000000006</v>
      </c>
      <c r="L100" s="46">
        <f>'Default parameters'!X12-'Default parameters'!X13</f>
        <v>0.89890000000000003</v>
      </c>
      <c r="M100" s="46">
        <f>'Default parameters'!Y12-'Default parameters'!Y13</f>
        <v>0.9163</v>
      </c>
      <c r="N100" s="46">
        <f>'Default parameters'!Z12-'Default parameters'!Z13</f>
        <v>0.93790000000000007</v>
      </c>
      <c r="O100" s="46">
        <f>'Default parameters'!AA12-'Default parameters'!AA13</f>
        <v>0.89189999999999992</v>
      </c>
      <c r="R100" s="36"/>
      <c r="S100" s="52"/>
      <c r="T100" s="14" t="s">
        <v>39</v>
      </c>
      <c r="V100" s="46">
        <f>'Default parameters'!P12-'Default parameters'!P13</f>
        <v>0.89129999999999998</v>
      </c>
      <c r="W100" s="46">
        <f>'Default parameters'!Q12-'Default parameters'!Q13</f>
        <v>0.9265000000000001</v>
      </c>
      <c r="X100" s="46">
        <f>'Default parameters'!R12-'Default parameters'!R13</f>
        <v>0.89610000000000001</v>
      </c>
      <c r="Y100" s="46">
        <f>'Default parameters'!S12-'Default parameters'!S13</f>
        <v>0.86759999999999993</v>
      </c>
      <c r="Z100" s="46">
        <f>'Default parameters'!T12-'Default parameters'!T13</f>
        <v>0.83389999999999997</v>
      </c>
      <c r="AA100" s="46">
        <f>'Default parameters'!U12-'Default parameters'!U13</f>
        <v>0.87380000000000002</v>
      </c>
      <c r="AB100" s="46">
        <f>'Default parameters'!V12-'Default parameters'!V13</f>
        <v>0.85729999999999995</v>
      </c>
      <c r="AC100" s="46">
        <f>'Default parameters'!W12-'Default parameters'!W13</f>
        <v>0.82200000000000006</v>
      </c>
      <c r="AD100" s="46">
        <f>'Default parameters'!X12-'Default parameters'!X13</f>
        <v>0.89890000000000003</v>
      </c>
      <c r="AE100" s="46">
        <f>'Default parameters'!Y12-'Default parameters'!Y13</f>
        <v>0.9163</v>
      </c>
      <c r="AF100" s="46">
        <f>'Default parameters'!Z12-'Default parameters'!Z13</f>
        <v>0.93790000000000007</v>
      </c>
      <c r="AG100" s="46">
        <f>'Default parameters'!AA12-'Default parameters'!AA13</f>
        <v>0.89189999999999992</v>
      </c>
    </row>
    <row r="101" spans="2:33" x14ac:dyDescent="0.2">
      <c r="D101" s="29"/>
      <c r="E101" s="29"/>
      <c r="F101" s="29"/>
      <c r="G101" s="29"/>
      <c r="H101" s="29"/>
      <c r="I101" s="29"/>
      <c r="J101" s="29"/>
      <c r="K101" s="29"/>
      <c r="L101" s="29"/>
      <c r="M101" s="29"/>
      <c r="N101" s="29"/>
      <c r="O101" s="29"/>
      <c r="R101" s="36"/>
      <c r="S101" s="52"/>
      <c r="V101" s="29"/>
      <c r="W101" s="29"/>
      <c r="X101" s="29"/>
      <c r="Y101" s="29"/>
      <c r="Z101" s="29"/>
      <c r="AA101" s="29"/>
      <c r="AB101" s="29"/>
      <c r="AC101" s="29"/>
      <c r="AD101" s="29"/>
      <c r="AE101" s="29"/>
      <c r="AF101" s="29"/>
      <c r="AG101" s="29"/>
    </row>
    <row r="102" spans="2:33" ht="15" x14ac:dyDescent="0.25">
      <c r="B102" s="15" t="s">
        <v>40</v>
      </c>
      <c r="D102" s="45"/>
      <c r="E102" s="45"/>
      <c r="F102" s="45"/>
      <c r="G102" s="45"/>
      <c r="H102" s="45"/>
      <c r="I102" s="45"/>
      <c r="J102" s="45"/>
      <c r="K102" s="45"/>
      <c r="L102" s="45"/>
      <c r="M102" s="45"/>
      <c r="N102" s="45"/>
      <c r="O102" s="45"/>
      <c r="R102" s="36"/>
      <c r="S102" s="52"/>
      <c r="T102" s="15" t="s">
        <v>40</v>
      </c>
      <c r="V102" s="45"/>
      <c r="W102" s="45"/>
      <c r="X102" s="45"/>
      <c r="Y102" s="45"/>
      <c r="Z102" s="45"/>
      <c r="AA102" s="45"/>
      <c r="AB102" s="45"/>
      <c r="AC102" s="45"/>
      <c r="AD102" s="45"/>
      <c r="AE102" s="45"/>
      <c r="AF102" s="45"/>
      <c r="AG102" s="45"/>
    </row>
    <row r="103" spans="2:33" ht="16.5" x14ac:dyDescent="0.2">
      <c r="B103" s="14" t="s">
        <v>308</v>
      </c>
      <c r="D103" s="97">
        <f>'User inputs - bird impacts'!E87</f>
        <v>0</v>
      </c>
      <c r="E103" s="97">
        <f>'User inputs - bird impacts'!G87</f>
        <v>0</v>
      </c>
      <c r="F103" s="97">
        <f>'User inputs - bird impacts'!I87</f>
        <v>0</v>
      </c>
      <c r="G103" s="97">
        <f>'User inputs - bird impacts'!K87</f>
        <v>0</v>
      </c>
      <c r="H103" s="97">
        <f>'User inputs - bird impacts'!M87</f>
        <v>0</v>
      </c>
      <c r="I103" s="97">
        <f>'User inputs - bird impacts'!O87</f>
        <v>0</v>
      </c>
      <c r="J103" s="97">
        <f>'User inputs - bird impacts'!Q87</f>
        <v>0</v>
      </c>
      <c r="K103" s="97">
        <f>'User inputs - bird impacts'!S87</f>
        <v>0</v>
      </c>
      <c r="L103" s="97">
        <f>'User inputs - bird impacts'!U87</f>
        <v>0</v>
      </c>
      <c r="M103" s="97">
        <f>'User inputs - bird impacts'!W87</f>
        <v>0</v>
      </c>
      <c r="N103" s="97">
        <f>'User inputs - bird impacts'!Y87</f>
        <v>0</v>
      </c>
      <c r="O103" s="97">
        <f>'User inputs - bird impacts'!AA87</f>
        <v>0</v>
      </c>
      <c r="R103" s="36"/>
      <c r="S103" s="52"/>
      <c r="T103" s="14" t="s">
        <v>308</v>
      </c>
      <c r="V103" s="97">
        <f>'User inputs - bird impacts'!E88</f>
        <v>0</v>
      </c>
      <c r="W103" s="97">
        <f>'User inputs - bird impacts'!G88</f>
        <v>0</v>
      </c>
      <c r="X103" s="97">
        <f>'User inputs - bird impacts'!I88</f>
        <v>0</v>
      </c>
      <c r="Y103" s="97">
        <f>'User inputs - bird impacts'!K88</f>
        <v>0</v>
      </c>
      <c r="Z103" s="97">
        <f>'User inputs - bird impacts'!M88</f>
        <v>0</v>
      </c>
      <c r="AA103" s="97">
        <f>'User inputs - bird impacts'!O88</f>
        <v>0</v>
      </c>
      <c r="AB103" s="97">
        <f>'User inputs - bird impacts'!Q88</f>
        <v>0</v>
      </c>
      <c r="AC103" s="97">
        <f>'User inputs - bird impacts'!S88</f>
        <v>0</v>
      </c>
      <c r="AD103" s="97">
        <f>'User inputs - bird impacts'!U88</f>
        <v>0</v>
      </c>
      <c r="AE103" s="97">
        <f>'User inputs - bird impacts'!W88</f>
        <v>0</v>
      </c>
      <c r="AF103" s="97">
        <f>'User inputs - bird impacts'!Y88</f>
        <v>0</v>
      </c>
      <c r="AG103" s="97">
        <f>'User inputs - bird impacts'!AA88</f>
        <v>0</v>
      </c>
    </row>
    <row r="104" spans="2:33" x14ac:dyDescent="0.2">
      <c r="B104" s="14" t="s">
        <v>41</v>
      </c>
      <c r="C104" s="47">
        <f>'Proportion at collision height'!F11</f>
        <v>0</v>
      </c>
      <c r="D104" s="29"/>
      <c r="E104" s="29"/>
      <c r="F104" s="29"/>
      <c r="G104" s="29"/>
      <c r="H104" s="29"/>
      <c r="I104" s="29"/>
      <c r="J104" s="29"/>
      <c r="K104" s="29"/>
      <c r="L104" s="29"/>
      <c r="M104" s="29"/>
      <c r="N104" s="29"/>
      <c r="O104" s="29"/>
      <c r="R104" s="36"/>
      <c r="S104" s="52"/>
      <c r="T104" s="14" t="s">
        <v>41</v>
      </c>
      <c r="U104" s="47">
        <f>'Proportion at collision height'!P11</f>
        <v>0</v>
      </c>
      <c r="V104" s="29"/>
      <c r="W104" s="29"/>
      <c r="X104" s="29"/>
      <c r="Y104" s="29"/>
      <c r="Z104" s="29"/>
      <c r="AA104" s="29"/>
      <c r="AB104" s="29"/>
      <c r="AC104" s="29"/>
      <c r="AD104" s="29"/>
      <c r="AE104" s="29"/>
      <c r="AF104" s="29"/>
      <c r="AG104" s="29"/>
    </row>
    <row r="105" spans="2:33" x14ac:dyDescent="0.2">
      <c r="B105" s="14" t="s">
        <v>42</v>
      </c>
      <c r="D105" s="49">
        <f>'Hours of daylight'!K15</f>
        <v>375.68698270402712</v>
      </c>
      <c r="E105" s="49">
        <f>'Hours of daylight'!L15</f>
        <v>339.19688287090781</v>
      </c>
      <c r="F105" s="49">
        <f>'Hours of daylight'!M15</f>
        <v>375.4530102491978</v>
      </c>
      <c r="G105" s="49">
        <f>'Hours of daylight'!N15</f>
        <v>363.38532179321777</v>
      </c>
      <c r="H105" s="49">
        <f>'Hours of daylight'!O15</f>
        <v>375.63935304279426</v>
      </c>
      <c r="I105" s="49">
        <f>'Hours of daylight'!P15</f>
        <v>363.6225522914749</v>
      </c>
      <c r="J105" s="49">
        <f>'Hours of daylight'!Q15</f>
        <v>375.69746095274434</v>
      </c>
      <c r="K105" s="49">
        <f>'Hours of daylight'!R15</f>
        <v>375.55230300789896</v>
      </c>
      <c r="L105" s="49">
        <f>'Hours of daylight'!S15</f>
        <v>363.34378424215805</v>
      </c>
      <c r="M105" s="49">
        <f>'Hours of daylight'!T15</f>
        <v>375.48854824936672</v>
      </c>
      <c r="N105" s="49">
        <f>'Hours of daylight'!U15</f>
        <v>363.51200749720294</v>
      </c>
      <c r="O105" s="49">
        <f>'Hours of daylight'!V15</f>
        <v>375.74137513849803</v>
      </c>
      <c r="R105" s="36"/>
      <c r="S105" s="52"/>
      <c r="T105" s="14" t="s">
        <v>42</v>
      </c>
      <c r="V105" s="49">
        <f>'Hours of daylight'!K15</f>
        <v>375.68698270402712</v>
      </c>
      <c r="W105" s="49">
        <f>'Hours of daylight'!L15</f>
        <v>339.19688287090781</v>
      </c>
      <c r="X105" s="49">
        <f>'Hours of daylight'!M15</f>
        <v>375.4530102491978</v>
      </c>
      <c r="Y105" s="49">
        <f>'Hours of daylight'!N15</f>
        <v>363.38532179321777</v>
      </c>
      <c r="Z105" s="49">
        <f>'Hours of daylight'!O15</f>
        <v>375.63935304279426</v>
      </c>
      <c r="AA105" s="49">
        <f>'Hours of daylight'!P15</f>
        <v>363.6225522914749</v>
      </c>
      <c r="AB105" s="49">
        <f>'Hours of daylight'!Q15</f>
        <v>375.69746095274434</v>
      </c>
      <c r="AC105" s="49">
        <f>'Hours of daylight'!R15</f>
        <v>375.55230300789896</v>
      </c>
      <c r="AD105" s="49">
        <f>'Hours of daylight'!S15</f>
        <v>363.34378424215805</v>
      </c>
      <c r="AE105" s="49">
        <f>'Hours of daylight'!T15</f>
        <v>375.48854824936672</v>
      </c>
      <c r="AF105" s="49">
        <f>'Hours of daylight'!U15</f>
        <v>363.51200749720294</v>
      </c>
      <c r="AG105" s="49">
        <f>'Hours of daylight'!V15</f>
        <v>375.74137513849803</v>
      </c>
    </row>
    <row r="106" spans="2:33" x14ac:dyDescent="0.2">
      <c r="B106" s="14" t="s">
        <v>43</v>
      </c>
      <c r="D106" s="49">
        <f>'Hours of daylight'!K20</f>
        <v>368.31301729597288</v>
      </c>
      <c r="E106" s="49">
        <f>'Hours of daylight'!L20</f>
        <v>332.80311712909219</v>
      </c>
      <c r="F106" s="49">
        <f>'Hours of daylight'!M20</f>
        <v>368.5469897508022</v>
      </c>
      <c r="G106" s="49">
        <f>'Hours of daylight'!N20</f>
        <v>356.61467820678223</v>
      </c>
      <c r="H106" s="49">
        <f>'Hours of daylight'!O20</f>
        <v>368.36064695720574</v>
      </c>
      <c r="I106" s="49">
        <f>'Hours of daylight'!P20</f>
        <v>356.3774477085251</v>
      </c>
      <c r="J106" s="49">
        <f>'Hours of daylight'!Q20</f>
        <v>368.30253904725566</v>
      </c>
      <c r="K106" s="49">
        <f>'Hours of daylight'!R20</f>
        <v>368.44769699210104</v>
      </c>
      <c r="L106" s="49">
        <f>'Hours of daylight'!S20</f>
        <v>356.65621575784195</v>
      </c>
      <c r="M106" s="49">
        <f>'Hours of daylight'!T20</f>
        <v>368.51145175063328</v>
      </c>
      <c r="N106" s="49">
        <f>'Hours of daylight'!U20</f>
        <v>356.48799250279706</v>
      </c>
      <c r="O106" s="49">
        <f>'Hours of daylight'!V20</f>
        <v>368.25862486150197</v>
      </c>
      <c r="R106" s="36"/>
      <c r="S106" s="52"/>
      <c r="T106" s="14" t="s">
        <v>43</v>
      </c>
      <c r="V106" s="49">
        <f>'Hours of daylight'!K20</f>
        <v>368.31301729597288</v>
      </c>
      <c r="W106" s="49">
        <f>'Hours of daylight'!L20</f>
        <v>332.80311712909219</v>
      </c>
      <c r="X106" s="49">
        <f>'Hours of daylight'!M20</f>
        <v>368.5469897508022</v>
      </c>
      <c r="Y106" s="49">
        <f>'Hours of daylight'!N20</f>
        <v>356.61467820678223</v>
      </c>
      <c r="Z106" s="49">
        <f>'Hours of daylight'!O20</f>
        <v>368.36064695720574</v>
      </c>
      <c r="AA106" s="49">
        <f>'Hours of daylight'!P20</f>
        <v>356.3774477085251</v>
      </c>
      <c r="AB106" s="49">
        <f>'Hours of daylight'!Q20</f>
        <v>368.30253904725566</v>
      </c>
      <c r="AC106" s="49">
        <f>'Hours of daylight'!R20</f>
        <v>368.44769699210104</v>
      </c>
      <c r="AD106" s="49">
        <f>'Hours of daylight'!S20</f>
        <v>356.65621575784195</v>
      </c>
      <c r="AE106" s="49">
        <f>'Hours of daylight'!T20</f>
        <v>368.51145175063328</v>
      </c>
      <c r="AF106" s="49">
        <f>'Hours of daylight'!U20</f>
        <v>356.48799250279706</v>
      </c>
      <c r="AG106" s="49">
        <f>'Hours of daylight'!V20</f>
        <v>368.25862486150197</v>
      </c>
    </row>
    <row r="107" spans="2:33" x14ac:dyDescent="0.2">
      <c r="D107" s="45"/>
      <c r="E107" s="45"/>
      <c r="F107" s="45"/>
      <c r="G107" s="45"/>
      <c r="H107" s="45"/>
      <c r="I107" s="45"/>
      <c r="J107" s="45"/>
      <c r="K107" s="45"/>
      <c r="L107" s="45"/>
      <c r="M107" s="45"/>
      <c r="N107" s="45"/>
      <c r="O107" s="45"/>
      <c r="R107" s="36"/>
      <c r="S107" s="52"/>
      <c r="V107" s="45"/>
      <c r="W107" s="45"/>
      <c r="X107" s="45"/>
      <c r="Y107" s="45"/>
      <c r="Z107" s="45"/>
      <c r="AA107" s="45"/>
      <c r="AB107" s="45"/>
      <c r="AC107" s="45"/>
      <c r="AD107" s="45"/>
      <c r="AE107" s="45"/>
      <c r="AF107" s="45"/>
      <c r="AG107" s="45"/>
    </row>
    <row r="108" spans="2:33" x14ac:dyDescent="0.2">
      <c r="B108" s="41" t="s">
        <v>44</v>
      </c>
      <c r="D108" s="49" t="e">
        <f t="shared" ref="D108:O108" si="16">$C86*D103/(2*$C92)*$C94*(D105+$C87*D106)*3600/1000000</f>
        <v>#DIV/0!</v>
      </c>
      <c r="E108" s="49" t="e">
        <f t="shared" si="16"/>
        <v>#DIV/0!</v>
      </c>
      <c r="F108" s="49" t="e">
        <f t="shared" si="16"/>
        <v>#DIV/0!</v>
      </c>
      <c r="G108" s="49" t="e">
        <f t="shared" si="16"/>
        <v>#DIV/0!</v>
      </c>
      <c r="H108" s="49" t="e">
        <f t="shared" si="16"/>
        <v>#DIV/0!</v>
      </c>
      <c r="I108" s="49" t="e">
        <f t="shared" si="16"/>
        <v>#DIV/0!</v>
      </c>
      <c r="J108" s="49" t="e">
        <f t="shared" si="16"/>
        <v>#DIV/0!</v>
      </c>
      <c r="K108" s="49" t="e">
        <f t="shared" si="16"/>
        <v>#DIV/0!</v>
      </c>
      <c r="L108" s="49" t="e">
        <f t="shared" si="16"/>
        <v>#DIV/0!</v>
      </c>
      <c r="M108" s="49" t="e">
        <f t="shared" si="16"/>
        <v>#DIV/0!</v>
      </c>
      <c r="N108" s="49" t="e">
        <f t="shared" si="16"/>
        <v>#DIV/0!</v>
      </c>
      <c r="O108" s="49" t="e">
        <f t="shared" si="16"/>
        <v>#DIV/0!</v>
      </c>
      <c r="R108" s="36"/>
      <c r="S108" s="52"/>
      <c r="T108" s="41" t="s">
        <v>44</v>
      </c>
      <c r="V108" s="49" t="e">
        <f>$U86*V103/(2*$U92)*$U94*(V105+$U87*V106)*3600/1000000</f>
        <v>#DIV/0!</v>
      </c>
      <c r="W108" s="49" t="e">
        <f t="shared" ref="W108:AG108" si="17">$U86*W103/(2*$U92)*$U94*(W105+$U87*W106)*3600/1000000</f>
        <v>#DIV/0!</v>
      </c>
      <c r="X108" s="49" t="e">
        <f t="shared" si="17"/>
        <v>#DIV/0!</v>
      </c>
      <c r="Y108" s="49" t="e">
        <f t="shared" si="17"/>
        <v>#DIV/0!</v>
      </c>
      <c r="Z108" s="49" t="e">
        <f t="shared" si="17"/>
        <v>#DIV/0!</v>
      </c>
      <c r="AA108" s="49" t="e">
        <f t="shared" si="17"/>
        <v>#DIV/0!</v>
      </c>
      <c r="AB108" s="49" t="e">
        <f t="shared" si="17"/>
        <v>#DIV/0!</v>
      </c>
      <c r="AC108" s="49" t="e">
        <f t="shared" si="17"/>
        <v>#DIV/0!</v>
      </c>
      <c r="AD108" s="49" t="e">
        <f t="shared" si="17"/>
        <v>#DIV/0!</v>
      </c>
      <c r="AE108" s="49" t="e">
        <f t="shared" si="17"/>
        <v>#DIV/0!</v>
      </c>
      <c r="AF108" s="49" t="e">
        <f t="shared" si="17"/>
        <v>#DIV/0!</v>
      </c>
      <c r="AG108" s="49" t="e">
        <f t="shared" si="17"/>
        <v>#DIV/0!</v>
      </c>
    </row>
    <row r="109" spans="2:33" x14ac:dyDescent="0.2">
      <c r="B109" s="16"/>
      <c r="D109" s="45"/>
      <c r="E109" s="45"/>
      <c r="F109" s="45"/>
      <c r="G109" s="45"/>
      <c r="H109" s="45"/>
      <c r="I109" s="45"/>
      <c r="J109" s="45"/>
      <c r="K109" s="45"/>
      <c r="L109" s="45"/>
      <c r="M109" s="45"/>
      <c r="N109" s="45"/>
      <c r="O109" s="45"/>
      <c r="R109" s="36"/>
      <c r="S109" s="52"/>
      <c r="T109" s="16"/>
      <c r="V109" s="45"/>
      <c r="W109" s="45"/>
      <c r="X109" s="45"/>
      <c r="Y109" s="45"/>
      <c r="Z109" s="45"/>
      <c r="AA109" s="45"/>
      <c r="AB109" s="45"/>
      <c r="AC109" s="45"/>
      <c r="AD109" s="45"/>
      <c r="AE109" s="45"/>
      <c r="AF109" s="45"/>
      <c r="AG109" s="45"/>
    </row>
    <row r="110" spans="2:33" ht="15" x14ac:dyDescent="0.25">
      <c r="B110" s="15" t="s">
        <v>236</v>
      </c>
      <c r="D110" s="29"/>
      <c r="E110" s="29"/>
      <c r="F110" s="29"/>
      <c r="G110" s="29"/>
      <c r="H110" s="29"/>
      <c r="I110" s="29"/>
      <c r="J110" s="29"/>
      <c r="K110" s="29"/>
      <c r="L110" s="29"/>
      <c r="M110" s="29"/>
      <c r="N110" s="29"/>
      <c r="O110" s="29"/>
      <c r="R110" s="36"/>
      <c r="S110" s="52"/>
      <c r="T110" s="15" t="s">
        <v>236</v>
      </c>
      <c r="V110" s="29"/>
      <c r="W110" s="29"/>
      <c r="X110" s="29"/>
      <c r="Y110" s="29"/>
      <c r="Z110" s="29"/>
      <c r="AA110" s="29"/>
      <c r="AB110" s="29"/>
      <c r="AC110" s="29"/>
      <c r="AD110" s="29"/>
      <c r="AE110" s="29"/>
      <c r="AF110" s="29"/>
      <c r="AG110" s="29"/>
    </row>
    <row r="111" spans="2:33" x14ac:dyDescent="0.2">
      <c r="B111" s="14" t="s">
        <v>45</v>
      </c>
      <c r="D111" s="49" t="e">
        <f t="shared" ref="D111:O111" si="18">D108*$C104</f>
        <v>#DIV/0!</v>
      </c>
      <c r="E111" s="49" t="e">
        <f t="shared" si="18"/>
        <v>#DIV/0!</v>
      </c>
      <c r="F111" s="49" t="e">
        <f t="shared" si="18"/>
        <v>#DIV/0!</v>
      </c>
      <c r="G111" s="49" t="e">
        <f t="shared" si="18"/>
        <v>#DIV/0!</v>
      </c>
      <c r="H111" s="49" t="e">
        <f t="shared" si="18"/>
        <v>#DIV/0!</v>
      </c>
      <c r="I111" s="49" t="e">
        <f t="shared" si="18"/>
        <v>#DIV/0!</v>
      </c>
      <c r="J111" s="49" t="e">
        <f t="shared" si="18"/>
        <v>#DIV/0!</v>
      </c>
      <c r="K111" s="49" t="e">
        <f t="shared" si="18"/>
        <v>#DIV/0!</v>
      </c>
      <c r="L111" s="49" t="e">
        <f t="shared" si="18"/>
        <v>#DIV/0!</v>
      </c>
      <c r="M111" s="49" t="e">
        <f t="shared" si="18"/>
        <v>#DIV/0!</v>
      </c>
      <c r="N111" s="49" t="e">
        <f t="shared" si="18"/>
        <v>#DIV/0!</v>
      </c>
      <c r="O111" s="49" t="e">
        <f t="shared" si="18"/>
        <v>#DIV/0!</v>
      </c>
      <c r="R111" s="36"/>
      <c r="S111" s="52"/>
      <c r="T111" s="14" t="s">
        <v>45</v>
      </c>
      <c r="V111" s="49" t="e">
        <f>V108*$U104</f>
        <v>#DIV/0!</v>
      </c>
      <c r="W111" s="49" t="e">
        <f t="shared" ref="W111:AG111" si="19">W108*$U104</f>
        <v>#DIV/0!</v>
      </c>
      <c r="X111" s="49" t="e">
        <f t="shared" si="19"/>
        <v>#DIV/0!</v>
      </c>
      <c r="Y111" s="49" t="e">
        <f t="shared" si="19"/>
        <v>#DIV/0!</v>
      </c>
      <c r="Z111" s="49" t="e">
        <f t="shared" si="19"/>
        <v>#DIV/0!</v>
      </c>
      <c r="AA111" s="49" t="e">
        <f t="shared" si="19"/>
        <v>#DIV/0!</v>
      </c>
      <c r="AB111" s="49" t="e">
        <f t="shared" si="19"/>
        <v>#DIV/0!</v>
      </c>
      <c r="AC111" s="49" t="e">
        <f t="shared" si="19"/>
        <v>#DIV/0!</v>
      </c>
      <c r="AD111" s="49" t="e">
        <f t="shared" si="19"/>
        <v>#DIV/0!</v>
      </c>
      <c r="AE111" s="49" t="e">
        <f t="shared" si="19"/>
        <v>#DIV/0!</v>
      </c>
      <c r="AF111" s="49" t="e">
        <f t="shared" si="19"/>
        <v>#DIV/0!</v>
      </c>
      <c r="AG111" s="49" t="e">
        <f t="shared" si="19"/>
        <v>#DIV/0!</v>
      </c>
    </row>
    <row r="112" spans="2:33" x14ac:dyDescent="0.2">
      <c r="B112" s="14" t="s">
        <v>46</v>
      </c>
      <c r="C112" s="47" t="e">
        <f>'Single transit collision risk'!J109</f>
        <v>#VALUE!</v>
      </c>
      <c r="D112" s="29"/>
      <c r="E112" s="29"/>
      <c r="F112" s="29"/>
      <c r="G112" s="29"/>
      <c r="H112" s="29"/>
      <c r="I112" s="29"/>
      <c r="J112" s="29"/>
      <c r="K112" s="29"/>
      <c r="L112" s="29"/>
      <c r="M112" s="29"/>
      <c r="N112" s="29"/>
      <c r="O112" s="29"/>
      <c r="R112" s="36"/>
      <c r="S112" s="52"/>
      <c r="T112" s="14" t="s">
        <v>46</v>
      </c>
      <c r="U112" s="47" t="e">
        <f>'Single transit collision risk'!V109</f>
        <v>#VALUE!</v>
      </c>
      <c r="V112" s="29"/>
      <c r="W112" s="29"/>
      <c r="X112" s="29"/>
      <c r="Y112" s="29"/>
      <c r="Z112" s="29"/>
      <c r="AA112" s="29"/>
      <c r="AB112" s="29"/>
      <c r="AC112" s="29"/>
      <c r="AD112" s="29"/>
      <c r="AE112" s="29"/>
      <c r="AF112" s="29"/>
      <c r="AG112" s="29"/>
    </row>
    <row r="113" spans="2:35" x14ac:dyDescent="0.2">
      <c r="C113" s="35"/>
      <c r="D113" s="29"/>
      <c r="E113" s="29"/>
      <c r="F113" s="29"/>
      <c r="G113" s="29"/>
      <c r="H113" s="29"/>
      <c r="I113" s="29"/>
      <c r="J113" s="29"/>
      <c r="K113" s="29"/>
      <c r="L113" s="29"/>
      <c r="M113" s="29"/>
      <c r="N113" s="29"/>
      <c r="O113" s="29"/>
      <c r="R113" s="36"/>
      <c r="S113" s="52"/>
      <c r="U113" s="35"/>
      <c r="V113" s="29"/>
      <c r="W113" s="29"/>
      <c r="X113" s="29"/>
      <c r="Y113" s="29"/>
      <c r="Z113" s="29"/>
      <c r="AA113" s="29"/>
      <c r="AB113" s="29"/>
      <c r="AC113" s="29"/>
      <c r="AD113" s="29"/>
      <c r="AE113" s="29"/>
      <c r="AF113" s="29"/>
      <c r="AG113" s="29"/>
    </row>
    <row r="114" spans="2:35" ht="29.25" x14ac:dyDescent="0.25">
      <c r="B114" s="40" t="s">
        <v>309</v>
      </c>
      <c r="D114" s="50" t="e">
        <f>D111*$C$112*D100</f>
        <v>#DIV/0!</v>
      </c>
      <c r="E114" s="50" t="e">
        <f t="shared" ref="E114:O114" si="20">E111*$C$112*E100</f>
        <v>#DIV/0!</v>
      </c>
      <c r="F114" s="50" t="e">
        <f t="shared" si="20"/>
        <v>#DIV/0!</v>
      </c>
      <c r="G114" s="50" t="e">
        <f t="shared" si="20"/>
        <v>#DIV/0!</v>
      </c>
      <c r="H114" s="50" t="e">
        <f t="shared" si="20"/>
        <v>#DIV/0!</v>
      </c>
      <c r="I114" s="50" t="e">
        <f t="shared" si="20"/>
        <v>#DIV/0!</v>
      </c>
      <c r="J114" s="50" t="e">
        <f t="shared" si="20"/>
        <v>#DIV/0!</v>
      </c>
      <c r="K114" s="50" t="e">
        <f t="shared" si="20"/>
        <v>#DIV/0!</v>
      </c>
      <c r="L114" s="50" t="e">
        <f t="shared" si="20"/>
        <v>#DIV/0!</v>
      </c>
      <c r="M114" s="50" t="e">
        <f t="shared" si="20"/>
        <v>#DIV/0!</v>
      </c>
      <c r="N114" s="50" t="e">
        <f t="shared" si="20"/>
        <v>#DIV/0!</v>
      </c>
      <c r="O114" s="50" t="e">
        <f t="shared" si="20"/>
        <v>#DIV/0!</v>
      </c>
      <c r="Q114" s="43" t="s">
        <v>31</v>
      </c>
      <c r="R114" s="53"/>
      <c r="S114" s="54"/>
      <c r="T114" s="40" t="s">
        <v>309</v>
      </c>
      <c r="V114" s="50" t="e">
        <f>V111*$U$112*V100</f>
        <v>#DIV/0!</v>
      </c>
      <c r="W114" s="50" t="e">
        <f t="shared" ref="W114:AG114" si="21">W111*$U$112*W100</f>
        <v>#DIV/0!</v>
      </c>
      <c r="X114" s="50" t="e">
        <f t="shared" si="21"/>
        <v>#DIV/0!</v>
      </c>
      <c r="Y114" s="50" t="e">
        <f t="shared" si="21"/>
        <v>#DIV/0!</v>
      </c>
      <c r="Z114" s="50" t="e">
        <f t="shared" si="21"/>
        <v>#DIV/0!</v>
      </c>
      <c r="AA114" s="50" t="e">
        <f t="shared" si="21"/>
        <v>#DIV/0!</v>
      </c>
      <c r="AB114" s="50" t="e">
        <f t="shared" si="21"/>
        <v>#DIV/0!</v>
      </c>
      <c r="AC114" s="50" t="e">
        <f t="shared" si="21"/>
        <v>#DIV/0!</v>
      </c>
      <c r="AD114" s="50" t="e">
        <f t="shared" si="21"/>
        <v>#DIV/0!</v>
      </c>
      <c r="AE114" s="50" t="e">
        <f t="shared" si="21"/>
        <v>#DIV/0!</v>
      </c>
      <c r="AF114" s="50" t="e">
        <f t="shared" si="21"/>
        <v>#DIV/0!</v>
      </c>
      <c r="AG114" s="50" t="e">
        <f t="shared" si="21"/>
        <v>#DIV/0!</v>
      </c>
      <c r="AI114" s="43" t="s">
        <v>31</v>
      </c>
    </row>
    <row r="115" spans="2:35" x14ac:dyDescent="0.2">
      <c r="D115" s="45"/>
      <c r="E115" s="45"/>
      <c r="F115" s="45"/>
      <c r="G115" s="45"/>
      <c r="H115" s="45"/>
      <c r="I115" s="45"/>
      <c r="J115" s="45"/>
      <c r="K115" s="45"/>
      <c r="L115" s="45"/>
      <c r="M115" s="45"/>
      <c r="N115" s="45"/>
      <c r="O115" s="45"/>
      <c r="R115" s="36"/>
      <c r="S115" s="52"/>
      <c r="V115" s="45"/>
      <c r="W115" s="45"/>
      <c r="X115" s="45"/>
      <c r="Y115" s="45"/>
      <c r="Z115" s="45"/>
      <c r="AA115" s="45"/>
      <c r="AB115" s="45"/>
      <c r="AC115" s="45"/>
      <c r="AD115" s="45"/>
      <c r="AE115" s="45"/>
      <c r="AF115" s="45"/>
      <c r="AG115" s="45"/>
    </row>
    <row r="116" spans="2:35" ht="15" x14ac:dyDescent="0.25">
      <c r="B116" s="14" t="s">
        <v>310</v>
      </c>
      <c r="D116" s="48">
        <f>IF(D98="Breeding",D114*(1-'User inputs - bird impacts'!$E$92),0)</f>
        <v>0</v>
      </c>
      <c r="E116" s="48">
        <f>IF(E98="Breeding",E114*(1-'User inputs - bird impacts'!$E$92),0)</f>
        <v>0</v>
      </c>
      <c r="F116" s="48">
        <f>IF(F98="Breeding",F114*(1-'User inputs - bird impacts'!$E$92),0)</f>
        <v>0</v>
      </c>
      <c r="G116" s="48">
        <f>IF(G98="Breeding",G114*(1-'User inputs - bird impacts'!$E$92),0)</f>
        <v>0</v>
      </c>
      <c r="H116" s="48" t="e">
        <f>IF(H98="Breeding",H114*(1-'User inputs - bird impacts'!$E$92),0)</f>
        <v>#DIV/0!</v>
      </c>
      <c r="I116" s="48" t="e">
        <f>IF(I98="Breeding",I114*(1-'User inputs - bird impacts'!$E$92),0)</f>
        <v>#DIV/0!</v>
      </c>
      <c r="J116" s="48" t="e">
        <f>IF(J98="Breeding",J114*(1-'User inputs - bird impacts'!$E$92),0)</f>
        <v>#DIV/0!</v>
      </c>
      <c r="K116" s="48">
        <f>IF(K98="Breeding",K114*(1-'User inputs - bird impacts'!$E$92),0)</f>
        <v>0</v>
      </c>
      <c r="L116" s="48">
        <f>IF(L98="Breeding",L114*(1-'User inputs - bird impacts'!$E$92),0)</f>
        <v>0</v>
      </c>
      <c r="M116" s="48">
        <f>IF(M98="Breeding",M114*(1-'User inputs - bird impacts'!$E$92),0)</f>
        <v>0</v>
      </c>
      <c r="N116" s="48">
        <f>IF(N98="Breeding",N114*(1-'User inputs - bird impacts'!$E$92),0)</f>
        <v>0</v>
      </c>
      <c r="O116" s="48">
        <f>IF(O98="Breeding",O114*(1-'User inputs - bird impacts'!$E$92),0)</f>
        <v>0</v>
      </c>
      <c r="Q116" s="51" t="e">
        <f>SUM(D116:O116)</f>
        <v>#DIV/0!</v>
      </c>
      <c r="R116" s="36"/>
      <c r="S116" s="54"/>
      <c r="T116" s="14" t="s">
        <v>310</v>
      </c>
      <c r="V116" s="48">
        <f>IF(V98="Breeding",V114*(1-'User inputs - bird impacts'!$G$94),0)</f>
        <v>0</v>
      </c>
      <c r="W116" s="48">
        <f>IF(W98="Breeding",W114*(1-'User inputs - bird impacts'!$G$94),0)</f>
        <v>0</v>
      </c>
      <c r="X116" s="48">
        <f>IF(X98="Breeding",X114*(1-'User inputs - bird impacts'!$G$94),0)</f>
        <v>0</v>
      </c>
      <c r="Y116" s="48" t="e">
        <f>IF(Y98="Breeding",Y114*(1-'User inputs - bird impacts'!$G$94),0)</f>
        <v>#DIV/0!</v>
      </c>
      <c r="Z116" s="48" t="e">
        <f>IF(Z98="Breeding",Z114*(1-'User inputs - bird impacts'!$G$94),0)</f>
        <v>#DIV/0!</v>
      </c>
      <c r="AA116" s="48" t="e">
        <f>IF(AA98="Breeding",AA114*(1-'User inputs - bird impacts'!$G$94),0)</f>
        <v>#DIV/0!</v>
      </c>
      <c r="AB116" s="48" t="e">
        <f>IF(AB98="Breeding",AB114*(1-'User inputs - bird impacts'!$G$94),0)</f>
        <v>#DIV/0!</v>
      </c>
      <c r="AC116" s="48" t="e">
        <f>IF(AC98="Breeding",AC114*(1-'User inputs - bird impacts'!$G$94),0)</f>
        <v>#DIV/0!</v>
      </c>
      <c r="AD116" s="48">
        <f>IF(AD98="Breeding",AD114*(1-'User inputs - bird impacts'!$G$94),0)</f>
        <v>0</v>
      </c>
      <c r="AE116" s="48">
        <f>IF(AE98="Breeding",AE114*(1-'User inputs - bird impacts'!$G$94),0)</f>
        <v>0</v>
      </c>
      <c r="AF116" s="48">
        <f>IF(AF98="Breeding",AF114*(1-'User inputs - bird impacts'!$G$94),0)</f>
        <v>0</v>
      </c>
      <c r="AG116" s="48">
        <f>IF(AG98="Breeding",AG114*(1-'User inputs - bird impacts'!$G$94),0)</f>
        <v>0</v>
      </c>
      <c r="AI116" s="51" t="e">
        <f>SUM(V116:AG116)</f>
        <v>#DIV/0!</v>
      </c>
    </row>
    <row r="117" spans="2:35" ht="15" x14ac:dyDescent="0.25">
      <c r="B117" s="14" t="s">
        <v>311</v>
      </c>
      <c r="D117" s="48">
        <f>IF(D98="Post-breeding migration",D114*(1-'User inputs - bird impacts'!$E$92),0)</f>
        <v>0</v>
      </c>
      <c r="E117" s="48">
        <f>IF(E98="Post-breeding migration",E114*(1-'User inputs - bird impacts'!$E$92),0)</f>
        <v>0</v>
      </c>
      <c r="F117" s="48">
        <f>IF(F98="Post-breeding migration",F114*(1-'User inputs - bird impacts'!$E$92),0)</f>
        <v>0</v>
      </c>
      <c r="G117" s="48">
        <f>IF(G98="Post-breeding migration",G114*(1-'User inputs - bird impacts'!$E$92),0)</f>
        <v>0</v>
      </c>
      <c r="H117" s="48">
        <f>IF(H98="Post-breeding migration",H114*(1-'User inputs - bird impacts'!$E$92),0)</f>
        <v>0</v>
      </c>
      <c r="I117" s="48">
        <f>IF(I98="Post-breeding migration",I114*(1-'User inputs - bird impacts'!$E$92),0)</f>
        <v>0</v>
      </c>
      <c r="J117" s="48">
        <f>IF(J98="Post-breeding migration",J114*(1-'User inputs - bird impacts'!$E$92),0)</f>
        <v>0</v>
      </c>
      <c r="K117" s="48" t="e">
        <f>IF(K98="Post-breeding migration",K114*(1-'User inputs - bird impacts'!$E$92),0)</f>
        <v>#DIV/0!</v>
      </c>
      <c r="L117" s="48" t="e">
        <f>IF(L98="Post-breeding migration",L114*(1-'User inputs - bird impacts'!$E$92),0)</f>
        <v>#DIV/0!</v>
      </c>
      <c r="M117" s="48" t="e">
        <f>IF(M98="Post-breeding migration",M114*(1-'User inputs - bird impacts'!$E$92),0)</f>
        <v>#DIV/0!</v>
      </c>
      <c r="N117" s="48" t="e">
        <f>IF(N98="Post-breeding migration",N114*(1-'User inputs - bird impacts'!$E$92),0)</f>
        <v>#DIV/0!</v>
      </c>
      <c r="O117" s="48" t="e">
        <f>IF(O98="Post-breeding migration",O114*(1-'User inputs - bird impacts'!$E$92),0)</f>
        <v>#DIV/0!</v>
      </c>
      <c r="Q117" s="51" t="e">
        <f t="shared" ref="Q117:Q118" si="22">SUM(D117:O117)</f>
        <v>#DIV/0!</v>
      </c>
      <c r="R117" s="36"/>
      <c r="S117" s="54"/>
      <c r="T117" s="14" t="s">
        <v>311</v>
      </c>
      <c r="V117" s="48">
        <f>IF(V98="Post-breeding migration",V114*(1-'User inputs - bird impacts'!$G$94),0)</f>
        <v>0</v>
      </c>
      <c r="W117" s="48">
        <f>IF(W98="Post-breeding migration",W114*(1-'User inputs - bird impacts'!$G$94),0)</f>
        <v>0</v>
      </c>
      <c r="X117" s="48">
        <f>IF(X98="Post-breeding migration",X114*(1-'User inputs - bird impacts'!$G$94),0)</f>
        <v>0</v>
      </c>
      <c r="Y117" s="48">
        <f>IF(Y98="Post-breeding migration",Y114*(1-'User inputs - bird impacts'!$G$94),0)</f>
        <v>0</v>
      </c>
      <c r="Z117" s="48">
        <f>IF(Z98="Post-breeding migration",Z114*(1-'User inputs - bird impacts'!$G$94),0)</f>
        <v>0</v>
      </c>
      <c r="AA117" s="48">
        <f>IF(AA98="Post-breeding migration",AA114*(1-'User inputs - bird impacts'!$G$94),0)</f>
        <v>0</v>
      </c>
      <c r="AB117" s="48">
        <f>IF(AB98="Post-breeding migration",AB114*(1-'User inputs - bird impacts'!$G$94),0)</f>
        <v>0</v>
      </c>
      <c r="AC117" s="48">
        <f>IF(AC98="Post-breeding migration",AC114*(1-'User inputs - bird impacts'!$G$94),0)</f>
        <v>0</v>
      </c>
      <c r="AD117" s="48" t="e">
        <f>IF(AD98="Post-breeding migration",AD114*(1-'User inputs - bird impacts'!$G$94),0)</f>
        <v>#DIV/0!</v>
      </c>
      <c r="AE117" s="48" t="e">
        <f>IF(AE98="Post-breeding migration",AE114*(1-'User inputs - bird impacts'!$G$94),0)</f>
        <v>#DIV/0!</v>
      </c>
      <c r="AF117" s="48" t="e">
        <f>IF(AF98="Post-breeding migration",AF114*(1-'User inputs - bird impacts'!$G$94),0)</f>
        <v>#DIV/0!</v>
      </c>
      <c r="AG117" s="48">
        <f>IF(AG98="Post-breeding migration",AG114*(1-'User inputs - bird impacts'!$G$94),0)</f>
        <v>0</v>
      </c>
      <c r="AI117" s="51" t="e">
        <f t="shared" ref="AI117:AI118" si="23">SUM(V117:AG117)</f>
        <v>#DIV/0!</v>
      </c>
    </row>
    <row r="118" spans="2:35" ht="15" x14ac:dyDescent="0.25">
      <c r="B118" s="14" t="s">
        <v>312</v>
      </c>
      <c r="D118" s="48" t="e">
        <f>IF(D98="Return migration",D114*(1-'User inputs - bird impacts'!$E$92),0)</f>
        <v>#DIV/0!</v>
      </c>
      <c r="E118" s="48" t="e">
        <f>IF(E98="Return migration",E114*(1-'User inputs - bird impacts'!$E$92),0)</f>
        <v>#DIV/0!</v>
      </c>
      <c r="F118" s="48" t="e">
        <f>IF(F98="Return migration",F114*(1-'User inputs - bird impacts'!$E$92),0)</f>
        <v>#DIV/0!</v>
      </c>
      <c r="G118" s="48" t="e">
        <f>IF(G98="Return migration",G114*(1-'User inputs - bird impacts'!$E$92),0)</f>
        <v>#DIV/0!</v>
      </c>
      <c r="H118" s="48">
        <f>IF(H98="Return migration",H114*(1-'User inputs - bird impacts'!$E$92),0)</f>
        <v>0</v>
      </c>
      <c r="I118" s="48">
        <f>IF(I98="Return migration",I114*(1-'User inputs - bird impacts'!$E$92),0)</f>
        <v>0</v>
      </c>
      <c r="J118" s="48">
        <f>IF(J98="Return migration",J114*(1-'User inputs - bird impacts'!$E$92),0)</f>
        <v>0</v>
      </c>
      <c r="K118" s="48">
        <f>IF(K98="Return migration",K114*(1-'User inputs - bird impacts'!$E$92),0)</f>
        <v>0</v>
      </c>
      <c r="L118" s="48">
        <f>IF(L98="Return migration",L114*(1-'User inputs - bird impacts'!$E$92),0)</f>
        <v>0</v>
      </c>
      <c r="M118" s="48">
        <f>IF(M98="Return migration",M114*(1-'User inputs - bird impacts'!$E$92),0)</f>
        <v>0</v>
      </c>
      <c r="N118" s="48">
        <f>IF(N98="Return migration",N114*(1-'User inputs - bird impacts'!$E$92),0)</f>
        <v>0</v>
      </c>
      <c r="O118" s="48">
        <f>IF(O98="Return migration",O114*(1-'User inputs - bird impacts'!$E$92),0)</f>
        <v>0</v>
      </c>
      <c r="Q118" s="51" t="e">
        <f t="shared" si="22"/>
        <v>#DIV/0!</v>
      </c>
      <c r="R118" s="36"/>
      <c r="S118" s="54"/>
      <c r="T118" s="14" t="s">
        <v>312</v>
      </c>
      <c r="V118" s="48" t="e">
        <f>IF(V98="Return migration",V114*(1-'User inputs - bird impacts'!$G$94),0)</f>
        <v>#DIV/0!</v>
      </c>
      <c r="W118" s="48" t="e">
        <f>IF(W98="Return migration",W114*(1-'User inputs - bird impacts'!$G$94),0)</f>
        <v>#DIV/0!</v>
      </c>
      <c r="X118" s="48" t="e">
        <f>IF(X98="Return migration",X114*(1-'User inputs - bird impacts'!$G$94),0)</f>
        <v>#DIV/0!</v>
      </c>
      <c r="Y118" s="48">
        <f>IF(Y98="Return migration",Y114*(1-'User inputs - bird impacts'!$G$94),0)</f>
        <v>0</v>
      </c>
      <c r="Z118" s="48">
        <f>IF(Z98="Return migration",Z114*(1-'User inputs - bird impacts'!$G$94),0)</f>
        <v>0</v>
      </c>
      <c r="AA118" s="48">
        <f>IF(AA98="Return migration",AA114*(1-'User inputs - bird impacts'!$G$94),0)</f>
        <v>0</v>
      </c>
      <c r="AB118" s="48">
        <f>IF(AB98="Return migration",AB114*(1-'User inputs - bird impacts'!$G$94),0)</f>
        <v>0</v>
      </c>
      <c r="AC118" s="48">
        <f>IF(AC98="Return migration",AC114*(1-'User inputs - bird impacts'!$G$94),0)</f>
        <v>0</v>
      </c>
      <c r="AD118" s="48">
        <f>IF(AD98="Return migration",AD114*(1-'User inputs - bird impacts'!$G$94),0)</f>
        <v>0</v>
      </c>
      <c r="AE118" s="48">
        <f>IF(AE98="Return migration",AE114*(1-'User inputs - bird impacts'!$G$94),0)</f>
        <v>0</v>
      </c>
      <c r="AF118" s="48">
        <f>IF(AF98="Return migration",AF114*(1-'User inputs - bird impacts'!$G$94),0)</f>
        <v>0</v>
      </c>
      <c r="AG118" s="48" t="e">
        <f>IF(AG98="Return migration",AG114*(1-'User inputs - bird impacts'!$G$94),0)</f>
        <v>#DIV/0!</v>
      </c>
      <c r="AI118" s="51" t="e">
        <f t="shared" si="23"/>
        <v>#DIV/0!</v>
      </c>
    </row>
    <row r="119" spans="2:35" x14ac:dyDescent="0.2">
      <c r="B119" s="37"/>
      <c r="C119" s="37"/>
      <c r="D119" s="37"/>
      <c r="E119" s="37"/>
      <c r="F119" s="37"/>
      <c r="G119" s="37"/>
      <c r="H119" s="37"/>
      <c r="I119" s="37"/>
      <c r="J119" s="37"/>
      <c r="K119" s="37"/>
      <c r="L119" s="37"/>
      <c r="M119" s="37"/>
      <c r="N119" s="37"/>
      <c r="O119" s="37"/>
      <c r="P119" s="37"/>
      <c r="Q119" s="37"/>
      <c r="R119" s="36"/>
      <c r="S119" s="52"/>
      <c r="T119" s="37"/>
      <c r="U119" s="37"/>
      <c r="V119" s="37"/>
      <c r="W119" s="37"/>
      <c r="X119" s="37"/>
      <c r="Y119" s="37"/>
      <c r="Z119" s="37"/>
      <c r="AA119" s="37"/>
      <c r="AB119" s="37"/>
      <c r="AC119" s="37"/>
      <c r="AD119" s="37"/>
      <c r="AE119" s="37"/>
      <c r="AF119" s="37"/>
      <c r="AG119" s="37"/>
      <c r="AH119" s="37"/>
      <c r="AI119" s="37"/>
    </row>
    <row r="120" spans="2:35" x14ac:dyDescent="0.2">
      <c r="B120" s="38"/>
      <c r="C120" s="38"/>
      <c r="D120" s="38"/>
      <c r="E120" s="38"/>
      <c r="F120" s="38"/>
      <c r="G120" s="38"/>
      <c r="H120" s="38"/>
      <c r="I120" s="38"/>
      <c r="J120" s="38"/>
      <c r="K120" s="38"/>
      <c r="L120" s="38"/>
      <c r="M120" s="38"/>
      <c r="N120" s="38"/>
      <c r="O120" s="38"/>
      <c r="P120" s="38"/>
      <c r="Q120" s="38"/>
      <c r="R120" s="36"/>
      <c r="S120" s="52"/>
    </row>
    <row r="121" spans="2:35" x14ac:dyDescent="0.2">
      <c r="R121" s="36"/>
      <c r="S121" s="52"/>
    </row>
    <row r="122" spans="2:35" x14ac:dyDescent="0.2">
      <c r="R122" s="36"/>
      <c r="S122" s="52"/>
    </row>
    <row r="123" spans="2:35" x14ac:dyDescent="0.2">
      <c r="R123" s="36"/>
      <c r="S123" s="52"/>
    </row>
    <row r="124" spans="2:35" x14ac:dyDescent="0.2">
      <c r="R124" s="36"/>
      <c r="S124" s="52"/>
    </row>
    <row r="125" spans="2:35" x14ac:dyDescent="0.2">
      <c r="R125" s="36"/>
      <c r="S125" s="52"/>
    </row>
  </sheetData>
  <sheetProtection sheet="1"/>
  <mergeCells count="1">
    <mergeCell ref="B2:C2"/>
  </mergeCells>
  <phoneticPr fontId="1" type="noConversion"/>
  <dataValidations disablePrompts="1" count="1">
    <dataValidation allowBlank="1" showInputMessage="1" showErrorMessage="1" prompt="Calculations adapted from those in the CRM spreadsheet provided alongside Band, 2012." sqref="B2:C2" xr:uid="{9B469482-CB33-4835-B3D7-481F1108B9AF}"/>
  </dataValidations>
  <pageMargins left="0.55118110236220474" right="0.55118110236220474" top="0.78740157480314965" bottom="0.78740157480314965" header="0.51181102362204722" footer="0.51181102362204722"/>
  <pageSetup paperSize="9" scale="75" orientation="landscape" horizontalDpi="360" verticalDpi="36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2" id="{B58E72D4-6A4A-4B76-B607-7D8C81EC8A50}">
            <xm:f>OR('User inputs - run and wind farm'!$D$7="",'User inputs - run and wind farm'!$D$7=1)</xm:f>
            <x14:dxf>
              <font>
                <color theme="0" tint="-0.14996795556505021"/>
              </font>
              <fill>
                <patternFill>
                  <bgColor theme="0" tint="-0.14996795556505021"/>
                </patternFill>
              </fill>
            </x14:dxf>
          </x14:cfRule>
          <xm:sqref>C46:C48 U46:U48 C51:C55 U51:U55 D59:O59 V59:AG59 D61:O61 V61:AG61 D64:O64 V64:AG64 C65 U65 D66:O67 V66:AG67 D69:O69 V69:AG69 D72:O72 V72:AG72 C73 U73 D75:O75 V75:AG75 D77:O79 Q77:Q79 V77:AG79 AI77:AI79</xm:sqref>
        </x14:conditionalFormatting>
        <x14:conditionalFormatting xmlns:xm="http://schemas.microsoft.com/office/excel/2006/main">
          <x14:cfRule type="expression" priority="1" id="{815CB744-B2F1-4F45-8477-054F3BE4885E}">
            <xm:f>'User inputs - run and wind farm'!$D$7&lt;&gt;3</xm:f>
            <x14:dxf>
              <font>
                <color theme="0" tint="-0.14996795556505021"/>
              </font>
              <fill>
                <patternFill>
                  <bgColor theme="0" tint="-0.14996795556505021"/>
                </patternFill>
              </fill>
            </x14:dxf>
          </x14:cfRule>
          <xm:sqref>C85:C87 U85:U87 C90:C94 U90:U94 D98:O98 V98:AG98 D100:O100 V100:AG100 D103:O103 V103:AG103 C104 U104 D105:O106 V105:AG106 D108:O108 V108:AG108 D111:O111 V111:AG111 C112 U112 D114:O114 V114:AG114 D116:O118 Q116:Q118 V116:AG118 AI116:AI118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1A049-2C96-4A7B-8F6C-3E356B62191C}">
  <sheetPr codeName="Sheet7"/>
  <dimension ref="B1:W112"/>
  <sheetViews>
    <sheetView zoomScale="55" zoomScaleNormal="55" workbookViewId="0"/>
  </sheetViews>
  <sheetFormatPr defaultColWidth="8.7109375" defaultRowHeight="14.25" x14ac:dyDescent="0.2"/>
  <cols>
    <col min="1" max="1" width="8.7109375" style="14"/>
    <col min="2" max="2" width="28.140625" style="14" bestFit="1" customWidth="1"/>
    <col min="3" max="3" width="11.5703125" style="14" customWidth="1"/>
    <col min="4" max="4" width="9.5703125" style="14" bestFit="1" customWidth="1"/>
    <col min="5" max="11" width="12.42578125" style="14" customWidth="1"/>
    <col min="12" max="12" width="12.42578125" style="36" customWidth="1"/>
    <col min="13" max="13" width="8.7109375" style="14"/>
    <col min="14" max="14" width="28.140625" style="14" bestFit="1" customWidth="1"/>
    <col min="15" max="15" width="11.5703125" style="14" customWidth="1"/>
    <col min="16" max="16" width="8.7109375" style="14"/>
    <col min="17" max="23" width="12.42578125" style="14" customWidth="1"/>
    <col min="24" max="16384" width="8.7109375" style="14"/>
  </cols>
  <sheetData>
    <row r="1" spans="2:23" x14ac:dyDescent="0.2">
      <c r="L1" s="14"/>
    </row>
    <row r="2" spans="2:23" ht="23.25" x14ac:dyDescent="0.35">
      <c r="B2" s="145" t="s">
        <v>359</v>
      </c>
      <c r="C2" s="145"/>
      <c r="D2" s="145"/>
      <c r="L2" s="14"/>
    </row>
    <row r="3" spans="2:23" x14ac:dyDescent="0.2">
      <c r="L3" s="14"/>
    </row>
    <row r="4" spans="2:23" x14ac:dyDescent="0.2">
      <c r="L4" s="14"/>
    </row>
    <row r="5" spans="2:23" ht="18" x14ac:dyDescent="0.25">
      <c r="B5" s="31" t="s">
        <v>297</v>
      </c>
      <c r="N5" s="31" t="s">
        <v>298</v>
      </c>
    </row>
    <row r="7" spans="2:23" ht="15" x14ac:dyDescent="0.25">
      <c r="B7" s="77"/>
      <c r="E7" s="15" t="s">
        <v>213</v>
      </c>
      <c r="F7" s="15"/>
      <c r="N7" s="77"/>
      <c r="Q7" s="15" t="s">
        <v>213</v>
      </c>
      <c r="R7" s="15"/>
    </row>
    <row r="8" spans="2:23" ht="15" x14ac:dyDescent="0.25">
      <c r="B8" s="77" t="s">
        <v>234</v>
      </c>
      <c r="C8" s="11" t="str">
        <f>'User inputs - run and wind farm'!N19</f>
        <v>-</v>
      </c>
      <c r="H8" s="155" t="s">
        <v>214</v>
      </c>
      <c r="I8" s="156"/>
      <c r="J8" s="78" t="s">
        <v>215</v>
      </c>
      <c r="K8" s="79"/>
      <c r="N8" s="77" t="s">
        <v>234</v>
      </c>
      <c r="O8" s="11" t="str">
        <f>'User inputs - run and wind farm'!N19</f>
        <v>-</v>
      </c>
      <c r="T8" s="155" t="s">
        <v>214</v>
      </c>
      <c r="U8" s="156"/>
      <c r="V8" s="78" t="s">
        <v>215</v>
      </c>
      <c r="W8" s="79"/>
    </row>
    <row r="9" spans="2:23" ht="15" x14ac:dyDescent="0.2">
      <c r="B9" s="77" t="s">
        <v>29</v>
      </c>
      <c r="C9" s="11" t="str">
        <f>'User inputs - run and wind farm'!L19</f>
        <v>-</v>
      </c>
      <c r="E9" s="29" t="s">
        <v>216</v>
      </c>
      <c r="F9" s="29" t="s">
        <v>217</v>
      </c>
      <c r="G9" s="80" t="s">
        <v>218</v>
      </c>
      <c r="H9" s="29" t="s">
        <v>219</v>
      </c>
      <c r="I9" s="81"/>
      <c r="J9" s="82" t="s">
        <v>219</v>
      </c>
      <c r="K9" s="81"/>
      <c r="N9" s="77" t="s">
        <v>29</v>
      </c>
      <c r="O9" s="11" t="str">
        <f>'User inputs - run and wind farm'!L19</f>
        <v>-</v>
      </c>
      <c r="Q9" s="29" t="s">
        <v>216</v>
      </c>
      <c r="R9" s="29" t="s">
        <v>217</v>
      </c>
      <c r="S9" s="80" t="s">
        <v>218</v>
      </c>
      <c r="T9" s="29" t="s">
        <v>219</v>
      </c>
      <c r="U9" s="81"/>
      <c r="V9" s="82" t="s">
        <v>219</v>
      </c>
      <c r="W9" s="81"/>
    </row>
    <row r="10" spans="2:23" x14ac:dyDescent="0.2">
      <c r="B10" s="77" t="s">
        <v>248</v>
      </c>
      <c r="C10" s="11" t="str">
        <f>'User inputs - run and wind farm'!M19</f>
        <v>-</v>
      </c>
      <c r="D10" s="93" t="e">
        <f>C10*PI()/180</f>
        <v>#VALUE!</v>
      </c>
      <c r="E10" s="29" t="s">
        <v>220</v>
      </c>
      <c r="F10" s="29" t="s">
        <v>221</v>
      </c>
      <c r="G10" s="81" t="s">
        <v>222</v>
      </c>
      <c r="H10" s="29" t="s">
        <v>223</v>
      </c>
      <c r="I10" s="81" t="s">
        <v>224</v>
      </c>
      <c r="J10" s="82" t="s">
        <v>223</v>
      </c>
      <c r="K10" s="81" t="s">
        <v>224</v>
      </c>
      <c r="N10" s="77" t="s">
        <v>248</v>
      </c>
      <c r="O10" s="11" t="str">
        <f>'User inputs - run and wind farm'!M19</f>
        <v>-</v>
      </c>
      <c r="P10" s="93" t="e">
        <f>O10*PI()/180</f>
        <v>#VALUE!</v>
      </c>
      <c r="Q10" s="29" t="s">
        <v>220</v>
      </c>
      <c r="R10" s="29" t="s">
        <v>221</v>
      </c>
      <c r="S10" s="81" t="s">
        <v>222</v>
      </c>
      <c r="T10" s="29" t="s">
        <v>223</v>
      </c>
      <c r="U10" s="81" t="s">
        <v>224</v>
      </c>
      <c r="V10" s="82" t="s">
        <v>223</v>
      </c>
      <c r="W10" s="81" t="s">
        <v>224</v>
      </c>
    </row>
    <row r="11" spans="2:23" x14ac:dyDescent="0.2">
      <c r="B11" s="77"/>
      <c r="C11" s="77"/>
      <c r="D11" s="83"/>
      <c r="E11" s="84"/>
      <c r="F11" s="84"/>
      <c r="G11" s="85"/>
      <c r="I11" s="86"/>
      <c r="J11" s="87"/>
      <c r="K11" s="86"/>
      <c r="N11" s="77"/>
      <c r="O11" s="77"/>
      <c r="P11" s="83"/>
      <c r="Q11" s="84"/>
      <c r="R11" s="84"/>
      <c r="S11" s="85"/>
      <c r="U11" s="86"/>
      <c r="V11" s="87"/>
      <c r="W11" s="86"/>
    </row>
    <row r="12" spans="2:23" x14ac:dyDescent="0.2">
      <c r="B12" s="77" t="s">
        <v>225</v>
      </c>
      <c r="C12" s="11" t="s">
        <v>16</v>
      </c>
      <c r="D12" s="88"/>
      <c r="E12" s="11">
        <v>0</v>
      </c>
      <c r="F12" s="11"/>
      <c r="G12" s="11"/>
      <c r="H12" s="11"/>
      <c r="I12" s="11">
        <v>1</v>
      </c>
      <c r="J12" s="11"/>
      <c r="K12" s="11">
        <v>1</v>
      </c>
      <c r="N12" s="77" t="s">
        <v>225</v>
      </c>
      <c r="O12" s="11" t="s">
        <v>13</v>
      </c>
      <c r="P12" s="88"/>
      <c r="Q12" s="11">
        <v>0</v>
      </c>
      <c r="R12" s="11"/>
      <c r="S12" s="11"/>
      <c r="T12" s="11"/>
      <c r="U12" s="11">
        <v>1</v>
      </c>
      <c r="V12" s="11"/>
      <c r="W12" s="11">
        <v>1</v>
      </c>
    </row>
    <row r="13" spans="2:23" x14ac:dyDescent="0.2">
      <c r="B13" s="77" t="s">
        <v>294</v>
      </c>
      <c r="C13" s="11">
        <f>'Default parameters'!C5</f>
        <v>0.39</v>
      </c>
      <c r="E13" s="11">
        <f>E12+C$25</f>
        <v>0.05</v>
      </c>
      <c r="F13" s="18">
        <v>0.73</v>
      </c>
      <c r="G13" s="18" t="e">
        <f>$C$17*$C$20/(E13*($C$18)*2*PI())</f>
        <v>#VALUE!</v>
      </c>
      <c r="H13" s="18" t="e">
        <f>ABS($C$9*$F13*SIN($D$10)+($G13*$C$9*$F13*COS($D$10)))+IF($G13&lt;$C$23,$C$13,$C$14*$D$15*$G13)</f>
        <v>#VALUE!</v>
      </c>
      <c r="I13" s="18" t="e">
        <f t="shared" ref="I13:I32" si="0">MIN(1,($C$8/$C$20)*H13/$C$17)</f>
        <v>#VALUE!</v>
      </c>
      <c r="J13" s="18" t="e">
        <f>ABS(-$C$9*$F13*SIN($D$10)+($G13*$C$9*$F13*COS($D$10)))+IF($G13&lt;$C$23,$C$13,$C$14*$D$15*$G13)</f>
        <v>#VALUE!</v>
      </c>
      <c r="K13" s="18" t="e">
        <f t="shared" ref="K13:K32" si="1">MIN(1,($C$8/$C$20)*J13/$C$17)</f>
        <v>#VALUE!</v>
      </c>
      <c r="N13" s="77" t="s">
        <v>294</v>
      </c>
      <c r="O13" s="11">
        <f>'Default parameters'!D5</f>
        <v>0.94</v>
      </c>
      <c r="Q13" s="11">
        <f>Q12+O$25</f>
        <v>0.05</v>
      </c>
      <c r="R13" s="18">
        <v>0.73</v>
      </c>
      <c r="S13" s="18" t="e">
        <f>$O$17*$O$20/(Q13*($O$18)*2*PI())</f>
        <v>#VALUE!</v>
      </c>
      <c r="T13" s="18" t="e">
        <f>ABS($O$9*$R13*SIN($P$10)+($S13*$O$9*$R13*COS($P$10)))+IF($S13&lt;$O$23,$O$13,$O$14*$P$15*$S13)</f>
        <v>#VALUE!</v>
      </c>
      <c r="U13" s="18" t="e">
        <f>MIN(1,($O$8/$O$20)*T13/$O$17)</f>
        <v>#VALUE!</v>
      </c>
      <c r="V13" s="18" t="e">
        <f>ABS(-$O$9*$R13*SIN($P$10)+($S13*$O$9*$R13*COS($P$10)))+IF($S13&lt;$O$23,$O$13,$O$14*$P$15*$S13)</f>
        <v>#VALUE!</v>
      </c>
      <c r="W13" s="18" t="e">
        <f>MIN(1,($O$8/$O$20)*V13/$O$17)</f>
        <v>#VALUE!</v>
      </c>
    </row>
    <row r="14" spans="2:23" x14ac:dyDescent="0.2">
      <c r="B14" s="77" t="s">
        <v>295</v>
      </c>
      <c r="C14" s="11">
        <f>'Default parameters'!C6</f>
        <v>1.08</v>
      </c>
      <c r="E14" s="11">
        <f t="shared" ref="E14:E32" si="2">E13+C$25</f>
        <v>0.1</v>
      </c>
      <c r="F14" s="18">
        <v>0.79</v>
      </c>
      <c r="G14" s="18" t="e">
        <f t="shared" ref="G14:G32" si="3">$C$17*$C$20/(E14*($C$18)*2*PI())</f>
        <v>#VALUE!</v>
      </c>
      <c r="H14" s="18" t="e">
        <f t="shared" ref="H14:H32" si="4">ABS($C$9*$F14*SIN($D$10)+($G14*$C$9*$F14*COS($D$10)))+IF($G14&lt;$C$23,$C$13,$C$14*$D$15*$G14)</f>
        <v>#VALUE!</v>
      </c>
      <c r="I14" s="18" t="e">
        <f t="shared" si="0"/>
        <v>#VALUE!</v>
      </c>
      <c r="J14" s="18" t="e">
        <f t="shared" ref="J14:J32" si="5">ABS(-$C$9*$F14*SIN($D$10)+($G14*$C$9*$F14*COS($D$10)))+IF($G14&lt;$C$23,$C$13,$C$14*$D$15*$G14)</f>
        <v>#VALUE!</v>
      </c>
      <c r="K14" s="18" t="e">
        <f t="shared" si="1"/>
        <v>#VALUE!</v>
      </c>
      <c r="N14" s="77" t="s">
        <v>295</v>
      </c>
      <c r="O14" s="11">
        <f>'Default parameters'!D6</f>
        <v>1.72</v>
      </c>
      <c r="P14" s="41"/>
      <c r="Q14" s="11">
        <f t="shared" ref="Q14:Q32" si="6">Q13+O$25</f>
        <v>0.1</v>
      </c>
      <c r="R14" s="18">
        <v>0.79</v>
      </c>
      <c r="S14" s="18" t="e">
        <f t="shared" ref="S14:S32" si="7">$O$17*$O$20/(Q14*($O$18)*2*PI())</f>
        <v>#VALUE!</v>
      </c>
      <c r="T14" s="18" t="e">
        <f t="shared" ref="T14:T32" si="8">ABS($O$9*$R14*SIN($P$10)+($S14*$O$9*$R14*COS($P$10)))+IF($S14&lt;$O$23,$O$13,$O$14*$P$15*$S14)</f>
        <v>#VALUE!</v>
      </c>
      <c r="U14" s="18" t="e">
        <f t="shared" ref="U14:U32" si="9">MIN(1,($O$8/$O$20)*T14/$O$17)</f>
        <v>#VALUE!</v>
      </c>
      <c r="V14" s="18" t="e">
        <f t="shared" ref="V14:V32" si="10">ABS(-$O$9*$R14*SIN($P$10)+($S14*$O$9*$R14*COS($P$10)))+IF($S14&lt;$O$23,$O$13,$O$14*$P$15*$S14)</f>
        <v>#VALUE!</v>
      </c>
      <c r="W14" s="18" t="e">
        <f t="shared" ref="W14:W32" si="11">MIN(1,($O$8/$O$20)*V14/$O$17)</f>
        <v>#VALUE!</v>
      </c>
    </row>
    <row r="15" spans="2:23" x14ac:dyDescent="0.2">
      <c r="B15" s="77" t="s">
        <v>226</v>
      </c>
      <c r="C15" s="11">
        <f>IF('Default parameters'!C8="Flapping",0,1)</f>
        <v>0</v>
      </c>
      <c r="D15" s="41">
        <f>IF(C15,2/PI(),1)</f>
        <v>1</v>
      </c>
      <c r="E15" s="11">
        <f t="shared" si="2"/>
        <v>0.15000000000000002</v>
      </c>
      <c r="F15" s="18">
        <v>0.88</v>
      </c>
      <c r="G15" s="18" t="e">
        <f t="shared" si="3"/>
        <v>#VALUE!</v>
      </c>
      <c r="H15" s="18" t="e">
        <f t="shared" si="4"/>
        <v>#VALUE!</v>
      </c>
      <c r="I15" s="18" t="e">
        <f t="shared" si="0"/>
        <v>#VALUE!</v>
      </c>
      <c r="J15" s="18" t="e">
        <f t="shared" si="5"/>
        <v>#VALUE!</v>
      </c>
      <c r="K15" s="18" t="e">
        <f t="shared" si="1"/>
        <v>#VALUE!</v>
      </c>
      <c r="N15" s="77" t="s">
        <v>226</v>
      </c>
      <c r="O15" s="11">
        <f>IF('Default parameters'!D8="Flapping",0,1)</f>
        <v>0</v>
      </c>
      <c r="P15" s="93">
        <f>IF(O15,2/PI(),1)</f>
        <v>1</v>
      </c>
      <c r="Q15" s="11">
        <f t="shared" si="6"/>
        <v>0.15000000000000002</v>
      </c>
      <c r="R15" s="18">
        <v>0.88</v>
      </c>
      <c r="S15" s="18" t="e">
        <f t="shared" si="7"/>
        <v>#VALUE!</v>
      </c>
      <c r="T15" s="18" t="e">
        <f t="shared" si="8"/>
        <v>#VALUE!</v>
      </c>
      <c r="U15" s="18" t="e">
        <f t="shared" si="9"/>
        <v>#VALUE!</v>
      </c>
      <c r="V15" s="18" t="e">
        <f t="shared" si="10"/>
        <v>#VALUE!</v>
      </c>
      <c r="W15" s="18" t="e">
        <f t="shared" si="11"/>
        <v>#VALUE!</v>
      </c>
    </row>
    <row r="16" spans="2:23" x14ac:dyDescent="0.2">
      <c r="B16" s="77" t="s">
        <v>227</v>
      </c>
      <c r="C16" s="11">
        <f>'Default parameters'!C9</f>
        <v>0.5</v>
      </c>
      <c r="E16" s="11">
        <f t="shared" si="2"/>
        <v>0.2</v>
      </c>
      <c r="F16" s="18">
        <v>0.96</v>
      </c>
      <c r="G16" s="18" t="e">
        <f t="shared" si="3"/>
        <v>#VALUE!</v>
      </c>
      <c r="H16" s="18" t="e">
        <f t="shared" si="4"/>
        <v>#VALUE!</v>
      </c>
      <c r="I16" s="18" t="e">
        <f t="shared" si="0"/>
        <v>#VALUE!</v>
      </c>
      <c r="J16" s="18" t="e">
        <f t="shared" si="5"/>
        <v>#VALUE!</v>
      </c>
      <c r="K16" s="18" t="e">
        <f t="shared" si="1"/>
        <v>#VALUE!</v>
      </c>
      <c r="N16" s="77" t="s">
        <v>227</v>
      </c>
      <c r="O16" s="11">
        <f>'Default parameters'!D9</f>
        <v>0.5</v>
      </c>
      <c r="Q16" s="11">
        <f t="shared" si="6"/>
        <v>0.2</v>
      </c>
      <c r="R16" s="18">
        <v>0.96</v>
      </c>
      <c r="S16" s="18" t="e">
        <f t="shared" si="7"/>
        <v>#VALUE!</v>
      </c>
      <c r="T16" s="18" t="e">
        <f t="shared" si="8"/>
        <v>#VALUE!</v>
      </c>
      <c r="U16" s="18" t="e">
        <f t="shared" si="9"/>
        <v>#VALUE!</v>
      </c>
      <c r="V16" s="18" t="e">
        <f t="shared" si="10"/>
        <v>#VALUE!</v>
      </c>
      <c r="W16" s="18" t="e">
        <f t="shared" si="11"/>
        <v>#VALUE!</v>
      </c>
    </row>
    <row r="17" spans="2:23" x14ac:dyDescent="0.2">
      <c r="B17" s="77" t="s">
        <v>293</v>
      </c>
      <c r="C17" s="11">
        <f>'Default parameters'!C7</f>
        <v>13.1</v>
      </c>
      <c r="E17" s="11">
        <f t="shared" si="2"/>
        <v>0.25</v>
      </c>
      <c r="F17" s="18">
        <v>1</v>
      </c>
      <c r="G17" s="18" t="e">
        <f t="shared" si="3"/>
        <v>#VALUE!</v>
      </c>
      <c r="H17" s="18" t="e">
        <f t="shared" si="4"/>
        <v>#VALUE!</v>
      </c>
      <c r="I17" s="18" t="e">
        <f t="shared" si="0"/>
        <v>#VALUE!</v>
      </c>
      <c r="J17" s="18" t="e">
        <f t="shared" si="5"/>
        <v>#VALUE!</v>
      </c>
      <c r="K17" s="18" t="e">
        <f t="shared" si="1"/>
        <v>#VALUE!</v>
      </c>
      <c r="N17" s="77" t="s">
        <v>293</v>
      </c>
      <c r="O17" s="11">
        <f>'Default parameters'!D7</f>
        <v>14.9</v>
      </c>
      <c r="Q17" s="11">
        <f t="shared" si="6"/>
        <v>0.25</v>
      </c>
      <c r="R17" s="18">
        <v>1</v>
      </c>
      <c r="S17" s="18" t="e">
        <f t="shared" si="7"/>
        <v>#VALUE!</v>
      </c>
      <c r="T17" s="18" t="e">
        <f t="shared" si="8"/>
        <v>#VALUE!</v>
      </c>
      <c r="U17" s="18" t="e">
        <f t="shared" si="9"/>
        <v>#VALUE!</v>
      </c>
      <c r="V17" s="18" t="e">
        <f t="shared" si="10"/>
        <v>#VALUE!</v>
      </c>
      <c r="W17" s="18" t="e">
        <f t="shared" si="11"/>
        <v>#VALUE!</v>
      </c>
    </row>
    <row r="18" spans="2:23" x14ac:dyDescent="0.2">
      <c r="B18" s="77" t="s">
        <v>292</v>
      </c>
      <c r="C18" s="11">
        <f>'User inputs - run and wind farm'!D19/2</f>
        <v>0</v>
      </c>
      <c r="E18" s="11">
        <f t="shared" si="2"/>
        <v>0.3</v>
      </c>
      <c r="F18" s="18">
        <v>0.98</v>
      </c>
      <c r="G18" s="18" t="e">
        <f t="shared" si="3"/>
        <v>#VALUE!</v>
      </c>
      <c r="H18" s="18" t="e">
        <f t="shared" si="4"/>
        <v>#VALUE!</v>
      </c>
      <c r="I18" s="18" t="e">
        <f t="shared" si="0"/>
        <v>#VALUE!</v>
      </c>
      <c r="J18" s="18" t="e">
        <f t="shared" si="5"/>
        <v>#VALUE!</v>
      </c>
      <c r="K18" s="18" t="e">
        <f t="shared" si="1"/>
        <v>#VALUE!</v>
      </c>
      <c r="N18" s="77" t="s">
        <v>292</v>
      </c>
      <c r="O18" s="11">
        <f>'User inputs - run and wind farm'!D19/2</f>
        <v>0</v>
      </c>
      <c r="Q18" s="11">
        <f t="shared" si="6"/>
        <v>0.3</v>
      </c>
      <c r="R18" s="18">
        <v>0.98</v>
      </c>
      <c r="S18" s="18" t="e">
        <f t="shared" si="7"/>
        <v>#VALUE!</v>
      </c>
      <c r="T18" s="18" t="e">
        <f t="shared" si="8"/>
        <v>#VALUE!</v>
      </c>
      <c r="U18" s="18" t="e">
        <f t="shared" si="9"/>
        <v>#VALUE!</v>
      </c>
      <c r="V18" s="18" t="e">
        <f t="shared" si="10"/>
        <v>#VALUE!</v>
      </c>
      <c r="W18" s="18" t="e">
        <f t="shared" si="11"/>
        <v>#VALUE!</v>
      </c>
    </row>
    <row r="19" spans="2:23" x14ac:dyDescent="0.2">
      <c r="B19" s="14" t="s">
        <v>235</v>
      </c>
      <c r="C19" s="11" t="str">
        <f>'User inputs - run and wind farm'!K19</f>
        <v>-</v>
      </c>
      <c r="E19" s="11">
        <f t="shared" si="2"/>
        <v>0.35</v>
      </c>
      <c r="F19" s="18">
        <v>0.92</v>
      </c>
      <c r="G19" s="18" t="e">
        <f t="shared" si="3"/>
        <v>#VALUE!</v>
      </c>
      <c r="H19" s="18" t="e">
        <f t="shared" si="4"/>
        <v>#VALUE!</v>
      </c>
      <c r="I19" s="18" t="e">
        <f t="shared" si="0"/>
        <v>#VALUE!</v>
      </c>
      <c r="J19" s="18" t="e">
        <f t="shared" si="5"/>
        <v>#VALUE!</v>
      </c>
      <c r="K19" s="18" t="e">
        <f t="shared" si="1"/>
        <v>#VALUE!</v>
      </c>
      <c r="N19" s="14" t="s">
        <v>235</v>
      </c>
      <c r="O19" s="11" t="str">
        <f>'User inputs - run and wind farm'!K19</f>
        <v>-</v>
      </c>
      <c r="Q19" s="11">
        <f t="shared" si="6"/>
        <v>0.35</v>
      </c>
      <c r="R19" s="18">
        <v>0.92</v>
      </c>
      <c r="S19" s="18" t="e">
        <f t="shared" si="7"/>
        <v>#VALUE!</v>
      </c>
      <c r="T19" s="18" t="e">
        <f t="shared" si="8"/>
        <v>#VALUE!</v>
      </c>
      <c r="U19" s="18" t="e">
        <f t="shared" si="9"/>
        <v>#VALUE!</v>
      </c>
      <c r="V19" s="18" t="e">
        <f t="shared" si="10"/>
        <v>#VALUE!</v>
      </c>
      <c r="W19" s="18" t="e">
        <f t="shared" si="11"/>
        <v>#VALUE!</v>
      </c>
    </row>
    <row r="20" spans="2:23" x14ac:dyDescent="0.2">
      <c r="B20" s="77" t="s">
        <v>296</v>
      </c>
      <c r="C20" s="18" t="e">
        <f>60/C19</f>
        <v>#VALUE!</v>
      </c>
      <c r="E20" s="11">
        <f t="shared" si="2"/>
        <v>0.39999999999999997</v>
      </c>
      <c r="F20" s="18">
        <v>0.85</v>
      </c>
      <c r="G20" s="18" t="e">
        <f t="shared" si="3"/>
        <v>#VALUE!</v>
      </c>
      <c r="H20" s="18" t="e">
        <f t="shared" si="4"/>
        <v>#VALUE!</v>
      </c>
      <c r="I20" s="18" t="e">
        <f t="shared" si="0"/>
        <v>#VALUE!</v>
      </c>
      <c r="J20" s="18" t="e">
        <f t="shared" si="5"/>
        <v>#VALUE!</v>
      </c>
      <c r="K20" s="18" t="e">
        <f t="shared" si="1"/>
        <v>#VALUE!</v>
      </c>
      <c r="N20" s="77" t="s">
        <v>296</v>
      </c>
      <c r="O20" s="18" t="e">
        <f>60/O19</f>
        <v>#VALUE!</v>
      </c>
      <c r="Q20" s="11">
        <f t="shared" si="6"/>
        <v>0.39999999999999997</v>
      </c>
      <c r="R20" s="18">
        <v>0.85</v>
      </c>
      <c r="S20" s="18" t="e">
        <f t="shared" si="7"/>
        <v>#VALUE!</v>
      </c>
      <c r="T20" s="18" t="e">
        <f t="shared" si="8"/>
        <v>#VALUE!</v>
      </c>
      <c r="U20" s="18" t="e">
        <f t="shared" si="9"/>
        <v>#VALUE!</v>
      </c>
      <c r="V20" s="18" t="e">
        <f t="shared" si="10"/>
        <v>#VALUE!</v>
      </c>
      <c r="W20" s="18" t="e">
        <f t="shared" si="11"/>
        <v>#VALUE!</v>
      </c>
    </row>
    <row r="21" spans="2:23" x14ac:dyDescent="0.2">
      <c r="E21" s="11">
        <f t="shared" si="2"/>
        <v>0.44999999999999996</v>
      </c>
      <c r="F21" s="18">
        <v>0.8</v>
      </c>
      <c r="G21" s="18" t="e">
        <f t="shared" si="3"/>
        <v>#VALUE!</v>
      </c>
      <c r="H21" s="18" t="e">
        <f t="shared" si="4"/>
        <v>#VALUE!</v>
      </c>
      <c r="I21" s="18" t="e">
        <f t="shared" si="0"/>
        <v>#VALUE!</v>
      </c>
      <c r="J21" s="18" t="e">
        <f t="shared" si="5"/>
        <v>#VALUE!</v>
      </c>
      <c r="K21" s="18" t="e">
        <f t="shared" si="1"/>
        <v>#VALUE!</v>
      </c>
      <c r="Q21" s="11">
        <f t="shared" si="6"/>
        <v>0.44999999999999996</v>
      </c>
      <c r="R21" s="18">
        <v>0.8</v>
      </c>
      <c r="S21" s="18" t="e">
        <f t="shared" si="7"/>
        <v>#VALUE!</v>
      </c>
      <c r="T21" s="18" t="e">
        <f t="shared" si="8"/>
        <v>#VALUE!</v>
      </c>
      <c r="U21" s="18" t="e">
        <f t="shared" si="9"/>
        <v>#VALUE!</v>
      </c>
      <c r="V21" s="18" t="e">
        <f t="shared" si="10"/>
        <v>#VALUE!</v>
      </c>
      <c r="W21" s="18" t="e">
        <f t="shared" si="11"/>
        <v>#VALUE!</v>
      </c>
    </row>
    <row r="22" spans="2:23" x14ac:dyDescent="0.2">
      <c r="C22" s="89"/>
      <c r="E22" s="11">
        <f t="shared" si="2"/>
        <v>0.49999999999999994</v>
      </c>
      <c r="F22" s="18">
        <v>0.75</v>
      </c>
      <c r="G22" s="18" t="e">
        <f t="shared" si="3"/>
        <v>#VALUE!</v>
      </c>
      <c r="H22" s="18" t="e">
        <f t="shared" si="4"/>
        <v>#VALUE!</v>
      </c>
      <c r="I22" s="18" t="e">
        <f t="shared" si="0"/>
        <v>#VALUE!</v>
      </c>
      <c r="J22" s="18" t="e">
        <f t="shared" si="5"/>
        <v>#VALUE!</v>
      </c>
      <c r="K22" s="18" t="e">
        <f t="shared" si="1"/>
        <v>#VALUE!</v>
      </c>
      <c r="O22" s="89"/>
      <c r="Q22" s="11">
        <f t="shared" si="6"/>
        <v>0.49999999999999994</v>
      </c>
      <c r="R22" s="18">
        <v>0.75</v>
      </c>
      <c r="S22" s="18" t="e">
        <f t="shared" si="7"/>
        <v>#VALUE!</v>
      </c>
      <c r="T22" s="18" t="e">
        <f t="shared" si="8"/>
        <v>#VALUE!</v>
      </c>
      <c r="U22" s="18" t="e">
        <f t="shared" si="9"/>
        <v>#VALUE!</v>
      </c>
      <c r="V22" s="18" t="e">
        <f t="shared" si="10"/>
        <v>#VALUE!</v>
      </c>
      <c r="W22" s="18" t="e">
        <f t="shared" si="11"/>
        <v>#VALUE!</v>
      </c>
    </row>
    <row r="23" spans="2:23" ht="15" x14ac:dyDescent="0.25">
      <c r="B23" s="14" t="s">
        <v>291</v>
      </c>
      <c r="C23" s="26">
        <f>C13/C14</f>
        <v>0.3611111111111111</v>
      </c>
      <c r="E23" s="11">
        <f t="shared" si="2"/>
        <v>0.54999999999999993</v>
      </c>
      <c r="F23" s="18">
        <v>0.7</v>
      </c>
      <c r="G23" s="18" t="e">
        <f t="shared" si="3"/>
        <v>#VALUE!</v>
      </c>
      <c r="H23" s="18" t="e">
        <f t="shared" si="4"/>
        <v>#VALUE!</v>
      </c>
      <c r="I23" s="18" t="e">
        <f t="shared" si="0"/>
        <v>#VALUE!</v>
      </c>
      <c r="J23" s="18" t="e">
        <f t="shared" si="5"/>
        <v>#VALUE!</v>
      </c>
      <c r="K23" s="18" t="e">
        <f t="shared" si="1"/>
        <v>#VALUE!</v>
      </c>
      <c r="N23" s="14" t="s">
        <v>291</v>
      </c>
      <c r="O23" s="26">
        <f>O13/O14</f>
        <v>0.54651162790697672</v>
      </c>
      <c r="Q23" s="11">
        <f t="shared" si="6"/>
        <v>0.54999999999999993</v>
      </c>
      <c r="R23" s="18">
        <v>0.7</v>
      </c>
      <c r="S23" s="18" t="e">
        <f t="shared" si="7"/>
        <v>#VALUE!</v>
      </c>
      <c r="T23" s="18" t="e">
        <f t="shared" si="8"/>
        <v>#VALUE!</v>
      </c>
      <c r="U23" s="18" t="e">
        <f t="shared" si="9"/>
        <v>#VALUE!</v>
      </c>
      <c r="V23" s="18" t="e">
        <f t="shared" si="10"/>
        <v>#VALUE!</v>
      </c>
      <c r="W23" s="18" t="e">
        <f t="shared" si="11"/>
        <v>#VALUE!</v>
      </c>
    </row>
    <row r="24" spans="2:23" x14ac:dyDescent="0.2">
      <c r="C24" s="89"/>
      <c r="E24" s="11">
        <f t="shared" si="2"/>
        <v>0.6</v>
      </c>
      <c r="F24" s="18">
        <v>0.64</v>
      </c>
      <c r="G24" s="18" t="e">
        <f t="shared" si="3"/>
        <v>#VALUE!</v>
      </c>
      <c r="H24" s="18" t="e">
        <f t="shared" si="4"/>
        <v>#VALUE!</v>
      </c>
      <c r="I24" s="18" t="e">
        <f t="shared" si="0"/>
        <v>#VALUE!</v>
      </c>
      <c r="J24" s="18" t="e">
        <f t="shared" si="5"/>
        <v>#VALUE!</v>
      </c>
      <c r="K24" s="18" t="e">
        <f t="shared" si="1"/>
        <v>#VALUE!</v>
      </c>
      <c r="O24" s="89"/>
      <c r="Q24" s="11">
        <f t="shared" si="6"/>
        <v>0.6</v>
      </c>
      <c r="R24" s="18">
        <v>0.64</v>
      </c>
      <c r="S24" s="18" t="e">
        <f t="shared" si="7"/>
        <v>#VALUE!</v>
      </c>
      <c r="T24" s="18" t="e">
        <f t="shared" si="8"/>
        <v>#VALUE!</v>
      </c>
      <c r="U24" s="18" t="e">
        <f t="shared" si="9"/>
        <v>#VALUE!</v>
      </c>
      <c r="V24" s="18" t="e">
        <f t="shared" si="10"/>
        <v>#VALUE!</v>
      </c>
      <c r="W24" s="18" t="e">
        <f t="shared" si="11"/>
        <v>#VALUE!</v>
      </c>
    </row>
    <row r="25" spans="2:23" x14ac:dyDescent="0.2">
      <c r="B25" s="14" t="s">
        <v>228</v>
      </c>
      <c r="C25" s="11">
        <v>0.05</v>
      </c>
      <c r="E25" s="11">
        <f t="shared" si="2"/>
        <v>0.65</v>
      </c>
      <c r="F25" s="18">
        <v>0.57999999999999996</v>
      </c>
      <c r="G25" s="18" t="e">
        <f t="shared" si="3"/>
        <v>#VALUE!</v>
      </c>
      <c r="H25" s="18" t="e">
        <f t="shared" si="4"/>
        <v>#VALUE!</v>
      </c>
      <c r="I25" s="18" t="e">
        <f t="shared" si="0"/>
        <v>#VALUE!</v>
      </c>
      <c r="J25" s="18" t="e">
        <f t="shared" si="5"/>
        <v>#VALUE!</v>
      </c>
      <c r="K25" s="18" t="e">
        <f t="shared" si="1"/>
        <v>#VALUE!</v>
      </c>
      <c r="N25" s="14" t="s">
        <v>228</v>
      </c>
      <c r="O25" s="11">
        <v>0.05</v>
      </c>
      <c r="Q25" s="11">
        <f t="shared" si="6"/>
        <v>0.65</v>
      </c>
      <c r="R25" s="18">
        <v>0.57999999999999996</v>
      </c>
      <c r="S25" s="18" t="e">
        <f t="shared" si="7"/>
        <v>#VALUE!</v>
      </c>
      <c r="T25" s="18" t="e">
        <f t="shared" si="8"/>
        <v>#VALUE!</v>
      </c>
      <c r="U25" s="18" t="e">
        <f t="shared" si="9"/>
        <v>#VALUE!</v>
      </c>
      <c r="V25" s="18" t="e">
        <f t="shared" si="10"/>
        <v>#VALUE!</v>
      </c>
      <c r="W25" s="18" t="e">
        <f t="shared" si="11"/>
        <v>#VALUE!</v>
      </c>
    </row>
    <row r="26" spans="2:23" x14ac:dyDescent="0.2">
      <c r="C26" s="89"/>
      <c r="E26" s="11">
        <f t="shared" si="2"/>
        <v>0.70000000000000007</v>
      </c>
      <c r="F26" s="18">
        <v>0.52</v>
      </c>
      <c r="G26" s="18" t="e">
        <f t="shared" si="3"/>
        <v>#VALUE!</v>
      </c>
      <c r="H26" s="18" t="e">
        <f t="shared" si="4"/>
        <v>#VALUE!</v>
      </c>
      <c r="I26" s="18" t="e">
        <f t="shared" si="0"/>
        <v>#VALUE!</v>
      </c>
      <c r="J26" s="18" t="e">
        <f t="shared" si="5"/>
        <v>#VALUE!</v>
      </c>
      <c r="K26" s="18" t="e">
        <f t="shared" si="1"/>
        <v>#VALUE!</v>
      </c>
      <c r="O26" s="89"/>
      <c r="Q26" s="11">
        <f t="shared" si="6"/>
        <v>0.70000000000000007</v>
      </c>
      <c r="R26" s="18">
        <v>0.52</v>
      </c>
      <c r="S26" s="18" t="e">
        <f t="shared" si="7"/>
        <v>#VALUE!</v>
      </c>
      <c r="T26" s="18" t="e">
        <f t="shared" si="8"/>
        <v>#VALUE!</v>
      </c>
      <c r="U26" s="18" t="e">
        <f t="shared" si="9"/>
        <v>#VALUE!</v>
      </c>
      <c r="V26" s="18" t="e">
        <f t="shared" si="10"/>
        <v>#VALUE!</v>
      </c>
      <c r="W26" s="18" t="e">
        <f t="shared" si="11"/>
        <v>#VALUE!</v>
      </c>
    </row>
    <row r="27" spans="2:23" x14ac:dyDescent="0.2">
      <c r="C27" s="89"/>
      <c r="E27" s="11">
        <f t="shared" si="2"/>
        <v>0.75000000000000011</v>
      </c>
      <c r="F27" s="18">
        <v>0.47</v>
      </c>
      <c r="G27" s="18" t="e">
        <f t="shared" si="3"/>
        <v>#VALUE!</v>
      </c>
      <c r="H27" s="18" t="e">
        <f t="shared" si="4"/>
        <v>#VALUE!</v>
      </c>
      <c r="I27" s="18" t="e">
        <f t="shared" si="0"/>
        <v>#VALUE!</v>
      </c>
      <c r="J27" s="18" t="e">
        <f t="shared" si="5"/>
        <v>#VALUE!</v>
      </c>
      <c r="K27" s="18" t="e">
        <f t="shared" si="1"/>
        <v>#VALUE!</v>
      </c>
      <c r="O27" s="89"/>
      <c r="Q27" s="11">
        <f t="shared" si="6"/>
        <v>0.75000000000000011</v>
      </c>
      <c r="R27" s="18">
        <v>0.47</v>
      </c>
      <c r="S27" s="18" t="e">
        <f t="shared" si="7"/>
        <v>#VALUE!</v>
      </c>
      <c r="T27" s="18" t="e">
        <f t="shared" si="8"/>
        <v>#VALUE!</v>
      </c>
      <c r="U27" s="18" t="e">
        <f t="shared" si="9"/>
        <v>#VALUE!</v>
      </c>
      <c r="V27" s="18" t="e">
        <f t="shared" si="10"/>
        <v>#VALUE!</v>
      </c>
      <c r="W27" s="18" t="e">
        <f t="shared" si="11"/>
        <v>#VALUE!</v>
      </c>
    </row>
    <row r="28" spans="2:23" x14ac:dyDescent="0.2">
      <c r="C28" s="90"/>
      <c r="E28" s="11">
        <f t="shared" si="2"/>
        <v>0.80000000000000016</v>
      </c>
      <c r="F28" s="18">
        <v>0.41</v>
      </c>
      <c r="G28" s="18" t="e">
        <f t="shared" si="3"/>
        <v>#VALUE!</v>
      </c>
      <c r="H28" s="18" t="e">
        <f t="shared" si="4"/>
        <v>#VALUE!</v>
      </c>
      <c r="I28" s="18" t="e">
        <f t="shared" si="0"/>
        <v>#VALUE!</v>
      </c>
      <c r="J28" s="18" t="e">
        <f t="shared" si="5"/>
        <v>#VALUE!</v>
      </c>
      <c r="K28" s="18" t="e">
        <f t="shared" si="1"/>
        <v>#VALUE!</v>
      </c>
      <c r="O28" s="90"/>
      <c r="Q28" s="11">
        <f t="shared" si="6"/>
        <v>0.80000000000000016</v>
      </c>
      <c r="R28" s="18">
        <v>0.41</v>
      </c>
      <c r="S28" s="18" t="e">
        <f t="shared" si="7"/>
        <v>#VALUE!</v>
      </c>
      <c r="T28" s="18" t="e">
        <f t="shared" si="8"/>
        <v>#VALUE!</v>
      </c>
      <c r="U28" s="18" t="e">
        <f t="shared" si="9"/>
        <v>#VALUE!</v>
      </c>
      <c r="V28" s="18" t="e">
        <f t="shared" si="10"/>
        <v>#VALUE!</v>
      </c>
      <c r="W28" s="18" t="e">
        <f t="shared" si="11"/>
        <v>#VALUE!</v>
      </c>
    </row>
    <row r="29" spans="2:23" x14ac:dyDescent="0.2">
      <c r="E29" s="11">
        <f t="shared" si="2"/>
        <v>0.8500000000000002</v>
      </c>
      <c r="F29" s="18">
        <v>0.37</v>
      </c>
      <c r="G29" s="18" t="e">
        <f t="shared" si="3"/>
        <v>#VALUE!</v>
      </c>
      <c r="H29" s="18" t="e">
        <f t="shared" si="4"/>
        <v>#VALUE!</v>
      </c>
      <c r="I29" s="18" t="e">
        <f t="shared" si="0"/>
        <v>#VALUE!</v>
      </c>
      <c r="J29" s="18" t="e">
        <f t="shared" si="5"/>
        <v>#VALUE!</v>
      </c>
      <c r="K29" s="18" t="e">
        <f t="shared" si="1"/>
        <v>#VALUE!</v>
      </c>
      <c r="Q29" s="11">
        <f t="shared" si="6"/>
        <v>0.8500000000000002</v>
      </c>
      <c r="R29" s="18">
        <v>0.37</v>
      </c>
      <c r="S29" s="18" t="e">
        <f t="shared" si="7"/>
        <v>#VALUE!</v>
      </c>
      <c r="T29" s="18" t="e">
        <f t="shared" si="8"/>
        <v>#VALUE!</v>
      </c>
      <c r="U29" s="18" t="e">
        <f t="shared" si="9"/>
        <v>#VALUE!</v>
      </c>
      <c r="V29" s="18" t="e">
        <f t="shared" si="10"/>
        <v>#VALUE!</v>
      </c>
      <c r="W29" s="18" t="e">
        <f t="shared" si="11"/>
        <v>#VALUE!</v>
      </c>
    </row>
    <row r="30" spans="2:23" x14ac:dyDescent="0.2">
      <c r="E30" s="11">
        <f t="shared" si="2"/>
        <v>0.90000000000000024</v>
      </c>
      <c r="F30" s="18">
        <v>0.3</v>
      </c>
      <c r="G30" s="18" t="e">
        <f t="shared" si="3"/>
        <v>#VALUE!</v>
      </c>
      <c r="H30" s="18" t="e">
        <f t="shared" si="4"/>
        <v>#VALUE!</v>
      </c>
      <c r="I30" s="18" t="e">
        <f t="shared" si="0"/>
        <v>#VALUE!</v>
      </c>
      <c r="J30" s="18" t="e">
        <f t="shared" si="5"/>
        <v>#VALUE!</v>
      </c>
      <c r="K30" s="18" t="e">
        <f t="shared" si="1"/>
        <v>#VALUE!</v>
      </c>
      <c r="Q30" s="11">
        <f t="shared" si="6"/>
        <v>0.90000000000000024</v>
      </c>
      <c r="R30" s="18">
        <v>0.3</v>
      </c>
      <c r="S30" s="18" t="e">
        <f t="shared" si="7"/>
        <v>#VALUE!</v>
      </c>
      <c r="T30" s="18" t="e">
        <f t="shared" si="8"/>
        <v>#VALUE!</v>
      </c>
      <c r="U30" s="18" t="e">
        <f t="shared" si="9"/>
        <v>#VALUE!</v>
      </c>
      <c r="V30" s="18" t="e">
        <f t="shared" si="10"/>
        <v>#VALUE!</v>
      </c>
      <c r="W30" s="18" t="e">
        <f t="shared" si="11"/>
        <v>#VALUE!</v>
      </c>
    </row>
    <row r="31" spans="2:23" x14ac:dyDescent="0.2">
      <c r="E31" s="11">
        <f t="shared" si="2"/>
        <v>0.95000000000000029</v>
      </c>
      <c r="F31" s="18">
        <v>0.24</v>
      </c>
      <c r="G31" s="18" t="e">
        <f t="shared" si="3"/>
        <v>#VALUE!</v>
      </c>
      <c r="H31" s="18" t="e">
        <f t="shared" si="4"/>
        <v>#VALUE!</v>
      </c>
      <c r="I31" s="18" t="e">
        <f t="shared" si="0"/>
        <v>#VALUE!</v>
      </c>
      <c r="J31" s="18" t="e">
        <f t="shared" si="5"/>
        <v>#VALUE!</v>
      </c>
      <c r="K31" s="18" t="e">
        <f t="shared" si="1"/>
        <v>#VALUE!</v>
      </c>
      <c r="Q31" s="11">
        <f t="shared" si="6"/>
        <v>0.95000000000000029</v>
      </c>
      <c r="R31" s="18">
        <v>0.24</v>
      </c>
      <c r="S31" s="18" t="e">
        <f t="shared" si="7"/>
        <v>#VALUE!</v>
      </c>
      <c r="T31" s="18" t="e">
        <f t="shared" si="8"/>
        <v>#VALUE!</v>
      </c>
      <c r="U31" s="18" t="e">
        <f t="shared" si="9"/>
        <v>#VALUE!</v>
      </c>
      <c r="V31" s="18" t="e">
        <f t="shared" si="10"/>
        <v>#VALUE!</v>
      </c>
      <c r="W31" s="18" t="e">
        <f t="shared" si="11"/>
        <v>#VALUE!</v>
      </c>
    </row>
    <row r="32" spans="2:23" x14ac:dyDescent="0.2">
      <c r="E32" s="11">
        <f t="shared" si="2"/>
        <v>1.0000000000000002</v>
      </c>
      <c r="F32" s="18">
        <v>0</v>
      </c>
      <c r="G32" s="18" t="e">
        <f t="shared" si="3"/>
        <v>#VALUE!</v>
      </c>
      <c r="H32" s="18" t="e">
        <f t="shared" si="4"/>
        <v>#VALUE!</v>
      </c>
      <c r="I32" s="18" t="e">
        <f t="shared" si="0"/>
        <v>#VALUE!</v>
      </c>
      <c r="J32" s="18" t="e">
        <f t="shared" si="5"/>
        <v>#VALUE!</v>
      </c>
      <c r="K32" s="18" t="e">
        <f t="shared" si="1"/>
        <v>#VALUE!</v>
      </c>
      <c r="Q32" s="11">
        <f t="shared" si="6"/>
        <v>1.0000000000000002</v>
      </c>
      <c r="R32" s="18">
        <v>0</v>
      </c>
      <c r="S32" s="18" t="e">
        <f t="shared" si="7"/>
        <v>#VALUE!</v>
      </c>
      <c r="T32" s="18" t="e">
        <f t="shared" si="8"/>
        <v>#VALUE!</v>
      </c>
      <c r="U32" s="18" t="e">
        <f t="shared" si="9"/>
        <v>#VALUE!</v>
      </c>
      <c r="V32" s="18" t="e">
        <f t="shared" si="10"/>
        <v>#VALUE!</v>
      </c>
      <c r="W32" s="18" t="e">
        <f t="shared" si="11"/>
        <v>#VALUE!</v>
      </c>
    </row>
    <row r="33" spans="2:23" x14ac:dyDescent="0.2">
      <c r="F33" s="91"/>
      <c r="G33" s="89"/>
      <c r="H33" s="89"/>
      <c r="I33" s="89"/>
      <c r="R33" s="91"/>
      <c r="S33" s="89"/>
      <c r="T33" s="89"/>
      <c r="U33" s="89"/>
    </row>
    <row r="34" spans="2:23" ht="15" x14ac:dyDescent="0.25">
      <c r="E34" s="15" t="s">
        <v>229</v>
      </c>
      <c r="Q34" s="15" t="s">
        <v>229</v>
      </c>
    </row>
    <row r="35" spans="2:23" x14ac:dyDescent="0.2">
      <c r="H35" s="14" t="s">
        <v>230</v>
      </c>
      <c r="I35" s="26" t="e">
        <f>2*(SUMPRODUCT($E13:$E31,I13:I31)+I32/2)*$C$25</f>
        <v>#VALUE!</v>
      </c>
      <c r="J35" s="14" t="s">
        <v>231</v>
      </c>
      <c r="K35" s="26" t="e">
        <f>2*(SUMPRODUCT($E13:$E31,K13:K31)+K32/2)*$C$25</f>
        <v>#VALUE!</v>
      </c>
      <c r="T35" s="14" t="s">
        <v>230</v>
      </c>
      <c r="U35" s="26" t="e">
        <f>2*(SUMPRODUCT($Q13:$Q31,U13:U31)+U32/2)*$O$25</f>
        <v>#VALUE!</v>
      </c>
      <c r="V35" s="14" t="s">
        <v>231</v>
      </c>
      <c r="W35" s="26" t="e">
        <f>2*(SUMPRODUCT($Q13:$Q31,W13:W31)+W32/2)*$O$25</f>
        <v>#VALUE!</v>
      </c>
    </row>
    <row r="36" spans="2:23" x14ac:dyDescent="0.2">
      <c r="D36" s="16"/>
      <c r="F36" s="16" t="s">
        <v>232</v>
      </c>
      <c r="P36" s="16"/>
      <c r="R36" s="16" t="s">
        <v>232</v>
      </c>
    </row>
    <row r="37" spans="2:23" ht="15" x14ac:dyDescent="0.25">
      <c r="E37" s="18">
        <f>C16</f>
        <v>0.5</v>
      </c>
      <c r="F37" s="18">
        <f>1-C16</f>
        <v>0.5</v>
      </c>
      <c r="I37" s="15" t="s">
        <v>233</v>
      </c>
      <c r="J37" s="33" t="e">
        <f>(E37*I35+F37*K35)</f>
        <v>#VALUE!</v>
      </c>
      <c r="Q37" s="18">
        <f>O16</f>
        <v>0.5</v>
      </c>
      <c r="R37" s="18">
        <f>1-O16</f>
        <v>0.5</v>
      </c>
      <c r="U37" s="15" t="s">
        <v>233</v>
      </c>
      <c r="V37" s="33" t="e">
        <f>(Q37*U35+R37*W35)</f>
        <v>#VALUE!</v>
      </c>
    </row>
    <row r="38" spans="2:23" ht="15" x14ac:dyDescent="0.25">
      <c r="J38" s="92"/>
      <c r="V38" s="92"/>
    </row>
    <row r="39" spans="2:23" x14ac:dyDescent="0.2">
      <c r="B39" s="37"/>
      <c r="C39" s="37"/>
      <c r="D39" s="37"/>
      <c r="E39" s="37"/>
      <c r="F39" s="37"/>
      <c r="G39" s="37"/>
      <c r="H39" s="37"/>
      <c r="I39" s="37"/>
      <c r="J39" s="37"/>
      <c r="K39" s="37"/>
      <c r="N39" s="37"/>
      <c r="O39" s="37"/>
      <c r="P39" s="37"/>
      <c r="Q39" s="37"/>
      <c r="R39" s="37"/>
      <c r="S39" s="37"/>
      <c r="T39" s="37"/>
      <c r="U39" s="37"/>
      <c r="V39" s="37"/>
      <c r="W39" s="37"/>
    </row>
    <row r="40" spans="2:23" x14ac:dyDescent="0.2">
      <c r="B40" s="38"/>
      <c r="C40" s="38"/>
      <c r="D40" s="38"/>
      <c r="E40" s="38"/>
      <c r="F40" s="38"/>
      <c r="G40" s="38"/>
      <c r="H40" s="38"/>
      <c r="I40" s="38"/>
      <c r="J40" s="38"/>
      <c r="K40" s="38"/>
      <c r="N40" s="38"/>
      <c r="O40" s="38"/>
      <c r="P40" s="38"/>
      <c r="Q40" s="38"/>
      <c r="R40" s="38"/>
      <c r="S40" s="38"/>
      <c r="T40" s="38"/>
      <c r="U40" s="38"/>
      <c r="V40" s="38"/>
      <c r="W40" s="38"/>
    </row>
    <row r="41" spans="2:23" ht="18" x14ac:dyDescent="0.25">
      <c r="B41" s="31" t="s">
        <v>299</v>
      </c>
      <c r="N41" s="31" t="s">
        <v>327</v>
      </c>
    </row>
    <row r="43" spans="2:23" ht="15" x14ac:dyDescent="0.25">
      <c r="B43" s="77"/>
      <c r="E43" s="15" t="s">
        <v>213</v>
      </c>
      <c r="F43" s="15"/>
      <c r="N43" s="77"/>
      <c r="Q43" s="15" t="s">
        <v>213</v>
      </c>
      <c r="R43" s="15"/>
    </row>
    <row r="44" spans="2:23" ht="15" x14ac:dyDescent="0.25">
      <c r="B44" s="77" t="s">
        <v>234</v>
      </c>
      <c r="C44" s="11" t="str">
        <f>'User inputs - run and wind farm'!N20</f>
        <v>-</v>
      </c>
      <c r="H44" s="155" t="s">
        <v>214</v>
      </c>
      <c r="I44" s="156"/>
      <c r="J44" s="78" t="s">
        <v>215</v>
      </c>
      <c r="K44" s="79"/>
      <c r="N44" s="77" t="s">
        <v>234</v>
      </c>
      <c r="O44" s="11" t="str">
        <f>'User inputs - run and wind farm'!N20</f>
        <v>-</v>
      </c>
      <c r="T44" s="155" t="s">
        <v>214</v>
      </c>
      <c r="U44" s="156"/>
      <c r="V44" s="78" t="s">
        <v>215</v>
      </c>
      <c r="W44" s="79"/>
    </row>
    <row r="45" spans="2:23" ht="15" x14ac:dyDescent="0.2">
      <c r="B45" s="77" t="s">
        <v>29</v>
      </c>
      <c r="C45" s="11" t="str">
        <f>'User inputs - run and wind farm'!L20</f>
        <v>-</v>
      </c>
      <c r="E45" s="29" t="s">
        <v>216</v>
      </c>
      <c r="F45" s="29" t="s">
        <v>217</v>
      </c>
      <c r="G45" s="80" t="s">
        <v>218</v>
      </c>
      <c r="H45" s="29" t="s">
        <v>219</v>
      </c>
      <c r="I45" s="81"/>
      <c r="J45" s="82" t="s">
        <v>219</v>
      </c>
      <c r="K45" s="81"/>
      <c r="N45" s="77" t="s">
        <v>29</v>
      </c>
      <c r="O45" s="11" t="str">
        <f>'User inputs - run and wind farm'!L20</f>
        <v>-</v>
      </c>
      <c r="Q45" s="29" t="s">
        <v>216</v>
      </c>
      <c r="R45" s="29" t="s">
        <v>217</v>
      </c>
      <c r="S45" s="80" t="s">
        <v>218</v>
      </c>
      <c r="T45" s="29" t="s">
        <v>219</v>
      </c>
      <c r="U45" s="81"/>
      <c r="V45" s="82" t="s">
        <v>219</v>
      </c>
      <c r="W45" s="81"/>
    </row>
    <row r="46" spans="2:23" x14ac:dyDescent="0.2">
      <c r="B46" s="77" t="s">
        <v>248</v>
      </c>
      <c r="C46" s="11" t="str">
        <f>'User inputs - run and wind farm'!M20</f>
        <v>-</v>
      </c>
      <c r="D46" s="114" t="e">
        <f>C46*PI()/180</f>
        <v>#VALUE!</v>
      </c>
      <c r="E46" s="29" t="s">
        <v>220</v>
      </c>
      <c r="F46" s="29" t="s">
        <v>221</v>
      </c>
      <c r="G46" s="81" t="s">
        <v>222</v>
      </c>
      <c r="H46" s="29" t="s">
        <v>223</v>
      </c>
      <c r="I46" s="81" t="s">
        <v>224</v>
      </c>
      <c r="J46" s="82" t="s">
        <v>223</v>
      </c>
      <c r="K46" s="81" t="s">
        <v>224</v>
      </c>
      <c r="N46" s="77" t="s">
        <v>248</v>
      </c>
      <c r="O46" s="11" t="str">
        <f>'User inputs - run and wind farm'!M20</f>
        <v>-</v>
      </c>
      <c r="P46" s="93" t="e">
        <f>O46*PI()/180</f>
        <v>#VALUE!</v>
      </c>
      <c r="Q46" s="29" t="s">
        <v>220</v>
      </c>
      <c r="R46" s="29" t="s">
        <v>221</v>
      </c>
      <c r="S46" s="81" t="s">
        <v>222</v>
      </c>
      <c r="T46" s="29" t="s">
        <v>223</v>
      </c>
      <c r="U46" s="81" t="s">
        <v>224</v>
      </c>
      <c r="V46" s="82" t="s">
        <v>223</v>
      </c>
      <c r="W46" s="81" t="s">
        <v>224</v>
      </c>
    </row>
    <row r="47" spans="2:23" x14ac:dyDescent="0.2">
      <c r="B47" s="77"/>
      <c r="C47" s="77"/>
      <c r="D47" s="83"/>
      <c r="E47" s="84"/>
      <c r="F47" s="84"/>
      <c r="G47" s="85"/>
      <c r="I47" s="86"/>
      <c r="J47" s="87"/>
      <c r="K47" s="86"/>
      <c r="N47" s="77"/>
      <c r="O47" s="77"/>
      <c r="P47" s="83"/>
      <c r="Q47" s="84"/>
      <c r="R47" s="84"/>
      <c r="S47" s="85"/>
      <c r="U47" s="86"/>
      <c r="V47" s="87"/>
      <c r="W47" s="86"/>
    </row>
    <row r="48" spans="2:23" x14ac:dyDescent="0.2">
      <c r="B48" s="77" t="s">
        <v>225</v>
      </c>
      <c r="C48" s="11" t="s">
        <v>16</v>
      </c>
      <c r="D48" s="88"/>
      <c r="E48" s="11">
        <v>0</v>
      </c>
      <c r="F48" s="11"/>
      <c r="G48" s="11"/>
      <c r="H48" s="11"/>
      <c r="I48" s="11">
        <v>1</v>
      </c>
      <c r="J48" s="11"/>
      <c r="K48" s="11">
        <v>1</v>
      </c>
      <c r="N48" s="77" t="s">
        <v>225</v>
      </c>
      <c r="O48" s="11" t="s">
        <v>13</v>
      </c>
      <c r="P48" s="88"/>
      <c r="Q48" s="11">
        <v>0</v>
      </c>
      <c r="R48" s="11"/>
      <c r="S48" s="11"/>
      <c r="T48" s="11"/>
      <c r="U48" s="11">
        <v>1</v>
      </c>
      <c r="V48" s="11"/>
      <c r="W48" s="11">
        <v>1</v>
      </c>
    </row>
    <row r="49" spans="2:23" x14ac:dyDescent="0.2">
      <c r="B49" s="77" t="s">
        <v>294</v>
      </c>
      <c r="C49" s="11">
        <f>'Default parameters'!C5</f>
        <v>0.39</v>
      </c>
      <c r="E49" s="11">
        <f t="shared" ref="E49:E68" si="12">E48+C$61</f>
        <v>0.05</v>
      </c>
      <c r="F49" s="18">
        <v>0.73</v>
      </c>
      <c r="G49" s="18" t="e">
        <f>$C$53*$C$56/(E49*($C$54)*2*PI())</f>
        <v>#VALUE!</v>
      </c>
      <c r="H49" s="18" t="e">
        <f>ABS($C$45*$F49*SIN($D$46)+($G49*$C$45*$F49*COS($D$46)))+IF($G49&lt;$C$59,$C$49,$C$50*$D$51*$G49)</f>
        <v>#VALUE!</v>
      </c>
      <c r="I49" s="18" t="e">
        <f>MIN(1,($C$44/$C$56)*H49/$C$53)</f>
        <v>#VALUE!</v>
      </c>
      <c r="J49" s="18" t="e">
        <f>ABS(-$C$45*$F49*SIN($D$46)+($G49*$C$45*$F49*COS($D$46)))+IF($G49&lt;$C$59,$C$49,$C$50*$D$51*$G49)</f>
        <v>#VALUE!</v>
      </c>
      <c r="K49" s="18" t="e">
        <f t="shared" ref="K49:K68" si="13">MIN(1,($C$44/$C$56)*J49/$C$53)</f>
        <v>#VALUE!</v>
      </c>
      <c r="N49" s="77" t="s">
        <v>294</v>
      </c>
      <c r="O49" s="11">
        <f>'Default parameters'!D5</f>
        <v>0.94</v>
      </c>
      <c r="Q49" s="11">
        <f>Q48+O$25</f>
        <v>0.05</v>
      </c>
      <c r="R49" s="18">
        <v>0.73</v>
      </c>
      <c r="S49" s="18" t="e">
        <f>$O$53*$O$56/(Q49*($O$54)*2*PI())</f>
        <v>#VALUE!</v>
      </c>
      <c r="T49" s="18" t="e">
        <f>ABS($O$45*$R49*SIN($P$46)+($S49*$O$45*$R49*COS($P$46)))+IF($S49&lt;$O$59,$O$49,$O$50*$P$51*$S49)</f>
        <v>#VALUE!</v>
      </c>
      <c r="U49" s="18" t="e">
        <f>MIN(1,($O$44/$O$56)*T49/$O$53)</f>
        <v>#VALUE!</v>
      </c>
      <c r="V49" s="18" t="e">
        <f>ABS(-$O$45*$R49*SIN($P$46)+($S49*$O$45*$R49*COS($P$46)))+IF($S49&lt;$O$59,$O$49,$O$50*$P$51*$S49)</f>
        <v>#VALUE!</v>
      </c>
      <c r="W49" s="18" t="e">
        <f>MIN(1,($O$44/$O$56)*V49/$O$53)</f>
        <v>#VALUE!</v>
      </c>
    </row>
    <row r="50" spans="2:23" x14ac:dyDescent="0.2">
      <c r="B50" s="77" t="s">
        <v>295</v>
      </c>
      <c r="C50" s="11">
        <f>'Default parameters'!C6</f>
        <v>1.08</v>
      </c>
      <c r="E50" s="11">
        <f t="shared" si="12"/>
        <v>0.1</v>
      </c>
      <c r="F50" s="18">
        <v>0.79</v>
      </c>
      <c r="G50" s="18" t="e">
        <f t="shared" ref="G50:G68" si="14">$C$53*$C$56/(E50*($C$54)*2*PI())</f>
        <v>#VALUE!</v>
      </c>
      <c r="H50" s="18" t="e">
        <f t="shared" ref="H50:H68" si="15">ABS($C$45*$F50*SIN($D$46)+($G50*$C$45*$F50*COS($D$46)))+IF($G50&lt;$C$59,$C$49,$C$50*$D$51*$G50)</f>
        <v>#VALUE!</v>
      </c>
      <c r="I50" s="18" t="e">
        <f t="shared" ref="I50:I68" si="16">MIN(1,($C$44/$C$56)*H50/$C$53)</f>
        <v>#VALUE!</v>
      </c>
      <c r="J50" s="18" t="e">
        <f t="shared" ref="J50:J68" si="17">ABS(-$C$45*$F50*SIN($D$46)+($G50*$C$45*$F50*COS($D$46)))+IF($G50&lt;$C$59,$C$49,$C$50*$D$51*$G50)</f>
        <v>#VALUE!</v>
      </c>
      <c r="K50" s="18" t="e">
        <f t="shared" si="13"/>
        <v>#VALUE!</v>
      </c>
      <c r="N50" s="77" t="s">
        <v>295</v>
      </c>
      <c r="O50" s="11">
        <f>'Default parameters'!D6</f>
        <v>1.72</v>
      </c>
      <c r="Q50" s="11">
        <f>Q49+O$61</f>
        <v>0.1</v>
      </c>
      <c r="R50" s="18">
        <v>0.79</v>
      </c>
      <c r="S50" s="18" t="e">
        <f t="shared" ref="S50:S68" si="18">$O$53*$O$56/(Q50*($O$54)*2*PI())</f>
        <v>#VALUE!</v>
      </c>
      <c r="T50" s="18" t="e">
        <f t="shared" ref="T50:T68" si="19">ABS($O$45*$R50*SIN($P$46)+($S50*$O$45*$R50*COS($P$46)))+IF($S50&lt;$O$59,$O$49,$O$50*$P$51*$S50)</f>
        <v>#VALUE!</v>
      </c>
      <c r="U50" s="18" t="e">
        <f t="shared" ref="U50:U68" si="20">MIN(1,($O$44/$O$56)*T50/$O$53)</f>
        <v>#VALUE!</v>
      </c>
      <c r="V50" s="18" t="e">
        <f t="shared" ref="V50:V68" si="21">ABS(-$O$45*$R50*SIN($P$46)+($S50*$O$45*$R50*COS($P$46)))+IF($S50&lt;$O$59,$O$49,$O$50*$P$51*$S50)</f>
        <v>#VALUE!</v>
      </c>
      <c r="W50" s="18" t="e">
        <f t="shared" ref="W50:W68" si="22">MIN(1,($O$44/$O$56)*V50/$O$53)</f>
        <v>#VALUE!</v>
      </c>
    </row>
    <row r="51" spans="2:23" x14ac:dyDescent="0.2">
      <c r="B51" s="77" t="s">
        <v>226</v>
      </c>
      <c r="C51" s="11">
        <f>IF('Default parameters'!C8="Flapping",0,1)</f>
        <v>0</v>
      </c>
      <c r="D51" s="41">
        <f>IF(C51,2/PI(),1)</f>
        <v>1</v>
      </c>
      <c r="E51" s="11">
        <f t="shared" si="12"/>
        <v>0.15000000000000002</v>
      </c>
      <c r="F51" s="18">
        <v>0.88</v>
      </c>
      <c r="G51" s="18" t="e">
        <f t="shared" si="14"/>
        <v>#VALUE!</v>
      </c>
      <c r="H51" s="18" t="e">
        <f t="shared" si="15"/>
        <v>#VALUE!</v>
      </c>
      <c r="I51" s="18" t="e">
        <f t="shared" si="16"/>
        <v>#VALUE!</v>
      </c>
      <c r="J51" s="18" t="e">
        <f t="shared" si="17"/>
        <v>#VALUE!</v>
      </c>
      <c r="K51" s="18" t="e">
        <f t="shared" si="13"/>
        <v>#VALUE!</v>
      </c>
      <c r="N51" s="77" t="s">
        <v>226</v>
      </c>
      <c r="O51" s="11">
        <f>IF('Default parameters'!D8="Flapping",0,1)</f>
        <v>0</v>
      </c>
      <c r="P51" s="93">
        <f>IF(O51,2/PI(),1)</f>
        <v>1</v>
      </c>
      <c r="Q51" s="11">
        <f t="shared" ref="Q51:Q68" si="23">Q50+O$61</f>
        <v>0.15000000000000002</v>
      </c>
      <c r="R51" s="18">
        <v>0.88</v>
      </c>
      <c r="S51" s="18" t="e">
        <f t="shared" si="18"/>
        <v>#VALUE!</v>
      </c>
      <c r="T51" s="18" t="e">
        <f t="shared" si="19"/>
        <v>#VALUE!</v>
      </c>
      <c r="U51" s="18" t="e">
        <f t="shared" si="20"/>
        <v>#VALUE!</v>
      </c>
      <c r="V51" s="18" t="e">
        <f t="shared" si="21"/>
        <v>#VALUE!</v>
      </c>
      <c r="W51" s="18" t="e">
        <f t="shared" si="22"/>
        <v>#VALUE!</v>
      </c>
    </row>
    <row r="52" spans="2:23" x14ac:dyDescent="0.2">
      <c r="B52" s="77" t="s">
        <v>227</v>
      </c>
      <c r="C52" s="11">
        <f>'Default parameters'!C9</f>
        <v>0.5</v>
      </c>
      <c r="E52" s="11">
        <f t="shared" si="12"/>
        <v>0.2</v>
      </c>
      <c r="F52" s="18">
        <v>0.96</v>
      </c>
      <c r="G52" s="18" t="e">
        <f t="shared" si="14"/>
        <v>#VALUE!</v>
      </c>
      <c r="H52" s="18" t="e">
        <f t="shared" si="15"/>
        <v>#VALUE!</v>
      </c>
      <c r="I52" s="18" t="e">
        <f t="shared" si="16"/>
        <v>#VALUE!</v>
      </c>
      <c r="J52" s="18" t="e">
        <f t="shared" si="17"/>
        <v>#VALUE!</v>
      </c>
      <c r="K52" s="18" t="e">
        <f t="shared" si="13"/>
        <v>#VALUE!</v>
      </c>
      <c r="N52" s="77" t="s">
        <v>227</v>
      </c>
      <c r="O52" s="11">
        <f>'Default parameters'!D9</f>
        <v>0.5</v>
      </c>
      <c r="Q52" s="11">
        <f t="shared" si="23"/>
        <v>0.2</v>
      </c>
      <c r="R52" s="18">
        <v>0.96</v>
      </c>
      <c r="S52" s="18" t="e">
        <f t="shared" si="18"/>
        <v>#VALUE!</v>
      </c>
      <c r="T52" s="18" t="e">
        <f t="shared" si="19"/>
        <v>#VALUE!</v>
      </c>
      <c r="U52" s="18" t="e">
        <f t="shared" si="20"/>
        <v>#VALUE!</v>
      </c>
      <c r="V52" s="18" t="e">
        <f t="shared" si="21"/>
        <v>#VALUE!</v>
      </c>
      <c r="W52" s="18" t="e">
        <f t="shared" si="22"/>
        <v>#VALUE!</v>
      </c>
    </row>
    <row r="53" spans="2:23" x14ac:dyDescent="0.2">
      <c r="B53" s="77" t="s">
        <v>293</v>
      </c>
      <c r="C53" s="11">
        <f>'Default parameters'!C7</f>
        <v>13.1</v>
      </c>
      <c r="E53" s="11">
        <f t="shared" si="12"/>
        <v>0.25</v>
      </c>
      <c r="F53" s="18">
        <v>1</v>
      </c>
      <c r="G53" s="18" t="e">
        <f t="shared" si="14"/>
        <v>#VALUE!</v>
      </c>
      <c r="H53" s="18" t="e">
        <f t="shared" si="15"/>
        <v>#VALUE!</v>
      </c>
      <c r="I53" s="18" t="e">
        <f t="shared" si="16"/>
        <v>#VALUE!</v>
      </c>
      <c r="J53" s="18" t="e">
        <f t="shared" si="17"/>
        <v>#VALUE!</v>
      </c>
      <c r="K53" s="18" t="e">
        <f t="shared" si="13"/>
        <v>#VALUE!</v>
      </c>
      <c r="N53" s="77" t="s">
        <v>293</v>
      </c>
      <c r="O53" s="11">
        <f>'Default parameters'!D7</f>
        <v>14.9</v>
      </c>
      <c r="Q53" s="11">
        <f t="shared" si="23"/>
        <v>0.25</v>
      </c>
      <c r="R53" s="18">
        <v>1</v>
      </c>
      <c r="S53" s="18" t="e">
        <f t="shared" si="18"/>
        <v>#VALUE!</v>
      </c>
      <c r="T53" s="18" t="e">
        <f t="shared" si="19"/>
        <v>#VALUE!</v>
      </c>
      <c r="U53" s="18" t="e">
        <f t="shared" si="20"/>
        <v>#VALUE!</v>
      </c>
      <c r="V53" s="18" t="e">
        <f t="shared" si="21"/>
        <v>#VALUE!</v>
      </c>
      <c r="W53" s="18" t="e">
        <f t="shared" si="22"/>
        <v>#VALUE!</v>
      </c>
    </row>
    <row r="54" spans="2:23" x14ac:dyDescent="0.2">
      <c r="B54" s="77" t="s">
        <v>292</v>
      </c>
      <c r="C54" s="11">
        <f>'User inputs - run and wind farm'!E19/2</f>
        <v>0</v>
      </c>
      <c r="E54" s="11">
        <f t="shared" si="12"/>
        <v>0.3</v>
      </c>
      <c r="F54" s="18">
        <v>0.98</v>
      </c>
      <c r="G54" s="18" t="e">
        <f t="shared" si="14"/>
        <v>#VALUE!</v>
      </c>
      <c r="H54" s="18" t="e">
        <f t="shared" si="15"/>
        <v>#VALUE!</v>
      </c>
      <c r="I54" s="18" t="e">
        <f t="shared" si="16"/>
        <v>#VALUE!</v>
      </c>
      <c r="J54" s="18" t="e">
        <f t="shared" si="17"/>
        <v>#VALUE!</v>
      </c>
      <c r="K54" s="18" t="e">
        <f t="shared" si="13"/>
        <v>#VALUE!</v>
      </c>
      <c r="N54" s="77" t="s">
        <v>292</v>
      </c>
      <c r="O54" s="11">
        <f>'User inputs - run and wind farm'!E19/2</f>
        <v>0</v>
      </c>
      <c r="Q54" s="11">
        <f t="shared" si="23"/>
        <v>0.3</v>
      </c>
      <c r="R54" s="18">
        <v>0.98</v>
      </c>
      <c r="S54" s="18" t="e">
        <f t="shared" si="18"/>
        <v>#VALUE!</v>
      </c>
      <c r="T54" s="18" t="e">
        <f t="shared" si="19"/>
        <v>#VALUE!</v>
      </c>
      <c r="U54" s="18" t="e">
        <f t="shared" si="20"/>
        <v>#VALUE!</v>
      </c>
      <c r="V54" s="18" t="e">
        <f t="shared" si="21"/>
        <v>#VALUE!</v>
      </c>
      <c r="W54" s="18" t="e">
        <f t="shared" si="22"/>
        <v>#VALUE!</v>
      </c>
    </row>
    <row r="55" spans="2:23" x14ac:dyDescent="0.2">
      <c r="B55" s="14" t="s">
        <v>235</v>
      </c>
      <c r="C55" s="11" t="str">
        <f>'User inputs - run and wind farm'!K20</f>
        <v>-</v>
      </c>
      <c r="E55" s="11">
        <f t="shared" si="12"/>
        <v>0.35</v>
      </c>
      <c r="F55" s="18">
        <v>0.92</v>
      </c>
      <c r="G55" s="18" t="e">
        <f t="shared" si="14"/>
        <v>#VALUE!</v>
      </c>
      <c r="H55" s="18" t="e">
        <f t="shared" si="15"/>
        <v>#VALUE!</v>
      </c>
      <c r="I55" s="18" t="e">
        <f t="shared" si="16"/>
        <v>#VALUE!</v>
      </c>
      <c r="J55" s="18" t="e">
        <f t="shared" si="17"/>
        <v>#VALUE!</v>
      </c>
      <c r="K55" s="18" t="e">
        <f t="shared" si="13"/>
        <v>#VALUE!</v>
      </c>
      <c r="N55" s="14" t="s">
        <v>235</v>
      </c>
      <c r="O55" s="11" t="str">
        <f>'User inputs - run and wind farm'!K20</f>
        <v>-</v>
      </c>
      <c r="Q55" s="11">
        <f t="shared" si="23"/>
        <v>0.35</v>
      </c>
      <c r="R55" s="18">
        <v>0.92</v>
      </c>
      <c r="S55" s="18" t="e">
        <f t="shared" si="18"/>
        <v>#VALUE!</v>
      </c>
      <c r="T55" s="18" t="e">
        <f t="shared" si="19"/>
        <v>#VALUE!</v>
      </c>
      <c r="U55" s="18" t="e">
        <f t="shared" si="20"/>
        <v>#VALUE!</v>
      </c>
      <c r="V55" s="18" t="e">
        <f t="shared" si="21"/>
        <v>#VALUE!</v>
      </c>
      <c r="W55" s="18" t="e">
        <f t="shared" si="22"/>
        <v>#VALUE!</v>
      </c>
    </row>
    <row r="56" spans="2:23" x14ac:dyDescent="0.2">
      <c r="B56" s="77" t="s">
        <v>296</v>
      </c>
      <c r="C56" s="18" t="e">
        <f>60/C55</f>
        <v>#VALUE!</v>
      </c>
      <c r="E56" s="11">
        <f t="shared" si="12"/>
        <v>0.39999999999999997</v>
      </c>
      <c r="F56" s="18">
        <v>0.85</v>
      </c>
      <c r="G56" s="18" t="e">
        <f t="shared" si="14"/>
        <v>#VALUE!</v>
      </c>
      <c r="H56" s="18" t="e">
        <f t="shared" si="15"/>
        <v>#VALUE!</v>
      </c>
      <c r="I56" s="18" t="e">
        <f t="shared" si="16"/>
        <v>#VALUE!</v>
      </c>
      <c r="J56" s="18" t="e">
        <f t="shared" si="17"/>
        <v>#VALUE!</v>
      </c>
      <c r="K56" s="18" t="e">
        <f t="shared" si="13"/>
        <v>#VALUE!</v>
      </c>
      <c r="N56" s="77" t="s">
        <v>296</v>
      </c>
      <c r="O56" s="18" t="e">
        <f>60/O55</f>
        <v>#VALUE!</v>
      </c>
      <c r="Q56" s="11">
        <f t="shared" si="23"/>
        <v>0.39999999999999997</v>
      </c>
      <c r="R56" s="18">
        <v>0.85</v>
      </c>
      <c r="S56" s="18" t="e">
        <f t="shared" si="18"/>
        <v>#VALUE!</v>
      </c>
      <c r="T56" s="18" t="e">
        <f t="shared" si="19"/>
        <v>#VALUE!</v>
      </c>
      <c r="U56" s="18" t="e">
        <f t="shared" si="20"/>
        <v>#VALUE!</v>
      </c>
      <c r="V56" s="18" t="e">
        <f t="shared" si="21"/>
        <v>#VALUE!</v>
      </c>
      <c r="W56" s="18" t="e">
        <f t="shared" si="22"/>
        <v>#VALUE!</v>
      </c>
    </row>
    <row r="57" spans="2:23" x14ac:dyDescent="0.2">
      <c r="E57" s="11">
        <f t="shared" si="12"/>
        <v>0.44999999999999996</v>
      </c>
      <c r="F57" s="18">
        <v>0.8</v>
      </c>
      <c r="G57" s="18" t="e">
        <f t="shared" si="14"/>
        <v>#VALUE!</v>
      </c>
      <c r="H57" s="18" t="e">
        <f t="shared" si="15"/>
        <v>#VALUE!</v>
      </c>
      <c r="I57" s="18" t="e">
        <f t="shared" si="16"/>
        <v>#VALUE!</v>
      </c>
      <c r="J57" s="18" t="e">
        <f t="shared" si="17"/>
        <v>#VALUE!</v>
      </c>
      <c r="K57" s="18" t="e">
        <f t="shared" si="13"/>
        <v>#VALUE!</v>
      </c>
      <c r="Q57" s="11">
        <f t="shared" si="23"/>
        <v>0.44999999999999996</v>
      </c>
      <c r="R57" s="18">
        <v>0.8</v>
      </c>
      <c r="S57" s="18" t="e">
        <f t="shared" si="18"/>
        <v>#VALUE!</v>
      </c>
      <c r="T57" s="18" t="e">
        <f t="shared" si="19"/>
        <v>#VALUE!</v>
      </c>
      <c r="U57" s="18" t="e">
        <f t="shared" si="20"/>
        <v>#VALUE!</v>
      </c>
      <c r="V57" s="18" t="e">
        <f t="shared" si="21"/>
        <v>#VALUE!</v>
      </c>
      <c r="W57" s="18" t="e">
        <f t="shared" si="22"/>
        <v>#VALUE!</v>
      </c>
    </row>
    <row r="58" spans="2:23" x14ac:dyDescent="0.2">
      <c r="C58" s="89"/>
      <c r="E58" s="11">
        <f t="shared" si="12"/>
        <v>0.49999999999999994</v>
      </c>
      <c r="F58" s="18">
        <v>0.75</v>
      </c>
      <c r="G58" s="18" t="e">
        <f t="shared" si="14"/>
        <v>#VALUE!</v>
      </c>
      <c r="H58" s="18" t="e">
        <f t="shared" si="15"/>
        <v>#VALUE!</v>
      </c>
      <c r="I58" s="18" t="e">
        <f t="shared" si="16"/>
        <v>#VALUE!</v>
      </c>
      <c r="J58" s="18" t="e">
        <f t="shared" si="17"/>
        <v>#VALUE!</v>
      </c>
      <c r="K58" s="18" t="e">
        <f t="shared" si="13"/>
        <v>#VALUE!</v>
      </c>
      <c r="O58" s="89"/>
      <c r="Q58" s="11">
        <f t="shared" si="23"/>
        <v>0.49999999999999994</v>
      </c>
      <c r="R58" s="18">
        <v>0.75</v>
      </c>
      <c r="S58" s="18" t="e">
        <f t="shared" si="18"/>
        <v>#VALUE!</v>
      </c>
      <c r="T58" s="18" t="e">
        <f t="shared" si="19"/>
        <v>#VALUE!</v>
      </c>
      <c r="U58" s="18" t="e">
        <f t="shared" si="20"/>
        <v>#VALUE!</v>
      </c>
      <c r="V58" s="18" t="e">
        <f t="shared" si="21"/>
        <v>#VALUE!</v>
      </c>
      <c r="W58" s="18" t="e">
        <f t="shared" si="22"/>
        <v>#VALUE!</v>
      </c>
    </row>
    <row r="59" spans="2:23" ht="15" x14ac:dyDescent="0.25">
      <c r="B59" s="14" t="s">
        <v>291</v>
      </c>
      <c r="C59" s="26">
        <f>C49/C50</f>
        <v>0.3611111111111111</v>
      </c>
      <c r="E59" s="11">
        <f t="shared" si="12"/>
        <v>0.54999999999999993</v>
      </c>
      <c r="F59" s="18">
        <v>0.7</v>
      </c>
      <c r="G59" s="18" t="e">
        <f t="shared" si="14"/>
        <v>#VALUE!</v>
      </c>
      <c r="H59" s="18" t="e">
        <f t="shared" si="15"/>
        <v>#VALUE!</v>
      </c>
      <c r="I59" s="18" t="e">
        <f t="shared" si="16"/>
        <v>#VALUE!</v>
      </c>
      <c r="J59" s="18" t="e">
        <f t="shared" si="17"/>
        <v>#VALUE!</v>
      </c>
      <c r="K59" s="18" t="e">
        <f t="shared" si="13"/>
        <v>#VALUE!</v>
      </c>
      <c r="N59" s="14" t="s">
        <v>291</v>
      </c>
      <c r="O59" s="26">
        <f>O49/O50</f>
        <v>0.54651162790697672</v>
      </c>
      <c r="Q59" s="11">
        <f t="shared" si="23"/>
        <v>0.54999999999999993</v>
      </c>
      <c r="R59" s="18">
        <v>0.7</v>
      </c>
      <c r="S59" s="18" t="e">
        <f t="shared" si="18"/>
        <v>#VALUE!</v>
      </c>
      <c r="T59" s="18" t="e">
        <f t="shared" si="19"/>
        <v>#VALUE!</v>
      </c>
      <c r="U59" s="18" t="e">
        <f t="shared" si="20"/>
        <v>#VALUE!</v>
      </c>
      <c r="V59" s="18" t="e">
        <f t="shared" si="21"/>
        <v>#VALUE!</v>
      </c>
      <c r="W59" s="18" t="e">
        <f t="shared" si="22"/>
        <v>#VALUE!</v>
      </c>
    </row>
    <row r="60" spans="2:23" x14ac:dyDescent="0.2">
      <c r="C60" s="89"/>
      <c r="E60" s="11">
        <f t="shared" si="12"/>
        <v>0.6</v>
      </c>
      <c r="F60" s="18">
        <v>0.64</v>
      </c>
      <c r="G60" s="18" t="e">
        <f t="shared" si="14"/>
        <v>#VALUE!</v>
      </c>
      <c r="H60" s="18" t="e">
        <f t="shared" si="15"/>
        <v>#VALUE!</v>
      </c>
      <c r="I60" s="18" t="e">
        <f t="shared" si="16"/>
        <v>#VALUE!</v>
      </c>
      <c r="J60" s="18" t="e">
        <f t="shared" si="17"/>
        <v>#VALUE!</v>
      </c>
      <c r="K60" s="18" t="e">
        <f t="shared" si="13"/>
        <v>#VALUE!</v>
      </c>
      <c r="O60" s="89"/>
      <c r="Q60" s="11">
        <f t="shared" si="23"/>
        <v>0.6</v>
      </c>
      <c r="R60" s="18">
        <v>0.64</v>
      </c>
      <c r="S60" s="18" t="e">
        <f t="shared" si="18"/>
        <v>#VALUE!</v>
      </c>
      <c r="T60" s="18" t="e">
        <f t="shared" si="19"/>
        <v>#VALUE!</v>
      </c>
      <c r="U60" s="18" t="e">
        <f t="shared" si="20"/>
        <v>#VALUE!</v>
      </c>
      <c r="V60" s="18" t="e">
        <f t="shared" si="21"/>
        <v>#VALUE!</v>
      </c>
      <c r="W60" s="18" t="e">
        <f t="shared" si="22"/>
        <v>#VALUE!</v>
      </c>
    </row>
    <row r="61" spans="2:23" x14ac:dyDescent="0.2">
      <c r="B61" s="14" t="s">
        <v>228</v>
      </c>
      <c r="C61" s="11">
        <v>0.05</v>
      </c>
      <c r="E61" s="11">
        <f t="shared" si="12"/>
        <v>0.65</v>
      </c>
      <c r="F61" s="18">
        <v>0.57999999999999996</v>
      </c>
      <c r="G61" s="18" t="e">
        <f t="shared" si="14"/>
        <v>#VALUE!</v>
      </c>
      <c r="H61" s="18" t="e">
        <f t="shared" si="15"/>
        <v>#VALUE!</v>
      </c>
      <c r="I61" s="18" t="e">
        <f t="shared" si="16"/>
        <v>#VALUE!</v>
      </c>
      <c r="J61" s="18" t="e">
        <f t="shared" si="17"/>
        <v>#VALUE!</v>
      </c>
      <c r="K61" s="18" t="e">
        <f t="shared" si="13"/>
        <v>#VALUE!</v>
      </c>
      <c r="N61" s="14" t="s">
        <v>228</v>
      </c>
      <c r="O61" s="11">
        <v>0.05</v>
      </c>
      <c r="Q61" s="11">
        <f t="shared" si="23"/>
        <v>0.65</v>
      </c>
      <c r="R61" s="18">
        <v>0.57999999999999996</v>
      </c>
      <c r="S61" s="18" t="e">
        <f t="shared" si="18"/>
        <v>#VALUE!</v>
      </c>
      <c r="T61" s="18" t="e">
        <f t="shared" si="19"/>
        <v>#VALUE!</v>
      </c>
      <c r="U61" s="18" t="e">
        <f t="shared" si="20"/>
        <v>#VALUE!</v>
      </c>
      <c r="V61" s="18" t="e">
        <f t="shared" si="21"/>
        <v>#VALUE!</v>
      </c>
      <c r="W61" s="18" t="e">
        <f t="shared" si="22"/>
        <v>#VALUE!</v>
      </c>
    </row>
    <row r="62" spans="2:23" x14ac:dyDescent="0.2">
      <c r="C62" s="89"/>
      <c r="E62" s="11">
        <f t="shared" si="12"/>
        <v>0.70000000000000007</v>
      </c>
      <c r="F62" s="18">
        <v>0.52</v>
      </c>
      <c r="G62" s="18" t="e">
        <f t="shared" si="14"/>
        <v>#VALUE!</v>
      </c>
      <c r="H62" s="18" t="e">
        <f t="shared" si="15"/>
        <v>#VALUE!</v>
      </c>
      <c r="I62" s="18" t="e">
        <f t="shared" si="16"/>
        <v>#VALUE!</v>
      </c>
      <c r="J62" s="18" t="e">
        <f t="shared" si="17"/>
        <v>#VALUE!</v>
      </c>
      <c r="K62" s="18" t="e">
        <f t="shared" si="13"/>
        <v>#VALUE!</v>
      </c>
      <c r="O62" s="89"/>
      <c r="Q62" s="11">
        <f t="shared" si="23"/>
        <v>0.70000000000000007</v>
      </c>
      <c r="R62" s="18">
        <v>0.52</v>
      </c>
      <c r="S62" s="18" t="e">
        <f t="shared" si="18"/>
        <v>#VALUE!</v>
      </c>
      <c r="T62" s="18" t="e">
        <f t="shared" si="19"/>
        <v>#VALUE!</v>
      </c>
      <c r="U62" s="18" t="e">
        <f t="shared" si="20"/>
        <v>#VALUE!</v>
      </c>
      <c r="V62" s="18" t="e">
        <f t="shared" si="21"/>
        <v>#VALUE!</v>
      </c>
      <c r="W62" s="18" t="e">
        <f t="shared" si="22"/>
        <v>#VALUE!</v>
      </c>
    </row>
    <row r="63" spans="2:23" x14ac:dyDescent="0.2">
      <c r="C63" s="89"/>
      <c r="E63" s="11">
        <f t="shared" si="12"/>
        <v>0.75000000000000011</v>
      </c>
      <c r="F63" s="18">
        <v>0.47</v>
      </c>
      <c r="G63" s="18" t="e">
        <f t="shared" si="14"/>
        <v>#VALUE!</v>
      </c>
      <c r="H63" s="18" t="e">
        <f t="shared" si="15"/>
        <v>#VALUE!</v>
      </c>
      <c r="I63" s="18" t="e">
        <f t="shared" si="16"/>
        <v>#VALUE!</v>
      </c>
      <c r="J63" s="18" t="e">
        <f t="shared" si="17"/>
        <v>#VALUE!</v>
      </c>
      <c r="K63" s="18" t="e">
        <f t="shared" si="13"/>
        <v>#VALUE!</v>
      </c>
      <c r="O63" s="89"/>
      <c r="Q63" s="11">
        <f t="shared" si="23"/>
        <v>0.75000000000000011</v>
      </c>
      <c r="R63" s="18">
        <v>0.47</v>
      </c>
      <c r="S63" s="18" t="e">
        <f t="shared" si="18"/>
        <v>#VALUE!</v>
      </c>
      <c r="T63" s="18" t="e">
        <f t="shared" si="19"/>
        <v>#VALUE!</v>
      </c>
      <c r="U63" s="18" t="e">
        <f t="shared" si="20"/>
        <v>#VALUE!</v>
      </c>
      <c r="V63" s="18" t="e">
        <f t="shared" si="21"/>
        <v>#VALUE!</v>
      </c>
      <c r="W63" s="18" t="e">
        <f t="shared" si="22"/>
        <v>#VALUE!</v>
      </c>
    </row>
    <row r="64" spans="2:23" x14ac:dyDescent="0.2">
      <c r="C64" s="90"/>
      <c r="E64" s="11">
        <f t="shared" si="12"/>
        <v>0.80000000000000016</v>
      </c>
      <c r="F64" s="18">
        <v>0.41</v>
      </c>
      <c r="G64" s="18" t="e">
        <f t="shared" si="14"/>
        <v>#VALUE!</v>
      </c>
      <c r="H64" s="18" t="e">
        <f t="shared" si="15"/>
        <v>#VALUE!</v>
      </c>
      <c r="I64" s="18" t="e">
        <f t="shared" si="16"/>
        <v>#VALUE!</v>
      </c>
      <c r="J64" s="18" t="e">
        <f t="shared" si="17"/>
        <v>#VALUE!</v>
      </c>
      <c r="K64" s="18" t="e">
        <f t="shared" si="13"/>
        <v>#VALUE!</v>
      </c>
      <c r="O64" s="90"/>
      <c r="Q64" s="11">
        <f t="shared" si="23"/>
        <v>0.80000000000000016</v>
      </c>
      <c r="R64" s="18">
        <v>0.41</v>
      </c>
      <c r="S64" s="18" t="e">
        <f t="shared" si="18"/>
        <v>#VALUE!</v>
      </c>
      <c r="T64" s="18" t="e">
        <f t="shared" si="19"/>
        <v>#VALUE!</v>
      </c>
      <c r="U64" s="18" t="e">
        <f t="shared" si="20"/>
        <v>#VALUE!</v>
      </c>
      <c r="V64" s="18" t="e">
        <f t="shared" si="21"/>
        <v>#VALUE!</v>
      </c>
      <c r="W64" s="18" t="e">
        <f t="shared" si="22"/>
        <v>#VALUE!</v>
      </c>
    </row>
    <row r="65" spans="2:23" x14ac:dyDescent="0.2">
      <c r="E65" s="11">
        <f t="shared" si="12"/>
        <v>0.8500000000000002</v>
      </c>
      <c r="F65" s="18">
        <v>0.37</v>
      </c>
      <c r="G65" s="18" t="e">
        <f t="shared" si="14"/>
        <v>#VALUE!</v>
      </c>
      <c r="H65" s="18" t="e">
        <f t="shared" si="15"/>
        <v>#VALUE!</v>
      </c>
      <c r="I65" s="18" t="e">
        <f t="shared" si="16"/>
        <v>#VALUE!</v>
      </c>
      <c r="J65" s="18" t="e">
        <f t="shared" si="17"/>
        <v>#VALUE!</v>
      </c>
      <c r="K65" s="18" t="e">
        <f t="shared" si="13"/>
        <v>#VALUE!</v>
      </c>
      <c r="Q65" s="11">
        <f t="shared" si="23"/>
        <v>0.8500000000000002</v>
      </c>
      <c r="R65" s="18">
        <v>0.37</v>
      </c>
      <c r="S65" s="18" t="e">
        <f t="shared" si="18"/>
        <v>#VALUE!</v>
      </c>
      <c r="T65" s="18" t="e">
        <f t="shared" si="19"/>
        <v>#VALUE!</v>
      </c>
      <c r="U65" s="18" t="e">
        <f t="shared" si="20"/>
        <v>#VALUE!</v>
      </c>
      <c r="V65" s="18" t="e">
        <f t="shared" si="21"/>
        <v>#VALUE!</v>
      </c>
      <c r="W65" s="18" t="e">
        <f t="shared" si="22"/>
        <v>#VALUE!</v>
      </c>
    </row>
    <row r="66" spans="2:23" x14ac:dyDescent="0.2">
      <c r="E66" s="11">
        <f t="shared" si="12"/>
        <v>0.90000000000000024</v>
      </c>
      <c r="F66" s="18">
        <v>0.3</v>
      </c>
      <c r="G66" s="18" t="e">
        <f t="shared" si="14"/>
        <v>#VALUE!</v>
      </c>
      <c r="H66" s="18" t="e">
        <f t="shared" si="15"/>
        <v>#VALUE!</v>
      </c>
      <c r="I66" s="18" t="e">
        <f t="shared" si="16"/>
        <v>#VALUE!</v>
      </c>
      <c r="J66" s="18" t="e">
        <f t="shared" si="17"/>
        <v>#VALUE!</v>
      </c>
      <c r="K66" s="18" t="e">
        <f t="shared" si="13"/>
        <v>#VALUE!</v>
      </c>
      <c r="Q66" s="11">
        <f t="shared" si="23"/>
        <v>0.90000000000000024</v>
      </c>
      <c r="R66" s="18">
        <v>0.3</v>
      </c>
      <c r="S66" s="18" t="e">
        <f t="shared" si="18"/>
        <v>#VALUE!</v>
      </c>
      <c r="T66" s="18" t="e">
        <f t="shared" si="19"/>
        <v>#VALUE!</v>
      </c>
      <c r="U66" s="18" t="e">
        <f t="shared" si="20"/>
        <v>#VALUE!</v>
      </c>
      <c r="V66" s="18" t="e">
        <f t="shared" si="21"/>
        <v>#VALUE!</v>
      </c>
      <c r="W66" s="18" t="e">
        <f t="shared" si="22"/>
        <v>#VALUE!</v>
      </c>
    </row>
    <row r="67" spans="2:23" x14ac:dyDescent="0.2">
      <c r="E67" s="11">
        <f t="shared" si="12"/>
        <v>0.95000000000000029</v>
      </c>
      <c r="F67" s="18">
        <v>0.24</v>
      </c>
      <c r="G67" s="18" t="e">
        <f t="shared" si="14"/>
        <v>#VALUE!</v>
      </c>
      <c r="H67" s="18" t="e">
        <f t="shared" si="15"/>
        <v>#VALUE!</v>
      </c>
      <c r="I67" s="18" t="e">
        <f t="shared" si="16"/>
        <v>#VALUE!</v>
      </c>
      <c r="J67" s="18" t="e">
        <f t="shared" si="17"/>
        <v>#VALUE!</v>
      </c>
      <c r="K67" s="18" t="e">
        <f t="shared" si="13"/>
        <v>#VALUE!</v>
      </c>
      <c r="Q67" s="11">
        <f t="shared" si="23"/>
        <v>0.95000000000000029</v>
      </c>
      <c r="R67" s="18">
        <v>0.24</v>
      </c>
      <c r="S67" s="18" t="e">
        <f t="shared" si="18"/>
        <v>#VALUE!</v>
      </c>
      <c r="T67" s="18" t="e">
        <f t="shared" si="19"/>
        <v>#VALUE!</v>
      </c>
      <c r="U67" s="18" t="e">
        <f t="shared" si="20"/>
        <v>#VALUE!</v>
      </c>
      <c r="V67" s="18" t="e">
        <f t="shared" si="21"/>
        <v>#VALUE!</v>
      </c>
      <c r="W67" s="18" t="e">
        <f t="shared" si="22"/>
        <v>#VALUE!</v>
      </c>
    </row>
    <row r="68" spans="2:23" x14ac:dyDescent="0.2">
      <c r="E68" s="11">
        <f t="shared" si="12"/>
        <v>1.0000000000000002</v>
      </c>
      <c r="F68" s="18">
        <v>0</v>
      </c>
      <c r="G68" s="18" t="e">
        <f t="shared" si="14"/>
        <v>#VALUE!</v>
      </c>
      <c r="H68" s="18" t="e">
        <f t="shared" si="15"/>
        <v>#VALUE!</v>
      </c>
      <c r="I68" s="18" t="e">
        <f t="shared" si="16"/>
        <v>#VALUE!</v>
      </c>
      <c r="J68" s="18" t="e">
        <f t="shared" si="17"/>
        <v>#VALUE!</v>
      </c>
      <c r="K68" s="18" t="e">
        <f t="shared" si="13"/>
        <v>#VALUE!</v>
      </c>
      <c r="Q68" s="11">
        <f t="shared" si="23"/>
        <v>1.0000000000000002</v>
      </c>
      <c r="R68" s="18">
        <v>0</v>
      </c>
      <c r="S68" s="18" t="e">
        <f t="shared" si="18"/>
        <v>#VALUE!</v>
      </c>
      <c r="T68" s="18" t="e">
        <f t="shared" si="19"/>
        <v>#VALUE!</v>
      </c>
      <c r="U68" s="18" t="e">
        <f t="shared" si="20"/>
        <v>#VALUE!</v>
      </c>
      <c r="V68" s="18" t="e">
        <f t="shared" si="21"/>
        <v>#VALUE!</v>
      </c>
      <c r="W68" s="18" t="e">
        <f t="shared" si="22"/>
        <v>#VALUE!</v>
      </c>
    </row>
    <row r="69" spans="2:23" x14ac:dyDescent="0.2">
      <c r="F69" s="91"/>
      <c r="G69" s="89"/>
      <c r="H69" s="89"/>
      <c r="I69" s="89"/>
      <c r="R69" s="91"/>
      <c r="S69" s="89"/>
      <c r="T69" s="89"/>
      <c r="U69" s="89"/>
    </row>
    <row r="70" spans="2:23" ht="15" x14ac:dyDescent="0.25">
      <c r="E70" s="15" t="s">
        <v>229</v>
      </c>
      <c r="Q70" s="15" t="s">
        <v>229</v>
      </c>
    </row>
    <row r="71" spans="2:23" x14ac:dyDescent="0.2">
      <c r="H71" s="14" t="s">
        <v>230</v>
      </c>
      <c r="I71" s="115" t="e">
        <f>2*(SUMPRODUCT($E49:$E67,I49:I67)+I68/2)*$C$61</f>
        <v>#VALUE!</v>
      </c>
      <c r="J71" s="14" t="s">
        <v>231</v>
      </c>
      <c r="K71" s="115" t="e">
        <f>2*(SUMPRODUCT($E49:$E67,K49:K67)+K68/2)*$C$61</f>
        <v>#VALUE!</v>
      </c>
      <c r="T71" s="14" t="s">
        <v>230</v>
      </c>
      <c r="U71" s="26" t="e">
        <f>2*(SUMPRODUCT($Q49:$Q67,U49:U67)+U68/2)*$O$61</f>
        <v>#VALUE!</v>
      </c>
      <c r="V71" s="14" t="s">
        <v>231</v>
      </c>
      <c r="W71" s="26" t="e">
        <f>2*(SUMPRODUCT($Q49:$Q67,W49:W67)+W68/2)*$O$61</f>
        <v>#VALUE!</v>
      </c>
    </row>
    <row r="72" spans="2:23" x14ac:dyDescent="0.2">
      <c r="D72" s="16"/>
      <c r="F72" s="16" t="s">
        <v>232</v>
      </c>
      <c r="P72" s="16"/>
      <c r="R72" s="16" t="s">
        <v>232</v>
      </c>
    </row>
    <row r="73" spans="2:23" ht="15" x14ac:dyDescent="0.25">
      <c r="E73" s="18">
        <f>C52</f>
        <v>0.5</v>
      </c>
      <c r="F73" s="18">
        <f>1-C52</f>
        <v>0.5</v>
      </c>
      <c r="I73" s="15" t="s">
        <v>233</v>
      </c>
      <c r="J73" s="33" t="e">
        <f>(E73*I71+F73*K71)</f>
        <v>#VALUE!</v>
      </c>
      <c r="Q73" s="18">
        <f>O52</f>
        <v>0.5</v>
      </c>
      <c r="R73" s="18">
        <f>1-O52</f>
        <v>0.5</v>
      </c>
      <c r="U73" s="15" t="s">
        <v>233</v>
      </c>
      <c r="V73" s="33" t="e">
        <f>(Q73*U71+R73*W71)</f>
        <v>#VALUE!</v>
      </c>
    </row>
    <row r="74" spans="2:23" ht="15" x14ac:dyDescent="0.25">
      <c r="J74" s="92"/>
      <c r="V74" s="92"/>
    </row>
    <row r="75" spans="2:23" x14ac:dyDescent="0.2">
      <c r="B75" s="37"/>
      <c r="C75" s="37"/>
      <c r="D75" s="37"/>
      <c r="E75" s="37"/>
      <c r="F75" s="37"/>
      <c r="G75" s="37"/>
      <c r="H75" s="37"/>
      <c r="I75" s="37"/>
      <c r="J75" s="37"/>
      <c r="K75" s="37"/>
      <c r="N75" s="37"/>
      <c r="O75" s="37"/>
      <c r="P75" s="37"/>
      <c r="Q75" s="37"/>
      <c r="R75" s="37"/>
      <c r="S75" s="37"/>
      <c r="T75" s="37"/>
      <c r="U75" s="37"/>
      <c r="V75" s="37"/>
      <c r="W75" s="37"/>
    </row>
    <row r="76" spans="2:23" x14ac:dyDescent="0.2">
      <c r="B76" s="38"/>
      <c r="C76" s="38"/>
      <c r="D76" s="38"/>
      <c r="E76" s="38"/>
      <c r="F76" s="38"/>
      <c r="G76" s="38"/>
      <c r="H76" s="38"/>
      <c r="I76" s="38"/>
      <c r="J76" s="38"/>
      <c r="K76" s="38"/>
      <c r="N76" s="38"/>
      <c r="O76" s="38"/>
      <c r="P76" s="38"/>
      <c r="Q76" s="38"/>
      <c r="R76" s="38"/>
      <c r="S76" s="38"/>
      <c r="T76" s="38"/>
      <c r="U76" s="38"/>
      <c r="V76" s="38"/>
      <c r="W76" s="38"/>
    </row>
    <row r="77" spans="2:23" ht="18" x14ac:dyDescent="0.25">
      <c r="B77" s="31" t="s">
        <v>300</v>
      </c>
      <c r="N77" s="31" t="s">
        <v>328</v>
      </c>
    </row>
    <row r="79" spans="2:23" ht="15" x14ac:dyDescent="0.25">
      <c r="B79" s="77"/>
      <c r="E79" s="15" t="s">
        <v>213</v>
      </c>
      <c r="F79" s="15"/>
      <c r="N79" s="77"/>
      <c r="Q79" s="15" t="s">
        <v>213</v>
      </c>
      <c r="R79" s="15"/>
    </row>
    <row r="80" spans="2:23" ht="15" x14ac:dyDescent="0.25">
      <c r="B80" s="77" t="s">
        <v>234</v>
      </c>
      <c r="C80" s="11" t="str">
        <f>'User inputs - run and wind farm'!N21</f>
        <v>-</v>
      </c>
      <c r="H80" s="155" t="s">
        <v>214</v>
      </c>
      <c r="I80" s="156"/>
      <c r="J80" s="78" t="s">
        <v>215</v>
      </c>
      <c r="K80" s="79"/>
      <c r="N80" s="77" t="s">
        <v>234</v>
      </c>
      <c r="O80" s="11" t="str">
        <f>'User inputs - run and wind farm'!N21</f>
        <v>-</v>
      </c>
      <c r="T80" s="155" t="s">
        <v>214</v>
      </c>
      <c r="U80" s="156"/>
      <c r="V80" s="78" t="s">
        <v>215</v>
      </c>
      <c r="W80" s="79"/>
    </row>
    <row r="81" spans="2:23" ht="15" x14ac:dyDescent="0.2">
      <c r="B81" s="77" t="s">
        <v>29</v>
      </c>
      <c r="C81" s="11" t="str">
        <f>'User inputs - run and wind farm'!L21</f>
        <v>-</v>
      </c>
      <c r="E81" s="29" t="s">
        <v>216</v>
      </c>
      <c r="F81" s="29" t="s">
        <v>217</v>
      </c>
      <c r="G81" s="80" t="s">
        <v>218</v>
      </c>
      <c r="H81" s="29" t="s">
        <v>219</v>
      </c>
      <c r="I81" s="81"/>
      <c r="J81" s="82" t="s">
        <v>219</v>
      </c>
      <c r="K81" s="81"/>
      <c r="N81" s="77" t="s">
        <v>29</v>
      </c>
      <c r="O81" s="11" t="str">
        <f>'User inputs - run and wind farm'!L21</f>
        <v>-</v>
      </c>
      <c r="Q81" s="29" t="s">
        <v>216</v>
      </c>
      <c r="R81" s="29" t="s">
        <v>217</v>
      </c>
      <c r="S81" s="80" t="s">
        <v>218</v>
      </c>
      <c r="T81" s="29" t="s">
        <v>219</v>
      </c>
      <c r="U81" s="81"/>
      <c r="V81" s="82" t="s">
        <v>219</v>
      </c>
      <c r="W81" s="81"/>
    </row>
    <row r="82" spans="2:23" x14ac:dyDescent="0.2">
      <c r="B82" s="77" t="s">
        <v>248</v>
      </c>
      <c r="C82" s="11" t="str">
        <f>'User inputs - run and wind farm'!M21</f>
        <v>-</v>
      </c>
      <c r="D82" s="93" t="e">
        <f>C82*PI()/180</f>
        <v>#VALUE!</v>
      </c>
      <c r="E82" s="29" t="s">
        <v>220</v>
      </c>
      <c r="F82" s="29" t="s">
        <v>221</v>
      </c>
      <c r="G82" s="81" t="s">
        <v>222</v>
      </c>
      <c r="H82" s="29" t="s">
        <v>223</v>
      </c>
      <c r="I82" s="81" t="s">
        <v>224</v>
      </c>
      <c r="J82" s="82" t="s">
        <v>223</v>
      </c>
      <c r="K82" s="81" t="s">
        <v>224</v>
      </c>
      <c r="N82" s="77" t="s">
        <v>248</v>
      </c>
      <c r="O82" s="11" t="str">
        <f>'User inputs - run and wind farm'!M21</f>
        <v>-</v>
      </c>
      <c r="P82" s="93" t="e">
        <f>O82*PI()/180</f>
        <v>#VALUE!</v>
      </c>
      <c r="Q82" s="29" t="s">
        <v>220</v>
      </c>
      <c r="R82" s="29" t="s">
        <v>221</v>
      </c>
      <c r="S82" s="81" t="s">
        <v>222</v>
      </c>
      <c r="T82" s="29" t="s">
        <v>223</v>
      </c>
      <c r="U82" s="81" t="s">
        <v>224</v>
      </c>
      <c r="V82" s="82" t="s">
        <v>223</v>
      </c>
      <c r="W82" s="81" t="s">
        <v>224</v>
      </c>
    </row>
    <row r="83" spans="2:23" x14ac:dyDescent="0.2">
      <c r="B83" s="77"/>
      <c r="C83" s="77"/>
      <c r="D83" s="83"/>
      <c r="E83" s="84"/>
      <c r="F83" s="84"/>
      <c r="G83" s="85"/>
      <c r="I83" s="86"/>
      <c r="J83" s="87"/>
      <c r="K83" s="86"/>
      <c r="N83" s="77"/>
      <c r="O83" s="77"/>
      <c r="P83" s="83"/>
      <c r="Q83" s="84"/>
      <c r="R83" s="84"/>
      <c r="S83" s="85"/>
      <c r="U83" s="86"/>
      <c r="V83" s="87"/>
      <c r="W83" s="86"/>
    </row>
    <row r="84" spans="2:23" x14ac:dyDescent="0.2">
      <c r="B84" s="77" t="s">
        <v>225</v>
      </c>
      <c r="C84" s="11" t="s">
        <v>16</v>
      </c>
      <c r="D84" s="88"/>
      <c r="E84" s="11">
        <v>0</v>
      </c>
      <c r="F84" s="11"/>
      <c r="G84" s="11"/>
      <c r="H84" s="11"/>
      <c r="I84" s="11">
        <v>1</v>
      </c>
      <c r="J84" s="11"/>
      <c r="K84" s="11">
        <v>1</v>
      </c>
      <c r="N84" s="77" t="s">
        <v>225</v>
      </c>
      <c r="O84" s="11" t="s">
        <v>13</v>
      </c>
      <c r="P84" s="88"/>
      <c r="Q84" s="11">
        <v>0</v>
      </c>
      <c r="R84" s="11"/>
      <c r="S84" s="11"/>
      <c r="T84" s="11"/>
      <c r="U84" s="11">
        <v>1</v>
      </c>
      <c r="V84" s="11"/>
      <c r="W84" s="11">
        <v>1</v>
      </c>
    </row>
    <row r="85" spans="2:23" x14ac:dyDescent="0.2">
      <c r="B85" s="77" t="s">
        <v>294</v>
      </c>
      <c r="C85" s="11">
        <f>'Default parameters'!C5</f>
        <v>0.39</v>
      </c>
      <c r="E85" s="11">
        <f>E84+C$25</f>
        <v>0.05</v>
      </c>
      <c r="F85" s="18">
        <v>0.73</v>
      </c>
      <c r="G85" s="18" t="e">
        <f>$C$89*$C$92/(E85*($C$90)*2*PI())</f>
        <v>#VALUE!</v>
      </c>
      <c r="H85" s="18" t="e">
        <f>ABS($C$81*$F85*SIN($D$82)+($G85*$C$81*$F85*COS($D$82)))+IF($G85&lt;$C$95,$C$85,$C$86*$D$87*$G85)</f>
        <v>#VALUE!</v>
      </c>
      <c r="I85" s="18" t="e">
        <f>MIN(1,($C$80/$C$92)*H85/$C$89)</f>
        <v>#VALUE!</v>
      </c>
      <c r="J85" s="18" t="e">
        <f>ABS(-$C$81*$F85*SIN($D$82)+($G85*$C$81*$F85*COS($D$82)))+IF($G85&lt;$C$95,$C$85,$C$86*$D$87*$G85)</f>
        <v>#VALUE!</v>
      </c>
      <c r="K85" s="18" t="e">
        <f>MIN(1,($C$80/$C$92)*J85/$C$89)</f>
        <v>#VALUE!</v>
      </c>
      <c r="N85" s="77" t="s">
        <v>294</v>
      </c>
      <c r="O85" s="11">
        <f>'Default parameters'!D5</f>
        <v>0.94</v>
      </c>
      <c r="Q85" s="11">
        <f>Q84+O$25</f>
        <v>0.05</v>
      </c>
      <c r="R85" s="18">
        <v>0.73</v>
      </c>
      <c r="S85" s="18" t="e">
        <f>$O$89*$O$92/(Q85*($O$90)*2*PI())</f>
        <v>#VALUE!</v>
      </c>
      <c r="T85" s="18" t="e">
        <f>ABS($O$81*$R85*SIN($P$82)+($S85*$O$81*$R85*COS($P$82)))+IF($S85&lt;$O$95,$O$85,$O$86*$P$87*$S85)</f>
        <v>#VALUE!</v>
      </c>
      <c r="U85" s="18" t="e">
        <f>MIN(1,($O$80/$O$92)*T85/$O$89)</f>
        <v>#VALUE!</v>
      </c>
      <c r="V85" s="18" t="e">
        <f>ABS(-$O$81*$R85*SIN($P$82)+($S85*$O$81*$R85*COS($P$82)))+IF($S85&lt;$O$95,$O$85,$O$86*$P$87*$S85)</f>
        <v>#VALUE!</v>
      </c>
      <c r="W85" s="18" t="e">
        <f>MIN(1,($O$80/$O$92)*V85/$O$89)</f>
        <v>#VALUE!</v>
      </c>
    </row>
    <row r="86" spans="2:23" x14ac:dyDescent="0.2">
      <c r="B86" s="77" t="s">
        <v>295</v>
      </c>
      <c r="C86" s="11">
        <f>'Default parameters'!C6</f>
        <v>1.08</v>
      </c>
      <c r="E86" s="11">
        <f t="shared" ref="E86:E104" si="24">E85+C$25</f>
        <v>0.1</v>
      </c>
      <c r="F86" s="18">
        <v>0.79</v>
      </c>
      <c r="G86" s="18" t="e">
        <f t="shared" ref="G86:G104" si="25">$C$89*$C$92/(E86*($C$90)*2*PI())</f>
        <v>#VALUE!</v>
      </c>
      <c r="H86" s="18" t="e">
        <f t="shared" ref="H86:H104" si="26">ABS($C$81*$F86*SIN($D$82)+($G86*$C$81*$F86*COS($D$82)))+IF($G86&lt;$C$95,$C$85,$C$86*$D$87*$G86)</f>
        <v>#VALUE!</v>
      </c>
      <c r="I86" s="18" t="e">
        <f t="shared" ref="I86:I104" si="27">MIN(1,($C$80/$C$92)*H86/$C$89)</f>
        <v>#VALUE!</v>
      </c>
      <c r="J86" s="18" t="e">
        <f t="shared" ref="J86:J104" si="28">ABS(-$C$81*$F86*SIN($D$82)+($G86*$C$81*$F86*COS($D$82)))+IF($G86&lt;$C$95,$C$85,$C$86*$D$87*$G86)</f>
        <v>#VALUE!</v>
      </c>
      <c r="K86" s="18" t="e">
        <f t="shared" ref="K86:K104" si="29">MIN(1,($C$80/$C$92)*J86/$C$89)</f>
        <v>#VALUE!</v>
      </c>
      <c r="N86" s="77" t="s">
        <v>295</v>
      </c>
      <c r="O86" s="11">
        <f>'Default parameters'!D6</f>
        <v>1.72</v>
      </c>
      <c r="Q86" s="11">
        <f t="shared" ref="Q86:Q104" si="30">Q85+O$25</f>
        <v>0.1</v>
      </c>
      <c r="R86" s="18">
        <v>0.79</v>
      </c>
      <c r="S86" s="18" t="e">
        <f t="shared" ref="S86:S104" si="31">$O$89*$O$92/(Q86*($O$90)*2*PI())</f>
        <v>#VALUE!</v>
      </c>
      <c r="T86" s="18" t="e">
        <f t="shared" ref="T86:T104" si="32">ABS($O$81*$R86*SIN($P$82)+($S86*$O$81*$R86*COS($P$82)))+IF($S86&lt;$O$95,$O$85,$O$86*$P$87*$S86)</f>
        <v>#VALUE!</v>
      </c>
      <c r="U86" s="18" t="e">
        <f t="shared" ref="U86:U104" si="33">MIN(1,($O$80/$O$92)*T86/$O$89)</f>
        <v>#VALUE!</v>
      </c>
      <c r="V86" s="18" t="e">
        <f t="shared" ref="V86:V104" si="34">ABS(-$O$81*$R86*SIN($P$82)+($S86*$O$81*$R86*COS($P$82)))+IF($S86&lt;$O$95,$O$85,$O$86*$P$87*$S86)</f>
        <v>#VALUE!</v>
      </c>
      <c r="W86" s="18" t="e">
        <f t="shared" ref="W86:W104" si="35">MIN(1,($O$80/$O$92)*V86/$O$89)</f>
        <v>#VALUE!</v>
      </c>
    </row>
    <row r="87" spans="2:23" x14ac:dyDescent="0.2">
      <c r="B87" s="77" t="s">
        <v>226</v>
      </c>
      <c r="C87" s="11">
        <f>IF('Default parameters'!C8="Flapping",0,1)</f>
        <v>0</v>
      </c>
      <c r="D87" s="41">
        <f>IF(C87,2/PI(),1)</f>
        <v>1</v>
      </c>
      <c r="E87" s="11">
        <f t="shared" si="24"/>
        <v>0.15000000000000002</v>
      </c>
      <c r="F87" s="18">
        <v>0.88</v>
      </c>
      <c r="G87" s="18" t="e">
        <f t="shared" si="25"/>
        <v>#VALUE!</v>
      </c>
      <c r="H87" s="18" t="e">
        <f t="shared" si="26"/>
        <v>#VALUE!</v>
      </c>
      <c r="I87" s="18" t="e">
        <f t="shared" si="27"/>
        <v>#VALUE!</v>
      </c>
      <c r="J87" s="18" t="e">
        <f t="shared" si="28"/>
        <v>#VALUE!</v>
      </c>
      <c r="K87" s="18" t="e">
        <f t="shared" si="29"/>
        <v>#VALUE!</v>
      </c>
      <c r="N87" s="77" t="s">
        <v>226</v>
      </c>
      <c r="O87" s="11">
        <f>IF('Default parameters'!D8="Flapping",0,1)</f>
        <v>0</v>
      </c>
      <c r="P87" s="93">
        <f>IF(O87,2/PI(),1)</f>
        <v>1</v>
      </c>
      <c r="Q87" s="11">
        <f t="shared" si="30"/>
        <v>0.15000000000000002</v>
      </c>
      <c r="R87" s="18">
        <v>0.88</v>
      </c>
      <c r="S87" s="18" t="e">
        <f t="shared" si="31"/>
        <v>#VALUE!</v>
      </c>
      <c r="T87" s="18" t="e">
        <f t="shared" si="32"/>
        <v>#VALUE!</v>
      </c>
      <c r="U87" s="18" t="e">
        <f t="shared" si="33"/>
        <v>#VALUE!</v>
      </c>
      <c r="V87" s="18" t="e">
        <f t="shared" si="34"/>
        <v>#VALUE!</v>
      </c>
      <c r="W87" s="18" t="e">
        <f t="shared" si="35"/>
        <v>#VALUE!</v>
      </c>
    </row>
    <row r="88" spans="2:23" x14ac:dyDescent="0.2">
      <c r="B88" s="77" t="s">
        <v>227</v>
      </c>
      <c r="C88" s="11">
        <f>'Default parameters'!C9</f>
        <v>0.5</v>
      </c>
      <c r="E88" s="11">
        <f t="shared" si="24"/>
        <v>0.2</v>
      </c>
      <c r="F88" s="18">
        <v>0.96</v>
      </c>
      <c r="G88" s="18" t="e">
        <f t="shared" si="25"/>
        <v>#VALUE!</v>
      </c>
      <c r="H88" s="18" t="e">
        <f t="shared" si="26"/>
        <v>#VALUE!</v>
      </c>
      <c r="I88" s="18" t="e">
        <f t="shared" si="27"/>
        <v>#VALUE!</v>
      </c>
      <c r="J88" s="18" t="e">
        <f t="shared" si="28"/>
        <v>#VALUE!</v>
      </c>
      <c r="K88" s="18" t="e">
        <f t="shared" si="29"/>
        <v>#VALUE!</v>
      </c>
      <c r="N88" s="77" t="s">
        <v>227</v>
      </c>
      <c r="O88" s="11">
        <f>'Default parameters'!D9</f>
        <v>0.5</v>
      </c>
      <c r="Q88" s="11">
        <f t="shared" si="30"/>
        <v>0.2</v>
      </c>
      <c r="R88" s="18">
        <v>0.96</v>
      </c>
      <c r="S88" s="18" t="e">
        <f t="shared" si="31"/>
        <v>#VALUE!</v>
      </c>
      <c r="T88" s="18" t="e">
        <f t="shared" si="32"/>
        <v>#VALUE!</v>
      </c>
      <c r="U88" s="18" t="e">
        <f t="shared" si="33"/>
        <v>#VALUE!</v>
      </c>
      <c r="V88" s="18" t="e">
        <f t="shared" si="34"/>
        <v>#VALUE!</v>
      </c>
      <c r="W88" s="18" t="e">
        <f t="shared" si="35"/>
        <v>#VALUE!</v>
      </c>
    </row>
    <row r="89" spans="2:23" x14ac:dyDescent="0.2">
      <c r="B89" s="77" t="s">
        <v>293</v>
      </c>
      <c r="C89" s="11">
        <f>'Default parameters'!C7</f>
        <v>13.1</v>
      </c>
      <c r="E89" s="11">
        <f t="shared" si="24"/>
        <v>0.25</v>
      </c>
      <c r="F89" s="18">
        <v>1</v>
      </c>
      <c r="G89" s="18" t="e">
        <f t="shared" si="25"/>
        <v>#VALUE!</v>
      </c>
      <c r="H89" s="18" t="e">
        <f t="shared" si="26"/>
        <v>#VALUE!</v>
      </c>
      <c r="I89" s="18" t="e">
        <f t="shared" si="27"/>
        <v>#VALUE!</v>
      </c>
      <c r="J89" s="18" t="e">
        <f t="shared" si="28"/>
        <v>#VALUE!</v>
      </c>
      <c r="K89" s="18" t="e">
        <f t="shared" si="29"/>
        <v>#VALUE!</v>
      </c>
      <c r="N89" s="77" t="s">
        <v>293</v>
      </c>
      <c r="O89" s="11">
        <f>'Default parameters'!D7</f>
        <v>14.9</v>
      </c>
      <c r="Q89" s="11">
        <f t="shared" si="30"/>
        <v>0.25</v>
      </c>
      <c r="R89" s="18">
        <v>1</v>
      </c>
      <c r="S89" s="18" t="e">
        <f t="shared" si="31"/>
        <v>#VALUE!</v>
      </c>
      <c r="T89" s="18" t="e">
        <f t="shared" si="32"/>
        <v>#VALUE!</v>
      </c>
      <c r="U89" s="18" t="e">
        <f t="shared" si="33"/>
        <v>#VALUE!</v>
      </c>
      <c r="V89" s="18" t="e">
        <f t="shared" si="34"/>
        <v>#VALUE!</v>
      </c>
      <c r="W89" s="18" t="e">
        <f t="shared" si="35"/>
        <v>#VALUE!</v>
      </c>
    </row>
    <row r="90" spans="2:23" x14ac:dyDescent="0.2">
      <c r="B90" s="77" t="s">
        <v>292</v>
      </c>
      <c r="C90" s="11">
        <f>'User inputs - run and wind farm'!F19/2</f>
        <v>0</v>
      </c>
      <c r="E90" s="11">
        <f t="shared" si="24"/>
        <v>0.3</v>
      </c>
      <c r="F90" s="18">
        <v>0.98</v>
      </c>
      <c r="G90" s="18" t="e">
        <f t="shared" si="25"/>
        <v>#VALUE!</v>
      </c>
      <c r="H90" s="18" t="e">
        <f t="shared" si="26"/>
        <v>#VALUE!</v>
      </c>
      <c r="I90" s="18" t="e">
        <f t="shared" si="27"/>
        <v>#VALUE!</v>
      </c>
      <c r="J90" s="18" t="e">
        <f t="shared" si="28"/>
        <v>#VALUE!</v>
      </c>
      <c r="K90" s="18" t="e">
        <f t="shared" si="29"/>
        <v>#VALUE!</v>
      </c>
      <c r="N90" s="77" t="s">
        <v>292</v>
      </c>
      <c r="O90" s="11">
        <f>'User inputs - run and wind farm'!F19/2</f>
        <v>0</v>
      </c>
      <c r="Q90" s="11">
        <f t="shared" si="30"/>
        <v>0.3</v>
      </c>
      <c r="R90" s="18">
        <v>0.98</v>
      </c>
      <c r="S90" s="18" t="e">
        <f t="shared" si="31"/>
        <v>#VALUE!</v>
      </c>
      <c r="T90" s="18" t="e">
        <f t="shared" si="32"/>
        <v>#VALUE!</v>
      </c>
      <c r="U90" s="18" t="e">
        <f t="shared" si="33"/>
        <v>#VALUE!</v>
      </c>
      <c r="V90" s="18" t="e">
        <f t="shared" si="34"/>
        <v>#VALUE!</v>
      </c>
      <c r="W90" s="18" t="e">
        <f t="shared" si="35"/>
        <v>#VALUE!</v>
      </c>
    </row>
    <row r="91" spans="2:23" x14ac:dyDescent="0.2">
      <c r="B91" s="14" t="s">
        <v>235</v>
      </c>
      <c r="C91" s="11" t="str">
        <f>'User inputs - run and wind farm'!K21</f>
        <v>-</v>
      </c>
      <c r="E91" s="11">
        <f t="shared" si="24"/>
        <v>0.35</v>
      </c>
      <c r="F91" s="18">
        <v>0.92</v>
      </c>
      <c r="G91" s="18" t="e">
        <f t="shared" si="25"/>
        <v>#VALUE!</v>
      </c>
      <c r="H91" s="18" t="e">
        <f t="shared" si="26"/>
        <v>#VALUE!</v>
      </c>
      <c r="I91" s="18" t="e">
        <f t="shared" si="27"/>
        <v>#VALUE!</v>
      </c>
      <c r="J91" s="18" t="e">
        <f t="shared" si="28"/>
        <v>#VALUE!</v>
      </c>
      <c r="K91" s="18" t="e">
        <f t="shared" si="29"/>
        <v>#VALUE!</v>
      </c>
      <c r="N91" s="14" t="s">
        <v>235</v>
      </c>
      <c r="O91" s="11" t="str">
        <f>'User inputs - run and wind farm'!K21</f>
        <v>-</v>
      </c>
      <c r="Q91" s="11">
        <f t="shared" si="30"/>
        <v>0.35</v>
      </c>
      <c r="R91" s="18">
        <v>0.92</v>
      </c>
      <c r="S91" s="18" t="e">
        <f t="shared" si="31"/>
        <v>#VALUE!</v>
      </c>
      <c r="T91" s="18" t="e">
        <f t="shared" si="32"/>
        <v>#VALUE!</v>
      </c>
      <c r="U91" s="18" t="e">
        <f t="shared" si="33"/>
        <v>#VALUE!</v>
      </c>
      <c r="V91" s="18" t="e">
        <f t="shared" si="34"/>
        <v>#VALUE!</v>
      </c>
      <c r="W91" s="18" t="e">
        <f t="shared" si="35"/>
        <v>#VALUE!</v>
      </c>
    </row>
    <row r="92" spans="2:23" x14ac:dyDescent="0.2">
      <c r="B92" s="77" t="s">
        <v>296</v>
      </c>
      <c r="C92" s="18" t="e">
        <f>60/C91</f>
        <v>#VALUE!</v>
      </c>
      <c r="E92" s="11">
        <f t="shared" si="24"/>
        <v>0.39999999999999997</v>
      </c>
      <c r="F92" s="18">
        <v>0.85</v>
      </c>
      <c r="G92" s="18" t="e">
        <f t="shared" si="25"/>
        <v>#VALUE!</v>
      </c>
      <c r="H92" s="18" t="e">
        <f t="shared" si="26"/>
        <v>#VALUE!</v>
      </c>
      <c r="I92" s="18" t="e">
        <f t="shared" si="27"/>
        <v>#VALUE!</v>
      </c>
      <c r="J92" s="18" t="e">
        <f t="shared" si="28"/>
        <v>#VALUE!</v>
      </c>
      <c r="K92" s="18" t="e">
        <f t="shared" si="29"/>
        <v>#VALUE!</v>
      </c>
      <c r="N92" s="77" t="s">
        <v>296</v>
      </c>
      <c r="O92" s="18" t="e">
        <f>60/O91</f>
        <v>#VALUE!</v>
      </c>
      <c r="Q92" s="11">
        <f t="shared" si="30"/>
        <v>0.39999999999999997</v>
      </c>
      <c r="R92" s="18">
        <v>0.85</v>
      </c>
      <c r="S92" s="18" t="e">
        <f t="shared" si="31"/>
        <v>#VALUE!</v>
      </c>
      <c r="T92" s="18" t="e">
        <f t="shared" si="32"/>
        <v>#VALUE!</v>
      </c>
      <c r="U92" s="18" t="e">
        <f t="shared" si="33"/>
        <v>#VALUE!</v>
      </c>
      <c r="V92" s="18" t="e">
        <f t="shared" si="34"/>
        <v>#VALUE!</v>
      </c>
      <c r="W92" s="18" t="e">
        <f t="shared" si="35"/>
        <v>#VALUE!</v>
      </c>
    </row>
    <row r="93" spans="2:23" x14ac:dyDescent="0.2">
      <c r="E93" s="11">
        <f t="shared" si="24"/>
        <v>0.44999999999999996</v>
      </c>
      <c r="F93" s="18">
        <v>0.8</v>
      </c>
      <c r="G93" s="18" t="e">
        <f t="shared" si="25"/>
        <v>#VALUE!</v>
      </c>
      <c r="H93" s="18" t="e">
        <f t="shared" si="26"/>
        <v>#VALUE!</v>
      </c>
      <c r="I93" s="18" t="e">
        <f t="shared" si="27"/>
        <v>#VALUE!</v>
      </c>
      <c r="J93" s="18" t="e">
        <f t="shared" si="28"/>
        <v>#VALUE!</v>
      </c>
      <c r="K93" s="18" t="e">
        <f t="shared" si="29"/>
        <v>#VALUE!</v>
      </c>
      <c r="Q93" s="11">
        <f t="shared" si="30"/>
        <v>0.44999999999999996</v>
      </c>
      <c r="R93" s="18">
        <v>0.8</v>
      </c>
      <c r="S93" s="18" t="e">
        <f t="shared" si="31"/>
        <v>#VALUE!</v>
      </c>
      <c r="T93" s="18" t="e">
        <f t="shared" si="32"/>
        <v>#VALUE!</v>
      </c>
      <c r="U93" s="18" t="e">
        <f t="shared" si="33"/>
        <v>#VALUE!</v>
      </c>
      <c r="V93" s="18" t="e">
        <f t="shared" si="34"/>
        <v>#VALUE!</v>
      </c>
      <c r="W93" s="18" t="e">
        <f t="shared" si="35"/>
        <v>#VALUE!</v>
      </c>
    </row>
    <row r="94" spans="2:23" x14ac:dyDescent="0.2">
      <c r="C94" s="89"/>
      <c r="E94" s="11">
        <f t="shared" si="24"/>
        <v>0.49999999999999994</v>
      </c>
      <c r="F94" s="18">
        <v>0.75</v>
      </c>
      <c r="G94" s="18" t="e">
        <f t="shared" si="25"/>
        <v>#VALUE!</v>
      </c>
      <c r="H94" s="18" t="e">
        <f t="shared" si="26"/>
        <v>#VALUE!</v>
      </c>
      <c r="I94" s="18" t="e">
        <f t="shared" si="27"/>
        <v>#VALUE!</v>
      </c>
      <c r="J94" s="18" t="e">
        <f t="shared" si="28"/>
        <v>#VALUE!</v>
      </c>
      <c r="K94" s="18" t="e">
        <f t="shared" si="29"/>
        <v>#VALUE!</v>
      </c>
      <c r="O94" s="89"/>
      <c r="Q94" s="11">
        <f t="shared" si="30"/>
        <v>0.49999999999999994</v>
      </c>
      <c r="R94" s="18">
        <v>0.75</v>
      </c>
      <c r="S94" s="18" t="e">
        <f t="shared" si="31"/>
        <v>#VALUE!</v>
      </c>
      <c r="T94" s="18" t="e">
        <f t="shared" si="32"/>
        <v>#VALUE!</v>
      </c>
      <c r="U94" s="18" t="e">
        <f t="shared" si="33"/>
        <v>#VALUE!</v>
      </c>
      <c r="V94" s="18" t="e">
        <f t="shared" si="34"/>
        <v>#VALUE!</v>
      </c>
      <c r="W94" s="18" t="e">
        <f t="shared" si="35"/>
        <v>#VALUE!</v>
      </c>
    </row>
    <row r="95" spans="2:23" ht="15" x14ac:dyDescent="0.25">
      <c r="B95" s="14" t="s">
        <v>291</v>
      </c>
      <c r="C95" s="26">
        <f>C85/C86</f>
        <v>0.3611111111111111</v>
      </c>
      <c r="E95" s="11">
        <f t="shared" si="24"/>
        <v>0.54999999999999993</v>
      </c>
      <c r="F95" s="18">
        <v>0.7</v>
      </c>
      <c r="G95" s="18" t="e">
        <f t="shared" si="25"/>
        <v>#VALUE!</v>
      </c>
      <c r="H95" s="18" t="e">
        <f t="shared" si="26"/>
        <v>#VALUE!</v>
      </c>
      <c r="I95" s="18" t="e">
        <f t="shared" si="27"/>
        <v>#VALUE!</v>
      </c>
      <c r="J95" s="18" t="e">
        <f t="shared" si="28"/>
        <v>#VALUE!</v>
      </c>
      <c r="K95" s="18" t="e">
        <f t="shared" si="29"/>
        <v>#VALUE!</v>
      </c>
      <c r="N95" s="14" t="s">
        <v>291</v>
      </c>
      <c r="O95" s="26">
        <f>O85/O86</f>
        <v>0.54651162790697672</v>
      </c>
      <c r="Q95" s="11">
        <f t="shared" si="30"/>
        <v>0.54999999999999993</v>
      </c>
      <c r="R95" s="18">
        <v>0.7</v>
      </c>
      <c r="S95" s="18" t="e">
        <f t="shared" si="31"/>
        <v>#VALUE!</v>
      </c>
      <c r="T95" s="18" t="e">
        <f t="shared" si="32"/>
        <v>#VALUE!</v>
      </c>
      <c r="U95" s="18" t="e">
        <f t="shared" si="33"/>
        <v>#VALUE!</v>
      </c>
      <c r="V95" s="18" t="e">
        <f t="shared" si="34"/>
        <v>#VALUE!</v>
      </c>
      <c r="W95" s="18" t="e">
        <f t="shared" si="35"/>
        <v>#VALUE!</v>
      </c>
    </row>
    <row r="96" spans="2:23" x14ac:dyDescent="0.2">
      <c r="C96" s="89"/>
      <c r="E96" s="11">
        <f t="shared" si="24"/>
        <v>0.6</v>
      </c>
      <c r="F96" s="18">
        <v>0.64</v>
      </c>
      <c r="G96" s="18" t="e">
        <f t="shared" si="25"/>
        <v>#VALUE!</v>
      </c>
      <c r="H96" s="18" t="e">
        <f t="shared" si="26"/>
        <v>#VALUE!</v>
      </c>
      <c r="I96" s="18" t="e">
        <f t="shared" si="27"/>
        <v>#VALUE!</v>
      </c>
      <c r="J96" s="18" t="e">
        <f t="shared" si="28"/>
        <v>#VALUE!</v>
      </c>
      <c r="K96" s="18" t="e">
        <f t="shared" si="29"/>
        <v>#VALUE!</v>
      </c>
      <c r="O96" s="89"/>
      <c r="Q96" s="11">
        <f t="shared" si="30"/>
        <v>0.6</v>
      </c>
      <c r="R96" s="18">
        <v>0.64</v>
      </c>
      <c r="S96" s="18" t="e">
        <f t="shared" si="31"/>
        <v>#VALUE!</v>
      </c>
      <c r="T96" s="18" t="e">
        <f t="shared" si="32"/>
        <v>#VALUE!</v>
      </c>
      <c r="U96" s="18" t="e">
        <f t="shared" si="33"/>
        <v>#VALUE!</v>
      </c>
      <c r="V96" s="18" t="e">
        <f t="shared" si="34"/>
        <v>#VALUE!</v>
      </c>
      <c r="W96" s="18" t="e">
        <f t="shared" si="35"/>
        <v>#VALUE!</v>
      </c>
    </row>
    <row r="97" spans="2:23" x14ac:dyDescent="0.2">
      <c r="B97" s="14" t="s">
        <v>228</v>
      </c>
      <c r="C97" s="11">
        <v>0.05</v>
      </c>
      <c r="E97" s="11">
        <f t="shared" si="24"/>
        <v>0.65</v>
      </c>
      <c r="F97" s="18">
        <v>0.57999999999999996</v>
      </c>
      <c r="G97" s="18" t="e">
        <f t="shared" si="25"/>
        <v>#VALUE!</v>
      </c>
      <c r="H97" s="18" t="e">
        <f t="shared" si="26"/>
        <v>#VALUE!</v>
      </c>
      <c r="I97" s="18" t="e">
        <f t="shared" si="27"/>
        <v>#VALUE!</v>
      </c>
      <c r="J97" s="18" t="e">
        <f t="shared" si="28"/>
        <v>#VALUE!</v>
      </c>
      <c r="K97" s="18" t="e">
        <f t="shared" si="29"/>
        <v>#VALUE!</v>
      </c>
      <c r="N97" s="14" t="s">
        <v>228</v>
      </c>
      <c r="O97" s="11">
        <v>0.05</v>
      </c>
      <c r="Q97" s="11">
        <f t="shared" si="30"/>
        <v>0.65</v>
      </c>
      <c r="R97" s="18">
        <v>0.57999999999999996</v>
      </c>
      <c r="S97" s="18" t="e">
        <f t="shared" si="31"/>
        <v>#VALUE!</v>
      </c>
      <c r="T97" s="18" t="e">
        <f t="shared" si="32"/>
        <v>#VALUE!</v>
      </c>
      <c r="U97" s="18" t="e">
        <f t="shared" si="33"/>
        <v>#VALUE!</v>
      </c>
      <c r="V97" s="18" t="e">
        <f t="shared" si="34"/>
        <v>#VALUE!</v>
      </c>
      <c r="W97" s="18" t="e">
        <f t="shared" si="35"/>
        <v>#VALUE!</v>
      </c>
    </row>
    <row r="98" spans="2:23" x14ac:dyDescent="0.2">
      <c r="C98" s="89"/>
      <c r="E98" s="11">
        <f t="shared" si="24"/>
        <v>0.70000000000000007</v>
      </c>
      <c r="F98" s="18">
        <v>0.52</v>
      </c>
      <c r="G98" s="18" t="e">
        <f t="shared" si="25"/>
        <v>#VALUE!</v>
      </c>
      <c r="H98" s="18" t="e">
        <f t="shared" si="26"/>
        <v>#VALUE!</v>
      </c>
      <c r="I98" s="18" t="e">
        <f t="shared" si="27"/>
        <v>#VALUE!</v>
      </c>
      <c r="J98" s="18" t="e">
        <f t="shared" si="28"/>
        <v>#VALUE!</v>
      </c>
      <c r="K98" s="18" t="e">
        <f t="shared" si="29"/>
        <v>#VALUE!</v>
      </c>
      <c r="O98" s="89"/>
      <c r="Q98" s="11">
        <f t="shared" si="30"/>
        <v>0.70000000000000007</v>
      </c>
      <c r="R98" s="18">
        <v>0.52</v>
      </c>
      <c r="S98" s="18" t="e">
        <f t="shared" si="31"/>
        <v>#VALUE!</v>
      </c>
      <c r="T98" s="18" t="e">
        <f t="shared" si="32"/>
        <v>#VALUE!</v>
      </c>
      <c r="U98" s="18" t="e">
        <f t="shared" si="33"/>
        <v>#VALUE!</v>
      </c>
      <c r="V98" s="18" t="e">
        <f t="shared" si="34"/>
        <v>#VALUE!</v>
      </c>
      <c r="W98" s="18" t="e">
        <f t="shared" si="35"/>
        <v>#VALUE!</v>
      </c>
    </row>
    <row r="99" spans="2:23" x14ac:dyDescent="0.2">
      <c r="C99" s="89"/>
      <c r="E99" s="11">
        <f t="shared" si="24"/>
        <v>0.75000000000000011</v>
      </c>
      <c r="F99" s="18">
        <v>0.47</v>
      </c>
      <c r="G99" s="18" t="e">
        <f t="shared" si="25"/>
        <v>#VALUE!</v>
      </c>
      <c r="H99" s="18" t="e">
        <f t="shared" si="26"/>
        <v>#VALUE!</v>
      </c>
      <c r="I99" s="18" t="e">
        <f t="shared" si="27"/>
        <v>#VALUE!</v>
      </c>
      <c r="J99" s="18" t="e">
        <f t="shared" si="28"/>
        <v>#VALUE!</v>
      </c>
      <c r="K99" s="18" t="e">
        <f t="shared" si="29"/>
        <v>#VALUE!</v>
      </c>
      <c r="O99" s="89"/>
      <c r="Q99" s="11">
        <f t="shared" si="30"/>
        <v>0.75000000000000011</v>
      </c>
      <c r="R99" s="18">
        <v>0.47</v>
      </c>
      <c r="S99" s="18" t="e">
        <f t="shared" si="31"/>
        <v>#VALUE!</v>
      </c>
      <c r="T99" s="18" t="e">
        <f t="shared" si="32"/>
        <v>#VALUE!</v>
      </c>
      <c r="U99" s="18" t="e">
        <f t="shared" si="33"/>
        <v>#VALUE!</v>
      </c>
      <c r="V99" s="18" t="e">
        <f t="shared" si="34"/>
        <v>#VALUE!</v>
      </c>
      <c r="W99" s="18" t="e">
        <f t="shared" si="35"/>
        <v>#VALUE!</v>
      </c>
    </row>
    <row r="100" spans="2:23" x14ac:dyDescent="0.2">
      <c r="C100" s="90"/>
      <c r="E100" s="11">
        <f t="shared" si="24"/>
        <v>0.80000000000000016</v>
      </c>
      <c r="F100" s="18">
        <v>0.41</v>
      </c>
      <c r="G100" s="18" t="e">
        <f t="shared" si="25"/>
        <v>#VALUE!</v>
      </c>
      <c r="H100" s="18" t="e">
        <f t="shared" si="26"/>
        <v>#VALUE!</v>
      </c>
      <c r="I100" s="18" t="e">
        <f t="shared" si="27"/>
        <v>#VALUE!</v>
      </c>
      <c r="J100" s="18" t="e">
        <f t="shared" si="28"/>
        <v>#VALUE!</v>
      </c>
      <c r="K100" s="18" t="e">
        <f t="shared" si="29"/>
        <v>#VALUE!</v>
      </c>
      <c r="O100" s="90"/>
      <c r="Q100" s="11">
        <f t="shared" si="30"/>
        <v>0.80000000000000016</v>
      </c>
      <c r="R100" s="18">
        <v>0.41</v>
      </c>
      <c r="S100" s="18" t="e">
        <f t="shared" si="31"/>
        <v>#VALUE!</v>
      </c>
      <c r="T100" s="18" t="e">
        <f t="shared" si="32"/>
        <v>#VALUE!</v>
      </c>
      <c r="U100" s="18" t="e">
        <f t="shared" si="33"/>
        <v>#VALUE!</v>
      </c>
      <c r="V100" s="18" t="e">
        <f t="shared" si="34"/>
        <v>#VALUE!</v>
      </c>
      <c r="W100" s="18" t="e">
        <f t="shared" si="35"/>
        <v>#VALUE!</v>
      </c>
    </row>
    <row r="101" spans="2:23" x14ac:dyDescent="0.2">
      <c r="E101" s="11">
        <f t="shared" si="24"/>
        <v>0.8500000000000002</v>
      </c>
      <c r="F101" s="18">
        <v>0.37</v>
      </c>
      <c r="G101" s="18" t="e">
        <f t="shared" si="25"/>
        <v>#VALUE!</v>
      </c>
      <c r="H101" s="18" t="e">
        <f t="shared" si="26"/>
        <v>#VALUE!</v>
      </c>
      <c r="I101" s="18" t="e">
        <f t="shared" si="27"/>
        <v>#VALUE!</v>
      </c>
      <c r="J101" s="18" t="e">
        <f t="shared" si="28"/>
        <v>#VALUE!</v>
      </c>
      <c r="K101" s="18" t="e">
        <f t="shared" si="29"/>
        <v>#VALUE!</v>
      </c>
      <c r="Q101" s="11">
        <f t="shared" si="30"/>
        <v>0.8500000000000002</v>
      </c>
      <c r="R101" s="18">
        <v>0.37</v>
      </c>
      <c r="S101" s="18" t="e">
        <f t="shared" si="31"/>
        <v>#VALUE!</v>
      </c>
      <c r="T101" s="18" t="e">
        <f t="shared" si="32"/>
        <v>#VALUE!</v>
      </c>
      <c r="U101" s="18" t="e">
        <f t="shared" si="33"/>
        <v>#VALUE!</v>
      </c>
      <c r="V101" s="18" t="e">
        <f t="shared" si="34"/>
        <v>#VALUE!</v>
      </c>
      <c r="W101" s="18" t="e">
        <f t="shared" si="35"/>
        <v>#VALUE!</v>
      </c>
    </row>
    <row r="102" spans="2:23" x14ac:dyDescent="0.2">
      <c r="E102" s="11">
        <f t="shared" si="24"/>
        <v>0.90000000000000024</v>
      </c>
      <c r="F102" s="18">
        <v>0.3</v>
      </c>
      <c r="G102" s="18" t="e">
        <f t="shared" si="25"/>
        <v>#VALUE!</v>
      </c>
      <c r="H102" s="18" t="e">
        <f t="shared" si="26"/>
        <v>#VALUE!</v>
      </c>
      <c r="I102" s="18" t="e">
        <f t="shared" si="27"/>
        <v>#VALUE!</v>
      </c>
      <c r="J102" s="18" t="e">
        <f t="shared" si="28"/>
        <v>#VALUE!</v>
      </c>
      <c r="K102" s="18" t="e">
        <f t="shared" si="29"/>
        <v>#VALUE!</v>
      </c>
      <c r="Q102" s="11">
        <f t="shared" si="30"/>
        <v>0.90000000000000024</v>
      </c>
      <c r="R102" s="18">
        <v>0.3</v>
      </c>
      <c r="S102" s="18" t="e">
        <f t="shared" si="31"/>
        <v>#VALUE!</v>
      </c>
      <c r="T102" s="18" t="e">
        <f t="shared" si="32"/>
        <v>#VALUE!</v>
      </c>
      <c r="U102" s="18" t="e">
        <f t="shared" si="33"/>
        <v>#VALUE!</v>
      </c>
      <c r="V102" s="18" t="e">
        <f t="shared" si="34"/>
        <v>#VALUE!</v>
      </c>
      <c r="W102" s="18" t="e">
        <f t="shared" si="35"/>
        <v>#VALUE!</v>
      </c>
    </row>
    <row r="103" spans="2:23" x14ac:dyDescent="0.2">
      <c r="E103" s="11">
        <f t="shared" si="24"/>
        <v>0.95000000000000029</v>
      </c>
      <c r="F103" s="18">
        <v>0.24</v>
      </c>
      <c r="G103" s="18" t="e">
        <f t="shared" si="25"/>
        <v>#VALUE!</v>
      </c>
      <c r="H103" s="18" t="e">
        <f t="shared" si="26"/>
        <v>#VALUE!</v>
      </c>
      <c r="I103" s="18" t="e">
        <f t="shared" si="27"/>
        <v>#VALUE!</v>
      </c>
      <c r="J103" s="18" t="e">
        <f t="shared" si="28"/>
        <v>#VALUE!</v>
      </c>
      <c r="K103" s="18" t="e">
        <f t="shared" si="29"/>
        <v>#VALUE!</v>
      </c>
      <c r="Q103" s="11">
        <f t="shared" si="30"/>
        <v>0.95000000000000029</v>
      </c>
      <c r="R103" s="18">
        <v>0.24</v>
      </c>
      <c r="S103" s="18" t="e">
        <f t="shared" si="31"/>
        <v>#VALUE!</v>
      </c>
      <c r="T103" s="18" t="e">
        <f t="shared" si="32"/>
        <v>#VALUE!</v>
      </c>
      <c r="U103" s="18" t="e">
        <f t="shared" si="33"/>
        <v>#VALUE!</v>
      </c>
      <c r="V103" s="18" t="e">
        <f t="shared" si="34"/>
        <v>#VALUE!</v>
      </c>
      <c r="W103" s="18" t="e">
        <f t="shared" si="35"/>
        <v>#VALUE!</v>
      </c>
    </row>
    <row r="104" spans="2:23" x14ac:dyDescent="0.2">
      <c r="E104" s="11">
        <f t="shared" si="24"/>
        <v>1.0000000000000002</v>
      </c>
      <c r="F104" s="18">
        <v>0</v>
      </c>
      <c r="G104" s="18" t="e">
        <f t="shared" si="25"/>
        <v>#VALUE!</v>
      </c>
      <c r="H104" s="18" t="e">
        <f t="shared" si="26"/>
        <v>#VALUE!</v>
      </c>
      <c r="I104" s="18" t="e">
        <f t="shared" si="27"/>
        <v>#VALUE!</v>
      </c>
      <c r="J104" s="18" t="e">
        <f t="shared" si="28"/>
        <v>#VALUE!</v>
      </c>
      <c r="K104" s="18" t="e">
        <f t="shared" si="29"/>
        <v>#VALUE!</v>
      </c>
      <c r="Q104" s="11">
        <f t="shared" si="30"/>
        <v>1.0000000000000002</v>
      </c>
      <c r="R104" s="18">
        <v>0</v>
      </c>
      <c r="S104" s="18" t="e">
        <f t="shared" si="31"/>
        <v>#VALUE!</v>
      </c>
      <c r="T104" s="18" t="e">
        <f t="shared" si="32"/>
        <v>#VALUE!</v>
      </c>
      <c r="U104" s="18" t="e">
        <f t="shared" si="33"/>
        <v>#VALUE!</v>
      </c>
      <c r="V104" s="18" t="e">
        <f t="shared" si="34"/>
        <v>#VALUE!</v>
      </c>
      <c r="W104" s="18" t="e">
        <f t="shared" si="35"/>
        <v>#VALUE!</v>
      </c>
    </row>
    <row r="105" spans="2:23" x14ac:dyDescent="0.2">
      <c r="F105" s="91"/>
      <c r="G105" s="89"/>
      <c r="H105" s="89"/>
      <c r="I105" s="89"/>
      <c r="R105" s="91"/>
      <c r="S105" s="89"/>
      <c r="T105" s="89"/>
      <c r="U105" s="89"/>
    </row>
    <row r="106" spans="2:23" ht="15" x14ac:dyDescent="0.25">
      <c r="E106" s="15" t="s">
        <v>229</v>
      </c>
      <c r="Q106" s="15" t="s">
        <v>229</v>
      </c>
    </row>
    <row r="107" spans="2:23" x14ac:dyDescent="0.2">
      <c r="H107" s="14" t="s">
        <v>230</v>
      </c>
      <c r="I107" s="26" t="e">
        <f>2*(SUMPRODUCT($E85:$E103,I85:I103)+I104/2)*$C$97</f>
        <v>#VALUE!</v>
      </c>
      <c r="J107" s="14" t="s">
        <v>231</v>
      </c>
      <c r="K107" s="26" t="e">
        <f>2*(SUMPRODUCT($E85:$E103,K85:K103)+K104/2)*$C$97</f>
        <v>#VALUE!</v>
      </c>
      <c r="T107" s="14" t="s">
        <v>230</v>
      </c>
      <c r="U107" s="26" t="e">
        <f>2*(SUMPRODUCT($Q85:$Q103,U85:U103)+U104/2)*$O$97</f>
        <v>#VALUE!</v>
      </c>
      <c r="V107" s="14" t="s">
        <v>231</v>
      </c>
      <c r="W107" s="26" t="e">
        <f>2*(SUMPRODUCT($Q85:$Q103,W85:W103)+W104/2)*$O$97</f>
        <v>#VALUE!</v>
      </c>
    </row>
    <row r="108" spans="2:23" x14ac:dyDescent="0.2">
      <c r="D108" s="16"/>
      <c r="F108" s="16" t="s">
        <v>232</v>
      </c>
      <c r="P108" s="16"/>
      <c r="R108" s="16" t="s">
        <v>232</v>
      </c>
    </row>
    <row r="109" spans="2:23" ht="15" x14ac:dyDescent="0.25">
      <c r="E109" s="18">
        <f>C88</f>
        <v>0.5</v>
      </c>
      <c r="F109" s="18">
        <f>1-C88</f>
        <v>0.5</v>
      </c>
      <c r="I109" s="15" t="s">
        <v>233</v>
      </c>
      <c r="J109" s="33" t="e">
        <f>(E109*I107+F109*K107)</f>
        <v>#VALUE!</v>
      </c>
      <c r="Q109" s="18">
        <f>O88</f>
        <v>0.5</v>
      </c>
      <c r="R109" s="18">
        <f>1-O88</f>
        <v>0.5</v>
      </c>
      <c r="U109" s="15" t="s">
        <v>233</v>
      </c>
      <c r="V109" s="33" t="e">
        <f>(Q109*U107+R109*W107)</f>
        <v>#VALUE!</v>
      </c>
    </row>
    <row r="110" spans="2:23" ht="15" x14ac:dyDescent="0.25">
      <c r="J110" s="92"/>
      <c r="V110" s="92"/>
    </row>
    <row r="111" spans="2:23" x14ac:dyDescent="0.2">
      <c r="B111" s="37"/>
      <c r="C111" s="37"/>
      <c r="D111" s="37"/>
      <c r="E111" s="37"/>
      <c r="F111" s="37"/>
      <c r="G111" s="37"/>
      <c r="H111" s="37"/>
      <c r="I111" s="37"/>
      <c r="J111" s="37"/>
      <c r="K111" s="37"/>
      <c r="N111" s="37"/>
      <c r="O111" s="37"/>
      <c r="P111" s="37"/>
      <c r="Q111" s="37"/>
      <c r="R111" s="37"/>
      <c r="S111" s="37"/>
      <c r="T111" s="37"/>
      <c r="U111" s="37"/>
      <c r="V111" s="37"/>
      <c r="W111" s="37"/>
    </row>
    <row r="112" spans="2:23" x14ac:dyDescent="0.2">
      <c r="B112" s="38"/>
      <c r="C112" s="38"/>
      <c r="D112" s="38"/>
      <c r="E112" s="38"/>
      <c r="F112" s="38"/>
      <c r="G112" s="38"/>
      <c r="H112" s="38"/>
      <c r="I112" s="38"/>
      <c r="J112" s="38"/>
      <c r="K112" s="38"/>
      <c r="N112" s="38"/>
      <c r="O112" s="38"/>
      <c r="P112" s="38"/>
      <c r="Q112" s="38"/>
      <c r="R112" s="38"/>
      <c r="S112" s="38"/>
      <c r="T112" s="38"/>
      <c r="U112" s="38"/>
      <c r="V112" s="38"/>
      <c r="W112" s="38"/>
    </row>
  </sheetData>
  <sheetProtection sheet="1" objects="1" scenarios="1"/>
  <mergeCells count="7">
    <mergeCell ref="H8:I8"/>
    <mergeCell ref="B2:D2"/>
    <mergeCell ref="T8:U8"/>
    <mergeCell ref="H44:I44"/>
    <mergeCell ref="H80:I80"/>
    <mergeCell ref="T44:U44"/>
    <mergeCell ref="T80:U80"/>
  </mergeCells>
  <dataValidations disablePrompts="1" count="1">
    <dataValidation allowBlank="1" showInputMessage="1" showErrorMessage="1" prompt="Calculations adapted from those in the CRM spreadsheet provided alongside Band, 2012." sqref="B2:D2" xr:uid="{DFE09361-B838-4A30-87D0-EF3DA3AB7B69}"/>
  </dataValidations>
  <pageMargins left="0.75" right="0.75" top="1" bottom="1" header="0.5" footer="0.5"/>
  <pageSetup paperSize="9" scale="92" orientation="landscape" horizontalDpi="360" verticalDpi="360" r:id="rId1"/>
  <headerFooter alignWithMargins="0"/>
  <ignoredErrors>
    <ignoredError sqref="J13:J32" formula="1"/>
  </ignoredErrors>
  <extLst>
    <ext xmlns:x14="http://schemas.microsoft.com/office/spreadsheetml/2009/9/main" uri="{78C0D931-6437-407d-A8EE-F0AAD7539E65}">
      <x14:conditionalFormattings>
        <x14:conditionalFormatting xmlns:xm="http://schemas.microsoft.com/office/excel/2006/main">
          <x14:cfRule type="expression" priority="4" id="{2DFD0BCB-0431-42A2-A386-3C3F3594F26D}">
            <xm:f>OR('User inputs - run and wind farm'!$D$7="",'User inputs - run and wind farm'!$D$7=1)</xm:f>
            <x14:dxf>
              <font>
                <color theme="0" tint="-0.14996795556505021"/>
              </font>
              <fill>
                <patternFill>
                  <bgColor theme="0" tint="-0.14996795556505021"/>
                </patternFill>
              </fill>
            </x14:dxf>
          </x14:cfRule>
          <xm:sqref>C44:C46 O44:O46 C48:C56 O48:O56 E48:K68 Q48:W68 C59 O59 C61 O61 I71 K71 U71 W71 E73:F73 J73 Q73:R73 V73</xm:sqref>
        </x14:conditionalFormatting>
        <x14:conditionalFormatting xmlns:xm="http://schemas.microsoft.com/office/excel/2006/main">
          <x14:cfRule type="expression" priority="2" id="{B2D578F5-4DCF-4212-9D2A-17333AD08181}">
            <xm:f>'User inputs - run and wind farm'!$D$7&lt;&gt;3</xm:f>
            <x14:dxf>
              <font>
                <color theme="0" tint="-0.14996795556505021"/>
              </font>
              <fill>
                <patternFill>
                  <bgColor theme="0" tint="-0.14996795556505021"/>
                </patternFill>
              </fill>
            </x14:dxf>
          </x14:cfRule>
          <xm:sqref>C80:C82 O80:O82 C84:C92 O84:O92 E84:K104 Q84:W104 C95 O95 C97 O97 I107 K107 U107 W107 E109:F109 J109 Q109:R109 V109</xm:sqref>
        </x14:conditionalFormatting>
        <x14:conditionalFormatting xmlns:xm="http://schemas.microsoft.com/office/excel/2006/main">
          <x14:cfRule type="expression" priority="3" id="{2863FA68-68BC-4CB2-8E7D-12B8FA495012}">
            <xm:f>OR('User inputs - run and wind farm'!$D$7="",'User inputs - run and wind farm'!$D$7=1)</xm:f>
            <x14:dxf>
              <font>
                <color theme="0" tint="-4.9989318521683403E-2"/>
              </font>
            </x14:dxf>
          </x14:cfRule>
          <xm:sqref>D46 P46 D51 P51</xm:sqref>
        </x14:conditionalFormatting>
        <x14:conditionalFormatting xmlns:xm="http://schemas.microsoft.com/office/excel/2006/main">
          <x14:cfRule type="expression" priority="1" id="{CBE5A9A7-3379-42AE-9E1A-5E75B63EA6E1}">
            <xm:f>'User inputs - run and wind farm'!$D$7&lt;&gt;3</xm:f>
            <x14:dxf>
              <font>
                <color theme="0" tint="-4.9989318521683403E-2"/>
              </font>
            </x14:dxf>
          </x14:cfRule>
          <xm:sqref>D82 P82 D87 P87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User inputs - run and wind farm</vt:lpstr>
      <vt:lpstr>User inputs - bird impacts</vt:lpstr>
      <vt:lpstr>User inputs - bird populations</vt:lpstr>
      <vt:lpstr>Default parameters</vt:lpstr>
      <vt:lpstr>Results</vt:lpstr>
      <vt:lpstr>Run log and assumptions</vt:lpstr>
      <vt:lpstr>Overall collision risk</vt:lpstr>
      <vt:lpstr>Single transit collision risk</vt:lpstr>
      <vt:lpstr>Hours of daylight</vt:lpstr>
      <vt:lpstr>Proportion at collision 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Gillian Vallejo</dc:creator>
  <cp:lastModifiedBy>Gillian Vallejo</cp:lastModifiedBy>
  <dcterms:created xsi:type="dcterms:W3CDTF">2024-10-11T11:58:10Z</dcterms:created>
  <dcterms:modified xsi:type="dcterms:W3CDTF">2025-04-25T09:15:53Z</dcterms:modified>
</cp:coreProperties>
</file>