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8.xml" ContentType="application/vnd.openxmlformats-officedocument.spreadsheetml.pivotTable+xml"/>
  <Override PartName="/xl/tables/table1.xml" ContentType="application/vnd.openxmlformats-officedocument.spreadsheetml.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arezk\Documents\"/>
    </mc:Choice>
  </mc:AlternateContent>
  <bookViews>
    <workbookView xWindow="0" yWindow="0" windowWidth="21600" windowHeight="9735" activeTab="2"/>
  </bookViews>
  <sheets>
    <sheet name="META VS KG" sheetId="11" r:id="rId1"/>
    <sheet name="CONSOLIDADO" sheetId="9" r:id="rId2"/>
    <sheet name="Base personal" sheetId="1" r:id="rId3"/>
    <sheet name="ACTUAL (12-10-2020) (2)" sheetId="10" r:id="rId4"/>
    <sheet name="Horas trabajadas" sheetId="6" state="hidden" r:id="rId5"/>
    <sheet name="BASE PRODUCCION" sheetId="2" state="hidden" r:id="rId6"/>
    <sheet name="RESUMEN PRODUCCIÓN" sheetId="7" state="hidden" r:id="rId7"/>
    <sheet name="base" sheetId="4" r:id="rId8"/>
    <sheet name="Hoja3" sheetId="3" r:id="rId9"/>
    <sheet name="Hoja1" sheetId="12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3" hidden="1">'ACTUAL (12-10-2020) (2)'!$A$2:$Q$30</definedName>
    <definedName name="_xlnm._FilterDatabase" localSheetId="2" hidden="1">'Base personal'!$A$1:$Q$675</definedName>
    <definedName name="_xlnm._FilterDatabase" localSheetId="1" hidden="1">CONSOLIDADO!$A$3:$E$350</definedName>
  </definedNames>
  <calcPr calcId="152511"/>
  <pivotCaches>
    <pivotCache cacheId="433" r:id="rId16"/>
    <pivotCache cacheId="434" r:id="rId17"/>
    <pivotCache cacheId="435" r:id="rId18"/>
    <pivotCache cacheId="436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2" i="1"/>
  <c r="J2" i="1"/>
  <c r="I2" i="1"/>
  <c r="AE29" i="9" l="1"/>
  <c r="J465" i="1" l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J464" i="1"/>
  <c r="I464" i="1"/>
  <c r="J463" i="1"/>
  <c r="I463" i="1"/>
  <c r="J462" i="1"/>
  <c r="I462" i="1"/>
  <c r="J461" i="1"/>
  <c r="I461" i="1"/>
  <c r="J454" i="1"/>
  <c r="I454" i="1"/>
  <c r="J421" i="1"/>
  <c r="I421" i="1"/>
  <c r="J420" i="1"/>
  <c r="I420" i="1"/>
  <c r="J418" i="1"/>
  <c r="I418" i="1"/>
  <c r="J417" i="1"/>
  <c r="I417" i="1"/>
  <c r="J416" i="1"/>
  <c r="I416" i="1"/>
  <c r="J399" i="1"/>
  <c r="I399" i="1"/>
  <c r="J398" i="1"/>
  <c r="I398" i="1"/>
  <c r="J397" i="1"/>
  <c r="I397" i="1"/>
  <c r="J396" i="1"/>
  <c r="I396" i="1"/>
  <c r="J394" i="1"/>
  <c r="I394" i="1"/>
  <c r="J393" i="1"/>
  <c r="I393" i="1"/>
  <c r="J392" i="1"/>
  <c r="I392" i="1"/>
  <c r="J391" i="1"/>
  <c r="I391" i="1"/>
  <c r="J390" i="1"/>
  <c r="I390" i="1"/>
  <c r="K460" i="1"/>
  <c r="H454" i="1"/>
  <c r="K448" i="1"/>
  <c r="K442" i="1"/>
  <c r="K436" i="1"/>
  <c r="K430" i="1"/>
  <c r="K424" i="1"/>
  <c r="H421" i="1"/>
  <c r="H420" i="1"/>
  <c r="H418" i="1"/>
  <c r="K418" i="1" s="1"/>
  <c r="H417" i="1"/>
  <c r="H416" i="1"/>
  <c r="K412" i="1"/>
  <c r="K406" i="1"/>
  <c r="K400" i="1"/>
  <c r="H399" i="1"/>
  <c r="H398" i="1"/>
  <c r="H397" i="1"/>
  <c r="H396" i="1"/>
  <c r="H394" i="1"/>
  <c r="H393" i="1"/>
  <c r="H392" i="1"/>
  <c r="H391" i="1"/>
  <c r="H390" i="1"/>
  <c r="K388" i="1"/>
  <c r="K394" i="1" l="1"/>
  <c r="K454" i="1"/>
  <c r="K399" i="1"/>
  <c r="K417" i="1"/>
  <c r="K429" i="1"/>
  <c r="K441" i="1"/>
  <c r="K447" i="1"/>
  <c r="K453" i="1"/>
  <c r="K459" i="1"/>
  <c r="K387" i="1"/>
  <c r="K405" i="1"/>
  <c r="K423" i="1"/>
  <c r="K393" i="1"/>
  <c r="K411" i="1"/>
  <c r="K435" i="1"/>
  <c r="K390" i="1"/>
  <c r="K396" i="1"/>
  <c r="K402" i="1"/>
  <c r="K408" i="1"/>
  <c r="K414" i="1"/>
  <c r="K420" i="1"/>
  <c r="K426" i="1"/>
  <c r="K432" i="1"/>
  <c r="K438" i="1"/>
  <c r="K444" i="1"/>
  <c r="K450" i="1"/>
  <c r="K456" i="1"/>
  <c r="K386" i="1"/>
  <c r="K392" i="1"/>
  <c r="K398" i="1"/>
  <c r="K404" i="1"/>
  <c r="K410" i="1"/>
  <c r="K416" i="1"/>
  <c r="K422" i="1"/>
  <c r="K428" i="1"/>
  <c r="K434" i="1"/>
  <c r="K440" i="1"/>
  <c r="K446" i="1"/>
  <c r="K452" i="1"/>
  <c r="K458" i="1"/>
  <c r="K425" i="1"/>
  <c r="K431" i="1"/>
  <c r="K437" i="1"/>
  <c r="K443" i="1"/>
  <c r="K449" i="1"/>
  <c r="K455" i="1"/>
  <c r="K427" i="1"/>
  <c r="K433" i="1"/>
  <c r="K439" i="1"/>
  <c r="K445" i="1"/>
  <c r="K451" i="1"/>
  <c r="K457" i="1"/>
  <c r="K389" i="1"/>
  <c r="K395" i="1"/>
  <c r="K401" i="1"/>
  <c r="K407" i="1"/>
  <c r="K413" i="1"/>
  <c r="K419" i="1"/>
  <c r="K391" i="1"/>
  <c r="K397" i="1"/>
  <c r="K403" i="1"/>
  <c r="K409" i="1"/>
  <c r="K415" i="1"/>
  <c r="K421" i="1"/>
  <c r="Z29" i="9" l="1"/>
  <c r="AC29" i="9"/>
  <c r="AC23" i="9" l="1"/>
  <c r="AE6" i="9"/>
  <c r="AE7" i="9"/>
  <c r="AE8" i="9"/>
  <c r="AE9" i="9"/>
  <c r="AE10" i="9"/>
  <c r="AD11" i="9"/>
  <c r="AE12" i="9"/>
  <c r="AE13" i="9"/>
  <c r="AD14" i="9"/>
  <c r="AE15" i="9"/>
  <c r="AE16" i="9"/>
  <c r="AE17" i="9"/>
  <c r="AD18" i="9"/>
  <c r="AE19" i="9"/>
  <c r="AE20" i="9"/>
  <c r="AE21" i="9"/>
  <c r="AE22" i="9"/>
  <c r="AD5" i="9"/>
  <c r="AE4" i="9"/>
  <c r="G335" i="1"/>
  <c r="M335" i="1" s="1"/>
  <c r="N335" i="1" s="1"/>
  <c r="G336" i="1"/>
  <c r="H336" i="1" s="1"/>
  <c r="H99" i="1"/>
  <c r="H38" i="1"/>
  <c r="K27" i="1"/>
  <c r="K367" i="1"/>
  <c r="K365" i="1"/>
  <c r="K364" i="1"/>
  <c r="K363" i="1"/>
  <c r="K360" i="1"/>
  <c r="K358" i="1"/>
  <c r="K340" i="1"/>
  <c r="K339" i="1"/>
  <c r="K337" i="1"/>
  <c r="H622" i="1"/>
  <c r="I622" i="1"/>
  <c r="J622" i="1"/>
  <c r="M330" i="1"/>
  <c r="N330" i="1" s="1"/>
  <c r="M331" i="1"/>
  <c r="N331" i="1" s="1"/>
  <c r="M332" i="1"/>
  <c r="N332" i="1" s="1"/>
  <c r="M333" i="1"/>
  <c r="N333" i="1" s="1"/>
  <c r="M334" i="1"/>
  <c r="N334" i="1" s="1"/>
  <c r="M336" i="1"/>
  <c r="N336" i="1" s="1"/>
  <c r="M337" i="1"/>
  <c r="N337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7" i="1"/>
  <c r="N367" i="1" s="1"/>
  <c r="M369" i="1"/>
  <c r="N369" i="1" s="1"/>
  <c r="M371" i="1"/>
  <c r="N371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461" i="1"/>
  <c r="N461" i="1" s="1"/>
  <c r="M462" i="1"/>
  <c r="N462" i="1" s="1"/>
  <c r="M463" i="1"/>
  <c r="N463" i="1" s="1"/>
  <c r="M464" i="1"/>
  <c r="N464" i="1" s="1"/>
  <c r="H330" i="1"/>
  <c r="I330" i="1"/>
  <c r="J330" i="1"/>
  <c r="H332" i="1"/>
  <c r="I332" i="1"/>
  <c r="J332" i="1"/>
  <c r="H333" i="1"/>
  <c r="I333" i="1"/>
  <c r="J333" i="1"/>
  <c r="I335" i="1"/>
  <c r="J335" i="1"/>
  <c r="I336" i="1"/>
  <c r="J336" i="1"/>
  <c r="I338" i="1"/>
  <c r="J338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9" i="1"/>
  <c r="I359" i="1"/>
  <c r="J359" i="1"/>
  <c r="H361" i="1"/>
  <c r="I361" i="1"/>
  <c r="J361" i="1"/>
  <c r="H362" i="1"/>
  <c r="I362" i="1"/>
  <c r="J362" i="1"/>
  <c r="I366" i="1"/>
  <c r="J366" i="1"/>
  <c r="I368" i="1"/>
  <c r="J368" i="1"/>
  <c r="I370" i="1"/>
  <c r="J370" i="1"/>
  <c r="I372" i="1"/>
  <c r="J372" i="1"/>
  <c r="I373" i="1"/>
  <c r="J373" i="1"/>
  <c r="H461" i="1"/>
  <c r="H462" i="1"/>
  <c r="H463" i="1"/>
  <c r="H464" i="1"/>
  <c r="G373" i="1"/>
  <c r="H373" i="1" s="1"/>
  <c r="G372" i="1"/>
  <c r="H372" i="1" s="1"/>
  <c r="G370" i="1"/>
  <c r="H370" i="1" s="1"/>
  <c r="G368" i="1"/>
  <c r="M368" i="1" s="1"/>
  <c r="N368" i="1" s="1"/>
  <c r="G366" i="1"/>
  <c r="M366" i="1" s="1"/>
  <c r="N366" i="1" s="1"/>
  <c r="G338" i="1"/>
  <c r="H338" i="1" s="1"/>
  <c r="AE23" i="9" l="1"/>
  <c r="AD23" i="9"/>
  <c r="H335" i="1"/>
  <c r="K335" i="1" s="1"/>
  <c r="K332" i="1"/>
  <c r="K355" i="1"/>
  <c r="K353" i="1"/>
  <c r="K347" i="1"/>
  <c r="K384" i="1"/>
  <c r="K378" i="1"/>
  <c r="K461" i="1"/>
  <c r="K462" i="1"/>
  <c r="K381" i="1"/>
  <c r="K379" i="1"/>
  <c r="K334" i="1"/>
  <c r="K369" i="1"/>
  <c r="K352" i="1"/>
  <c r="K463" i="1"/>
  <c r="K351" i="1"/>
  <c r="K349" i="1"/>
  <c r="K343" i="1"/>
  <c r="M373" i="1"/>
  <c r="N373" i="1" s="1"/>
  <c r="K377" i="1"/>
  <c r="K375" i="1"/>
  <c r="H368" i="1"/>
  <c r="K368" i="1" s="1"/>
  <c r="K346" i="1"/>
  <c r="K344" i="1"/>
  <c r="K333" i="1"/>
  <c r="K361" i="1"/>
  <c r="K342" i="1"/>
  <c r="K356" i="1"/>
  <c r="K372" i="1"/>
  <c r="K382" i="1"/>
  <c r="K359" i="1"/>
  <c r="M338" i="1"/>
  <c r="N338" i="1" s="1"/>
  <c r="K385" i="1"/>
  <c r="K376" i="1"/>
  <c r="H366" i="1"/>
  <c r="K366" i="1" s="1"/>
  <c r="K350" i="1"/>
  <c r="K341" i="1"/>
  <c r="K330" i="1"/>
  <c r="M372" i="1"/>
  <c r="N372" i="1" s="1"/>
  <c r="K371" i="1"/>
  <c r="K362" i="1"/>
  <c r="K354" i="1"/>
  <c r="K345" i="1"/>
  <c r="K336" i="1"/>
  <c r="K370" i="1"/>
  <c r="M370" i="1"/>
  <c r="N370" i="1" s="1"/>
  <c r="K380" i="1"/>
  <c r="K383" i="1"/>
  <c r="K374" i="1"/>
  <c r="K357" i="1"/>
  <c r="K348" i="1"/>
  <c r="K331" i="1"/>
  <c r="K464" i="1"/>
  <c r="K373" i="1"/>
  <c r="K338" i="1"/>
  <c r="M301" i="1" l="1"/>
  <c r="N301" i="1" s="1"/>
  <c r="H86" i="1" l="1"/>
  <c r="H56" i="1"/>
  <c r="H4" i="1"/>
  <c r="H116" i="1"/>
  <c r="H103" i="1"/>
  <c r="H102" i="1"/>
  <c r="H71" i="1"/>
  <c r="H54" i="1"/>
  <c r="H117" i="1"/>
  <c r="H100" i="1"/>
  <c r="H51" i="1"/>
  <c r="H76" i="1"/>
  <c r="H75" i="1"/>
  <c r="H74" i="1"/>
  <c r="H73" i="1"/>
  <c r="H34" i="1"/>
  <c r="H33" i="1"/>
  <c r="H30" i="1"/>
  <c r="H29" i="1"/>
  <c r="H28" i="1"/>
  <c r="H12" i="1"/>
  <c r="H11" i="1"/>
  <c r="H10" i="1"/>
  <c r="H82" i="1"/>
  <c r="H37" i="1"/>
  <c r="H36" i="1"/>
  <c r="H35" i="1"/>
  <c r="H16" i="1"/>
  <c r="I4" i="1"/>
  <c r="M4" i="1"/>
  <c r="N4" i="1" s="1"/>
  <c r="M5" i="1"/>
  <c r="N5" i="1" s="1"/>
  <c r="M7" i="1"/>
  <c r="N7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50" i="1"/>
  <c r="N50" i="1" s="1"/>
  <c r="M51" i="1"/>
  <c r="N51" i="1" s="1"/>
  <c r="M53" i="1"/>
  <c r="N53" i="1" s="1"/>
  <c r="M54" i="1"/>
  <c r="N54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70" i="1"/>
  <c r="N70" i="1" s="1"/>
  <c r="M71" i="1"/>
  <c r="N71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4" i="1"/>
  <c r="N84" i="1" s="1"/>
  <c r="M85" i="1"/>
  <c r="N85" i="1" s="1"/>
  <c r="M86" i="1"/>
  <c r="N86" i="1" s="1"/>
  <c r="M87" i="1"/>
  <c r="N87" i="1" s="1"/>
  <c r="M94" i="1"/>
  <c r="N94" i="1" s="1"/>
  <c r="M95" i="1"/>
  <c r="N95" i="1" s="1"/>
  <c r="M96" i="1"/>
  <c r="N96" i="1" s="1"/>
  <c r="M99" i="1"/>
  <c r="N99" i="1" s="1"/>
  <c r="M100" i="1"/>
  <c r="N100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10" i="1"/>
  <c r="N110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J4" i="1"/>
  <c r="K5" i="1"/>
  <c r="J6" i="1"/>
  <c r="K7" i="1"/>
  <c r="J8" i="1"/>
  <c r="J9" i="1"/>
  <c r="J10" i="1"/>
  <c r="J11" i="1"/>
  <c r="J12" i="1"/>
  <c r="K13" i="1"/>
  <c r="K14" i="1"/>
  <c r="K15" i="1"/>
  <c r="J16" i="1"/>
  <c r="J17" i="1"/>
  <c r="K18" i="1"/>
  <c r="K19" i="1"/>
  <c r="K20" i="1"/>
  <c r="K21" i="1"/>
  <c r="K22" i="1"/>
  <c r="K23" i="1"/>
  <c r="K24" i="1"/>
  <c r="K25" i="1"/>
  <c r="K26" i="1"/>
  <c r="J28" i="1"/>
  <c r="J29" i="1"/>
  <c r="J30" i="1"/>
  <c r="J31" i="1"/>
  <c r="J32" i="1"/>
  <c r="J33" i="1"/>
  <c r="J34" i="1"/>
  <c r="K34" i="1" s="1"/>
  <c r="J35" i="1"/>
  <c r="J36" i="1"/>
  <c r="J37" i="1"/>
  <c r="J38" i="1"/>
  <c r="K38" i="1" s="1"/>
  <c r="K39" i="1"/>
  <c r="K40" i="1"/>
  <c r="K41" i="1"/>
  <c r="K42" i="1"/>
  <c r="K43" i="1"/>
  <c r="K44" i="1"/>
  <c r="K45" i="1"/>
  <c r="K46" i="1"/>
  <c r="J47" i="1"/>
  <c r="J48" i="1"/>
  <c r="J49" i="1"/>
  <c r="K50" i="1"/>
  <c r="J51" i="1"/>
  <c r="J52" i="1"/>
  <c r="K53" i="1"/>
  <c r="J54" i="1"/>
  <c r="J55" i="1"/>
  <c r="J56" i="1"/>
  <c r="K57" i="1"/>
  <c r="K58" i="1"/>
  <c r="K59" i="1"/>
  <c r="K60" i="1"/>
  <c r="K61" i="1"/>
  <c r="K62" i="1"/>
  <c r="K63" i="1"/>
  <c r="K64" i="1"/>
  <c r="K65" i="1"/>
  <c r="K66" i="1"/>
  <c r="J67" i="1"/>
  <c r="J68" i="1"/>
  <c r="J69" i="1"/>
  <c r="K70" i="1"/>
  <c r="J71" i="1"/>
  <c r="J72" i="1"/>
  <c r="J73" i="1"/>
  <c r="J74" i="1"/>
  <c r="J75" i="1"/>
  <c r="J76" i="1"/>
  <c r="K77" i="1"/>
  <c r="K78" i="1"/>
  <c r="K79" i="1"/>
  <c r="K80" i="1"/>
  <c r="K81" i="1"/>
  <c r="J82" i="1"/>
  <c r="J83" i="1"/>
  <c r="K84" i="1"/>
  <c r="K85" i="1"/>
  <c r="J86" i="1"/>
  <c r="K87" i="1"/>
  <c r="J88" i="1"/>
  <c r="J89" i="1"/>
  <c r="J90" i="1"/>
  <c r="J91" i="1"/>
  <c r="J92" i="1"/>
  <c r="J93" i="1"/>
  <c r="K94" i="1"/>
  <c r="K95" i="1"/>
  <c r="K96" i="1"/>
  <c r="J97" i="1"/>
  <c r="J98" i="1"/>
  <c r="J99" i="1"/>
  <c r="K99" i="1" s="1"/>
  <c r="J100" i="1"/>
  <c r="J101" i="1"/>
  <c r="J102" i="1"/>
  <c r="J103" i="1"/>
  <c r="K104" i="1"/>
  <c r="K105" i="1"/>
  <c r="K106" i="1"/>
  <c r="K107" i="1"/>
  <c r="J108" i="1"/>
  <c r="J109" i="1"/>
  <c r="K110" i="1"/>
  <c r="J111" i="1"/>
  <c r="J112" i="1"/>
  <c r="J113" i="1"/>
  <c r="J114" i="1"/>
  <c r="J115" i="1"/>
  <c r="J116" i="1"/>
  <c r="K116" i="1" s="1"/>
  <c r="J117" i="1"/>
  <c r="K118" i="1"/>
  <c r="K119" i="1"/>
  <c r="K120" i="1"/>
  <c r="K121" i="1"/>
  <c r="K122" i="1"/>
  <c r="I6" i="1"/>
  <c r="I8" i="1"/>
  <c r="I9" i="1"/>
  <c r="I10" i="1"/>
  <c r="I11" i="1"/>
  <c r="I12" i="1"/>
  <c r="I16" i="1"/>
  <c r="I17" i="1"/>
  <c r="I28" i="1"/>
  <c r="I29" i="1"/>
  <c r="I30" i="1"/>
  <c r="I31" i="1"/>
  <c r="I32" i="1"/>
  <c r="I33" i="1"/>
  <c r="I34" i="1"/>
  <c r="I35" i="1"/>
  <c r="I36" i="1"/>
  <c r="I37" i="1"/>
  <c r="I38" i="1"/>
  <c r="I47" i="1"/>
  <c r="I48" i="1"/>
  <c r="I49" i="1"/>
  <c r="I51" i="1"/>
  <c r="I52" i="1"/>
  <c r="I54" i="1"/>
  <c r="I55" i="1"/>
  <c r="I56" i="1"/>
  <c r="I67" i="1"/>
  <c r="I68" i="1"/>
  <c r="I69" i="1"/>
  <c r="I71" i="1"/>
  <c r="I72" i="1"/>
  <c r="I73" i="1"/>
  <c r="I74" i="1"/>
  <c r="I75" i="1"/>
  <c r="I76" i="1"/>
  <c r="I82" i="1"/>
  <c r="I83" i="1"/>
  <c r="I86" i="1"/>
  <c r="I88" i="1"/>
  <c r="I89" i="1"/>
  <c r="I90" i="1"/>
  <c r="I91" i="1"/>
  <c r="I92" i="1"/>
  <c r="I93" i="1"/>
  <c r="I97" i="1"/>
  <c r="I98" i="1"/>
  <c r="I99" i="1"/>
  <c r="I100" i="1"/>
  <c r="I101" i="1"/>
  <c r="I102" i="1"/>
  <c r="I103" i="1"/>
  <c r="I108" i="1"/>
  <c r="I109" i="1"/>
  <c r="I111" i="1"/>
  <c r="I112" i="1"/>
  <c r="I113" i="1"/>
  <c r="I114" i="1"/>
  <c r="I115" i="1"/>
  <c r="I116" i="1"/>
  <c r="I117" i="1"/>
  <c r="G115" i="1"/>
  <c r="M115" i="1" s="1"/>
  <c r="N115" i="1" s="1"/>
  <c r="G114" i="1"/>
  <c r="H114" i="1" s="1"/>
  <c r="G113" i="1"/>
  <c r="H113" i="1" s="1"/>
  <c r="G112" i="1"/>
  <c r="H112" i="1" s="1"/>
  <c r="G111" i="1"/>
  <c r="M111" i="1" s="1"/>
  <c r="N111" i="1" s="1"/>
  <c r="G109" i="1"/>
  <c r="M109" i="1" s="1"/>
  <c r="N109" i="1" s="1"/>
  <c r="G108" i="1"/>
  <c r="M108" i="1" s="1"/>
  <c r="N108" i="1" s="1"/>
  <c r="G101" i="1"/>
  <c r="M101" i="1" s="1"/>
  <c r="N101" i="1" s="1"/>
  <c r="G98" i="1"/>
  <c r="H98" i="1" s="1"/>
  <c r="G97" i="1"/>
  <c r="H97" i="1" s="1"/>
  <c r="G93" i="1"/>
  <c r="M93" i="1" s="1"/>
  <c r="N93" i="1" s="1"/>
  <c r="G92" i="1"/>
  <c r="H92" i="1" s="1"/>
  <c r="G91" i="1"/>
  <c r="M91" i="1" s="1"/>
  <c r="N91" i="1" s="1"/>
  <c r="G90" i="1"/>
  <c r="H90" i="1" s="1"/>
  <c r="G89" i="1"/>
  <c r="M89" i="1" s="1"/>
  <c r="N89" i="1" s="1"/>
  <c r="G88" i="1"/>
  <c r="H88" i="1" s="1"/>
  <c r="G83" i="1"/>
  <c r="M83" i="1" s="1"/>
  <c r="N83" i="1" s="1"/>
  <c r="G72" i="1"/>
  <c r="M72" i="1" s="1"/>
  <c r="N72" i="1" s="1"/>
  <c r="G69" i="1"/>
  <c r="M69" i="1" s="1"/>
  <c r="N69" i="1" s="1"/>
  <c r="G68" i="1"/>
  <c r="H68" i="1" s="1"/>
  <c r="G67" i="1"/>
  <c r="M67" i="1" s="1"/>
  <c r="N67" i="1" s="1"/>
  <c r="G55" i="1"/>
  <c r="M55" i="1" s="1"/>
  <c r="N55" i="1" s="1"/>
  <c r="G52" i="1"/>
  <c r="H52" i="1" s="1"/>
  <c r="G49" i="1"/>
  <c r="M49" i="1" s="1"/>
  <c r="N49" i="1" s="1"/>
  <c r="G48" i="1"/>
  <c r="H48" i="1" s="1"/>
  <c r="G47" i="1"/>
  <c r="M47" i="1" s="1"/>
  <c r="N47" i="1" s="1"/>
  <c r="G32" i="1"/>
  <c r="H32" i="1" s="1"/>
  <c r="G31" i="1"/>
  <c r="M31" i="1" s="1"/>
  <c r="N31" i="1" s="1"/>
  <c r="G17" i="1"/>
  <c r="M17" i="1" s="1"/>
  <c r="N17" i="1" s="1"/>
  <c r="G9" i="1"/>
  <c r="M9" i="1" s="1"/>
  <c r="N9" i="1" s="1"/>
  <c r="G8" i="1"/>
  <c r="H8" i="1" s="1"/>
  <c r="G6" i="1"/>
  <c r="H6" i="1" s="1"/>
  <c r="K71" i="1" l="1"/>
  <c r="K86" i="1"/>
  <c r="K103" i="1"/>
  <c r="K30" i="1"/>
  <c r="K28" i="1"/>
  <c r="M113" i="1"/>
  <c r="N113" i="1" s="1"/>
  <c r="M98" i="1"/>
  <c r="N98" i="1" s="1"/>
  <c r="M8" i="1"/>
  <c r="N8" i="1" s="1"/>
  <c r="H111" i="1"/>
  <c r="K111" i="1" s="1"/>
  <c r="K51" i="1"/>
  <c r="K33" i="1"/>
  <c r="K29" i="1"/>
  <c r="M48" i="1"/>
  <c r="N48" i="1" s="1"/>
  <c r="H67" i="1"/>
  <c r="K67" i="1" s="1"/>
  <c r="H115" i="1"/>
  <c r="K115" i="1" s="1"/>
  <c r="H17" i="1"/>
  <c r="K17" i="1" s="1"/>
  <c r="H93" i="1"/>
  <c r="K93" i="1" s="1"/>
  <c r="H69" i="1"/>
  <c r="K69" i="1" s="1"/>
  <c r="K102" i="1"/>
  <c r="K54" i="1"/>
  <c r="H55" i="1"/>
  <c r="K55" i="1" s="1"/>
  <c r="H72" i="1"/>
  <c r="K72" i="1" s="1"/>
  <c r="H109" i="1"/>
  <c r="K109" i="1" s="1"/>
  <c r="K113" i="1"/>
  <c r="K98" i="1"/>
  <c r="K52" i="1"/>
  <c r="M52" i="1"/>
  <c r="N52" i="1" s="1"/>
  <c r="M32" i="1"/>
  <c r="N32" i="1" s="1"/>
  <c r="H89" i="1"/>
  <c r="K89" i="1" s="1"/>
  <c r="H83" i="1"/>
  <c r="K83" i="1" s="1"/>
  <c r="H91" i="1"/>
  <c r="K91" i="1" s="1"/>
  <c r="H108" i="1"/>
  <c r="K108" i="1" s="1"/>
  <c r="H31" i="1"/>
  <c r="K31" i="1" s="1"/>
  <c r="K56" i="1"/>
  <c r="K4" i="1"/>
  <c r="K117" i="1"/>
  <c r="K12" i="1"/>
  <c r="K10" i="1"/>
  <c r="K100" i="1"/>
  <c r="H101" i="1"/>
  <c r="K101" i="1" s="1"/>
  <c r="K68" i="1"/>
  <c r="K6" i="1"/>
  <c r="M92" i="1"/>
  <c r="N92" i="1" s="1"/>
  <c r="M90" i="1"/>
  <c r="N90" i="1" s="1"/>
  <c r="M88" i="1"/>
  <c r="N88" i="1" s="1"/>
  <c r="M68" i="1"/>
  <c r="N68" i="1" s="1"/>
  <c r="M6" i="1"/>
  <c r="N6" i="1" s="1"/>
  <c r="H47" i="1"/>
  <c r="K47" i="1" s="1"/>
  <c r="H49" i="1"/>
  <c r="K49" i="1" s="1"/>
  <c r="H9" i="1"/>
  <c r="K9" i="1" s="1"/>
  <c r="K97" i="1"/>
  <c r="K11" i="1"/>
  <c r="M114" i="1"/>
  <c r="N114" i="1" s="1"/>
  <c r="M112" i="1"/>
  <c r="N112" i="1" s="1"/>
  <c r="M97" i="1"/>
  <c r="N97" i="1" s="1"/>
  <c r="K75" i="1"/>
  <c r="K73" i="1"/>
  <c r="K36" i="1"/>
  <c r="K8" i="1"/>
  <c r="K90" i="1"/>
  <c r="K88" i="1"/>
  <c r="K32" i="1"/>
  <c r="K92" i="1"/>
  <c r="K76" i="1"/>
  <c r="K74" i="1"/>
  <c r="K82" i="1"/>
  <c r="K48" i="1"/>
  <c r="K37" i="1"/>
  <c r="K35" i="1"/>
  <c r="K16" i="1"/>
  <c r="K114" i="1"/>
  <c r="K112" i="1"/>
  <c r="H329" i="1" l="1"/>
  <c r="H188" i="1" l="1"/>
  <c r="H178" i="1"/>
  <c r="H307" i="1"/>
  <c r="H124" i="1"/>
  <c r="H125" i="1"/>
  <c r="H126" i="1"/>
  <c r="H127" i="1"/>
  <c r="H128" i="1"/>
  <c r="H129" i="1"/>
  <c r="H132" i="1"/>
  <c r="H133" i="1"/>
  <c r="H134" i="1"/>
  <c r="H135" i="1"/>
  <c r="H140" i="1"/>
  <c r="H141" i="1"/>
  <c r="H142" i="1"/>
  <c r="H145" i="1"/>
  <c r="H147" i="1"/>
  <c r="H148" i="1"/>
  <c r="H149" i="1"/>
  <c r="H150" i="1"/>
  <c r="H151" i="1"/>
  <c r="H152" i="1"/>
  <c r="H153" i="1"/>
  <c r="H155" i="1"/>
  <c r="H156" i="1"/>
  <c r="H157" i="1"/>
  <c r="H159" i="1"/>
  <c r="H162" i="1"/>
  <c r="H163" i="1"/>
  <c r="H164" i="1"/>
  <c r="H169" i="1"/>
  <c r="H170" i="1"/>
  <c r="H171" i="1"/>
  <c r="H172" i="1"/>
  <c r="H179" i="1"/>
  <c r="H186" i="1"/>
  <c r="H187" i="1"/>
  <c r="H189" i="1"/>
  <c r="H190" i="1"/>
  <c r="H191" i="1"/>
  <c r="H194" i="1"/>
  <c r="H198" i="1"/>
  <c r="H199" i="1"/>
  <c r="H200" i="1"/>
  <c r="H201" i="1"/>
  <c r="H208" i="1"/>
  <c r="H209" i="1"/>
  <c r="H210" i="1"/>
  <c r="H211" i="1"/>
  <c r="H212" i="1"/>
  <c r="H213" i="1"/>
  <c r="H214" i="1"/>
  <c r="H215" i="1"/>
  <c r="H216" i="1"/>
  <c r="H220" i="1"/>
  <c r="H221" i="1"/>
  <c r="H222" i="1"/>
  <c r="H224" i="1"/>
  <c r="H225" i="1"/>
  <c r="H226" i="1"/>
  <c r="H227" i="1"/>
  <c r="H228" i="1"/>
  <c r="H229" i="1"/>
  <c r="H230" i="1"/>
  <c r="H233" i="1"/>
  <c r="H234" i="1"/>
  <c r="H236" i="1"/>
  <c r="H240" i="1"/>
  <c r="H241" i="1"/>
  <c r="H242" i="1"/>
  <c r="H243" i="1"/>
  <c r="H244" i="1"/>
  <c r="H245" i="1"/>
  <c r="H246" i="1"/>
  <c r="H248" i="1"/>
  <c r="H250" i="1"/>
  <c r="H251" i="1"/>
  <c r="H252" i="1"/>
  <c r="H253" i="1"/>
  <c r="H255" i="1"/>
  <c r="H260" i="1"/>
  <c r="H262" i="1"/>
  <c r="H277" i="1"/>
  <c r="H289" i="1"/>
  <c r="H290" i="1"/>
  <c r="H301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J3" i="1"/>
  <c r="J15" i="10"/>
  <c r="M15" i="10" s="1"/>
  <c r="O15" i="10" s="1"/>
  <c r="P15" i="10" s="1"/>
  <c r="K23" i="10"/>
  <c r="J23" i="10"/>
  <c r="M23" i="10" s="1"/>
  <c r="O23" i="10" s="1"/>
  <c r="P23" i="10" s="1"/>
  <c r="H23" i="10"/>
  <c r="H15" i="10"/>
  <c r="C23" i="4"/>
  <c r="C16" i="4"/>
  <c r="M302" i="1"/>
  <c r="N302" i="1" s="1"/>
  <c r="M298" i="1"/>
  <c r="N298" i="1" s="1"/>
  <c r="M297" i="1"/>
  <c r="N297" i="1" s="1"/>
  <c r="M296" i="1"/>
  <c r="N296" i="1" s="1"/>
  <c r="M295" i="1"/>
  <c r="M275" i="1"/>
  <c r="N275" i="1" s="1"/>
  <c r="M274" i="1"/>
  <c r="N274" i="1" s="1"/>
  <c r="M261" i="1"/>
  <c r="N261" i="1" s="1"/>
  <c r="M256" i="1"/>
  <c r="N256" i="1" s="1"/>
  <c r="M249" i="1"/>
  <c r="N249" i="1" s="1"/>
  <c r="M239" i="1"/>
  <c r="N239" i="1" s="1"/>
  <c r="M235" i="1"/>
  <c r="N235" i="1" s="1"/>
  <c r="M223" i="1"/>
  <c r="N223" i="1" s="1"/>
  <c r="M202" i="1"/>
  <c r="N202" i="1" s="1"/>
  <c r="M185" i="1"/>
  <c r="N185" i="1" s="1"/>
  <c r="M184" i="1"/>
  <c r="N184" i="1" s="1"/>
  <c r="N295" i="1"/>
  <c r="I217" i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2" i="1"/>
  <c r="N162" i="1" s="1"/>
  <c r="M163" i="1"/>
  <c r="N163" i="1" s="1"/>
  <c r="M164" i="1"/>
  <c r="N164" i="1" s="1"/>
  <c r="M169" i="1"/>
  <c r="N169" i="1" s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40" i="1"/>
  <c r="J141" i="1"/>
  <c r="J142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40" i="1"/>
  <c r="J241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9" i="1"/>
  <c r="J300" i="1"/>
  <c r="J301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I3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40" i="1"/>
  <c r="I141" i="1"/>
  <c r="I142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8" i="1"/>
  <c r="I219" i="1"/>
  <c r="I220" i="1"/>
  <c r="I221" i="1"/>
  <c r="I222" i="1"/>
  <c r="I224" i="1"/>
  <c r="I225" i="1"/>
  <c r="I226" i="1"/>
  <c r="I227" i="1"/>
  <c r="I228" i="1"/>
  <c r="I229" i="1"/>
  <c r="I230" i="1"/>
  <c r="I231" i="1"/>
  <c r="I232" i="1"/>
  <c r="I233" i="1"/>
  <c r="I234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50" i="1"/>
  <c r="I251" i="1"/>
  <c r="I252" i="1"/>
  <c r="I253" i="1"/>
  <c r="I254" i="1"/>
  <c r="I255" i="1"/>
  <c r="I257" i="1"/>
  <c r="I258" i="1"/>
  <c r="I259" i="1"/>
  <c r="I260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9" i="1"/>
  <c r="I300" i="1"/>
  <c r="I301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G306" i="1"/>
  <c r="H306" i="1" s="1"/>
  <c r="G305" i="1"/>
  <c r="H305" i="1" s="1"/>
  <c r="G304" i="1"/>
  <c r="H304" i="1" s="1"/>
  <c r="G303" i="1"/>
  <c r="H303" i="1" s="1"/>
  <c r="G300" i="1"/>
  <c r="H300" i="1" s="1"/>
  <c r="G299" i="1"/>
  <c r="H299" i="1" s="1"/>
  <c r="G294" i="1"/>
  <c r="H294" i="1" s="1"/>
  <c r="G293" i="1"/>
  <c r="H293" i="1" s="1"/>
  <c r="G292" i="1"/>
  <c r="H292" i="1" s="1"/>
  <c r="H291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H280" i="1"/>
  <c r="H279" i="1"/>
  <c r="H278" i="1"/>
  <c r="G276" i="1"/>
  <c r="H276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59" i="1"/>
  <c r="H259" i="1" s="1"/>
  <c r="G258" i="1"/>
  <c r="H258" i="1" s="1"/>
  <c r="G257" i="1"/>
  <c r="H257" i="1" s="1"/>
  <c r="G254" i="1"/>
  <c r="H254" i="1" s="1"/>
  <c r="G247" i="1"/>
  <c r="H247" i="1" s="1"/>
  <c r="G238" i="1"/>
  <c r="H238" i="1" s="1"/>
  <c r="G237" i="1"/>
  <c r="H237" i="1" s="1"/>
  <c r="G232" i="1"/>
  <c r="H232" i="1" s="1"/>
  <c r="G231" i="1"/>
  <c r="H231" i="1" s="1"/>
  <c r="G219" i="1"/>
  <c r="H219" i="1" s="1"/>
  <c r="G218" i="1"/>
  <c r="H218" i="1" s="1"/>
  <c r="G217" i="1"/>
  <c r="H217" i="1" s="1"/>
  <c r="G207" i="1"/>
  <c r="H207" i="1" s="1"/>
  <c r="G206" i="1"/>
  <c r="H206" i="1" s="1"/>
  <c r="G205" i="1"/>
  <c r="H205" i="1" s="1"/>
  <c r="G204" i="1"/>
  <c r="H204" i="1" s="1"/>
  <c r="G203" i="1"/>
  <c r="H203" i="1" s="1"/>
  <c r="G197" i="1"/>
  <c r="H197" i="1" s="1"/>
  <c r="G196" i="1"/>
  <c r="H196" i="1" s="1"/>
  <c r="G195" i="1"/>
  <c r="H195" i="1" s="1"/>
  <c r="G193" i="1"/>
  <c r="H193" i="1" s="1"/>
  <c r="G192" i="1"/>
  <c r="H192" i="1" s="1"/>
  <c r="G182" i="1"/>
  <c r="H182" i="1" s="1"/>
  <c r="G181" i="1"/>
  <c r="H181" i="1" s="1"/>
  <c r="G180" i="1"/>
  <c r="H180" i="1" s="1"/>
  <c r="G177" i="1"/>
  <c r="H177" i="1" s="1"/>
  <c r="G176" i="1"/>
  <c r="H176" i="1" s="1"/>
  <c r="G175" i="1"/>
  <c r="H175" i="1" s="1"/>
  <c r="G174" i="1"/>
  <c r="H174" i="1" s="1"/>
  <c r="G173" i="1"/>
  <c r="H173" i="1" s="1"/>
  <c r="G168" i="1"/>
  <c r="M168" i="1" s="1"/>
  <c r="N168" i="1" s="1"/>
  <c r="G167" i="1"/>
  <c r="H167" i="1" s="1"/>
  <c r="G166" i="1"/>
  <c r="M166" i="1" s="1"/>
  <c r="N166" i="1" s="1"/>
  <c r="G165" i="1"/>
  <c r="H165" i="1" s="1"/>
  <c r="G161" i="1"/>
  <c r="H161" i="1" s="1"/>
  <c r="G154" i="1"/>
  <c r="M154" i="1" s="1"/>
  <c r="N154" i="1" s="1"/>
  <c r="G130" i="1"/>
  <c r="M130" i="1" s="1"/>
  <c r="N130" i="1" s="1"/>
  <c r="G123" i="1"/>
  <c r="H123" i="1" s="1"/>
  <c r="G3" i="1"/>
  <c r="M3" i="1" s="1"/>
  <c r="N3" i="1" s="1"/>
  <c r="G2" i="1"/>
  <c r="H2" i="1" s="1"/>
  <c r="M161" i="1" l="1"/>
  <c r="N161" i="1" s="1"/>
  <c r="H168" i="1"/>
  <c r="H130" i="1"/>
  <c r="H166" i="1"/>
  <c r="H3" i="1"/>
  <c r="M167" i="1"/>
  <c r="N167" i="1" s="1"/>
  <c r="M165" i="1"/>
  <c r="N165" i="1" s="1"/>
  <c r="M123" i="1"/>
  <c r="N123" i="1" s="1"/>
  <c r="H154" i="1"/>
  <c r="M2" i="1"/>
  <c r="K15" i="10"/>
  <c r="K170" i="1" l="1"/>
  <c r="K169" i="1"/>
  <c r="K161" i="1"/>
  <c r="K135" i="1"/>
  <c r="M307" i="1" l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268" i="1" l="1"/>
  <c r="M267" i="1"/>
  <c r="K268" i="1"/>
  <c r="K267" i="1"/>
  <c r="K302" i="1"/>
  <c r="K301" i="1"/>
  <c r="K300" i="1"/>
  <c r="K299" i="1"/>
  <c r="K298" i="1"/>
  <c r="M288" i="1"/>
  <c r="M287" i="1"/>
  <c r="K288" i="1"/>
  <c r="K287" i="1"/>
  <c r="K173" i="1" l="1"/>
  <c r="K172" i="1"/>
  <c r="K171" i="1"/>
  <c r="K134" i="1"/>
  <c r="Q134" i="1"/>
  <c r="K158" i="1"/>
  <c r="K157" i="1"/>
  <c r="K156" i="1"/>
  <c r="K155" i="1"/>
  <c r="K183" i="1"/>
  <c r="M183" i="1"/>
  <c r="N183" i="1" s="1"/>
  <c r="M186" i="1"/>
  <c r="K186" i="1"/>
  <c r="K185" i="1"/>
  <c r="K184" i="1"/>
  <c r="E15" i="4" l="1"/>
  <c r="C15" i="4"/>
  <c r="E11" i="12" l="1"/>
  <c r="F10" i="12"/>
  <c r="F9" i="12"/>
  <c r="F8" i="12"/>
  <c r="F7" i="12"/>
  <c r="F6" i="12"/>
  <c r="F5" i="12"/>
  <c r="F4" i="12"/>
  <c r="K306" i="1" l="1"/>
  <c r="K630" i="1"/>
  <c r="K642" i="1"/>
  <c r="K305" i="1" l="1"/>
  <c r="K667" i="1"/>
  <c r="K655" i="1"/>
  <c r="K643" i="1"/>
  <c r="K631" i="1"/>
  <c r="K619" i="1"/>
  <c r="K607" i="1"/>
  <c r="K595" i="1"/>
  <c r="K583" i="1"/>
  <c r="K571" i="1"/>
  <c r="K559" i="1"/>
  <c r="K547" i="1"/>
  <c r="K541" i="1"/>
  <c r="K529" i="1"/>
  <c r="K517" i="1"/>
  <c r="K505" i="1"/>
  <c r="K493" i="1"/>
  <c r="K481" i="1"/>
  <c r="K469" i="1"/>
  <c r="K327" i="1"/>
  <c r="K315" i="1"/>
  <c r="K673" i="1"/>
  <c r="K661" i="1"/>
  <c r="K649" i="1"/>
  <c r="K637" i="1"/>
  <c r="K625" i="1"/>
  <c r="K613" i="1"/>
  <c r="K601" i="1"/>
  <c r="K589" i="1"/>
  <c r="K577" i="1"/>
  <c r="K565" i="1"/>
  <c r="K553" i="1"/>
  <c r="K535" i="1"/>
  <c r="K523" i="1"/>
  <c r="K511" i="1"/>
  <c r="K499" i="1"/>
  <c r="K487" i="1"/>
  <c r="K475" i="1"/>
  <c r="K321" i="1"/>
  <c r="K310" i="1"/>
  <c r="K668" i="1"/>
  <c r="K650" i="1"/>
  <c r="K632" i="1"/>
  <c r="K614" i="1"/>
  <c r="K596" i="1"/>
  <c r="K578" i="1"/>
  <c r="K560" i="1"/>
  <c r="K542" i="1"/>
  <c r="K524" i="1"/>
  <c r="K506" i="1"/>
  <c r="K488" i="1"/>
  <c r="K470" i="1"/>
  <c r="K322" i="1"/>
  <c r="K665" i="1"/>
  <c r="K647" i="1"/>
  <c r="K629" i="1"/>
  <c r="K605" i="1"/>
  <c r="K587" i="1"/>
  <c r="K575" i="1"/>
  <c r="K569" i="1"/>
  <c r="K563" i="1"/>
  <c r="K545" i="1"/>
  <c r="K539" i="1"/>
  <c r="K533" i="1"/>
  <c r="K527" i="1"/>
  <c r="K521" i="1"/>
  <c r="K515" i="1"/>
  <c r="K509" i="1"/>
  <c r="K503" i="1"/>
  <c r="K497" i="1"/>
  <c r="K491" i="1"/>
  <c r="K485" i="1"/>
  <c r="K479" i="1"/>
  <c r="K473" i="1"/>
  <c r="K329" i="1"/>
  <c r="K308" i="1"/>
  <c r="K671" i="1"/>
  <c r="K653" i="1"/>
  <c r="K641" i="1"/>
  <c r="K617" i="1"/>
  <c r="K599" i="1"/>
  <c r="K581" i="1"/>
  <c r="K557" i="1"/>
  <c r="K659" i="1"/>
  <c r="K635" i="1"/>
  <c r="K623" i="1"/>
  <c r="K611" i="1"/>
  <c r="K593" i="1"/>
  <c r="K551" i="1"/>
  <c r="K532" i="1"/>
  <c r="K496" i="1"/>
  <c r="K319" i="1"/>
  <c r="K664" i="1"/>
  <c r="K646" i="1"/>
  <c r="K634" i="1"/>
  <c r="K622" i="1"/>
  <c r="K610" i="1"/>
  <c r="K604" i="1"/>
  <c r="K592" i="1"/>
  <c r="K580" i="1"/>
  <c r="K574" i="1"/>
  <c r="K568" i="1"/>
  <c r="K562" i="1"/>
  <c r="K556" i="1"/>
  <c r="K550" i="1"/>
  <c r="K544" i="1"/>
  <c r="K538" i="1"/>
  <c r="K526" i="1"/>
  <c r="K520" i="1"/>
  <c r="K514" i="1"/>
  <c r="K508" i="1"/>
  <c r="K502" i="1"/>
  <c r="K490" i="1"/>
  <c r="K484" i="1"/>
  <c r="K478" i="1"/>
  <c r="K472" i="1"/>
  <c r="K466" i="1"/>
  <c r="K324" i="1"/>
  <c r="K318" i="1"/>
  <c r="K312" i="1"/>
  <c r="K307" i="1"/>
  <c r="K670" i="1"/>
  <c r="K658" i="1"/>
  <c r="K652" i="1"/>
  <c r="K640" i="1"/>
  <c r="K628" i="1"/>
  <c r="K616" i="1"/>
  <c r="K598" i="1"/>
  <c r="K586" i="1"/>
  <c r="K666" i="1"/>
  <c r="K660" i="1"/>
  <c r="K648" i="1"/>
  <c r="K624" i="1"/>
  <c r="K612" i="1"/>
  <c r="K606" i="1"/>
  <c r="K600" i="1"/>
  <c r="K594" i="1"/>
  <c r="K588" i="1"/>
  <c r="K582" i="1"/>
  <c r="K576" i="1"/>
  <c r="K570" i="1"/>
  <c r="K564" i="1"/>
  <c r="K558" i="1"/>
  <c r="K552" i="1"/>
  <c r="K546" i="1"/>
  <c r="K540" i="1"/>
  <c r="K534" i="1"/>
  <c r="K528" i="1"/>
  <c r="K522" i="1"/>
  <c r="K516" i="1"/>
  <c r="K510" i="1"/>
  <c r="K504" i="1"/>
  <c r="K498" i="1"/>
  <c r="K492" i="1"/>
  <c r="K486" i="1"/>
  <c r="K480" i="1"/>
  <c r="K474" i="1"/>
  <c r="K468" i="1"/>
  <c r="K326" i="1"/>
  <c r="K320" i="1"/>
  <c r="K314" i="1"/>
  <c r="K309" i="1"/>
  <c r="K467" i="1"/>
  <c r="K325" i="1"/>
  <c r="K313" i="1"/>
  <c r="K675" i="1"/>
  <c r="K669" i="1"/>
  <c r="K663" i="1"/>
  <c r="K657" i="1"/>
  <c r="K651" i="1"/>
  <c r="K645" i="1"/>
  <c r="K639" i="1"/>
  <c r="K633" i="1"/>
  <c r="K627" i="1"/>
  <c r="K621" i="1"/>
  <c r="K615" i="1"/>
  <c r="K609" i="1"/>
  <c r="K603" i="1"/>
  <c r="K597" i="1"/>
  <c r="K591" i="1"/>
  <c r="K585" i="1"/>
  <c r="K579" i="1"/>
  <c r="K573" i="1"/>
  <c r="K567" i="1"/>
  <c r="K561" i="1"/>
  <c r="K555" i="1"/>
  <c r="K549" i="1"/>
  <c r="K543" i="1"/>
  <c r="K537" i="1"/>
  <c r="K531" i="1"/>
  <c r="K525" i="1"/>
  <c r="K519" i="1"/>
  <c r="K513" i="1"/>
  <c r="K507" i="1"/>
  <c r="K501" i="1"/>
  <c r="K495" i="1"/>
  <c r="K489" i="1"/>
  <c r="K483" i="1"/>
  <c r="K477" i="1"/>
  <c r="K471" i="1"/>
  <c r="K465" i="1"/>
  <c r="K323" i="1"/>
  <c r="K317" i="1"/>
  <c r="K311" i="1"/>
  <c r="K662" i="1"/>
  <c r="K638" i="1"/>
  <c r="K590" i="1"/>
  <c r="K566" i="1"/>
  <c r="K494" i="1"/>
  <c r="K482" i="1"/>
  <c r="K328" i="1"/>
  <c r="K644" i="1"/>
  <c r="K620" i="1"/>
  <c r="K572" i="1"/>
  <c r="K554" i="1"/>
  <c r="K530" i="1"/>
  <c r="K316" i="1"/>
  <c r="K672" i="1"/>
  <c r="K654" i="1"/>
  <c r="K636" i="1"/>
  <c r="K618" i="1"/>
  <c r="K674" i="1"/>
  <c r="K626" i="1"/>
  <c r="K602" i="1"/>
  <c r="K548" i="1"/>
  <c r="K518" i="1"/>
  <c r="K656" i="1"/>
  <c r="K608" i="1"/>
  <c r="K584" i="1"/>
  <c r="K536" i="1"/>
  <c r="K512" i="1"/>
  <c r="K500" i="1"/>
  <c r="K476" i="1"/>
  <c r="X14" i="10"/>
  <c r="H14" i="10"/>
  <c r="J14" i="10" s="1"/>
  <c r="F14" i="10"/>
  <c r="M14" i="10" l="1"/>
  <c r="O14" i="10" s="1"/>
  <c r="S14" i="10"/>
  <c r="U14" i="10" s="1"/>
  <c r="K14" i="10"/>
  <c r="E14" i="4"/>
  <c r="P14" i="10" l="1"/>
  <c r="V14" i="10"/>
  <c r="W14" i="10" s="1"/>
  <c r="Y14" i="10" s="1"/>
  <c r="E9" i="4" l="1"/>
  <c r="C9" i="4"/>
  <c r="M218" i="1"/>
  <c r="K218" i="1"/>
  <c r="K296" i="1"/>
  <c r="K219" i="1"/>
  <c r="M219" i="1"/>
  <c r="X20" i="10"/>
  <c r="E42" i="10"/>
  <c r="C38" i="10"/>
  <c r="X26" i="10"/>
  <c r="H26" i="10"/>
  <c r="J26" i="10" s="1"/>
  <c r="F26" i="10"/>
  <c r="X25" i="10"/>
  <c r="H25" i="10"/>
  <c r="J25" i="10" s="1"/>
  <c r="F25" i="10"/>
  <c r="X24" i="10"/>
  <c r="H24" i="10"/>
  <c r="J24" i="10" s="1"/>
  <c r="F24" i="10"/>
  <c r="X22" i="10"/>
  <c r="H22" i="10"/>
  <c r="J22" i="10" s="1"/>
  <c r="F22" i="10"/>
  <c r="X21" i="10"/>
  <c r="H21" i="10"/>
  <c r="C39" i="10" s="1"/>
  <c r="F21" i="10"/>
  <c r="H20" i="10"/>
  <c r="J20" i="10" s="1"/>
  <c r="X19" i="10"/>
  <c r="H19" i="10"/>
  <c r="J19" i="10" s="1"/>
  <c r="F19" i="10"/>
  <c r="X18" i="10"/>
  <c r="H18" i="10"/>
  <c r="J18" i="10" s="1"/>
  <c r="F18" i="10"/>
  <c r="X17" i="10"/>
  <c r="H17" i="10"/>
  <c r="J17" i="10" s="1"/>
  <c r="F17" i="10"/>
  <c r="X16" i="10"/>
  <c r="H16" i="10"/>
  <c r="J16" i="10" s="1"/>
  <c r="F16" i="10"/>
  <c r="X13" i="10"/>
  <c r="H13" i="10"/>
  <c r="J13" i="10" s="1"/>
  <c r="S13" i="10" s="1"/>
  <c r="U13" i="10" s="1"/>
  <c r="F13" i="10"/>
  <c r="X12" i="10"/>
  <c r="H12" i="10"/>
  <c r="J12" i="10" s="1"/>
  <c r="F12" i="10"/>
  <c r="X11" i="10"/>
  <c r="H11" i="10"/>
  <c r="J11" i="10" s="1"/>
  <c r="F11" i="10"/>
  <c r="X10" i="10"/>
  <c r="H10" i="10"/>
  <c r="J10" i="10" s="1"/>
  <c r="X9" i="10"/>
  <c r="H9" i="10"/>
  <c r="J9" i="10" s="1"/>
  <c r="X8" i="10"/>
  <c r="H8" i="10"/>
  <c r="J8" i="10" s="1"/>
  <c r="F8" i="10"/>
  <c r="X7" i="10"/>
  <c r="H7" i="10"/>
  <c r="J7" i="10" s="1"/>
  <c r="F7" i="10"/>
  <c r="X6" i="10"/>
  <c r="H6" i="10"/>
  <c r="J6" i="10" s="1"/>
  <c r="F6" i="10"/>
  <c r="X5" i="10"/>
  <c r="J5" i="10"/>
  <c r="S5" i="10" s="1"/>
  <c r="U5" i="10" s="1"/>
  <c r="H5" i="10"/>
  <c r="F5" i="10"/>
  <c r="X4" i="10"/>
  <c r="U4" i="10"/>
  <c r="H4" i="10"/>
  <c r="J4" i="10" s="1"/>
  <c r="M4" i="10" s="1"/>
  <c r="O4" i="10" s="1"/>
  <c r="F4" i="10"/>
  <c r="X3" i="10"/>
  <c r="H3" i="10"/>
  <c r="C37" i="10" s="1"/>
  <c r="F3" i="10"/>
  <c r="J3" i="10" l="1"/>
  <c r="M7" i="10"/>
  <c r="O7" i="10" s="1"/>
  <c r="K7" i="10"/>
  <c r="S7" i="10"/>
  <c r="U7" i="10" s="1"/>
  <c r="K22" i="10"/>
  <c r="M22" i="10"/>
  <c r="O22" i="10" s="1"/>
  <c r="S22" i="10"/>
  <c r="U22" i="10" s="1"/>
  <c r="V4" i="10"/>
  <c r="W4" i="10" s="1"/>
  <c r="Y4" i="10" s="1"/>
  <c r="P4" i="10"/>
  <c r="M10" i="10"/>
  <c r="O10" i="10" s="1"/>
  <c r="S10" i="10"/>
  <c r="U10" i="10" s="1"/>
  <c r="K10" i="10"/>
  <c r="S12" i="10"/>
  <c r="U12" i="10" s="1"/>
  <c r="K12" i="10"/>
  <c r="M12" i="10"/>
  <c r="O12" i="10" s="1"/>
  <c r="K20" i="10"/>
  <c r="M20" i="10"/>
  <c r="O20" i="10" s="1"/>
  <c r="S20" i="10"/>
  <c r="U20" i="10" s="1"/>
  <c r="K16" i="10"/>
  <c r="S16" i="10"/>
  <c r="U16" i="10" s="1"/>
  <c r="M16" i="10"/>
  <c r="O16" i="10" s="1"/>
  <c r="M18" i="10"/>
  <c r="O18" i="10" s="1"/>
  <c r="K18" i="10"/>
  <c r="S18" i="10"/>
  <c r="U18" i="10" s="1"/>
  <c r="K25" i="10"/>
  <c r="S25" i="10"/>
  <c r="U25" i="10" s="1"/>
  <c r="M25" i="10"/>
  <c r="O25" i="10" s="1"/>
  <c r="V25" i="10" s="1"/>
  <c r="S6" i="10"/>
  <c r="U6" i="10" s="1"/>
  <c r="K6" i="10"/>
  <c r="M6" i="10"/>
  <c r="O6" i="10" s="1"/>
  <c r="M8" i="10"/>
  <c r="O8" i="10" s="1"/>
  <c r="K8" i="10"/>
  <c r="S8" i="10"/>
  <c r="U8" i="10" s="1"/>
  <c r="M24" i="10"/>
  <c r="O24" i="10" s="1"/>
  <c r="V24" i="10" s="1"/>
  <c r="K24" i="10"/>
  <c r="S24" i="10"/>
  <c r="U24" i="10" s="1"/>
  <c r="K26" i="10"/>
  <c r="S26" i="10"/>
  <c r="U26" i="10" s="1"/>
  <c r="M26" i="10"/>
  <c r="O26" i="10" s="1"/>
  <c r="V26" i="10" s="1"/>
  <c r="K11" i="10"/>
  <c r="S11" i="10"/>
  <c r="U11" i="10" s="1"/>
  <c r="M11" i="10"/>
  <c r="O11" i="10" s="1"/>
  <c r="M9" i="10"/>
  <c r="O9" i="10" s="1"/>
  <c r="K9" i="10"/>
  <c r="S9" i="10"/>
  <c r="U9" i="10" s="1"/>
  <c r="M17" i="10"/>
  <c r="O17" i="10" s="1"/>
  <c r="K17" i="10"/>
  <c r="S17" i="10"/>
  <c r="U17" i="10" s="1"/>
  <c r="K19" i="10"/>
  <c r="M19" i="10"/>
  <c r="O19" i="10" s="1"/>
  <c r="S19" i="10"/>
  <c r="U19" i="10" s="1"/>
  <c r="K4" i="10"/>
  <c r="J21" i="10"/>
  <c r="M13" i="10"/>
  <c r="O13" i="10" s="1"/>
  <c r="K5" i="10"/>
  <c r="K13" i="10"/>
  <c r="M5" i="10"/>
  <c r="O5" i="10" s="1"/>
  <c r="W25" i="10" l="1"/>
  <c r="Y25" i="10" s="1"/>
  <c r="S3" i="10"/>
  <c r="U3" i="10" s="1"/>
  <c r="M3" i="10"/>
  <c r="O3" i="10" s="1"/>
  <c r="K3" i="10"/>
  <c r="W22" i="10"/>
  <c r="Y22" i="10" s="1"/>
  <c r="P13" i="10"/>
  <c r="V13" i="10"/>
  <c r="W13" i="10" s="1"/>
  <c r="Y13" i="10" s="1"/>
  <c r="V9" i="10"/>
  <c r="P9" i="10"/>
  <c r="W26" i="10"/>
  <c r="Y26" i="10" s="1"/>
  <c r="V22" i="10"/>
  <c r="P22" i="10"/>
  <c r="V19" i="10"/>
  <c r="W19" i="10" s="1"/>
  <c r="Y19" i="10" s="1"/>
  <c r="P19" i="10"/>
  <c r="P7" i="10"/>
  <c r="V7" i="10"/>
  <c r="W7" i="10" s="1"/>
  <c r="Y7" i="10" s="1"/>
  <c r="M21" i="10"/>
  <c r="O21" i="10" s="1"/>
  <c r="S21" i="10"/>
  <c r="U21" i="10" s="1"/>
  <c r="K21" i="10"/>
  <c r="V11" i="10"/>
  <c r="W11" i="10" s="1"/>
  <c r="Y11" i="10" s="1"/>
  <c r="P11" i="10"/>
  <c r="V8" i="10"/>
  <c r="W8" i="10" s="1"/>
  <c r="Y8" i="10" s="1"/>
  <c r="P8" i="10"/>
  <c r="V20" i="10"/>
  <c r="W20" i="10" s="1"/>
  <c r="Y20" i="10" s="1"/>
  <c r="P20" i="10"/>
  <c r="W9" i="10"/>
  <c r="Y9" i="10" s="1"/>
  <c r="V17" i="10"/>
  <c r="W17" i="10" s="1"/>
  <c r="Y17" i="10" s="1"/>
  <c r="P17" i="10"/>
  <c r="W24" i="10"/>
  <c r="Y24" i="10" s="1"/>
  <c r="P6" i="10"/>
  <c r="V6" i="10"/>
  <c r="W6" i="10" s="1"/>
  <c r="Y6" i="10" s="1"/>
  <c r="P18" i="10"/>
  <c r="V18" i="10"/>
  <c r="W18" i="10" s="1"/>
  <c r="Y18" i="10" s="1"/>
  <c r="P10" i="10"/>
  <c r="V10" i="10"/>
  <c r="W10" i="10" s="1"/>
  <c r="Y10" i="10" s="1"/>
  <c r="P5" i="10"/>
  <c r="V5" i="10"/>
  <c r="W5" i="10" s="1"/>
  <c r="Y5" i="10" s="1"/>
  <c r="P16" i="10"/>
  <c r="V16" i="10"/>
  <c r="W16" i="10" s="1"/>
  <c r="Y16" i="10" s="1"/>
  <c r="D38" i="10"/>
  <c r="E38" i="10" s="1"/>
  <c r="P12" i="10"/>
  <c r="V12" i="10"/>
  <c r="W12" i="10" s="1"/>
  <c r="Y12" i="10" s="1"/>
  <c r="V3" i="10" l="1"/>
  <c r="D37" i="10"/>
  <c r="E37" i="10" s="1"/>
  <c r="E41" i="10" s="1"/>
  <c r="E43" i="10" s="1"/>
  <c r="P3" i="10"/>
  <c r="W3" i="10"/>
  <c r="Y3" i="10" s="1"/>
  <c r="D39" i="10"/>
  <c r="E39" i="10" s="1"/>
  <c r="V21" i="10"/>
  <c r="W21" i="10" s="1"/>
  <c r="Y21" i="10" s="1"/>
  <c r="P21" i="10"/>
  <c r="C2" i="4" l="1"/>
  <c r="Q234" i="1" l="1"/>
  <c r="Q214" i="1"/>
  <c r="K187" i="1"/>
  <c r="K188" i="1"/>
  <c r="Q233" i="1"/>
  <c r="Q216" i="1"/>
  <c r="Q204" i="1"/>
  <c r="Q190" i="1"/>
  <c r="Q189" i="1"/>
  <c r="Q188" i="1"/>
  <c r="Q187" i="1"/>
  <c r="M188" i="1"/>
  <c r="M187" i="1"/>
  <c r="M226" i="1"/>
  <c r="K226" i="1"/>
  <c r="M225" i="1"/>
  <c r="K225" i="1"/>
  <c r="M180" i="1" l="1"/>
  <c r="M181" i="1"/>
  <c r="M182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12" i="1"/>
  <c r="M213" i="1"/>
  <c r="M216" i="1"/>
  <c r="M217" i="1"/>
  <c r="M220" i="1"/>
  <c r="M221" i="1"/>
  <c r="M222" i="1"/>
  <c r="M224" i="1"/>
  <c r="M227" i="1"/>
  <c r="M228" i="1"/>
  <c r="M229" i="1"/>
  <c r="M230" i="1"/>
  <c r="M233" i="1"/>
  <c r="M234" i="1"/>
  <c r="M236" i="1"/>
  <c r="M237" i="1"/>
  <c r="M238" i="1"/>
  <c r="M240" i="1"/>
  <c r="M241" i="1"/>
  <c r="M242" i="1"/>
  <c r="M243" i="1"/>
  <c r="M244" i="1"/>
  <c r="M248" i="1"/>
  <c r="M250" i="1"/>
  <c r="M251" i="1"/>
  <c r="M252" i="1"/>
  <c r="M253" i="1"/>
  <c r="M254" i="1"/>
  <c r="M255" i="1"/>
  <c r="M263" i="1"/>
  <c r="M264" i="1"/>
  <c r="M266" i="1"/>
  <c r="M269" i="1"/>
  <c r="M270" i="1"/>
  <c r="M271" i="1"/>
  <c r="M272" i="1"/>
  <c r="M273" i="1"/>
  <c r="M276" i="1"/>
  <c r="M277" i="1"/>
  <c r="M279" i="1"/>
  <c r="M280" i="1"/>
  <c r="M281" i="1"/>
  <c r="M282" i="1"/>
  <c r="M286" i="1"/>
  <c r="M289" i="1"/>
  <c r="M290" i="1"/>
  <c r="M291" i="1"/>
  <c r="M292" i="1"/>
  <c r="M293" i="1"/>
  <c r="N293" i="1" s="1"/>
  <c r="M294" i="1"/>
  <c r="M304" i="1"/>
  <c r="M305" i="1"/>
  <c r="M306" i="1"/>
  <c r="M179" i="1"/>
  <c r="K131" i="1" l="1"/>
  <c r="K142" i="1"/>
  <c r="K143" i="1"/>
  <c r="K146" i="1"/>
  <c r="K147" i="1"/>
  <c r="K191" i="1"/>
  <c r="K192" i="1"/>
  <c r="K193" i="1"/>
  <c r="K194" i="1"/>
  <c r="K195" i="1"/>
  <c r="K198" i="1"/>
  <c r="K207" i="1"/>
  <c r="K208" i="1"/>
  <c r="K212" i="1"/>
  <c r="K213" i="1"/>
  <c r="K217" i="1"/>
  <c r="K220" i="1"/>
  <c r="K222" i="1"/>
  <c r="K223" i="1"/>
  <c r="K224" i="1"/>
  <c r="K235" i="1"/>
  <c r="K236" i="1"/>
  <c r="K240" i="1"/>
  <c r="K242" i="1"/>
  <c r="K244" i="1"/>
  <c r="K249" i="1"/>
  <c r="K252" i="1"/>
  <c r="K253" i="1"/>
  <c r="K261" i="1"/>
  <c r="K266" i="1"/>
  <c r="K279" i="1"/>
  <c r="K286" i="1"/>
  <c r="K289" i="1"/>
  <c r="K290" i="1"/>
  <c r="K182" i="1"/>
  <c r="K189" i="1"/>
  <c r="K196" i="1"/>
  <c r="K197" i="1"/>
  <c r="K199" i="1"/>
  <c r="K200" i="1"/>
  <c r="K201" i="1"/>
  <c r="K202" i="1"/>
  <c r="K203" i="1"/>
  <c r="K204" i="1"/>
  <c r="K205" i="1"/>
  <c r="K206" i="1"/>
  <c r="K216" i="1"/>
  <c r="K221" i="1"/>
  <c r="K227" i="1"/>
  <c r="K228" i="1"/>
  <c r="K229" i="1"/>
  <c r="K230" i="1"/>
  <c r="K233" i="1"/>
  <c r="K234" i="1"/>
  <c r="K237" i="1"/>
  <c r="K238" i="1"/>
  <c r="K239" i="1"/>
  <c r="K241" i="1"/>
  <c r="K243" i="1"/>
  <c r="K248" i="1"/>
  <c r="K250" i="1"/>
  <c r="K251" i="1"/>
  <c r="K254" i="1"/>
  <c r="K255" i="1"/>
  <c r="K256" i="1"/>
  <c r="K263" i="1"/>
  <c r="K264" i="1"/>
  <c r="K269" i="1"/>
  <c r="K270" i="1"/>
  <c r="K271" i="1"/>
  <c r="K272" i="1"/>
  <c r="K273" i="1"/>
  <c r="K275" i="1"/>
  <c r="K276" i="1"/>
  <c r="K277" i="1"/>
  <c r="K280" i="1"/>
  <c r="K281" i="1"/>
  <c r="K282" i="1"/>
  <c r="K291" i="1"/>
  <c r="K292" i="1"/>
  <c r="K293" i="1"/>
  <c r="K294" i="1"/>
  <c r="K295" i="1"/>
  <c r="K297" i="1"/>
  <c r="K123" i="1"/>
  <c r="K124" i="1"/>
  <c r="K125" i="1"/>
  <c r="K126" i="1"/>
  <c r="K127" i="1"/>
  <c r="K132" i="1"/>
  <c r="K140" i="1"/>
  <c r="K144" i="1"/>
  <c r="K145" i="1"/>
  <c r="K148" i="1"/>
  <c r="K153" i="1"/>
  <c r="K154" i="1"/>
  <c r="K178" i="1"/>
  <c r="K179" i="1"/>
  <c r="K180" i="1"/>
  <c r="K181" i="1"/>
  <c r="M262" i="1"/>
  <c r="K262" i="1" l="1"/>
  <c r="K214" i="1"/>
  <c r="M214" i="1"/>
  <c r="K247" i="1"/>
  <c r="M247" i="1"/>
  <c r="K265" i="1"/>
  <c r="M265" i="1"/>
  <c r="K303" i="1"/>
  <c r="M303" i="1"/>
  <c r="K211" i="1"/>
  <c r="M211" i="1"/>
  <c r="K285" i="1"/>
  <c r="M285" i="1"/>
  <c r="K215" i="1"/>
  <c r="M215" i="1"/>
  <c r="K257" i="1"/>
  <c r="M257" i="1"/>
  <c r="K274" i="1"/>
  <c r="K231" i="1"/>
  <c r="M231" i="1"/>
  <c r="K258" i="1"/>
  <c r="M258" i="1"/>
  <c r="K278" i="1"/>
  <c r="M278" i="1"/>
  <c r="K246" i="1"/>
  <c r="M246" i="1"/>
  <c r="K259" i="1"/>
  <c r="M259" i="1"/>
  <c r="K283" i="1"/>
  <c r="M283" i="1"/>
  <c r="K190" i="1"/>
  <c r="M190" i="1"/>
  <c r="K209" i="1"/>
  <c r="M209" i="1"/>
  <c r="K232" i="1"/>
  <c r="M232" i="1"/>
  <c r="K210" i="1"/>
  <c r="M210" i="1"/>
  <c r="K245" i="1"/>
  <c r="M245" i="1"/>
  <c r="K260" i="1"/>
  <c r="M260" i="1"/>
  <c r="K284" i="1"/>
  <c r="M284" i="1"/>
  <c r="P2" i="2" l="1"/>
  <c r="P4" i="2"/>
  <c r="P8" i="2"/>
  <c r="P9" i="2"/>
  <c r="P10" i="2"/>
  <c r="P11" i="2"/>
  <c r="P12" i="2"/>
  <c r="P19" i="2"/>
  <c r="P29" i="2"/>
  <c r="P30" i="2"/>
  <c r="P31" i="2"/>
  <c r="P32" i="2"/>
  <c r="P33" i="2"/>
  <c r="P36" i="2"/>
  <c r="P37" i="2"/>
  <c r="P38" i="2"/>
  <c r="P39" i="2"/>
  <c r="P40" i="2"/>
  <c r="P41" i="2"/>
  <c r="P43" i="2"/>
  <c r="P45" i="2"/>
  <c r="P50" i="2"/>
  <c r="P54" i="2"/>
  <c r="P56" i="2"/>
  <c r="P57" i="2"/>
  <c r="P58" i="2"/>
  <c r="P63" i="2"/>
  <c r="P64" i="2"/>
  <c r="P67" i="2"/>
  <c r="P68" i="2"/>
  <c r="P69" i="2"/>
  <c r="P70" i="2"/>
  <c r="P71" i="2"/>
  <c r="P72" i="2"/>
  <c r="P73" i="2"/>
  <c r="P74" i="2"/>
  <c r="P75" i="2"/>
  <c r="P78" i="2"/>
  <c r="P79" i="2"/>
  <c r="P80" i="2"/>
  <c r="P84" i="2"/>
  <c r="P86" i="2"/>
  <c r="P87" i="2"/>
  <c r="P88" i="2"/>
  <c r="P89" i="2"/>
  <c r="P95" i="2"/>
  <c r="P105" i="2"/>
  <c r="P106" i="2"/>
  <c r="P109" i="2"/>
  <c r="P110" i="2"/>
  <c r="P112" i="2"/>
  <c r="P113" i="2"/>
  <c r="P114" i="2"/>
  <c r="P115" i="2"/>
  <c r="P116" i="2"/>
  <c r="P117" i="2"/>
  <c r="P118" i="2"/>
  <c r="P119" i="2"/>
  <c r="P120" i="2"/>
  <c r="Q179" i="1"/>
  <c r="Q178" i="1"/>
  <c r="Q177" i="1"/>
  <c r="Q176" i="1"/>
  <c r="Q175" i="1"/>
  <c r="Q174" i="1"/>
  <c r="Q168" i="1"/>
  <c r="Q167" i="1"/>
  <c r="Q166" i="1"/>
  <c r="Q165" i="1"/>
  <c r="Q164" i="1"/>
  <c r="Q163" i="1"/>
  <c r="Q162" i="1"/>
  <c r="Q161" i="1"/>
  <c r="Q160" i="1"/>
  <c r="Q159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3" i="1"/>
  <c r="Q132" i="1"/>
  <c r="Q131" i="1"/>
  <c r="Q130" i="1"/>
  <c r="Q129" i="1"/>
  <c r="Q128" i="1"/>
  <c r="Q127" i="1"/>
  <c r="Q126" i="1"/>
  <c r="Q125" i="1"/>
  <c r="Q124" i="1"/>
  <c r="Q123" i="1"/>
  <c r="Q3" i="1"/>
  <c r="O120" i="2" l="1"/>
  <c r="O119" i="2"/>
  <c r="O118" i="2"/>
  <c r="O117" i="2"/>
  <c r="O116" i="2"/>
  <c r="O115" i="2"/>
  <c r="O114" i="2"/>
  <c r="O113" i="2"/>
  <c r="K133" i="1"/>
  <c r="K141" i="1"/>
  <c r="G121" i="2"/>
  <c r="P121" i="2" s="1"/>
  <c r="G47" i="2"/>
  <c r="P47" i="2" s="1"/>
  <c r="K159" i="1"/>
  <c r="K160" i="1"/>
  <c r="K177" i="1"/>
  <c r="G111" i="2"/>
  <c r="P111" i="2" s="1"/>
  <c r="G108" i="2"/>
  <c r="P108" i="2" s="1"/>
  <c r="G107" i="2"/>
  <c r="P107" i="2" s="1"/>
  <c r="K176" i="1"/>
  <c r="K175" i="1"/>
  <c r="G104" i="2"/>
  <c r="P104" i="2" s="1"/>
  <c r="G103" i="2"/>
  <c r="P103" i="2" s="1"/>
  <c r="G102" i="2"/>
  <c r="P102" i="2" s="1"/>
  <c r="G99" i="2"/>
  <c r="P99" i="2" s="1"/>
  <c r="G101" i="2"/>
  <c r="P101" i="2" s="1"/>
  <c r="G100" i="2"/>
  <c r="P100" i="2" s="1"/>
  <c r="G98" i="2"/>
  <c r="P98" i="2" s="1"/>
  <c r="G97" i="2"/>
  <c r="P97" i="2" s="1"/>
  <c r="G96" i="2"/>
  <c r="P96" i="2" s="1"/>
  <c r="K174" i="1"/>
  <c r="K168" i="1"/>
  <c r="K167" i="1"/>
  <c r="G94" i="2"/>
  <c r="P94" i="2" s="1"/>
  <c r="G93" i="2"/>
  <c r="P93" i="2" s="1"/>
  <c r="G92" i="2"/>
  <c r="P92" i="2" s="1"/>
  <c r="G91" i="2"/>
  <c r="P91" i="2" s="1"/>
  <c r="G90" i="2"/>
  <c r="P90" i="2" s="1"/>
  <c r="K165" i="1"/>
  <c r="K164" i="1"/>
  <c r="K166" i="1"/>
  <c r="L81" i="2"/>
  <c r="P81" i="2" s="1"/>
  <c r="G85" i="2"/>
  <c r="P85" i="2" s="1"/>
  <c r="G83" i="2"/>
  <c r="P83" i="2" s="1"/>
  <c r="G82" i="2"/>
  <c r="P82" i="2" s="1"/>
  <c r="K162" i="1"/>
  <c r="K163" i="1"/>
  <c r="G77" i="2"/>
  <c r="P77" i="2" s="1"/>
  <c r="G76" i="2"/>
  <c r="P76" i="2" s="1"/>
  <c r="G66" i="2"/>
  <c r="P66" i="2" s="1"/>
  <c r="L65" i="2"/>
  <c r="P65" i="2" s="1"/>
  <c r="K152" i="1"/>
  <c r="O64" i="2"/>
  <c r="K151" i="1"/>
  <c r="G62" i="2"/>
  <c r="P62" i="2" s="1"/>
  <c r="G61" i="2"/>
  <c r="P61" i="2" s="1"/>
  <c r="G60" i="2"/>
  <c r="P60" i="2" s="1"/>
  <c r="G59" i="2"/>
  <c r="P59" i="2" s="1"/>
  <c r="K150" i="1"/>
  <c r="K149" i="1"/>
  <c r="G55" i="2"/>
  <c r="P55" i="2" s="1"/>
  <c r="G53" i="2"/>
  <c r="P53" i="2" s="1"/>
  <c r="G52" i="2"/>
  <c r="P52" i="2" s="1"/>
  <c r="G51" i="2"/>
  <c r="P51" i="2" s="1"/>
  <c r="G49" i="2"/>
  <c r="P49" i="2" s="1"/>
  <c r="G48" i="2"/>
  <c r="P48" i="2" s="1"/>
  <c r="M178" i="1"/>
  <c r="E27" i="4"/>
  <c r="E26" i="4"/>
  <c r="E25" i="4"/>
  <c r="E24" i="4"/>
  <c r="E22" i="4"/>
  <c r="E21" i="4"/>
  <c r="E20" i="4"/>
  <c r="E19" i="4"/>
  <c r="E18" i="4"/>
  <c r="E17" i="4"/>
  <c r="E13" i="4"/>
  <c r="E12" i="4"/>
  <c r="E11" i="4"/>
  <c r="E10" i="4"/>
  <c r="E8" i="4"/>
  <c r="E7" i="4"/>
  <c r="E6" i="4"/>
  <c r="E5" i="4"/>
  <c r="E4" i="4"/>
  <c r="E3" i="4"/>
  <c r="E2" i="4"/>
  <c r="C27" i="4"/>
  <c r="C26" i="4"/>
  <c r="C25" i="4"/>
  <c r="C24" i="4"/>
  <c r="C22" i="4"/>
  <c r="C21" i="4"/>
  <c r="C20" i="4"/>
  <c r="C19" i="4"/>
  <c r="C18" i="4"/>
  <c r="C17" i="4"/>
  <c r="C14" i="4"/>
  <c r="C13" i="4"/>
  <c r="C12" i="4"/>
  <c r="C11" i="4"/>
  <c r="C10" i="4"/>
  <c r="C8" i="4"/>
  <c r="C7" i="4"/>
  <c r="C6" i="4"/>
  <c r="C5" i="4"/>
  <c r="C4" i="4"/>
  <c r="C3" i="4"/>
  <c r="N178" i="1" l="1"/>
  <c r="N218" i="1"/>
  <c r="N219" i="1"/>
  <c r="N226" i="1"/>
  <c r="N225" i="1"/>
  <c r="N187" i="1"/>
  <c r="N188" i="1"/>
  <c r="N270" i="1"/>
  <c r="N200" i="1"/>
  <c r="N240" i="1"/>
  <c r="N193" i="1"/>
  <c r="N281" i="1"/>
  <c r="N230" i="1"/>
  <c r="N280" i="1"/>
  <c r="N229" i="1"/>
  <c r="N241" i="1"/>
  <c r="N194" i="1"/>
  <c r="N294" i="1"/>
  <c r="N234" i="1"/>
  <c r="N180" i="1"/>
  <c r="N282" i="1"/>
  <c r="N213" i="1"/>
  <c r="N273" i="1"/>
  <c r="N222" i="1"/>
  <c r="N272" i="1"/>
  <c r="N221" i="1"/>
  <c r="N179" i="1"/>
  <c r="N227" i="1"/>
  <c r="N269" i="1"/>
  <c r="N216" i="1"/>
  <c r="N248" i="1"/>
  <c r="N198" i="1"/>
  <c r="N253" i="1"/>
  <c r="N203" i="1"/>
  <c r="N252" i="1"/>
  <c r="N217" i="1"/>
  <c r="N255" i="1"/>
  <c r="N205" i="1"/>
  <c r="N192" i="1"/>
  <c r="N305" i="1"/>
  <c r="N244" i="1"/>
  <c r="N197" i="1"/>
  <c r="N304" i="1"/>
  <c r="N243" i="1"/>
  <c r="N196" i="1"/>
  <c r="N289" i="1"/>
  <c r="N206" i="1"/>
  <c r="N199" i="1"/>
  <c r="N306" i="1"/>
  <c r="N233" i="1"/>
  <c r="N292" i="1"/>
  <c r="N238" i="1"/>
  <c r="N191" i="1"/>
  <c r="N291" i="1"/>
  <c r="N237" i="1"/>
  <c r="N189" i="1"/>
  <c r="N263" i="1"/>
  <c r="N207" i="1"/>
  <c r="N181" i="1"/>
  <c r="N286" i="1"/>
  <c r="N208" i="1"/>
  <c r="N251" i="1"/>
  <c r="N201" i="1"/>
  <c r="N195" i="1"/>
  <c r="N266" i="1"/>
  <c r="N290" i="1"/>
  <c r="N236" i="1"/>
  <c r="N182" i="1"/>
  <c r="N204" i="1"/>
  <c r="N264" i="1"/>
  <c r="N279" i="1"/>
  <c r="N228" i="1"/>
  <c r="N242" i="1"/>
  <c r="N212" i="1"/>
  <c r="N271" i="1"/>
  <c r="N220" i="1"/>
  <c r="N224" i="1"/>
  <c r="N262" i="1"/>
  <c r="N245" i="1"/>
  <c r="N209" i="1"/>
  <c r="N278" i="1"/>
  <c r="N259" i="1"/>
  <c r="N257" i="1"/>
  <c r="N265" i="1"/>
  <c r="N210" i="1"/>
  <c r="N258" i="1"/>
  <c r="N211" i="1"/>
  <c r="N303" i="1"/>
  <c r="N260" i="1"/>
  <c r="N247" i="1"/>
  <c r="N214" i="1"/>
  <c r="N246" i="1"/>
  <c r="N190" i="1"/>
  <c r="N277" i="1"/>
  <c r="N250" i="1"/>
  <c r="N276" i="1"/>
  <c r="N254" i="1"/>
  <c r="N283" i="1"/>
  <c r="N231" i="1"/>
  <c r="N285" i="1"/>
  <c r="N215" i="1"/>
  <c r="N284" i="1"/>
  <c r="N232" i="1"/>
  <c r="M177" i="1"/>
  <c r="N177" i="1" s="1"/>
  <c r="M175" i="1"/>
  <c r="N175" i="1" s="1"/>
  <c r="M174" i="1"/>
  <c r="N174" i="1" s="1"/>
  <c r="M176" i="1"/>
  <c r="N176" i="1" s="1"/>
  <c r="O45" i="2" l="1"/>
  <c r="O43" i="2"/>
  <c r="N44" i="2"/>
  <c r="N42" i="2"/>
  <c r="O41" i="2"/>
  <c r="O40" i="2"/>
  <c r="G46" i="2"/>
  <c r="G44" i="2"/>
  <c r="P44" i="2" s="1"/>
  <c r="G42" i="2"/>
  <c r="P42" i="2" s="1"/>
  <c r="K139" i="1"/>
  <c r="K138" i="1"/>
  <c r="M39" i="2"/>
  <c r="M38" i="2"/>
  <c r="O39" i="2"/>
  <c r="O38" i="2"/>
  <c r="K136" i="1"/>
  <c r="K137" i="1"/>
  <c r="K130" i="1"/>
  <c r="O32" i="2"/>
  <c r="O36" i="2"/>
  <c r="O33" i="2"/>
  <c r="O31" i="2"/>
  <c r="N35" i="2"/>
  <c r="N34" i="2"/>
  <c r="G35" i="2"/>
  <c r="P35" i="2" s="1"/>
  <c r="G34" i="2"/>
  <c r="P34" i="2" s="1"/>
  <c r="K129" i="1"/>
  <c r="G28" i="2"/>
  <c r="P28" i="2" s="1"/>
  <c r="G27" i="2"/>
  <c r="P27" i="2" s="1"/>
  <c r="G26" i="2"/>
  <c r="P26" i="2" s="1"/>
  <c r="G25" i="2"/>
  <c r="P25" i="2" s="1"/>
  <c r="G24" i="2"/>
  <c r="P24" i="2" s="1"/>
  <c r="G23" i="2"/>
  <c r="P23" i="2" s="1"/>
  <c r="G22" i="2"/>
  <c r="P22" i="2" s="1"/>
  <c r="G21" i="2"/>
  <c r="P21" i="2" s="1"/>
  <c r="G20" i="2"/>
  <c r="P20" i="2" s="1"/>
  <c r="K128" i="1"/>
  <c r="G18" i="2"/>
  <c r="P18" i="2" s="1"/>
  <c r="G17" i="2"/>
  <c r="P17" i="2" s="1"/>
  <c r="G16" i="2"/>
  <c r="P16" i="2" s="1"/>
  <c r="G15" i="2"/>
  <c r="P15" i="2" s="1"/>
  <c r="G14" i="2"/>
  <c r="P14" i="2" s="1"/>
  <c r="G13" i="2"/>
  <c r="P13" i="2" s="1"/>
  <c r="G7" i="2"/>
  <c r="P7" i="2" s="1"/>
  <c r="G6" i="2"/>
  <c r="P6" i="2" s="1"/>
  <c r="G5" i="2"/>
  <c r="P5" i="2" s="1"/>
  <c r="G3" i="2"/>
  <c r="P3" i="2" s="1"/>
  <c r="K3" i="1"/>
  <c r="Q2" i="1"/>
  <c r="O46" i="2" l="1"/>
  <c r="P46" i="2"/>
  <c r="O44" i="2"/>
  <c r="O35" i="2"/>
  <c r="O34" i="2"/>
  <c r="O42" i="2"/>
  <c r="K304" i="1" l="1"/>
</calcChain>
</file>

<file path=xl/sharedStrings.xml><?xml version="1.0" encoding="utf-8"?>
<sst xmlns="http://schemas.openxmlformats.org/spreadsheetml/2006/main" count="2924" uniqueCount="300">
  <si>
    <t>FECHA</t>
  </si>
  <si>
    <t>PROCESO</t>
  </si>
  <si>
    <t>TIPO</t>
  </si>
  <si>
    <t>REPORTE</t>
  </si>
  <si>
    <t>OPERADOR</t>
  </si>
  <si>
    <t>Turno</t>
  </si>
  <si>
    <t>kgxpersona</t>
  </si>
  <si>
    <t>hh/trabajadas</t>
  </si>
  <si>
    <t>Rendimiento</t>
  </si>
  <si>
    <t>Demoras</t>
  </si>
  <si>
    <t>Motivo</t>
  </si>
  <si>
    <t>HORAS TOTALES TRABAJADAS</t>
  </si>
  <si>
    <t>Robledo</t>
  </si>
  <si>
    <t>Diurno</t>
  </si>
  <si>
    <t>Fecha</t>
  </si>
  <si>
    <t>Reporte</t>
  </si>
  <si>
    <t>Proceso</t>
  </si>
  <si>
    <t>Material</t>
  </si>
  <si>
    <t>Color</t>
  </si>
  <si>
    <t>Ingreso</t>
  </si>
  <si>
    <t>PP</t>
  </si>
  <si>
    <t>Verde</t>
  </si>
  <si>
    <t>OFT</t>
  </si>
  <si>
    <t>OSM</t>
  </si>
  <si>
    <t>IF</t>
  </si>
  <si>
    <t>TFB1</t>
  </si>
  <si>
    <t>TFB2</t>
  </si>
  <si>
    <t>SCRAP</t>
  </si>
  <si>
    <t>Actividades</t>
  </si>
  <si>
    <t>AGLOMERADO</t>
  </si>
  <si>
    <t>BANDA</t>
  </si>
  <si>
    <t>BOM</t>
  </si>
  <si>
    <t>COMPACTADORA</t>
  </si>
  <si>
    <t>LAVADO</t>
  </si>
  <si>
    <t>PELLETIZADO</t>
  </si>
  <si>
    <t>PULIDO</t>
  </si>
  <si>
    <t>TRITURADO</t>
  </si>
  <si>
    <t>ZARANDA</t>
  </si>
  <si>
    <t>LOGISTICA</t>
  </si>
  <si>
    <t>NO FERROSO</t>
  </si>
  <si>
    <t>PLANTA DE TRATAMIENTO</t>
  </si>
  <si>
    <t>PROYECTO</t>
  </si>
  <si>
    <t>TULAS</t>
  </si>
  <si>
    <t>Jimmy</t>
  </si>
  <si>
    <t>Rodriguez</t>
  </si>
  <si>
    <t>HOGAR</t>
  </si>
  <si>
    <t>PESO</t>
  </si>
  <si>
    <t>SOPLADO</t>
  </si>
  <si>
    <t>Multicolor</t>
  </si>
  <si>
    <t>SOPLADO PP</t>
  </si>
  <si>
    <t>Transparente</t>
  </si>
  <si>
    <t>PET</t>
  </si>
  <si>
    <t>OTROS</t>
  </si>
  <si>
    <t>Otros</t>
  </si>
  <si>
    <t>PESO TFB</t>
  </si>
  <si>
    <t>PACAS</t>
  </si>
  <si>
    <t>Balladares</t>
  </si>
  <si>
    <t>Nunura</t>
  </si>
  <si>
    <t>Bazan</t>
  </si>
  <si>
    <t>Termofarmado</t>
  </si>
  <si>
    <t>Negro</t>
  </si>
  <si>
    <t>CLASIFICADO PACAS</t>
  </si>
  <si>
    <t>PIE</t>
  </si>
  <si>
    <t>Polanco</t>
  </si>
  <si>
    <t>Solis</t>
  </si>
  <si>
    <t>Rojo</t>
  </si>
  <si>
    <t>Blanco</t>
  </si>
  <si>
    <t>Azul</t>
  </si>
  <si>
    <t>PEAD</t>
  </si>
  <si>
    <t>Carpio</t>
  </si>
  <si>
    <t>1 h revision de cuchillas / 1h limpieza por cambio de material</t>
  </si>
  <si>
    <t>GALPON</t>
  </si>
  <si>
    <t>Castro</t>
  </si>
  <si>
    <t>BAJA</t>
  </si>
  <si>
    <t>Natural</t>
  </si>
  <si>
    <t>Suarez</t>
  </si>
  <si>
    <t>Limpieza</t>
  </si>
  <si>
    <t>Vicente</t>
  </si>
  <si>
    <t>CANECA</t>
  </si>
  <si>
    <t>TRITURADO NELMOR</t>
  </si>
  <si>
    <t xml:space="preserve">PP </t>
  </si>
  <si>
    <t>Estado</t>
  </si>
  <si>
    <t>Separadores</t>
  </si>
  <si>
    <t xml:space="preserve">Corte y embalado </t>
  </si>
  <si>
    <t>Alta Seco</t>
  </si>
  <si>
    <t>Baja Seco</t>
  </si>
  <si>
    <t>Chicle Seco</t>
  </si>
  <si>
    <t>Pie</t>
  </si>
  <si>
    <t>Soplado</t>
  </si>
  <si>
    <t>Baja</t>
  </si>
  <si>
    <t>Alta</t>
  </si>
  <si>
    <t>Chicle</t>
  </si>
  <si>
    <t>Planchas</t>
  </si>
  <si>
    <t>FILM</t>
  </si>
  <si>
    <t>MONTAÑA</t>
  </si>
  <si>
    <t>Inventario de tulas</t>
  </si>
  <si>
    <t>Ciro</t>
  </si>
  <si>
    <t>Andrade</t>
  </si>
  <si>
    <t>Aceite</t>
  </si>
  <si>
    <t>TAPAS</t>
  </si>
  <si>
    <t>Segura</t>
  </si>
  <si>
    <t>CHICLE</t>
  </si>
  <si>
    <t>Quiñonez</t>
  </si>
  <si>
    <t>Limpieza de área nueva de trabajo</t>
  </si>
  <si>
    <t>No. Personal</t>
  </si>
  <si>
    <t>Etiquetas de fila</t>
  </si>
  <si>
    <t>(en blanco)</t>
  </si>
  <si>
    <t>Total general</t>
  </si>
  <si>
    <t>Etiquetas de columna</t>
  </si>
  <si>
    <t>Suma de HORAS TOTALES TRABAJADAS</t>
  </si>
  <si>
    <t>PELLETIZADO# 2</t>
  </si>
  <si>
    <t>CLASIFICACIÓN HOGAR</t>
  </si>
  <si>
    <t>CLASIFICACIÓN SOPLADO</t>
  </si>
  <si>
    <t>CLASIFICACIÓN FILM</t>
  </si>
  <si>
    <t>ADMINISTRACIÓN</t>
  </si>
  <si>
    <t>OPERACIONES</t>
  </si>
  <si>
    <t>EXTRUSIÓN SEPARADORES</t>
  </si>
  <si>
    <t>PRODUCCION TOTAL</t>
  </si>
  <si>
    <t>Suma de PRODUCCION TOTAL</t>
  </si>
  <si>
    <t>TARIFA ACTUAL PROPUESTA</t>
  </si>
  <si>
    <t>EJERCICIO</t>
  </si>
  <si>
    <t>MATERIAL</t>
  </si>
  <si>
    <t>Prod min</t>
  </si>
  <si>
    <t>Prod max</t>
  </si>
  <si>
    <t>PROMEDIO KG X PERSONA</t>
  </si>
  <si>
    <t>META PROPUESTA</t>
  </si>
  <si>
    <t>KG X HORA</t>
  </si>
  <si>
    <t>HORA</t>
  </si>
  <si>
    <t>KG DIARIO</t>
  </si>
  <si>
    <t>TON DIARIO</t>
  </si>
  <si>
    <t>DIA MES</t>
  </si>
  <si>
    <t>TOTAL MENSUAL</t>
  </si>
  <si>
    <t>H. EXTRA</t>
  </si>
  <si>
    <t>TARIFA KG</t>
  </si>
  <si>
    <t>TARIFA TON</t>
  </si>
  <si>
    <t>U.MEDIDA</t>
  </si>
  <si>
    <t xml:space="preserve">KG </t>
  </si>
  <si>
    <t>DIAS</t>
  </si>
  <si>
    <t>KG MENSUAL</t>
  </si>
  <si>
    <t>$HORAS EXTRAS</t>
  </si>
  <si>
    <t>VALOR GANADO</t>
  </si>
  <si>
    <t>HORAS EXTRAS</t>
  </si>
  <si>
    <t>INCENTIVO</t>
  </si>
  <si>
    <t>Aglomerado</t>
  </si>
  <si>
    <t>KG</t>
  </si>
  <si>
    <t>Clasificado</t>
  </si>
  <si>
    <t>Montaña/galpon</t>
  </si>
  <si>
    <t>Pacas</t>
  </si>
  <si>
    <t>Lavado</t>
  </si>
  <si>
    <t>Film baja</t>
  </si>
  <si>
    <t>hogar</t>
  </si>
  <si>
    <t>Pelletizado</t>
  </si>
  <si>
    <t>Pelletizado extrusora 2</t>
  </si>
  <si>
    <t>Trituradora</t>
  </si>
  <si>
    <t>Compactado</t>
  </si>
  <si>
    <t>unidad</t>
  </si>
  <si>
    <t>Otros logistica/estibaje</t>
  </si>
  <si>
    <t>Hora</t>
  </si>
  <si>
    <t>PERSONA</t>
  </si>
  <si>
    <t>HORAS</t>
  </si>
  <si>
    <t>VALOR TARIFA $</t>
  </si>
  <si>
    <t>TOTAL TARIFA $</t>
  </si>
  <si>
    <t>tarifario</t>
  </si>
  <si>
    <t>tarifario total</t>
  </si>
  <si>
    <t>Suma de tarifario total</t>
  </si>
  <si>
    <t>Suma de kgxpersona</t>
  </si>
  <si>
    <t>Suma de hh/trabajadas</t>
  </si>
  <si>
    <t>kg x hora</t>
  </si>
  <si>
    <t>Palma</t>
  </si>
  <si>
    <t>Miraba</t>
  </si>
  <si>
    <t>Nocturno</t>
  </si>
  <si>
    <t>4-Nov</t>
  </si>
  <si>
    <t>5-Nov</t>
  </si>
  <si>
    <t>6-Nov</t>
  </si>
  <si>
    <t>Nov</t>
  </si>
  <si>
    <t>Total Nov</t>
  </si>
  <si>
    <t>Inventario de patio. Solo trabajaron hasta las 4</t>
  </si>
  <si>
    <t>1-Nov</t>
  </si>
  <si>
    <t>tulas</t>
  </si>
  <si>
    <t>META</t>
  </si>
  <si>
    <t>TARIFA</t>
  </si>
  <si>
    <t xml:space="preserve"> META KG</t>
  </si>
  <si>
    <t>Promedio de META</t>
  </si>
  <si>
    <t>Promedio de kg x hora</t>
  </si>
  <si>
    <t>COMPARATIVO PRODUCCION POR HORA VS META</t>
  </si>
  <si>
    <t>CONSOLIDADO TARIFAS NOVIEMBRE 2020</t>
  </si>
  <si>
    <t>PRODUCCION POR PERSONA</t>
  </si>
  <si>
    <t>CLASIFICACION FILM</t>
  </si>
  <si>
    <t>CLASIFICACION HOGAR</t>
  </si>
  <si>
    <t>CLASIFICACION SOPLADO- PACAS</t>
  </si>
  <si>
    <t>CLASIFICACION SOPLADO- PIE</t>
  </si>
  <si>
    <t>LAVADO SOPLADO -BANDA</t>
  </si>
  <si>
    <t>Soplado-banda</t>
  </si>
  <si>
    <t>CHICLE SECO</t>
  </si>
  <si>
    <t>Victor</t>
  </si>
  <si>
    <t>INFORMACION DESDE EL 23 DE OCTUBRE AL 13 DE NOVIEMBRE 2020</t>
  </si>
  <si>
    <t>(Varios elementos)</t>
  </si>
  <si>
    <t>Tipo</t>
  </si>
  <si>
    <t>CLAS. FILM</t>
  </si>
  <si>
    <t>CLAS. HOGAR</t>
  </si>
  <si>
    <t>CLAS. SOPLADO</t>
  </si>
  <si>
    <t>LAV. SOPLADO</t>
  </si>
  <si>
    <t>PELLET PP</t>
  </si>
  <si>
    <t>AS2</t>
  </si>
  <si>
    <t>DIF</t>
  </si>
  <si>
    <t>DIURNO</t>
  </si>
  <si>
    <t>CARPIO</t>
  </si>
  <si>
    <t>SOPLADO clasificado</t>
  </si>
  <si>
    <t>Limpieza de linea PET</t>
  </si>
  <si>
    <t>NOMBRES</t>
  </si>
  <si>
    <t xml:space="preserve">ANDRADE ALMENDARIZ ADRIAN </t>
  </si>
  <si>
    <t>BALLADARES JOSE</t>
  </si>
  <si>
    <t>BAZAN MORAN ROBERTO</t>
  </si>
  <si>
    <t>CARPIO MARTINEZ SERGIO</t>
  </si>
  <si>
    <t xml:space="preserve">CASTRO CARLOS </t>
  </si>
  <si>
    <t xml:space="preserve">CORREA MUÑOZ VICTOR </t>
  </si>
  <si>
    <t>CORREA VICENTE</t>
  </si>
  <si>
    <t>MIRABA SUAREZ CARLOS</t>
  </si>
  <si>
    <t>NUNURA SILVERIO</t>
  </si>
  <si>
    <t>PALMA MENENDEZ WASHINGTON</t>
  </si>
  <si>
    <t>POLANCO JHONNY</t>
  </si>
  <si>
    <t xml:space="preserve">QUIÑONEZ FERNANDO </t>
  </si>
  <si>
    <t>ROBLEDO CHANGO  JAIME ROMAN</t>
  </si>
  <si>
    <t xml:space="preserve">RODRIGUEZ CANDOTTI RAY </t>
  </si>
  <si>
    <t>SEGURA CUERO FRANCY</t>
  </si>
  <si>
    <t>SOLEDISPA CHOEZ CIRO WILLIAMS</t>
  </si>
  <si>
    <t>SOLEDISPA CHOEZ JINMY WILDER</t>
  </si>
  <si>
    <t>SOLÍS QUIÑÓNEZ DANILO</t>
  </si>
  <si>
    <t>SUAREZ GARCIA MANUEL</t>
  </si>
  <si>
    <t>TARIFARIO</t>
  </si>
  <si>
    <t>TOTAL H. EXT</t>
  </si>
  <si>
    <t>BONO EXTRA</t>
  </si>
  <si>
    <t>DIF TARIFA</t>
  </si>
  <si>
    <t>VICENTE</t>
  </si>
  <si>
    <t>SUNCHOS</t>
  </si>
  <si>
    <t>1265/1266</t>
  </si>
  <si>
    <t xml:space="preserve">Segura </t>
  </si>
  <si>
    <t>1241/1242</t>
  </si>
  <si>
    <t>1244/1245/1247</t>
  </si>
  <si>
    <t>1248/1249/1250/1251/1252</t>
  </si>
  <si>
    <t>781/782</t>
  </si>
  <si>
    <t>1253/1255/1256/</t>
  </si>
  <si>
    <t>1257/1258/</t>
  </si>
  <si>
    <t>1259/1261/1264</t>
  </si>
  <si>
    <t>1262/1263/</t>
  </si>
  <si>
    <t>787/788</t>
  </si>
  <si>
    <t>1270/1271</t>
  </si>
  <si>
    <t>1273/1274/1275</t>
  </si>
  <si>
    <t>1292/123/1294/1295</t>
  </si>
  <si>
    <t>1289/1290/1291</t>
  </si>
  <si>
    <t>1285/1287</t>
  </si>
  <si>
    <t>1296/1297</t>
  </si>
  <si>
    <t>1299/1300/1301/1302</t>
  </si>
  <si>
    <t>913/914/915/916</t>
  </si>
  <si>
    <t>917/918/919/920</t>
  </si>
  <si>
    <t>924/925</t>
  </si>
  <si>
    <t>926/927/928</t>
  </si>
  <si>
    <t>929/931/933</t>
  </si>
  <si>
    <t>934/935/936/</t>
  </si>
  <si>
    <t>937/938/939</t>
  </si>
  <si>
    <t>940/941</t>
  </si>
  <si>
    <t>949/950</t>
  </si>
  <si>
    <t>SUNCHO</t>
  </si>
  <si>
    <t>SOLIS</t>
  </si>
  <si>
    <t>CIRO</t>
  </si>
  <si>
    <t>1215/1216</t>
  </si>
  <si>
    <t>893/894</t>
  </si>
  <si>
    <t>PALMA</t>
  </si>
  <si>
    <t>1221/1222</t>
  </si>
  <si>
    <t>1218/1219</t>
  </si>
  <si>
    <t>897/898</t>
  </si>
  <si>
    <t>1226/1227/     1228</t>
  </si>
  <si>
    <t>901/902</t>
  </si>
  <si>
    <t>903/904</t>
  </si>
  <si>
    <t>765/766</t>
  </si>
  <si>
    <t>LAVADO SOPLADO- SUNCHOS</t>
  </si>
  <si>
    <t>TRITURADO SUNCHOS</t>
  </si>
  <si>
    <t>Bustamante</t>
  </si>
  <si>
    <t>1282/1283/1284</t>
  </si>
  <si>
    <t>797/796</t>
  </si>
  <si>
    <t>MONTACARGA</t>
  </si>
  <si>
    <t>Huacon</t>
  </si>
  <si>
    <t>1303/1305</t>
  </si>
  <si>
    <t>951/952</t>
  </si>
  <si>
    <t>953/954/955</t>
  </si>
  <si>
    <t>767/768</t>
  </si>
  <si>
    <t>c</t>
  </si>
  <si>
    <t>1276/1277/1278</t>
  </si>
  <si>
    <t>1279/1280/1281</t>
  </si>
  <si>
    <t>CONSOLIDADO TARIFAS DICIEMBRE 2020 VS H. EXTRAS</t>
  </si>
  <si>
    <t xml:space="preserve">LINO MIRANDA LUIS </t>
  </si>
  <si>
    <t xml:space="preserve">BUSTAMANTE SAMUEL </t>
  </si>
  <si>
    <t>BAQUERIZO CRUZ FRANKLIN</t>
  </si>
  <si>
    <t>PAGO TARIFA</t>
  </si>
  <si>
    <t>HUACON JOSE</t>
  </si>
  <si>
    <t>PROYECTOS</t>
  </si>
  <si>
    <t>OPERARIOS DE PROCESOS</t>
  </si>
  <si>
    <t xml:space="preserve"> </t>
  </si>
  <si>
    <t>769/770</t>
  </si>
  <si>
    <t>771/772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</si>
</sst>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0.0000"/>
    <numFmt numFmtId="165" formatCode="0.0"/>
    <numFmt numFmtId="166" formatCode="_ &quot;$&quot;* #,##0.00000_ ;_ &quot;$&quot;* \-#,##0.00000_ ;_ &quot;$&quot;* &quot;-&quot;??_ ;_ @_ "/>
    <numFmt numFmtId="167" formatCode="_ &quot;$&quot;* #,##0.0000_ ;_ &quot;$&quot;* \-#,##0.0000_ ;_ &quot;$&quot;* &quot;-&quot;??_ ;_ @_ "/>
    <numFmt numFmtId="168" formatCode="_ &quot;$&quot;* #,##0.00_ ;_ &quot;$&quot;* \-#,##0.00_ ;_ &quot;$&quot;* &quot;-&quot;????_ ;_ @_ "/>
    <numFmt numFmtId="169" formatCode="_ &quot;$&quot;* #,##0.0000_ ;_ &quot;$&quot;* \-#,##0.0000_ ;_ &quot;$&quot;* &quot;-&quot;????_ ;_ @_ "/>
    <numFmt numFmtId="170" formatCode="_ &quot;$&quot;* #,##0.00000_ ;_ &quot;$&quot;* \-#,##0.00000_ ;_ &quot;$&quot;* &quot;-&quot;???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Fill="1"/>
    <xf numFmtId="0" fontId="4" fillId="3" borderId="4" xfId="0" applyFont="1" applyFill="1" applyBorder="1" applyAlignment="1">
      <alignment horizontal="center" vertical="center" wrapText="1" shrinkToFit="1"/>
    </xf>
    <xf numFmtId="0" fontId="4" fillId="3" borderId="5" xfId="0" applyFont="1" applyFill="1" applyBorder="1" applyAlignment="1">
      <alignment horizontal="center" vertical="center" wrapText="1" shrinkToFit="1"/>
    </xf>
    <xf numFmtId="0" fontId="4" fillId="3" borderId="11" xfId="0" applyFont="1" applyFill="1" applyBorder="1" applyAlignment="1">
      <alignment horizontal="center" vertical="center" wrapText="1" shrinkToFit="1"/>
    </xf>
    <xf numFmtId="0" fontId="6" fillId="3" borderId="9" xfId="0" applyFont="1" applyFill="1" applyBorder="1" applyAlignment="1">
      <alignment horizontal="center" vertical="center" wrapText="1" shrinkToFit="1"/>
    </xf>
    <xf numFmtId="0" fontId="4" fillId="3" borderId="9" xfId="0" applyFont="1" applyFill="1" applyBorder="1" applyAlignment="1">
      <alignment horizontal="center" vertical="center" wrapText="1" shrinkToFit="1"/>
    </xf>
    <xf numFmtId="164" fontId="0" fillId="0" borderId="0" xfId="0" applyNumberFormat="1" applyFill="1"/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4" fontId="7" fillId="0" borderId="2" xfId="2" applyFont="1" applyFill="1" applyBorder="1" applyAlignment="1">
      <alignment horizontal="center"/>
    </xf>
    <xf numFmtId="166" fontId="3" fillId="0" borderId="0" xfId="2" applyNumberFormat="1" applyFont="1" applyBorder="1"/>
    <xf numFmtId="44" fontId="0" fillId="0" borderId="2" xfId="2" applyNumberFormat="1" applyFont="1" applyFill="1" applyBorder="1"/>
    <xf numFmtId="0" fontId="0" fillId="0" borderId="12" xfId="0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4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4" fontId="7" fillId="0" borderId="13" xfId="2" applyFont="1" applyFill="1" applyBorder="1" applyAlignment="1">
      <alignment horizontal="center"/>
    </xf>
    <xf numFmtId="166" fontId="3" fillId="0" borderId="8" xfId="2" applyNumberFormat="1" applyFont="1" applyBorder="1"/>
    <xf numFmtId="44" fontId="0" fillId="0" borderId="13" xfId="2" applyNumberFormat="1" applyFont="1" applyFill="1" applyBorder="1"/>
    <xf numFmtId="3" fontId="0" fillId="0" borderId="4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4" fontId="7" fillId="0" borderId="4" xfId="2" applyFont="1" applyFill="1" applyBorder="1" applyAlignment="1">
      <alignment horizontal="center"/>
    </xf>
    <xf numFmtId="166" fontId="3" fillId="0" borderId="9" xfId="2" applyNumberFormat="1" applyFont="1" applyBorder="1"/>
    <xf numFmtId="44" fontId="0" fillId="0" borderId="4" xfId="2" applyNumberFormat="1" applyFont="1" applyFill="1" applyBorder="1"/>
    <xf numFmtId="0" fontId="0" fillId="0" borderId="1" xfId="0" applyBorder="1" applyAlignment="1">
      <alignment horizontal="center"/>
    </xf>
    <xf numFmtId="3" fontId="0" fillId="6" borderId="7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44" fontId="7" fillId="0" borderId="1" xfId="2" applyFont="1" applyFill="1" applyBorder="1" applyAlignment="1">
      <alignment horizontal="center"/>
    </xf>
    <xf numFmtId="166" fontId="3" fillId="0" borderId="10" xfId="2" applyNumberFormat="1" applyFont="1" applyBorder="1"/>
    <xf numFmtId="0" fontId="0" fillId="0" borderId="15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7" fillId="0" borderId="0" xfId="2" applyFont="1" applyFill="1" applyAlignment="1">
      <alignment horizontal="center"/>
    </xf>
    <xf numFmtId="166" fontId="3" fillId="0" borderId="0" xfId="2" applyNumberFormat="1" applyFont="1"/>
    <xf numFmtId="166" fontId="0" fillId="0" borderId="0" xfId="2" applyNumberFormat="1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4" fillId="7" borderId="0" xfId="0" applyFont="1" applyFill="1"/>
    <xf numFmtId="0" fontId="9" fillId="0" borderId="0" xfId="0" applyFont="1" applyAlignment="1">
      <alignment horizontal="center" wrapText="1"/>
    </xf>
    <xf numFmtId="166" fontId="0" fillId="0" borderId="0" xfId="0" applyNumberFormat="1"/>
    <xf numFmtId="170" fontId="0" fillId="0" borderId="0" xfId="0" applyNumberFormat="1"/>
    <xf numFmtId="44" fontId="0" fillId="0" borderId="0" xfId="0" applyNumberFormat="1"/>
    <xf numFmtId="43" fontId="0" fillId="0" borderId="0" xfId="3" applyFont="1"/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 applyAlignment="1">
      <alignment horizontal="center"/>
    </xf>
    <xf numFmtId="43" fontId="2" fillId="2" borderId="1" xfId="3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3" fillId="0" borderId="0" xfId="3" applyFont="1" applyBorder="1" applyAlignment="1">
      <alignment horizontal="center"/>
    </xf>
    <xf numFmtId="43" fontId="0" fillId="0" borderId="0" xfId="3" applyFont="1" applyBorder="1"/>
    <xf numFmtId="14" fontId="0" fillId="0" borderId="0" xfId="0" applyNumberFormat="1" applyAlignment="1">
      <alignment horizontal="left" indent="1"/>
    </xf>
    <xf numFmtId="2" fontId="0" fillId="0" borderId="0" xfId="1" applyNumberFormat="1" applyFont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4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4" fontId="0" fillId="0" borderId="0" xfId="2" applyFont="1"/>
    <xf numFmtId="0" fontId="6" fillId="0" borderId="0" xfId="0" applyFont="1" applyAlignment="1">
      <alignment horizontal="center"/>
    </xf>
    <xf numFmtId="0" fontId="0" fillId="0" borderId="0" xfId="0" applyFill="1" applyBorder="1"/>
    <xf numFmtId="44" fontId="4" fillId="7" borderId="0" xfId="2" applyFont="1" applyFill="1"/>
    <xf numFmtId="0" fontId="4" fillId="8" borderId="16" xfId="0" applyFont="1" applyFill="1" applyBorder="1"/>
    <xf numFmtId="0" fontId="11" fillId="0" borderId="0" xfId="0" applyFont="1"/>
    <xf numFmtId="14" fontId="0" fillId="0" borderId="0" xfId="0" applyNumberFormat="1" applyFill="1"/>
    <xf numFmtId="44" fontId="7" fillId="0" borderId="0" xfId="2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left" indent="3"/>
    </xf>
    <xf numFmtId="16" fontId="0" fillId="0" borderId="0" xfId="0" applyNumberFormat="1"/>
    <xf numFmtId="0" fontId="0" fillId="9" borderId="0" xfId="0" applyNumberFormat="1" applyFill="1" applyAlignment="1">
      <alignment horizontal="center"/>
    </xf>
    <xf numFmtId="44" fontId="4" fillId="9" borderId="0" xfId="2" applyFont="1" applyFill="1"/>
    <xf numFmtId="0" fontId="4" fillId="10" borderId="0" xfId="0" applyFont="1" applyFill="1"/>
    <xf numFmtId="44" fontId="4" fillId="10" borderId="0" xfId="0" applyNumberFormat="1" applyFont="1" applyFill="1"/>
    <xf numFmtId="44" fontId="6" fillId="10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5">
    <cellStyle name="Millares" xfId="3" builtinId="3"/>
    <cellStyle name="Moneda" xfId="2" builtinId="4"/>
    <cellStyle name="Moneda 2" xfId="4"/>
    <cellStyle name="Normal" xfId="0" builtinId="0"/>
    <cellStyle name="Porcentaje" xfId="1" builtinId="5"/>
  </cellStyles>
  <dxfs count="50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</dxf>
    <dxf>
      <numFmt numFmtId="171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alignment horizontal="center" readingOrder="0"/>
    </dxf>
    <dxf>
      <numFmt numFmtId="34" formatCode="_ &quot;$&quot;* #,##0.00_ ;_ &quot;$&quot;* \-#,##0.00_ ;_ &quot;$&quot;* &quot;-&quot;??_ ;_ @_ "/>
    </dxf>
    <dxf>
      <numFmt numFmtId="1" formatCode="0"/>
    </dxf>
    <dxf>
      <alignment horizontal="center" readingOrder="0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center" readingOrder="0"/>
    </dxf>
    <dxf>
      <numFmt numFmtId="34" formatCode="_ &quot;$&quot;* #,##0.00_ ;_ &quot;$&quot;* \-#,##0.00_ ;_ &quot;$&quot;* &quot;-&quot;??_ ;_ @_ 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KG'!$B$5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KG'!$A$6:$A$14</c:f>
              <c:strCache>
                <c:ptCount val="8"/>
                <c:pt idx="0">
                  <c:v>24/11/2020</c:v>
                </c:pt>
                <c:pt idx="1">
                  <c:v>27/11/2020</c:v>
                </c:pt>
                <c:pt idx="2">
                  <c:v>2/12/2020</c:v>
                </c:pt>
                <c:pt idx="3">
                  <c:v>7/12/2020</c:v>
                </c:pt>
                <c:pt idx="4">
                  <c:v>8/12/2020</c:v>
                </c:pt>
                <c:pt idx="5">
                  <c:v>16/12/2020</c:v>
                </c:pt>
                <c:pt idx="6">
                  <c:v>17/12/2020</c:v>
                </c:pt>
                <c:pt idx="7">
                  <c:v>19/12/2020</c:v>
                </c:pt>
              </c:strCache>
            </c:strRef>
          </c:cat>
          <c:val>
            <c:numRef>
              <c:f>'META VS KG'!$B$6:$B$14</c:f>
              <c:numCache>
                <c:formatCode>0</c:formatCode>
                <c:ptCount val="8"/>
                <c:pt idx="0">
                  <c:v>67.625</c:v>
                </c:pt>
                <c:pt idx="1">
                  <c:v>68.545454545454547</c:v>
                </c:pt>
                <c:pt idx="2">
                  <c:v>100.4</c:v>
                </c:pt>
                <c:pt idx="3">
                  <c:v>69.818181818181813</c:v>
                </c:pt>
                <c:pt idx="4">
                  <c:v>64</c:v>
                </c:pt>
                <c:pt idx="5">
                  <c:v>54.25</c:v>
                </c:pt>
                <c:pt idx="6">
                  <c:v>63.666666666666664</c:v>
                </c:pt>
                <c:pt idx="7">
                  <c:v>49.090909090909093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61-42CB-81D7-C9D648ABF40F}"/>
            </c:ext>
          </c:extLst>
        </c:ser>
        <c:ser>
          <c:idx val="1"/>
          <c:order val="1"/>
          <c:tx>
            <c:strRef>
              <c:f>'META VS KG'!$C$5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KG'!$A$6:$A$14</c:f>
              <c:strCache>
                <c:ptCount val="8"/>
                <c:pt idx="0">
                  <c:v>24/11/2020</c:v>
                </c:pt>
                <c:pt idx="1">
                  <c:v>27/11/2020</c:v>
                </c:pt>
                <c:pt idx="2">
                  <c:v>2/12/2020</c:v>
                </c:pt>
                <c:pt idx="3">
                  <c:v>7/12/2020</c:v>
                </c:pt>
                <c:pt idx="4">
                  <c:v>8/12/2020</c:v>
                </c:pt>
                <c:pt idx="5">
                  <c:v>16/12/2020</c:v>
                </c:pt>
                <c:pt idx="6">
                  <c:v>17/12/2020</c:v>
                </c:pt>
                <c:pt idx="7">
                  <c:v>19/12/2020</c:v>
                </c:pt>
              </c:strCache>
            </c:strRef>
          </c:cat>
          <c:val>
            <c:numRef>
              <c:f>'META VS KG'!$C$6:$C$14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61-42CB-81D7-C9D648AB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402128"/>
        <c:axId val="-1146396688"/>
      </c:lineChart>
      <c:catAx>
        <c:axId val="-11464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396688"/>
        <c:crosses val="autoZero"/>
        <c:auto val="1"/>
        <c:lblAlgn val="ctr"/>
        <c:lblOffset val="100"/>
        <c:noMultiLvlLbl val="0"/>
      </c:catAx>
      <c:valAx>
        <c:axId val="-1146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4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dinámica25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KG'!$B$181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KG'!$A$182:$A$194</c:f>
              <c:strCache>
                <c:ptCount val="12"/>
                <c:pt idx="0">
                  <c:v>1/12/2020</c:v>
                </c:pt>
                <c:pt idx="1">
                  <c:v>2/12/2020</c:v>
                </c:pt>
                <c:pt idx="2">
                  <c:v>3/12/2020</c:v>
                </c:pt>
                <c:pt idx="3">
                  <c:v>4/12/2020</c:v>
                </c:pt>
                <c:pt idx="4">
                  <c:v>5/12/2020</c:v>
                </c:pt>
                <c:pt idx="5">
                  <c:v>7/12/2020</c:v>
                </c:pt>
                <c:pt idx="6">
                  <c:v>8/12/2020</c:v>
                </c:pt>
                <c:pt idx="7">
                  <c:v>14/12/2020</c:v>
                </c:pt>
                <c:pt idx="8">
                  <c:v>15/12/2020</c:v>
                </c:pt>
                <c:pt idx="9">
                  <c:v>16/12/2020</c:v>
                </c:pt>
                <c:pt idx="10">
                  <c:v>17/12/2020</c:v>
                </c:pt>
                <c:pt idx="11">
                  <c:v>19/12/2020</c:v>
                </c:pt>
              </c:strCache>
            </c:strRef>
          </c:cat>
          <c:val>
            <c:numRef>
              <c:f>'META VS KG'!$B$182:$B$194</c:f>
              <c:numCache>
                <c:formatCode>0</c:formatCode>
                <c:ptCount val="12"/>
                <c:pt idx="0">
                  <c:v>88.222222222222229</c:v>
                </c:pt>
                <c:pt idx="1">
                  <c:v>71.466666666666669</c:v>
                </c:pt>
                <c:pt idx="2">
                  <c:v>71.45</c:v>
                </c:pt>
                <c:pt idx="3">
                  <c:v>94.983333333333348</c:v>
                </c:pt>
                <c:pt idx="4">
                  <c:v>99.388636363636365</c:v>
                </c:pt>
                <c:pt idx="5">
                  <c:v>30.444444444444443</c:v>
                </c:pt>
                <c:pt idx="6">
                  <c:v>68.5</c:v>
                </c:pt>
                <c:pt idx="7">
                  <c:v>70.5</c:v>
                </c:pt>
                <c:pt idx="8">
                  <c:v>74.237500000000011</c:v>
                </c:pt>
                <c:pt idx="9">
                  <c:v>74.771464646464636</c:v>
                </c:pt>
                <c:pt idx="10">
                  <c:v>44.8125</c:v>
                </c:pt>
                <c:pt idx="11">
                  <c:v>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B-43ED-8573-13BB901A3717}"/>
            </c:ext>
          </c:extLst>
        </c:ser>
        <c:ser>
          <c:idx val="1"/>
          <c:order val="1"/>
          <c:tx>
            <c:strRef>
              <c:f>'META VS KG'!$C$181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KG'!$A$182:$A$194</c:f>
              <c:strCache>
                <c:ptCount val="12"/>
                <c:pt idx="0">
                  <c:v>1/12/2020</c:v>
                </c:pt>
                <c:pt idx="1">
                  <c:v>2/12/2020</c:v>
                </c:pt>
                <c:pt idx="2">
                  <c:v>3/12/2020</c:v>
                </c:pt>
                <c:pt idx="3">
                  <c:v>4/12/2020</c:v>
                </c:pt>
                <c:pt idx="4">
                  <c:v>5/12/2020</c:v>
                </c:pt>
                <c:pt idx="5">
                  <c:v>7/12/2020</c:v>
                </c:pt>
                <c:pt idx="6">
                  <c:v>8/12/2020</c:v>
                </c:pt>
                <c:pt idx="7">
                  <c:v>14/12/2020</c:v>
                </c:pt>
                <c:pt idx="8">
                  <c:v>15/12/2020</c:v>
                </c:pt>
                <c:pt idx="9">
                  <c:v>16/12/2020</c:v>
                </c:pt>
                <c:pt idx="10">
                  <c:v>17/12/2020</c:v>
                </c:pt>
                <c:pt idx="11">
                  <c:v>19/12/2020</c:v>
                </c:pt>
              </c:strCache>
            </c:strRef>
          </c:cat>
          <c:val>
            <c:numRef>
              <c:f>'META VS KG'!$C$182:$C$194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CB-43ED-8573-13BB901A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800288"/>
        <c:axId val="-1728798112"/>
      </c:lineChart>
      <c:catAx>
        <c:axId val="-17288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798112"/>
        <c:crosses val="autoZero"/>
        <c:auto val="1"/>
        <c:lblAlgn val="ctr"/>
        <c:lblOffset val="100"/>
        <c:noMultiLvlLbl val="0"/>
      </c:catAx>
      <c:valAx>
        <c:axId val="-1728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8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KG!TablaDinámica1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KG'!$B$200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KG'!$A$201:$A$202</c:f>
              <c:strCache>
                <c:ptCount val="1"/>
                <c:pt idx="0">
                  <c:v>1/12/2020</c:v>
                </c:pt>
              </c:strCache>
            </c:strRef>
          </c:cat>
          <c:val>
            <c:numRef>
              <c:f>'META VS KG'!$B$201:$B$202</c:f>
              <c:numCache>
                <c:formatCode>0</c:formatCode>
                <c:ptCount val="1"/>
                <c:pt idx="0">
                  <c:v>262.66666666666669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9-4469-A785-8FA07B6AC9BA}"/>
            </c:ext>
          </c:extLst>
        </c:ser>
        <c:ser>
          <c:idx val="1"/>
          <c:order val="1"/>
          <c:tx>
            <c:strRef>
              <c:f>'META VS KG'!$C$200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KG'!$A$201:$A$202</c:f>
              <c:strCache>
                <c:ptCount val="1"/>
                <c:pt idx="0">
                  <c:v>1/12/2020</c:v>
                </c:pt>
              </c:strCache>
            </c:strRef>
          </c:cat>
          <c:val>
            <c:numRef>
              <c:f>'META VS KG'!$C$201:$C$202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9-4469-A785-8FA07B6A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795936"/>
        <c:axId val="-1728801376"/>
      </c:lineChart>
      <c:catAx>
        <c:axId val="-17287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801376"/>
        <c:crosses val="autoZero"/>
        <c:auto val="1"/>
        <c:lblAlgn val="ctr"/>
        <c:lblOffset val="100"/>
        <c:noMultiLvlLbl val="0"/>
      </c:catAx>
      <c:valAx>
        <c:axId val="-17288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DICIEMBREact.xlsx]CONSOLIDADO!Tabla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CONSOLIDADO!$U$3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CONSOLIDADO!$T$4:$T$11</c:f>
              <c:strCache>
                <c:ptCount val="7"/>
                <c:pt idx="0">
                  <c:v>AGLOMERADO</c:v>
                </c:pt>
                <c:pt idx="1">
                  <c:v>CLASIFICACIÓN FILM</c:v>
                </c:pt>
                <c:pt idx="2">
                  <c:v>CLASIFICACIÓN HOGAR</c:v>
                </c:pt>
                <c:pt idx="3">
                  <c:v>CLASIFICACIÓN SOPLADO</c:v>
                </c:pt>
                <c:pt idx="4">
                  <c:v>COMPACTADORA</c:v>
                </c:pt>
                <c:pt idx="5">
                  <c:v>LAVADO</c:v>
                </c:pt>
                <c:pt idx="6">
                  <c:v>TRITURADO</c:v>
                </c:pt>
              </c:strCache>
            </c:strRef>
          </c:cat>
          <c:val>
            <c:numRef>
              <c:f>CONSOLIDADO!$U$4:$U$11</c:f>
              <c:numCache>
                <c:formatCode>0</c:formatCode>
                <c:ptCount val="7"/>
                <c:pt idx="0">
                  <c:v>67.217837465564742</c:v>
                </c:pt>
                <c:pt idx="1">
                  <c:v>36.972130394857665</c:v>
                </c:pt>
                <c:pt idx="2">
                  <c:v>78.017893518518562</c:v>
                </c:pt>
                <c:pt idx="3">
                  <c:v>53.189962418300652</c:v>
                </c:pt>
                <c:pt idx="4">
                  <c:v>22.817261904761903</c:v>
                </c:pt>
                <c:pt idx="5">
                  <c:v>187.66750712911434</c:v>
                </c:pt>
                <c:pt idx="6">
                  <c:v>244.6345770631485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04-4D03-B8F8-2D9C54D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28793216"/>
        <c:axId val="-1728792672"/>
      </c:barChart>
      <c:lineChart>
        <c:grouping val="standard"/>
        <c:varyColors val="0"/>
        <c:ser>
          <c:idx val="1"/>
          <c:order val="1"/>
          <c:tx>
            <c:strRef>
              <c:f>CONSOLIDADO!$V$3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CONSOLIDADO!$T$4:$T$11</c:f>
              <c:strCache>
                <c:ptCount val="7"/>
                <c:pt idx="0">
                  <c:v>AGLOMERADO</c:v>
                </c:pt>
                <c:pt idx="1">
                  <c:v>CLASIFICACIÓN FILM</c:v>
                </c:pt>
                <c:pt idx="2">
                  <c:v>CLASIFICACIÓN HOGAR</c:v>
                </c:pt>
                <c:pt idx="3">
                  <c:v>CLASIFICACIÓN SOPLADO</c:v>
                </c:pt>
                <c:pt idx="4">
                  <c:v>COMPACTADORA</c:v>
                </c:pt>
                <c:pt idx="5">
                  <c:v>LAVADO</c:v>
                </c:pt>
                <c:pt idx="6">
                  <c:v>TRITURADO</c:v>
                </c:pt>
              </c:strCache>
            </c:strRef>
          </c:cat>
          <c:val>
            <c:numRef>
              <c:f>CONSOLIDADO!$V$4:$V$11</c:f>
              <c:numCache>
                <c:formatCode>0</c:formatCode>
                <c:ptCount val="7"/>
                <c:pt idx="0">
                  <c:v>77.727272727272734</c:v>
                </c:pt>
                <c:pt idx="1">
                  <c:v>45</c:v>
                </c:pt>
                <c:pt idx="2">
                  <c:v>92</c:v>
                </c:pt>
                <c:pt idx="3">
                  <c:v>55</c:v>
                </c:pt>
                <c:pt idx="4">
                  <c:v>17</c:v>
                </c:pt>
                <c:pt idx="5">
                  <c:v>256.66666666666669</c:v>
                </c:pt>
                <c:pt idx="6">
                  <c:v>433.33333333333331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4-4D03-B8F8-2D9C54D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8793216"/>
        <c:axId val="-1728792672"/>
      </c:lineChart>
      <c:catAx>
        <c:axId val="-17287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792672"/>
        <c:crosses val="autoZero"/>
        <c:auto val="1"/>
        <c:lblAlgn val="ctr"/>
        <c:lblOffset val="100"/>
        <c:noMultiLvlLbl val="0"/>
      </c:catAx>
      <c:valAx>
        <c:axId val="-1728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7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KG'!$B$29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KG'!$A$30:$A$46</c:f>
              <c:strCache>
                <c:ptCount val="16"/>
                <c:pt idx="0">
                  <c:v>23/11/2020</c:v>
                </c:pt>
                <c:pt idx="1">
                  <c:v>24/11/2020</c:v>
                </c:pt>
                <c:pt idx="2">
                  <c:v>25/11/2020</c:v>
                </c:pt>
                <c:pt idx="3">
                  <c:v>26/11/2020</c:v>
                </c:pt>
                <c:pt idx="4">
                  <c:v>3/12/2020</c:v>
                </c:pt>
                <c:pt idx="5">
                  <c:v>4/12/2020</c:v>
                </c:pt>
                <c:pt idx="6">
                  <c:v>7/12/2020</c:v>
                </c:pt>
                <c:pt idx="7">
                  <c:v>8/12/2020</c:v>
                </c:pt>
                <c:pt idx="8">
                  <c:v>9/12/2020</c:v>
                </c:pt>
                <c:pt idx="9">
                  <c:v>11/12/2020</c:v>
                </c:pt>
                <c:pt idx="10">
                  <c:v>14/12/2020</c:v>
                </c:pt>
                <c:pt idx="11">
                  <c:v>15/12/2020</c:v>
                </c:pt>
                <c:pt idx="12">
                  <c:v>16/12/2020</c:v>
                </c:pt>
                <c:pt idx="13">
                  <c:v>17/12/2020</c:v>
                </c:pt>
                <c:pt idx="14">
                  <c:v>18/12/2020</c:v>
                </c:pt>
                <c:pt idx="15">
                  <c:v>21/12/2020</c:v>
                </c:pt>
              </c:strCache>
            </c:strRef>
          </c:cat>
          <c:val>
            <c:numRef>
              <c:f>'META VS KG'!$B$30:$B$46</c:f>
              <c:numCache>
                <c:formatCode>0</c:formatCode>
                <c:ptCount val="16"/>
                <c:pt idx="0">
                  <c:v>35.299999999999997</c:v>
                </c:pt>
                <c:pt idx="1">
                  <c:v>35.31666666666667</c:v>
                </c:pt>
                <c:pt idx="2">
                  <c:v>37.1</c:v>
                </c:pt>
                <c:pt idx="3">
                  <c:v>30.35</c:v>
                </c:pt>
                <c:pt idx="4">
                  <c:v>42</c:v>
                </c:pt>
                <c:pt idx="5">
                  <c:v>43.75</c:v>
                </c:pt>
                <c:pt idx="6">
                  <c:v>40.799999999999997</c:v>
                </c:pt>
                <c:pt idx="7">
                  <c:v>34.774999999999999</c:v>
                </c:pt>
                <c:pt idx="8">
                  <c:v>37.825000000000003</c:v>
                </c:pt>
                <c:pt idx="9">
                  <c:v>35.9375</c:v>
                </c:pt>
                <c:pt idx="10">
                  <c:v>34.25</c:v>
                </c:pt>
                <c:pt idx="11">
                  <c:v>36.265151515151516</c:v>
                </c:pt>
                <c:pt idx="12">
                  <c:v>63.375</c:v>
                </c:pt>
                <c:pt idx="13">
                  <c:v>40.5</c:v>
                </c:pt>
                <c:pt idx="14">
                  <c:v>54</c:v>
                </c:pt>
                <c:pt idx="15">
                  <c:v>16.149999999999999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64-4DDD-8969-661F1C834806}"/>
            </c:ext>
          </c:extLst>
        </c:ser>
        <c:ser>
          <c:idx val="1"/>
          <c:order val="1"/>
          <c:tx>
            <c:strRef>
              <c:f>'META VS KG'!$C$29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KG'!$A$30:$A$46</c:f>
              <c:strCache>
                <c:ptCount val="16"/>
                <c:pt idx="0">
                  <c:v>23/11/2020</c:v>
                </c:pt>
                <c:pt idx="1">
                  <c:v>24/11/2020</c:v>
                </c:pt>
                <c:pt idx="2">
                  <c:v>25/11/2020</c:v>
                </c:pt>
                <c:pt idx="3">
                  <c:v>26/11/2020</c:v>
                </c:pt>
                <c:pt idx="4">
                  <c:v>3/12/2020</c:v>
                </c:pt>
                <c:pt idx="5">
                  <c:v>4/12/2020</c:v>
                </c:pt>
                <c:pt idx="6">
                  <c:v>7/12/2020</c:v>
                </c:pt>
                <c:pt idx="7">
                  <c:v>8/12/2020</c:v>
                </c:pt>
                <c:pt idx="8">
                  <c:v>9/12/2020</c:v>
                </c:pt>
                <c:pt idx="9">
                  <c:v>11/12/2020</c:v>
                </c:pt>
                <c:pt idx="10">
                  <c:v>14/12/2020</c:v>
                </c:pt>
                <c:pt idx="11">
                  <c:v>15/12/2020</c:v>
                </c:pt>
                <c:pt idx="12">
                  <c:v>16/12/2020</c:v>
                </c:pt>
                <c:pt idx="13">
                  <c:v>17/12/2020</c:v>
                </c:pt>
                <c:pt idx="14">
                  <c:v>18/12/2020</c:v>
                </c:pt>
                <c:pt idx="15">
                  <c:v>21/12/2020</c:v>
                </c:pt>
              </c:strCache>
            </c:strRef>
          </c:cat>
          <c:val>
            <c:numRef>
              <c:f>'META VS KG'!$C$30:$C$46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64-4DDD-8969-661F1C83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401584"/>
        <c:axId val="-1146401040"/>
      </c:lineChart>
      <c:catAx>
        <c:axId val="-11464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401040"/>
        <c:crosses val="autoZero"/>
        <c:auto val="1"/>
        <c:lblAlgn val="ctr"/>
        <c:lblOffset val="100"/>
        <c:noMultiLvlLbl val="0"/>
      </c:catAx>
      <c:valAx>
        <c:axId val="-1146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4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KG'!$B$54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'META VS KG'!$A$55:$A$78</c:f>
              <c:strCache>
                <c:ptCount val="23"/>
                <c:pt idx="0">
                  <c:v>23/11/2020</c:v>
                </c:pt>
                <c:pt idx="1">
                  <c:v>24/11/2020</c:v>
                </c:pt>
                <c:pt idx="2">
                  <c:v>26/11/2020</c:v>
                </c:pt>
                <c:pt idx="3">
                  <c:v>27/11/2020</c:v>
                </c:pt>
                <c:pt idx="4">
                  <c:v>30/11/2020</c:v>
                </c:pt>
                <c:pt idx="5">
                  <c:v>1/12/2020</c:v>
                </c:pt>
                <c:pt idx="6">
                  <c:v>2/12/2020</c:v>
                </c:pt>
                <c:pt idx="7">
                  <c:v>3/12/2020</c:v>
                </c:pt>
                <c:pt idx="8">
                  <c:v>4/12/2020</c:v>
                </c:pt>
                <c:pt idx="9">
                  <c:v>7/12/2020</c:v>
                </c:pt>
                <c:pt idx="10">
                  <c:v>8/12/2020</c:v>
                </c:pt>
                <c:pt idx="11">
                  <c:v>9/12/2020</c:v>
                </c:pt>
                <c:pt idx="12">
                  <c:v>10/12/2020</c:v>
                </c:pt>
                <c:pt idx="13">
                  <c:v>11/12/2020</c:v>
                </c:pt>
                <c:pt idx="14">
                  <c:v>12/12/2020</c:v>
                </c:pt>
                <c:pt idx="15">
                  <c:v>14/12/2020</c:v>
                </c:pt>
                <c:pt idx="16">
                  <c:v>15/12/2020</c:v>
                </c:pt>
                <c:pt idx="17">
                  <c:v>16/12/2020</c:v>
                </c:pt>
                <c:pt idx="18">
                  <c:v>17/12/2020</c:v>
                </c:pt>
                <c:pt idx="19">
                  <c:v>18/12/2020</c:v>
                </c:pt>
                <c:pt idx="20">
                  <c:v>19/12/2020</c:v>
                </c:pt>
                <c:pt idx="21">
                  <c:v>21/12/2020</c:v>
                </c:pt>
                <c:pt idx="22">
                  <c:v>22/12/2020</c:v>
                </c:pt>
              </c:strCache>
            </c:strRef>
          </c:cat>
          <c:val>
            <c:numRef>
              <c:f>'META VS KG'!$B$55:$B$78</c:f>
              <c:numCache>
                <c:formatCode>#,##0</c:formatCode>
                <c:ptCount val="23"/>
                <c:pt idx="0">
                  <c:v>80.900000000000006</c:v>
                </c:pt>
                <c:pt idx="1">
                  <c:v>82.2</c:v>
                </c:pt>
                <c:pt idx="2">
                  <c:v>90.2</c:v>
                </c:pt>
                <c:pt idx="3">
                  <c:v>66.7</c:v>
                </c:pt>
                <c:pt idx="4">
                  <c:v>80.84</c:v>
                </c:pt>
                <c:pt idx="5">
                  <c:v>83.974999999999994</c:v>
                </c:pt>
                <c:pt idx="6">
                  <c:v>71.903999999999996</c:v>
                </c:pt>
                <c:pt idx="7">
                  <c:v>76.724999999999994</c:v>
                </c:pt>
                <c:pt idx="8">
                  <c:v>65.194999999999993</c:v>
                </c:pt>
                <c:pt idx="9">
                  <c:v>90.65</c:v>
                </c:pt>
                <c:pt idx="10">
                  <c:v>78.733333333333334</c:v>
                </c:pt>
                <c:pt idx="11">
                  <c:v>56.886666666666656</c:v>
                </c:pt>
                <c:pt idx="12">
                  <c:v>110.93866666666668</c:v>
                </c:pt>
                <c:pt idx="13">
                  <c:v>70.84375</c:v>
                </c:pt>
                <c:pt idx="14">
                  <c:v>83.7</c:v>
                </c:pt>
                <c:pt idx="15">
                  <c:v>68.3</c:v>
                </c:pt>
                <c:pt idx="16">
                  <c:v>82.2</c:v>
                </c:pt>
                <c:pt idx="17">
                  <c:v>122.4</c:v>
                </c:pt>
                <c:pt idx="18">
                  <c:v>78.849999999999994</c:v>
                </c:pt>
                <c:pt idx="19">
                  <c:v>68.566666666666663</c:v>
                </c:pt>
                <c:pt idx="20">
                  <c:v>67.206666666666663</c:v>
                </c:pt>
                <c:pt idx="21">
                  <c:v>68.948000000000008</c:v>
                </c:pt>
                <c:pt idx="22">
                  <c:v>94.4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2-4DCB-95B2-4034EA1BA4B8}"/>
            </c:ext>
          </c:extLst>
        </c:ser>
        <c:ser>
          <c:idx val="1"/>
          <c:order val="1"/>
          <c:tx>
            <c:strRef>
              <c:f>'META VS KG'!$C$54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KG'!$A$55:$A$78</c:f>
              <c:strCache>
                <c:ptCount val="23"/>
                <c:pt idx="0">
                  <c:v>23/11/2020</c:v>
                </c:pt>
                <c:pt idx="1">
                  <c:v>24/11/2020</c:v>
                </c:pt>
                <c:pt idx="2">
                  <c:v>26/11/2020</c:v>
                </c:pt>
                <c:pt idx="3">
                  <c:v>27/11/2020</c:v>
                </c:pt>
                <c:pt idx="4">
                  <c:v>30/11/2020</c:v>
                </c:pt>
                <c:pt idx="5">
                  <c:v>1/12/2020</c:v>
                </c:pt>
                <c:pt idx="6">
                  <c:v>2/12/2020</c:v>
                </c:pt>
                <c:pt idx="7">
                  <c:v>3/12/2020</c:v>
                </c:pt>
                <c:pt idx="8">
                  <c:v>4/12/2020</c:v>
                </c:pt>
                <c:pt idx="9">
                  <c:v>7/12/2020</c:v>
                </c:pt>
                <c:pt idx="10">
                  <c:v>8/12/2020</c:v>
                </c:pt>
                <c:pt idx="11">
                  <c:v>9/12/2020</c:v>
                </c:pt>
                <c:pt idx="12">
                  <c:v>10/12/2020</c:v>
                </c:pt>
                <c:pt idx="13">
                  <c:v>11/12/2020</c:v>
                </c:pt>
                <c:pt idx="14">
                  <c:v>12/12/2020</c:v>
                </c:pt>
                <c:pt idx="15">
                  <c:v>14/12/2020</c:v>
                </c:pt>
                <c:pt idx="16">
                  <c:v>15/12/2020</c:v>
                </c:pt>
                <c:pt idx="17">
                  <c:v>16/12/2020</c:v>
                </c:pt>
                <c:pt idx="18">
                  <c:v>17/12/2020</c:v>
                </c:pt>
                <c:pt idx="19">
                  <c:v>18/12/2020</c:v>
                </c:pt>
                <c:pt idx="20">
                  <c:v>19/12/2020</c:v>
                </c:pt>
                <c:pt idx="21">
                  <c:v>21/12/2020</c:v>
                </c:pt>
                <c:pt idx="22">
                  <c:v>22/12/2020</c:v>
                </c:pt>
              </c:strCache>
            </c:strRef>
          </c:cat>
          <c:val>
            <c:numRef>
              <c:f>'META VS KG'!$C$55:$C$78</c:f>
              <c:numCache>
                <c:formatCode>General</c:formatCode>
                <c:ptCount val="23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82-4DCB-95B2-4034EA1B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398864"/>
        <c:axId val="-1146389616"/>
      </c:lineChart>
      <c:catAx>
        <c:axId val="-1146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389616"/>
        <c:crosses val="autoZero"/>
        <c:auto val="1"/>
        <c:lblAlgn val="ctr"/>
        <c:lblOffset val="100"/>
        <c:noMultiLvlLbl val="0"/>
      </c:catAx>
      <c:valAx>
        <c:axId val="-11463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1463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KG'!$B$82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KG'!$A$83:$A$95</c:f>
              <c:strCache>
                <c:ptCount val="12"/>
                <c:pt idx="0">
                  <c:v>23/11/2020</c:v>
                </c:pt>
                <c:pt idx="1">
                  <c:v>24/11/2020</c:v>
                </c:pt>
                <c:pt idx="2">
                  <c:v>26/11/2020</c:v>
                </c:pt>
                <c:pt idx="3">
                  <c:v>27/11/2020</c:v>
                </c:pt>
                <c:pt idx="4">
                  <c:v>7/12/2020</c:v>
                </c:pt>
                <c:pt idx="5">
                  <c:v>8/12/2020</c:v>
                </c:pt>
                <c:pt idx="6">
                  <c:v>9/12/2020</c:v>
                </c:pt>
                <c:pt idx="7">
                  <c:v>10/12/2020</c:v>
                </c:pt>
                <c:pt idx="8">
                  <c:v>11/12/2020</c:v>
                </c:pt>
                <c:pt idx="9">
                  <c:v>14/12/2020</c:v>
                </c:pt>
                <c:pt idx="10">
                  <c:v>15/12/2020</c:v>
                </c:pt>
                <c:pt idx="11">
                  <c:v>16/12/2020</c:v>
                </c:pt>
              </c:strCache>
            </c:strRef>
          </c:cat>
          <c:val>
            <c:numRef>
              <c:f>'META VS KG'!$B$83:$B$95</c:f>
              <c:numCache>
                <c:formatCode>0</c:formatCode>
                <c:ptCount val="12"/>
                <c:pt idx="0">
                  <c:v>46.999522222222218</c:v>
                </c:pt>
                <c:pt idx="1">
                  <c:v>49.878555555555558</c:v>
                </c:pt>
                <c:pt idx="2">
                  <c:v>52.037499999999994</c:v>
                </c:pt>
                <c:pt idx="3">
                  <c:v>49.146666666666668</c:v>
                </c:pt>
                <c:pt idx="4">
                  <c:v>62.05</c:v>
                </c:pt>
                <c:pt idx="5">
                  <c:v>62</c:v>
                </c:pt>
                <c:pt idx="6">
                  <c:v>60.15</c:v>
                </c:pt>
                <c:pt idx="7">
                  <c:v>61.65</c:v>
                </c:pt>
                <c:pt idx="8">
                  <c:v>44.6875</c:v>
                </c:pt>
                <c:pt idx="9">
                  <c:v>60.5</c:v>
                </c:pt>
                <c:pt idx="10">
                  <c:v>51.1175</c:v>
                </c:pt>
                <c:pt idx="11">
                  <c:v>65.875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9-4C4C-8EC4-88C207BD1848}"/>
            </c:ext>
          </c:extLst>
        </c:ser>
        <c:ser>
          <c:idx val="1"/>
          <c:order val="1"/>
          <c:tx>
            <c:strRef>
              <c:f>'META VS KG'!$C$82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KG'!$A$83:$A$95</c:f>
              <c:strCache>
                <c:ptCount val="12"/>
                <c:pt idx="0">
                  <c:v>23/11/2020</c:v>
                </c:pt>
                <c:pt idx="1">
                  <c:v>24/11/2020</c:v>
                </c:pt>
                <c:pt idx="2">
                  <c:v>26/11/2020</c:v>
                </c:pt>
                <c:pt idx="3">
                  <c:v>27/11/2020</c:v>
                </c:pt>
                <c:pt idx="4">
                  <c:v>7/12/2020</c:v>
                </c:pt>
                <c:pt idx="5">
                  <c:v>8/12/2020</c:v>
                </c:pt>
                <c:pt idx="6">
                  <c:v>9/12/2020</c:v>
                </c:pt>
                <c:pt idx="7">
                  <c:v>10/12/2020</c:v>
                </c:pt>
                <c:pt idx="8">
                  <c:v>11/12/2020</c:v>
                </c:pt>
                <c:pt idx="9">
                  <c:v>14/12/2020</c:v>
                </c:pt>
                <c:pt idx="10">
                  <c:v>15/12/2020</c:v>
                </c:pt>
                <c:pt idx="11">
                  <c:v>16/12/2020</c:v>
                </c:pt>
              </c:strCache>
            </c:strRef>
          </c:cat>
          <c:val>
            <c:numRef>
              <c:f>'META VS KG'!$C$83:$C$95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9-4C4C-8EC4-88C207BD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716688"/>
        <c:axId val="-1738712336"/>
      </c:lineChart>
      <c:catAx>
        <c:axId val="-17387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2336"/>
        <c:crosses val="autoZero"/>
        <c:auto val="1"/>
        <c:lblAlgn val="ctr"/>
        <c:lblOffset val="100"/>
        <c:noMultiLvlLbl val="0"/>
      </c:catAx>
      <c:valAx>
        <c:axId val="-17387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dinámica7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KG'!$B$108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KG'!$A$109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'META VS KG'!$B$109</c:f>
              <c:numCache>
                <c:formatCode>0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34-4282-8C6E-C15A167948B1}"/>
            </c:ext>
          </c:extLst>
        </c:ser>
        <c:ser>
          <c:idx val="1"/>
          <c:order val="1"/>
          <c:tx>
            <c:strRef>
              <c:f>'META VS KG'!$C$108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KG'!$A$109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'META VS KG'!$C$109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34-4282-8C6E-C15A1679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714512"/>
        <c:axId val="-1738713968"/>
      </c:lineChart>
      <c:catAx>
        <c:axId val="-17387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3968"/>
        <c:crosses val="autoZero"/>
        <c:auto val="1"/>
        <c:lblAlgn val="ctr"/>
        <c:lblOffset val="100"/>
        <c:noMultiLvlLbl val="0"/>
      </c:catAx>
      <c:valAx>
        <c:axId val="-1738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dinámica8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KG'!$B$134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KG'!$A$135:$A$140</c:f>
              <c:strCache>
                <c:ptCount val="5"/>
                <c:pt idx="0">
                  <c:v>9/12/2020</c:v>
                </c:pt>
                <c:pt idx="1">
                  <c:v>16/12/2020</c:v>
                </c:pt>
                <c:pt idx="2">
                  <c:v>17/12/2020</c:v>
                </c:pt>
                <c:pt idx="3">
                  <c:v>27/11/2020</c:v>
                </c:pt>
                <c:pt idx="4">
                  <c:v>22/12/2020</c:v>
                </c:pt>
              </c:strCache>
            </c:strRef>
          </c:cat>
          <c:val>
            <c:numRef>
              <c:f>'META VS KG'!$B$135:$B$140</c:f>
              <c:numCache>
                <c:formatCode>0</c:formatCode>
                <c:ptCount val="5"/>
                <c:pt idx="0">
                  <c:v>29.375</c:v>
                </c:pt>
                <c:pt idx="1">
                  <c:v>22</c:v>
                </c:pt>
                <c:pt idx="2">
                  <c:v>29.428571428571427</c:v>
                </c:pt>
                <c:pt idx="3">
                  <c:v>18.5</c:v>
                </c:pt>
                <c:pt idx="4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94-46F8-9A6D-04D1CB7F11D6}"/>
            </c:ext>
          </c:extLst>
        </c:ser>
        <c:ser>
          <c:idx val="1"/>
          <c:order val="1"/>
          <c:tx>
            <c:strRef>
              <c:f>'META VS KG'!$C$134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KG'!$A$135:$A$140</c:f>
              <c:strCache>
                <c:ptCount val="5"/>
                <c:pt idx="0">
                  <c:v>9/12/2020</c:v>
                </c:pt>
                <c:pt idx="1">
                  <c:v>16/12/2020</c:v>
                </c:pt>
                <c:pt idx="2">
                  <c:v>17/12/2020</c:v>
                </c:pt>
                <c:pt idx="3">
                  <c:v>27/11/2020</c:v>
                </c:pt>
                <c:pt idx="4">
                  <c:v>22/12/2020</c:v>
                </c:pt>
              </c:strCache>
            </c:strRef>
          </c:cat>
          <c:val>
            <c:numRef>
              <c:f>'META VS KG'!$C$135:$C$140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94-46F8-9A6D-04D1CB7F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706896"/>
        <c:axId val="-1738719408"/>
      </c:lineChart>
      <c:catAx>
        <c:axId val="-17387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9408"/>
        <c:crosses val="autoZero"/>
        <c:auto val="1"/>
        <c:lblAlgn val="ctr"/>
        <c:lblOffset val="100"/>
        <c:noMultiLvlLbl val="0"/>
      </c:catAx>
      <c:valAx>
        <c:axId val="-17387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dinámica9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KG'!$B$160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KG'!$A$161:$A$176</c:f>
              <c:strCache>
                <c:ptCount val="15"/>
                <c:pt idx="0">
                  <c:v>7/12/2020</c:v>
                </c:pt>
                <c:pt idx="1">
                  <c:v>8/12/2020</c:v>
                </c:pt>
                <c:pt idx="2">
                  <c:v>9/12/2020</c:v>
                </c:pt>
                <c:pt idx="3">
                  <c:v>10/12/2020</c:v>
                </c:pt>
                <c:pt idx="4">
                  <c:v>11/12/2020</c:v>
                </c:pt>
                <c:pt idx="5">
                  <c:v>14/12/2020</c:v>
                </c:pt>
                <c:pt idx="6">
                  <c:v>17/12/2020</c:v>
                </c:pt>
                <c:pt idx="7">
                  <c:v>18/12/2020</c:v>
                </c:pt>
                <c:pt idx="8">
                  <c:v>19/12/2020</c:v>
                </c:pt>
                <c:pt idx="9">
                  <c:v>21/12/2020</c:v>
                </c:pt>
                <c:pt idx="10">
                  <c:v>27/11/2020</c:v>
                </c:pt>
                <c:pt idx="11">
                  <c:v>25/11/2020</c:v>
                </c:pt>
                <c:pt idx="12">
                  <c:v>26/11/2020</c:v>
                </c:pt>
                <c:pt idx="13">
                  <c:v>30/11/2020</c:v>
                </c:pt>
                <c:pt idx="14">
                  <c:v>22/12/2020</c:v>
                </c:pt>
              </c:strCache>
            </c:strRef>
          </c:cat>
          <c:val>
            <c:numRef>
              <c:f>'META VS KG'!$B$161:$B$176</c:f>
              <c:numCache>
                <c:formatCode>0</c:formatCode>
                <c:ptCount val="15"/>
                <c:pt idx="0">
                  <c:v>182.54545454545453</c:v>
                </c:pt>
                <c:pt idx="1">
                  <c:v>475.83333333333331</c:v>
                </c:pt>
                <c:pt idx="2">
                  <c:v>540.52272727272725</c:v>
                </c:pt>
                <c:pt idx="3">
                  <c:v>492.0090909090909</c:v>
                </c:pt>
                <c:pt idx="4">
                  <c:v>529.375</c:v>
                </c:pt>
                <c:pt idx="5">
                  <c:v>654.25</c:v>
                </c:pt>
                <c:pt idx="6">
                  <c:v>636.1</c:v>
                </c:pt>
                <c:pt idx="7">
                  <c:v>633.81818181818187</c:v>
                </c:pt>
                <c:pt idx="8">
                  <c:v>247.26666666666665</c:v>
                </c:pt>
                <c:pt idx="9">
                  <c:v>268.95</c:v>
                </c:pt>
                <c:pt idx="10">
                  <c:v>545.42727272727279</c:v>
                </c:pt>
                <c:pt idx="11">
                  <c:v>487.53787878787875</c:v>
                </c:pt>
                <c:pt idx="12">
                  <c:v>518.08749999999998</c:v>
                </c:pt>
                <c:pt idx="13">
                  <c:v>373.71428571428572</c:v>
                </c:pt>
                <c:pt idx="14">
                  <c:v>407.63636363636363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FF-4C72-AA3B-73A18DC24699}"/>
            </c:ext>
          </c:extLst>
        </c:ser>
        <c:ser>
          <c:idx val="1"/>
          <c:order val="1"/>
          <c:tx>
            <c:strRef>
              <c:f>'META VS KG'!$C$160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KG'!$A$161:$A$176</c:f>
              <c:strCache>
                <c:ptCount val="15"/>
                <c:pt idx="0">
                  <c:v>7/12/2020</c:v>
                </c:pt>
                <c:pt idx="1">
                  <c:v>8/12/2020</c:v>
                </c:pt>
                <c:pt idx="2">
                  <c:v>9/12/2020</c:v>
                </c:pt>
                <c:pt idx="3">
                  <c:v>10/12/2020</c:v>
                </c:pt>
                <c:pt idx="4">
                  <c:v>11/12/2020</c:v>
                </c:pt>
                <c:pt idx="5">
                  <c:v>14/12/2020</c:v>
                </c:pt>
                <c:pt idx="6">
                  <c:v>17/12/2020</c:v>
                </c:pt>
                <c:pt idx="7">
                  <c:v>18/12/2020</c:v>
                </c:pt>
                <c:pt idx="8">
                  <c:v>19/12/2020</c:v>
                </c:pt>
                <c:pt idx="9">
                  <c:v>21/12/2020</c:v>
                </c:pt>
                <c:pt idx="10">
                  <c:v>27/11/2020</c:v>
                </c:pt>
                <c:pt idx="11">
                  <c:v>25/11/2020</c:v>
                </c:pt>
                <c:pt idx="12">
                  <c:v>26/11/2020</c:v>
                </c:pt>
                <c:pt idx="13">
                  <c:v>30/11/2020</c:v>
                </c:pt>
                <c:pt idx="14">
                  <c:v>22/12/2020</c:v>
                </c:pt>
              </c:strCache>
            </c:strRef>
          </c:cat>
          <c:val>
            <c:numRef>
              <c:f>'META VS KG'!$C$161:$C$176</c:f>
              <c:numCache>
                <c:formatCode>General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FF-4C72-AA3B-73A18DC2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713424"/>
        <c:axId val="-1738709072"/>
      </c:lineChart>
      <c:catAx>
        <c:axId val="-17387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09072"/>
        <c:crosses val="autoZero"/>
        <c:auto val="1"/>
        <c:lblAlgn val="ctr"/>
        <c:lblOffset val="100"/>
        <c:noMultiLvlLbl val="0"/>
      </c:catAx>
      <c:valAx>
        <c:axId val="-17387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 orientation="portrait"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dinámica10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KG'!$B$215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KG'!$A$216:$A$222</c:f>
              <c:strCache>
                <c:ptCount val="6"/>
                <c:pt idx="0">
                  <c:v>10/12/2020</c:v>
                </c:pt>
                <c:pt idx="1">
                  <c:v>14/12/2020</c:v>
                </c:pt>
                <c:pt idx="2">
                  <c:v>15/12/2020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</c:strCache>
            </c:strRef>
          </c:cat>
          <c:val>
            <c:numRef>
              <c:f>'META VS KG'!$B$216:$B$222</c:f>
              <c:numCache>
                <c:formatCode>0</c:formatCode>
                <c:ptCount val="6"/>
                <c:pt idx="0">
                  <c:v>55</c:v>
                </c:pt>
                <c:pt idx="1">
                  <c:v>108.31363636363636</c:v>
                </c:pt>
                <c:pt idx="2">
                  <c:v>123.42857142857143</c:v>
                </c:pt>
                <c:pt idx="3">
                  <c:v>192.83333333333334</c:v>
                </c:pt>
                <c:pt idx="4">
                  <c:v>168.6</c:v>
                </c:pt>
                <c:pt idx="5">
                  <c:v>207.3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5-472C-93D4-0883FF0EEC36}"/>
            </c:ext>
          </c:extLst>
        </c:ser>
        <c:ser>
          <c:idx val="1"/>
          <c:order val="1"/>
          <c:tx>
            <c:strRef>
              <c:f>'META VS KG'!$C$215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KG'!$A$216:$A$222</c:f>
              <c:strCache>
                <c:ptCount val="6"/>
                <c:pt idx="0">
                  <c:v>10/12/2020</c:v>
                </c:pt>
                <c:pt idx="1">
                  <c:v>14/12/2020</c:v>
                </c:pt>
                <c:pt idx="2">
                  <c:v>15/12/2020</c:v>
                </c:pt>
                <c:pt idx="3">
                  <c:v>23/11/2020</c:v>
                </c:pt>
                <c:pt idx="4">
                  <c:v>24/11/2020</c:v>
                </c:pt>
                <c:pt idx="5">
                  <c:v>25/11/2020</c:v>
                </c:pt>
              </c:strCache>
            </c:strRef>
          </c:cat>
          <c:val>
            <c:numRef>
              <c:f>'META VS KG'!$C$216:$C$222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5-472C-93D4-0883FF0E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8705808"/>
        <c:axId val="-1738705264"/>
      </c:lineChart>
      <c:catAx>
        <c:axId val="-17387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05264"/>
        <c:crosses val="autoZero"/>
        <c:auto val="1"/>
        <c:lblAlgn val="ctr"/>
        <c:lblOffset val="100"/>
        <c:noMultiLvlLbl val="0"/>
      </c:catAx>
      <c:valAx>
        <c:axId val="-17387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387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 orientation="portrait" horizontalDpi="-1" verticalDpi="-1"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[PILOTO MES DICIEMBREact.xlsx]META VS KG!Tabla dinámica11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'META VS KG'!$B$232</c:f>
              <c:strCache>
                <c:ptCount val="1"/>
                <c:pt idx="0">
                  <c:v>Promedio de kg x 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KG'!$A$233:$A$245</c:f>
              <c:strCache>
                <c:ptCount val="12"/>
                <c:pt idx="0">
                  <c:v>1/12/2020</c:v>
                </c:pt>
                <c:pt idx="1">
                  <c:v>2/12/2020</c:v>
                </c:pt>
                <c:pt idx="2">
                  <c:v>4/12/2020</c:v>
                </c:pt>
                <c:pt idx="3">
                  <c:v>5/12/2020</c:v>
                </c:pt>
                <c:pt idx="4">
                  <c:v>7/12/2020</c:v>
                </c:pt>
                <c:pt idx="5">
                  <c:v>8/12/2020</c:v>
                </c:pt>
                <c:pt idx="6">
                  <c:v>9/12/2020</c:v>
                </c:pt>
                <c:pt idx="7">
                  <c:v>10/12/2020</c:v>
                </c:pt>
                <c:pt idx="8">
                  <c:v>11/12/2020</c:v>
                </c:pt>
                <c:pt idx="9">
                  <c:v>12/12/2020</c:v>
                </c:pt>
                <c:pt idx="10">
                  <c:v>18/12/2020</c:v>
                </c:pt>
                <c:pt idx="11">
                  <c:v>26/11/2020</c:v>
                </c:pt>
              </c:strCache>
            </c:strRef>
          </c:cat>
          <c:val>
            <c:numRef>
              <c:f>'META VS KG'!$B$233:$B$245</c:f>
              <c:numCache>
                <c:formatCode>0</c:formatCode>
                <c:ptCount val="12"/>
                <c:pt idx="0">
                  <c:v>356.2</c:v>
                </c:pt>
                <c:pt idx="1">
                  <c:v>383</c:v>
                </c:pt>
                <c:pt idx="2">
                  <c:v>286.8</c:v>
                </c:pt>
                <c:pt idx="3">
                  <c:v>181.3</c:v>
                </c:pt>
                <c:pt idx="4">
                  <c:v>213</c:v>
                </c:pt>
                <c:pt idx="5">
                  <c:v>272.60000000000002</c:v>
                </c:pt>
                <c:pt idx="6">
                  <c:v>108.3</c:v>
                </c:pt>
                <c:pt idx="7">
                  <c:v>386.55</c:v>
                </c:pt>
                <c:pt idx="8">
                  <c:v>310.74545454545455</c:v>
                </c:pt>
                <c:pt idx="9">
                  <c:v>290.88888888888891</c:v>
                </c:pt>
                <c:pt idx="10">
                  <c:v>256</c:v>
                </c:pt>
                <c:pt idx="11">
                  <c:v>430.85714285714283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0-4056-876C-C37749C1E0D1}"/>
            </c:ext>
          </c:extLst>
        </c:ser>
        <c:ser>
          <c:idx val="1"/>
          <c:order val="1"/>
          <c:tx>
            <c:strRef>
              <c:f>'META VS KG'!$C$232</c:f>
              <c:strCache>
                <c:ptCount val="1"/>
                <c:pt idx="0">
                  <c:v>Promedio de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'META VS KG'!$A$233:$A$245</c:f>
              <c:strCache>
                <c:ptCount val="12"/>
                <c:pt idx="0">
                  <c:v>1/12/2020</c:v>
                </c:pt>
                <c:pt idx="1">
                  <c:v>2/12/2020</c:v>
                </c:pt>
                <c:pt idx="2">
                  <c:v>4/12/2020</c:v>
                </c:pt>
                <c:pt idx="3">
                  <c:v>5/12/2020</c:v>
                </c:pt>
                <c:pt idx="4">
                  <c:v>7/12/2020</c:v>
                </c:pt>
                <c:pt idx="5">
                  <c:v>8/12/2020</c:v>
                </c:pt>
                <c:pt idx="6">
                  <c:v>9/12/2020</c:v>
                </c:pt>
                <c:pt idx="7">
                  <c:v>10/12/2020</c:v>
                </c:pt>
                <c:pt idx="8">
                  <c:v>11/12/2020</c:v>
                </c:pt>
                <c:pt idx="9">
                  <c:v>12/12/2020</c:v>
                </c:pt>
                <c:pt idx="10">
                  <c:v>18/12/2020</c:v>
                </c:pt>
                <c:pt idx="11">
                  <c:v>26/11/2020</c:v>
                </c:pt>
              </c:strCache>
            </c:strRef>
          </c:cat>
          <c:val>
            <c:numRef>
              <c:f>'META VS KG'!$C$233:$C$245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C0-4056-876C-C37749C1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8803552"/>
        <c:axId val="-1728799200"/>
      </c:lineChart>
      <c:catAx>
        <c:axId val="-17288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799200"/>
        <c:crosses val="autoZero"/>
        <c:auto val="1"/>
        <c:lblAlgn val="ctr"/>
        <c:lblOffset val="100"/>
        <c:noMultiLvlLbl val="0"/>
      </c:catAx>
      <c:valAx>
        <c:axId val="-17287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288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14287</xdr:rowOff>
    </xdr:from>
    <xdr:to>
      <xdr:col>8</xdr:col>
      <xdr:colOff>171450</xdr:colOff>
      <xdr:row>11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14286</xdr:rowOff>
    </xdr:from>
    <xdr:to>
      <xdr:col>7</xdr:col>
      <xdr:colOff>723900</xdr:colOff>
      <xdr:row>39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828675</xdr:colOff>
      <xdr:row>51</xdr:row>
      <xdr:rowOff>109536</xdr:rowOff>
    </xdr:from>
    <xdr:to>
      <xdr:col>8</xdr:col>
      <xdr:colOff>438150</xdr:colOff>
      <xdr:row>65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79</xdr:row>
      <xdr:rowOff>33337</xdr:rowOff>
    </xdr:from>
    <xdr:to>
      <xdr:col>8</xdr:col>
      <xdr:colOff>409575</xdr:colOff>
      <xdr:row>91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104</xdr:row>
      <xdr:rowOff>123825</xdr:rowOff>
    </xdr:from>
    <xdr:to>
      <xdr:col>7</xdr:col>
      <xdr:colOff>752475</xdr:colOff>
      <xdr:row>113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476250</xdr:colOff>
      <xdr:row>130</xdr:row>
      <xdr:rowOff>14288</xdr:rowOff>
    </xdr:from>
    <xdr:to>
      <xdr:col>7</xdr:col>
      <xdr:colOff>752475</xdr:colOff>
      <xdr:row>142</xdr:row>
      <xdr:rowOff>85726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523875</xdr:colOff>
      <xdr:row>154</xdr:row>
      <xdr:rowOff>171449</xdr:rowOff>
    </xdr:from>
    <xdr:to>
      <xdr:col>7</xdr:col>
      <xdr:colOff>752475</xdr:colOff>
      <xdr:row>167</xdr:row>
      <xdr:rowOff>76198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561975</xdr:colOff>
      <xdr:row>212</xdr:row>
      <xdr:rowOff>80962</xdr:rowOff>
    </xdr:from>
    <xdr:to>
      <xdr:col>8</xdr:col>
      <xdr:colOff>38100</xdr:colOff>
      <xdr:row>221</xdr:row>
      <xdr:rowOff>180975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676275</xdr:colOff>
      <xdr:row>228</xdr:row>
      <xdr:rowOff>128587</xdr:rowOff>
    </xdr:from>
    <xdr:to>
      <xdr:col>8</xdr:col>
      <xdr:colOff>9525</xdr:colOff>
      <xdr:row>238</xdr:row>
      <xdr:rowOff>66675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571500</xdr:colOff>
      <xdr:row>176</xdr:row>
      <xdr:rowOff>33337</xdr:rowOff>
    </xdr:from>
    <xdr:to>
      <xdr:col>8</xdr:col>
      <xdr:colOff>0</xdr:colOff>
      <xdr:row>186</xdr:row>
      <xdr:rowOff>171450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671512</xdr:colOff>
      <xdr:row>196</xdr:row>
      <xdr:rowOff>123825</xdr:rowOff>
    </xdr:from>
    <xdr:to>
      <xdr:col>7</xdr:col>
      <xdr:colOff>9525</xdr:colOff>
      <xdr:row>203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752475</xdr:colOff>
      <xdr:row>16</xdr:row>
      <xdr:rowOff>166687</xdr:rowOff>
    </xdr:from>
    <xdr:to>
      <xdr:col>22</xdr:col>
      <xdr:colOff>104775</xdr:colOff>
      <xdr:row>28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gue_000/Downloads/Control%20de%20turnos%20DICIEMBRE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gue_000/Downloads/Control%20de%20turnos%20DICIEMBRE%20(1)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gue_000/Downloads/Control%20de%20turnos%20NOVIEMBRE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Control%20de%20turnos%20DICIEMBRE%20(1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arezk/AppData/Local/Microsoft/Windows/INetCache/Content.Outlook/48VIYQUH/Control%20de%20turnos%20DICIEMBRE%20(1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rsonal"/>
      <sheetName val="BASE PRODUCCION"/>
      <sheetName val="Horas trabajadas"/>
      <sheetName val="RESUMEN PRODUCCIÓN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rsonal"/>
      <sheetName val="BASE PRODUCCION"/>
      <sheetName val="Horas trabajadas"/>
      <sheetName val="RESUMEN PRODUCCIÓN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Base personal"/>
      <sheetName val="BASE PRODUCCION"/>
      <sheetName val="Horas trabajadas"/>
      <sheetName val="RESUMEN PRODUCCIÓN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rsonal"/>
      <sheetName val="BASE PRODUCCION"/>
      <sheetName val="Horas trabajadas"/>
      <sheetName val="RESUMEN PRODUCCIÓN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rsonal"/>
      <sheetName val="BASE PRODUCCION"/>
      <sheetName val="Horas trabajadas"/>
      <sheetName val="RESUMEN PRODUCCIÓN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LOTO%20MES%20NOVIEMBRE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ezk" refreshedDate="44145.376872337962" createdVersion="6" refreshedVersion="5" minRefreshableVersion="3" recordCount="611">
  <cacheSource type="worksheet">
    <worksheetSource ref="A1:Q612" sheet="Base personal" r:id="rId2"/>
  </cacheSource>
  <cacheFields count="18">
    <cacheField name="FECHA" numFmtId="0">
      <sharedItems containsNonDate="0" containsDate="1" containsString="0" containsBlank="1" minDate="2020-10-23T00:00:00" maxDate="2020-11-07T00:00:00" count="13">
        <d v="2020-11-04T00:00:00"/>
        <d v="2020-10-30T00:00:00"/>
        <d v="2020-11-05T00:00:00"/>
        <d v="2020-11-06T00:00:00"/>
        <d v="2020-10-23T00:00:00"/>
        <d v="2020-11-01T00:00:00"/>
        <d v="2020-10-24T00:00:00"/>
        <d v="2020-10-26T00:00:00"/>
        <d v="2020-10-27T00:00:00"/>
        <d v="2020-10-28T00:00:00"/>
        <d v="2020-10-29T00:00:00"/>
        <d v="2020-10-31T00:00:00"/>
        <m/>
      </sharedItems>
      <fieldGroup par="17" base="0">
        <rangePr groupBy="days" startDate="2020-10-23T00:00:00" endDate="2020-11-07T00:00:00"/>
        <groupItems count="368">
          <s v="(en blanco)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11/2020"/>
        </groupItems>
      </fieldGroup>
    </cacheField>
    <cacheField name="dia" numFmtId="14">
      <sharedItems containsNonDate="0" containsString="0" containsBlank="1"/>
    </cacheField>
    <cacheField name="PROCESO" numFmtId="0">
      <sharedItems containsBlank="1"/>
    </cacheField>
    <cacheField name="TIPO" numFmtId="0">
      <sharedItems containsBlank="1"/>
    </cacheField>
    <cacheField name="REPORTE" numFmtId="0">
      <sharedItems containsBlank="1" containsMixedTypes="1" containsNumber="1" containsInteger="1" minValue="99" maxValue="1200"/>
    </cacheField>
    <cacheField name="OPERADOR" numFmtId="0">
      <sharedItems containsBlank="1" count="21">
        <s v="Jimmy"/>
        <s v="Rodriguez"/>
        <s v="Balladares"/>
        <s v="Nunura"/>
        <s v="Bazan"/>
        <s v="Robledo"/>
        <s v="Polanco"/>
        <s v="Solis"/>
        <s v="Carpio"/>
        <s v="Castro"/>
        <s v="Segura"/>
        <s v="Quiñonez"/>
        <s v="Suarez"/>
        <s v="Vicente"/>
        <s v="Ciro"/>
        <s v="Andrade"/>
        <s v="Palma"/>
        <s v="Miraba"/>
        <s v="Huacon"/>
        <m/>
        <s v="Jaime" u="1"/>
      </sharedItems>
    </cacheField>
    <cacheField name="Turno" numFmtId="0">
      <sharedItems containsBlank="1"/>
    </cacheField>
    <cacheField name="kgxpersona" numFmtId="0">
      <sharedItems containsString="0" containsBlank="1" containsNumber="1" minValue="1" maxValue="6118"/>
    </cacheField>
    <cacheField name="kg x hora" numFmtId="0">
      <sharedItems containsString="0" containsBlank="1" containsNumber="1" minValue="0" maxValue="638.66666666666663"/>
    </cacheField>
    <cacheField name="tarifario" numFmtId="0">
      <sharedItems containsString="0" containsBlank="1" containsNumber="1" minValue="1.0225E-3" maxValue="0.3483"/>
    </cacheField>
    <cacheField name="tarifario total" numFmtId="0">
      <sharedItems containsString="0" containsBlank="1" containsNumber="1" minValue="0" maxValue="27.434953125"/>
    </cacheField>
    <cacheField name="hh/trabajadas" numFmtId="0">
      <sharedItems containsString="0" containsBlank="1" containsNumber="1" minValue="1" maxValue="11"/>
    </cacheField>
    <cacheField name="Rendimiento" numFmtId="0">
      <sharedItems containsMixedTypes="1" containsNumber="1" minValue="0" maxValue="638.66666666666663"/>
    </cacheField>
    <cacheField name="Estado" numFmtId="9">
      <sharedItems containsMixedTypes="1" containsNumber="1" minValue="0" maxValue="7.6474999999999991"/>
    </cacheField>
    <cacheField name="Demoras" numFmtId="0">
      <sharedItems containsString="0" containsBlank="1" containsNumber="1" containsInteger="1" minValue="1" maxValue="2"/>
    </cacheField>
    <cacheField name="Motivo" numFmtId="0">
      <sharedItems containsBlank="1"/>
    </cacheField>
    <cacheField name="HORAS TOTALES TRABAJADAS" numFmtId="0">
      <sharedItems containsString="0" containsBlank="1" containsNumber="1" minValue="1" maxValue="11"/>
    </cacheField>
    <cacheField name="Meses" numFmtId="0" databaseField="0">
      <fieldGroup base="0">
        <rangePr groupBy="months" startDate="2020-10-23T00:00:00" endDate="2020-11-07T00:00:00"/>
        <groupItems count="14">
          <s v="&lt;23/10/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7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varezk" refreshedDate="44145.3768724537" createdVersion="6" refreshedVersion="5" minRefreshableVersion="3" recordCount="120">
  <cacheSource type="worksheet">
    <worksheetSource name="Tabla2"/>
  </cacheSource>
  <cacheFields count="17">
    <cacheField name="Fecha" numFmtId="14">
      <sharedItems containsSemiMixedTypes="0" containsNonDate="0" containsDate="1" containsString="0" minDate="2020-10-30T00:00:00" maxDate="2020-11-07T00:00:00" count="4">
        <d v="2020-11-04T00:00:00"/>
        <d v="2020-10-30T00:00:00"/>
        <d v="2020-11-05T00:00:00"/>
        <d v="2020-11-06T00:00:00"/>
      </sharedItems>
      <fieldGroup par="16" base="0">
        <rangePr groupBy="days" startDate="2020-10-30T00:00:00" endDate="2020-11-07T00:00:00"/>
        <groupItems count="368">
          <s v="&lt;30/10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11/2020"/>
        </groupItems>
      </fieldGroup>
    </cacheField>
    <cacheField name="No. Personal" numFmtId="1">
      <sharedItems containsSemiMixedTypes="0" containsString="0" containsNumber="1" containsInteger="1" minValue="1" maxValue="3"/>
    </cacheField>
    <cacheField name="Reporte" numFmtId="0">
      <sharedItems containsSemiMixedTypes="0" containsString="0" containsNumber="1" containsInteger="1" minValue="102" maxValue="1202"/>
    </cacheField>
    <cacheField name="Proceso" numFmtId="0">
      <sharedItems count="6">
        <s v="CLASIFICACIÓN SOPLADO"/>
        <s v="CLASIFICACIÓN HOGAR"/>
        <s v="TRITURADO"/>
        <s v="CLASIFICACIÓN FILM"/>
        <s v="LAVADO"/>
        <s v="TRITURADO NELMOR"/>
      </sharedItems>
    </cacheField>
    <cacheField name="Material" numFmtId="0">
      <sharedItems count="12">
        <s v="HOGAR"/>
        <s v="SOPLADO"/>
        <s v="SOPLADO PP"/>
        <s v="PET"/>
        <s v="OTROS"/>
        <s v="PP"/>
        <s v="PEAD"/>
        <s v="BAJA"/>
        <s v="CANECA"/>
        <s v="PP "/>
        <s v="CHICLE"/>
        <s v="TAPAS"/>
      </sharedItems>
    </cacheField>
    <cacheField name="Color" numFmtId="0">
      <sharedItems containsBlank="1" count="13">
        <m/>
        <s v="Multicolor"/>
        <s v="Transparente"/>
        <s v="Otros"/>
        <s v="Termofarmado"/>
        <s v="Negro"/>
        <s v="Rojo"/>
        <s v="Blanco"/>
        <s v="Azul"/>
        <s v="Verde"/>
        <s v="Natural"/>
        <s v="Soplado"/>
        <s v="Aceite"/>
      </sharedItems>
    </cacheField>
    <cacheField name="PESO" numFmtId="0">
      <sharedItems containsString="0" containsBlank="1" containsNumber="1" containsInteger="1" minValue="8" maxValue="1462"/>
    </cacheField>
    <cacheField name="OFT" numFmtId="0">
      <sharedItems containsString="0" containsBlank="1" containsNumber="1" containsInteger="1" minValue="3027" maxValue="3049"/>
    </cacheField>
    <cacheField name="OSM" numFmtId="0">
      <sharedItems containsString="0" containsBlank="1" containsNumber="1" containsInteger="1" minValue="2919" maxValue="2941"/>
    </cacheField>
    <cacheField name="IF" numFmtId="0">
      <sharedItems containsString="0" containsBlank="1" containsNumber="1" containsInteger="1" minValue="2936" maxValue="2958"/>
    </cacheField>
    <cacheField name="TFB1" numFmtId="0">
      <sharedItems containsString="0" containsBlank="1" containsNumber="1" containsInteger="1" minValue="2339" maxValue="2393"/>
    </cacheField>
    <cacheField name="PESO TFB" numFmtId="0">
      <sharedItems containsString="0" containsBlank="1" containsNumber="1" containsInteger="1" minValue="31" maxValue="279"/>
    </cacheField>
    <cacheField name="TFB2" numFmtId="0">
      <sharedItems containsString="0" containsBlank="1" containsNumber="1" containsInteger="1" minValue="9" maxValue="2379"/>
    </cacheField>
    <cacheField name="Ingreso" numFmtId="0">
      <sharedItems containsString="0" containsBlank="1" containsNumber="1" containsInteger="1" minValue="231" maxValue="1363"/>
    </cacheField>
    <cacheField name="SCRAP" numFmtId="0">
      <sharedItems containsString="0" containsBlank="1" containsNumber="1" minValue="-0.1918238993710692" maxValue="0.22844827586206898"/>
    </cacheField>
    <cacheField name="PRODUCCION TOTAL" numFmtId="0">
      <sharedItems containsSemiMixedTypes="0" containsString="0" containsNumber="1" containsInteger="1" minValue="8" maxValue="1462"/>
    </cacheField>
    <cacheField name="Meses" numFmtId="0" databaseField="0">
      <fieldGroup base="0">
        <rangePr groupBy="months" startDate="2020-10-30T00:00:00" endDate="2020-11-07T00:00:00"/>
        <groupItems count="14">
          <s v="&lt;30/10/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7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varezk" refreshedDate="44153.525723611114" createdVersion="5" refreshedVersion="5" minRefreshableVersion="3" recordCount="263">
  <cacheSource type="worksheet">
    <worksheetSource ref="A1:P306" sheet="Base personal"/>
  </cacheSource>
  <cacheFields count="17">
    <cacheField name="FECHA" numFmtId="0">
      <sharedItems containsSemiMixedTypes="0" containsNonDate="0" containsDate="1" containsString="0" minDate="2020-10-23T00:00:00" maxDate="2020-11-14T00:00:00" count="18">
        <d v="2020-11-04T00:00:00"/>
        <d v="2020-10-30T00:00:00"/>
        <d v="2020-11-05T00:00:00"/>
        <d v="2020-11-06T00:00:00"/>
        <d v="2020-10-23T00:00:00"/>
        <d v="2020-11-01T00:00:00"/>
        <d v="2020-10-24T00:00:00"/>
        <d v="2020-10-26T00:00:00"/>
        <d v="2020-10-28T00:00:00"/>
        <d v="2020-10-27T00:00:00"/>
        <d v="2020-10-29T00:00:00"/>
        <d v="2020-10-31T00:00:00"/>
        <d v="2020-11-07T00:00:00"/>
        <d v="2020-11-09T00:00:00"/>
        <d v="2020-11-10T00:00:00"/>
        <d v="2020-11-11T00:00:00"/>
        <d v="2020-11-12T00:00:00"/>
        <d v="2020-11-13T00:00:00"/>
      </sharedItems>
    </cacheField>
    <cacheField name="dia" numFmtId="14">
      <sharedItems containsNonDate="0" containsString="0" containsBlank="1"/>
    </cacheField>
    <cacheField name="PROCESO" numFmtId="0">
      <sharedItems count="15">
        <s v="CLASIFICACIÓN SOPLADO"/>
        <s v="CLASIFICACIÓN HOGAR"/>
        <s v="TRITURADO"/>
        <s v="CLASIFICACIÓN FILM"/>
        <s v="ADMINISTRACIÓN"/>
        <s v="LOGISTICA"/>
        <s v="LAVADO"/>
        <s v="TRITURADO NELMOR"/>
        <s v="OPERACIONES"/>
        <s v="COMPACTADORA"/>
        <s v="PLANTA DE TRATAMIENTO"/>
        <s v="AGLOMERADO"/>
        <s v="PELLETIZADO# 2"/>
        <s v="PROYECTO"/>
        <s v="PULIDO"/>
      </sharedItems>
    </cacheField>
    <cacheField name="TIPO" numFmtId="0">
      <sharedItems containsBlank="1" count="11">
        <s v="TULAS"/>
        <s v="PACAS"/>
        <s v="PIE"/>
        <s v="HOGAR"/>
        <s v="MONTAÑA"/>
        <m/>
        <s v="SOPLADO"/>
        <s v="Montacarga"/>
        <s v="Chicle Seco"/>
        <s v="Zaranda"/>
        <s v="Soplado clasificado"/>
      </sharedItems>
    </cacheField>
    <cacheField name="REPORTE" numFmtId="0">
      <sharedItems containsBlank="1" containsMixedTypes="1" containsNumber="1" containsInteger="1" minValue="99" maxValue="1200"/>
    </cacheField>
    <cacheField name="OPERADOR" numFmtId="0">
      <sharedItems/>
    </cacheField>
    <cacheField name="Turno" numFmtId="0">
      <sharedItems containsBlank="1"/>
    </cacheField>
    <cacheField name="kgxpersona" numFmtId="0">
      <sharedItems containsString="0" containsBlank="1" containsNumber="1" minValue="1" maxValue="6118"/>
    </cacheField>
    <cacheField name="kg x hora" numFmtId="0">
      <sharedItems containsSemiMixedTypes="0" containsString="0" containsNumber="1" minValue="0" maxValue="638.66666666666663"/>
    </cacheField>
    <cacheField name="META" numFmtId="2">
      <sharedItems containsBlank="1" containsMixedTypes="1" containsNumber="1" containsInteger="1" minValue="17" maxValue="700"/>
    </cacheField>
    <cacheField name="tarifario" numFmtId="0">
      <sharedItems containsSemiMixedTypes="0" containsString="0" containsNumber="1" minValue="1.0225E-3" maxValue="0.3483"/>
    </cacheField>
    <cacheField name="tarifario total" numFmtId="0">
      <sharedItems containsSemiMixedTypes="0" containsString="0" containsNumber="1" minValue="0" maxValue="11.380248214285714"/>
    </cacheField>
    <cacheField name="hh/trabajadas" numFmtId="0">
      <sharedItems containsSemiMixedTypes="0" containsString="0" containsNumber="1" minValue="1" maxValue="11"/>
    </cacheField>
    <cacheField name="Rendimiento" numFmtId="0">
      <sharedItems containsSemiMixedTypes="0" containsString="0" containsNumber="1" minValue="0" maxValue="638.66666666666663"/>
    </cacheField>
    <cacheField name="Estado" numFmtId="9">
      <sharedItems containsMixedTypes="1" containsNumber="1" minValue="0" maxValue="1.5259259259259261"/>
    </cacheField>
    <cacheField name="Demoras" numFmtId="0">
      <sharedItems containsString="0" containsBlank="1" containsNumber="1" containsInteger="1" minValue="1" maxValue="2"/>
    </cacheField>
    <cacheField name="Motiv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varezk" refreshedDate="44189.52718946759" createdVersion="5" refreshedVersion="5" minRefreshableVersion="3" recordCount="463">
  <cacheSource type="worksheet">
    <worksheetSource ref="A1:N464" sheet="Base personal"/>
  </cacheSource>
  <cacheFields count="14">
    <cacheField name="FECHA" numFmtId="14">
      <sharedItems containsSemiMixedTypes="0" containsNonDate="0" containsDate="1" containsString="0" minDate="2020-11-23T00:00:00" maxDate="2020-12-23T00:00:00" count="27">
        <d v="2020-12-01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2T00:00:00"/>
        <d v="2020-12-03T00:00:00"/>
        <d v="2020-12-04T00:00:00"/>
        <d v="2020-12-05T00:00:00"/>
        <d v="2020-12-07T00:00:00"/>
        <d v="2020-12-08T00:00:00"/>
        <d v="2020-12-09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0T00:00:00"/>
        <d v="2020-12-22T00:00:00"/>
      </sharedItems>
    </cacheField>
    <cacheField name="PROCESO" numFmtId="0">
      <sharedItems containsBlank="1" count="14">
        <s v="TRITURADO"/>
        <s v="LAVADO"/>
        <s v="OPERACIONES"/>
        <s v="CLASIFICACIÓN SOPLADO"/>
        <s v="LOGISTICA"/>
        <s v="CLASIFICACIÓN HOGAR"/>
        <s v="CLASIFICACIÓN FILM"/>
        <s v="AGLOMERADO"/>
        <s v="PROYECTO"/>
        <s v="PLANTA DE TRATAMIENTO"/>
        <s v="PELLETIZADO"/>
        <s v="ZARANDA"/>
        <s v="COMPACTADORA"/>
        <m u="1"/>
      </sharedItems>
    </cacheField>
    <cacheField name="TIPO" numFmtId="0">
      <sharedItems containsBlank="1" count="12">
        <s v="HOGAR"/>
        <s v="SUNCHOS"/>
        <m/>
        <s v="PACAS"/>
        <s v="PIE"/>
        <s v="GALPON"/>
        <s v="CHICLE SECO"/>
        <s v="SOPLADO"/>
        <s v="Baja Seco"/>
        <s v="BAJA"/>
        <s v="CHICLE"/>
        <s v="MONTACARGA"/>
      </sharedItems>
    </cacheField>
    <cacheField name="REPORTE" numFmtId="0">
      <sharedItems containsBlank="1" containsMixedTypes="1" containsNumber="1" containsInteger="1" minValue="117" maxValue="1288"/>
    </cacheField>
    <cacheField name="OPERADOR" numFmtId="0">
      <sharedItems containsBlank="1" count="23">
        <s v="Carpio"/>
        <s v="Suarez"/>
        <s v="SOLIS"/>
        <s v="Robledo"/>
        <s v="Ciro"/>
        <s v="Balladares"/>
        <s v="Nunura"/>
        <s v="Bazan"/>
        <s v="Rodriguez"/>
        <s v="Jimmy"/>
        <s v="Andrade"/>
        <s v="Segura "/>
        <s v="Quiñonez"/>
        <s v="Castro"/>
        <s v="Victor"/>
        <s v="Vicente"/>
        <s v="Miraba"/>
        <s v="Polanco"/>
        <s v="Palma"/>
        <s v="Bustamante"/>
        <s v="Huacon"/>
        <m u="1"/>
        <s v="Segura" u="1"/>
      </sharedItems>
    </cacheField>
    <cacheField name="Turno" numFmtId="0">
      <sharedItems containsBlank="1"/>
    </cacheField>
    <cacheField name="kgxpersona" numFmtId="0">
      <sharedItems containsString="0" containsBlank="1" containsNumber="1" minValue="44" maxValue="6972"/>
    </cacheField>
    <cacheField name="kg x hora" numFmtId="43">
      <sharedItems containsSemiMixedTypes="0" containsString="0" containsNumber="1" minValue="1" maxValue="805"/>
    </cacheField>
    <cacheField name="META" numFmtId="2">
      <sharedItems containsSemiMixedTypes="0" containsString="0" containsNumber="1" containsInteger="1" minValue="1" maxValue="700"/>
    </cacheField>
    <cacheField name="tarifario" numFmtId="0">
      <sharedItems containsSemiMixedTypes="0" containsString="0" containsNumber="1" minValue="1.0225E-3" maxValue="0.3483"/>
    </cacheField>
    <cacheField name="tarifario total" numFmtId="0">
      <sharedItems containsSemiMixedTypes="0" containsString="0" containsNumber="1" minValue="0.24650357142857143" maxValue="10.266234666666668"/>
    </cacheField>
    <cacheField name="hh/trabajadas" numFmtId="0">
      <sharedItems containsSemiMixedTypes="0" containsString="0" containsNumber="1" minValue="1" maxValue="11"/>
    </cacheField>
    <cacheField name="Rendimiento" numFmtId="0">
      <sharedItems containsString="0" containsBlank="1" containsNumber="1" minValue="0" maxValue="805"/>
    </cacheField>
    <cacheField name="Estado" numFmtId="9">
      <sharedItems containsBlank="1" containsMixedTypes="1" containsNumber="1" minValue="0.13285714285714287" maxValue="2.7405797101449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1">
  <r>
    <x v="0"/>
    <m/>
    <s v="CLASIFICACIÓN SOPLADO"/>
    <s v="TULAS"/>
    <n v="701"/>
    <x v="0"/>
    <s v="Diurno"/>
    <n v="452.5"/>
    <n v="45.25"/>
    <n v="6.3906249999999996E-3"/>
    <n v="2.8917578124999999"/>
    <n v="10"/>
    <n v="45.25"/>
    <n v="1.0055555555555555"/>
    <m/>
    <m/>
    <n v="10"/>
  </r>
  <r>
    <x v="0"/>
    <m/>
    <s v="CLASIFICACIÓN SOPLADO"/>
    <s v="TULAS"/>
    <n v="701"/>
    <x v="1"/>
    <s v="Diurno"/>
    <n v="452.5"/>
    <n v="45.25"/>
    <n v="6.3906249999999996E-3"/>
    <n v="2.8917578124999999"/>
    <n v="10"/>
    <n v="45.25"/>
    <n v="1.0055555555555555"/>
    <m/>
    <m/>
    <n v="10"/>
  </r>
  <r>
    <x v="0"/>
    <m/>
    <s v="CLASIFICACIÓN SOPLADO"/>
    <s v="PACAS"/>
    <n v="700"/>
    <x v="2"/>
    <s v="Diurno"/>
    <n v="459.34"/>
    <n v="45.933999999999997"/>
    <n v="6.3906249999999996E-3"/>
    <n v="2.9354696874999995"/>
    <n v="10"/>
    <n v="45.933999999999997"/>
    <n v="0.83516363636363633"/>
    <m/>
    <m/>
    <n v="10"/>
  </r>
  <r>
    <x v="0"/>
    <m/>
    <s v="CLASIFICACIÓN SOPLADO"/>
    <s v="PACAS"/>
    <n v="700"/>
    <x v="3"/>
    <s v="Diurno"/>
    <n v="459.33"/>
    <n v="45.933"/>
    <n v="6.3906249999999996E-3"/>
    <n v="2.9354057812500001"/>
    <n v="10"/>
    <n v="45.933"/>
    <n v="0.83514545454545452"/>
    <m/>
    <m/>
    <n v="10"/>
  </r>
  <r>
    <x v="0"/>
    <m/>
    <s v="CLASIFICACIÓN SOPLADO"/>
    <s v="PACAS"/>
    <n v="700"/>
    <x v="4"/>
    <s v="Diurno"/>
    <n v="459.33"/>
    <n v="45.933"/>
    <n v="6.3906249999999996E-3"/>
    <n v="2.9354057812500001"/>
    <n v="10"/>
    <n v="45.933"/>
    <n v="0.83514545454545452"/>
    <m/>
    <m/>
    <n v="10"/>
  </r>
  <r>
    <x v="0"/>
    <m/>
    <s v="CLASIFICACIÓN HOGAR"/>
    <s v="PIE"/>
    <n v="698"/>
    <x v="5"/>
    <s v="Diurno"/>
    <n v="538"/>
    <n v="53.8"/>
    <n v="5.5570652173913045E-3"/>
    <n v="2.9897010869565217"/>
    <n v="10"/>
    <n v="53.8"/>
    <n v="0.67249999999999999"/>
    <m/>
    <m/>
    <n v="10"/>
  </r>
  <r>
    <x v="0"/>
    <m/>
    <s v="CLASIFICACIÓN HOGAR"/>
    <s v="PIE"/>
    <n v="698"/>
    <x v="6"/>
    <s v="Diurno"/>
    <n v="538"/>
    <n v="53.8"/>
    <n v="5.5570652173913045E-3"/>
    <n v="2.9897010869565217"/>
    <n v="10"/>
    <n v="53.8"/>
    <n v="0.67249999999999999"/>
    <m/>
    <m/>
    <n v="10"/>
  </r>
  <r>
    <x v="0"/>
    <m/>
    <s v="CLASIFICACIÓN HOGAR"/>
    <s v="PIE"/>
    <n v="698"/>
    <x v="7"/>
    <s v="Diurno"/>
    <n v="538"/>
    <n v="53.8"/>
    <n v="5.5570652173913045E-3"/>
    <n v="2.9897010869565217"/>
    <n v="10"/>
    <n v="53.8"/>
    <n v="0.67249999999999999"/>
    <m/>
    <m/>
    <n v="10"/>
  </r>
  <r>
    <x v="1"/>
    <m/>
    <s v="TRITURADO"/>
    <s v="HOGAR"/>
    <n v="342"/>
    <x v="8"/>
    <s v="Diurno"/>
    <n v="4293"/>
    <n v="536.625"/>
    <n v="6.3906249999999996E-3"/>
    <n v="27.434953125"/>
    <n v="8"/>
    <n v="536.625"/>
    <n v="1.07325"/>
    <n v="2"/>
    <s v="1 h revision de cuchillas / 1h limpieza por cambio de material"/>
    <n v="10"/>
  </r>
  <r>
    <x v="0"/>
    <m/>
    <s v="CLASIFICACIÓN FILM"/>
    <s v="MONTAÑA"/>
    <n v="102"/>
    <x v="9"/>
    <s v="Diurno"/>
    <n v="405"/>
    <n v="40.5"/>
    <n v="1.1361111111111112E-2"/>
    <n v="4.6012500000000003"/>
    <n v="10"/>
    <n v="40.5"/>
    <n v="0.9"/>
    <m/>
    <m/>
    <n v="10"/>
  </r>
  <r>
    <x v="0"/>
    <m/>
    <s v="ADMINISTRACIÓN"/>
    <m/>
    <m/>
    <x v="10"/>
    <s v="Diurno"/>
    <n v="1"/>
    <n v="1"/>
    <n v="0.3483"/>
    <n v="1.7415"/>
    <n v="5"/>
    <n v="0.2"/>
    <e v="#N/A"/>
    <m/>
    <m/>
    <n v="5"/>
  </r>
  <r>
    <x v="0"/>
    <m/>
    <s v="CLASIFICACIÓN FILM"/>
    <s v="MONTAÑA"/>
    <n v="103"/>
    <x v="10"/>
    <s v="Diurno"/>
    <n v="150"/>
    <n v="30"/>
    <n v="1.1361111111111112E-2"/>
    <n v="1.7041666666666668"/>
    <n v="5"/>
    <n v="30"/>
    <n v="0.66666666666666663"/>
    <m/>
    <m/>
    <n v="5"/>
  </r>
  <r>
    <x v="0"/>
    <m/>
    <s v="CLASIFICACIÓN FILM"/>
    <s v="MONTAÑA"/>
    <n v="103"/>
    <x v="11"/>
    <s v="Diurno"/>
    <n v="88"/>
    <n v="29.333333333333332"/>
    <n v="1.1361111111111112E-2"/>
    <n v="0.99977777777777777"/>
    <n v="3"/>
    <n v="29.333333333333332"/>
    <n v="0.65185185185185179"/>
    <m/>
    <m/>
    <n v="3"/>
  </r>
  <r>
    <x v="0"/>
    <m/>
    <s v="COMPACTADORA"/>
    <s v="PACAS"/>
    <m/>
    <x v="11"/>
    <s v="Diurno"/>
    <m/>
    <n v="0"/>
    <n v="3.0073529411764707E-2"/>
    <n v="0"/>
    <n v="7"/>
    <n v="0"/>
    <e v="#N/A"/>
    <m/>
    <m/>
    <n v="7"/>
  </r>
  <r>
    <x v="0"/>
    <m/>
    <s v="LAVADO"/>
    <s v="SOPLADO"/>
    <s v="1201/1202"/>
    <x v="12"/>
    <s v="Diurno"/>
    <n v="767.5"/>
    <n v="85.277777777777771"/>
    <n v="6.3906249999999996E-3"/>
    <n v="4.9048046874999995"/>
    <n v="9"/>
    <n v="85.277777777777771"/>
    <n v="0.24365079365079365"/>
    <n v="1"/>
    <s v="Limpieza"/>
    <n v="10"/>
  </r>
  <r>
    <x v="0"/>
    <m/>
    <s v="LAVADO"/>
    <s v="SOPLADO"/>
    <s v="1201/1202"/>
    <x v="13"/>
    <s v="Diurno"/>
    <n v="767.5"/>
    <n v="85.277777777777771"/>
    <n v="6.3906249999999996E-3"/>
    <n v="4.9048046874999995"/>
    <n v="9"/>
    <n v="85.277777777777771"/>
    <n v="0.24365079365079365"/>
    <n v="1"/>
    <s v="Limpieza"/>
    <n v="10"/>
  </r>
  <r>
    <x v="0"/>
    <m/>
    <s v="TRITURADO"/>
    <s v="HOGAR"/>
    <n v="343"/>
    <x v="8"/>
    <s v="Diurno"/>
    <n v="2539"/>
    <n v="423.16666666666669"/>
    <n v="6.3906249999999996E-3"/>
    <n v="16.225796875"/>
    <n v="6"/>
    <n v="423.16666666666669"/>
    <n v="0.84633333333333338"/>
    <m/>
    <m/>
    <n v="6"/>
  </r>
  <r>
    <x v="0"/>
    <m/>
    <s v="TRITURADO NELMOR"/>
    <s v="HOGAR"/>
    <n v="343"/>
    <x v="8"/>
    <s v="Diurno"/>
    <n v="464"/>
    <n v="116"/>
    <n v="6.3906249999999996E-3"/>
    <n v="2.9652499999999997"/>
    <n v="4"/>
    <n v="116"/>
    <n v="0.57999999999999996"/>
    <m/>
    <m/>
    <n v="4"/>
  </r>
  <r>
    <x v="0"/>
    <m/>
    <s v="CLASIFICACIÓN SOPLADO"/>
    <s v="TULAS"/>
    <n v="699"/>
    <x v="14"/>
    <s v="Diurno"/>
    <n v="193"/>
    <n v="38.6"/>
    <n v="6.3906249999999996E-3"/>
    <n v="1.233390625"/>
    <n v="5"/>
    <n v="38.6"/>
    <n v="0.85777777777777786"/>
    <m/>
    <m/>
    <n v="5"/>
  </r>
  <r>
    <x v="0"/>
    <m/>
    <s v="CLASIFICACIÓN SOPLADO"/>
    <s v="TULAS"/>
    <n v="699"/>
    <x v="15"/>
    <s v="Diurno"/>
    <n v="193"/>
    <n v="38.6"/>
    <n v="6.3906249999999996E-3"/>
    <n v="1.233390625"/>
    <n v="5"/>
    <n v="38.6"/>
    <n v="0.85777777777777786"/>
    <m/>
    <m/>
    <n v="5"/>
  </r>
  <r>
    <x v="0"/>
    <m/>
    <s v="ADMINISTRACIÓN"/>
    <m/>
    <m/>
    <x v="14"/>
    <s v="Diurno"/>
    <n v="1"/>
    <n v="1"/>
    <n v="0.3483"/>
    <n v="1.7415"/>
    <n v="5"/>
    <n v="0.2"/>
    <e v="#N/A"/>
    <m/>
    <s v="Limpieza de área nueva de trabajo"/>
    <n v="5"/>
  </r>
  <r>
    <x v="0"/>
    <m/>
    <s v="ADMINISTRACIÓN"/>
    <m/>
    <m/>
    <x v="15"/>
    <s v="Diurno"/>
    <n v="1"/>
    <n v="1"/>
    <n v="0.3483"/>
    <n v="1.7415"/>
    <n v="5"/>
    <n v="0.2"/>
    <e v="#N/A"/>
    <m/>
    <s v="Limpieza de área nueva de trabajo"/>
    <n v="5"/>
  </r>
  <r>
    <x v="2"/>
    <m/>
    <s v="CLASIFICACIÓN HOGAR"/>
    <s v="PIE"/>
    <n v="705"/>
    <x v="7"/>
    <s v="Diurno"/>
    <n v="464"/>
    <n v="92.8"/>
    <n v="5.5570652173913045E-3"/>
    <n v="2.5784782608695651"/>
    <n v="5"/>
    <n v="92.8"/>
    <n v="1.1599999999999999"/>
    <m/>
    <m/>
    <n v="5"/>
  </r>
  <r>
    <x v="2"/>
    <m/>
    <s v="CLASIFICACIÓN HOGAR"/>
    <s v="PIE"/>
    <n v="705"/>
    <x v="6"/>
    <s v="Diurno"/>
    <n v="464"/>
    <n v="92.8"/>
    <n v="5.5570652173913045E-3"/>
    <n v="2.5784782608695651"/>
    <n v="5"/>
    <n v="92.8"/>
    <n v="1.1599999999999999"/>
    <m/>
    <m/>
    <n v="5"/>
  </r>
  <r>
    <x v="2"/>
    <m/>
    <s v="ADMINISTRACIÓN"/>
    <m/>
    <m/>
    <x v="7"/>
    <s v="Diurno"/>
    <n v="1"/>
    <n v="1"/>
    <n v="0.3483"/>
    <n v="1.7415"/>
    <n v="5"/>
    <n v="0.2"/>
    <e v="#N/A"/>
    <m/>
    <s v="Inventario de tulas"/>
    <n v="5"/>
  </r>
  <r>
    <x v="2"/>
    <m/>
    <s v="ADMINISTRACIÓN"/>
    <m/>
    <m/>
    <x v="6"/>
    <s v="Diurno"/>
    <n v="1"/>
    <n v="1"/>
    <n v="0.3483"/>
    <n v="1.7415"/>
    <n v="5"/>
    <n v="0.2"/>
    <e v="#N/A"/>
    <m/>
    <s v="Inventario de tulas"/>
    <n v="5"/>
  </r>
  <r>
    <x v="2"/>
    <m/>
    <s v="CLASIFICACIÓN SOPLADO"/>
    <s v="PACAS"/>
    <n v="706"/>
    <x v="4"/>
    <s v="Diurno"/>
    <n v="564"/>
    <n v="56.4"/>
    <n v="6.3906249999999996E-3"/>
    <n v="3.6043124999999998"/>
    <n v="10"/>
    <n v="56.4"/>
    <n v="1.0254545454545454"/>
    <m/>
    <m/>
    <n v="10"/>
  </r>
  <r>
    <x v="2"/>
    <m/>
    <s v="CLASIFICACIÓN SOPLADO"/>
    <s v="PACAS"/>
    <n v="706"/>
    <x v="2"/>
    <s v="Diurno"/>
    <n v="564"/>
    <n v="56.4"/>
    <n v="6.3906249999999996E-3"/>
    <n v="3.6043124999999998"/>
    <n v="10"/>
    <n v="56.4"/>
    <n v="1.0254545454545454"/>
    <m/>
    <m/>
    <n v="10"/>
  </r>
  <r>
    <x v="2"/>
    <m/>
    <s v="CLASIFICACIÓN SOPLADO"/>
    <s v="PACAS"/>
    <n v="706"/>
    <x v="3"/>
    <s v="Diurno"/>
    <n v="564"/>
    <n v="56.4"/>
    <n v="6.3906249999999996E-3"/>
    <n v="3.6043124999999998"/>
    <n v="10"/>
    <n v="56.4"/>
    <n v="1.0254545454545454"/>
    <m/>
    <m/>
    <n v="10"/>
  </r>
  <r>
    <x v="2"/>
    <m/>
    <s v="TRITURADO NELMOR"/>
    <s v="HOGAR"/>
    <n v="344"/>
    <x v="8"/>
    <s v="Diurno"/>
    <n v="1245"/>
    <n v="124.5"/>
    <n v="6.3906249999999996E-3"/>
    <n v="7.9563281249999998"/>
    <n v="10"/>
    <n v="124.5"/>
    <n v="0.62250000000000005"/>
    <m/>
    <m/>
    <n v="10"/>
  </r>
  <r>
    <x v="2"/>
    <m/>
    <s v="CLASIFICACIÓN SOPLADO"/>
    <s v="TULAS"/>
    <n v="704"/>
    <x v="1"/>
    <s v="Diurno"/>
    <n v="568"/>
    <n v="56.8"/>
    <n v="6.3906249999999996E-3"/>
    <n v="3.6298749999999997"/>
    <n v="10"/>
    <n v="56.8"/>
    <n v="1.2622222222222221"/>
    <m/>
    <m/>
    <n v="10"/>
  </r>
  <r>
    <x v="2"/>
    <m/>
    <s v="CLASIFICACIÓN SOPLADO"/>
    <s v="TULAS"/>
    <n v="703"/>
    <x v="14"/>
    <s v="Diurno"/>
    <n v="404"/>
    <n v="40.4"/>
    <n v="6.3906249999999996E-3"/>
    <n v="2.5818124999999998"/>
    <n v="10"/>
    <n v="40.4"/>
    <n v="0.89777777777777779"/>
    <m/>
    <m/>
    <n v="10"/>
  </r>
  <r>
    <x v="2"/>
    <m/>
    <s v="CLASIFICACIÓN SOPLADO"/>
    <s v="TULAS"/>
    <n v="703"/>
    <x v="15"/>
    <s v="Diurno"/>
    <n v="404"/>
    <n v="40.4"/>
    <n v="6.3906249999999996E-3"/>
    <n v="2.5818124999999998"/>
    <n v="10"/>
    <n v="40.4"/>
    <n v="0.89777777777777779"/>
    <m/>
    <m/>
    <n v="10"/>
  </r>
  <r>
    <x v="2"/>
    <m/>
    <s v="CLASIFICACIÓN FILM"/>
    <s v="MONTAÑA"/>
    <n v="104"/>
    <x v="10"/>
    <s v="Diurno"/>
    <n v="383.5"/>
    <n v="38.35"/>
    <n v="1.1361111111111112E-2"/>
    <n v="4.3569861111111114"/>
    <n v="10"/>
    <n v="38.35"/>
    <n v="0.85222222222222221"/>
    <m/>
    <m/>
    <n v="10"/>
  </r>
  <r>
    <x v="2"/>
    <m/>
    <s v="CLASIFICACIÓN FILM"/>
    <s v="MONTAÑA"/>
    <n v="104"/>
    <x v="11"/>
    <s v="Diurno"/>
    <n v="383.5"/>
    <n v="42.611111111111114"/>
    <n v="1.1361111111111112E-2"/>
    <n v="4.3569861111111114"/>
    <n v="9"/>
    <n v="42.611111111111114"/>
    <n v="0.94691358024691363"/>
    <m/>
    <m/>
    <n v="9"/>
  </r>
  <r>
    <x v="2"/>
    <m/>
    <s v="LOGISTICA"/>
    <m/>
    <m/>
    <x v="11"/>
    <s v="Diurno"/>
    <n v="1"/>
    <n v="1"/>
    <n v="0.3483"/>
    <n v="0.3483"/>
    <n v="1"/>
    <n v="1"/>
    <e v="#N/A"/>
    <m/>
    <m/>
    <n v="1"/>
  </r>
  <r>
    <x v="3"/>
    <m/>
    <s v="CLASIFICACIÓN SOPLADO"/>
    <s v="TULAS"/>
    <n v="713"/>
    <x v="1"/>
    <s v="Diurno"/>
    <n v="515.5"/>
    <n v="51.55"/>
    <n v="6.3906249999999996E-3"/>
    <n v="3.2943671874999998"/>
    <n v="10"/>
    <n v="51.55"/>
    <n v="1.1455555555555554"/>
    <m/>
    <m/>
    <n v="10"/>
  </r>
  <r>
    <x v="3"/>
    <m/>
    <s v="CLASIFICACIÓN SOPLADO"/>
    <s v="TULAS"/>
    <n v="713"/>
    <x v="0"/>
    <s v="Diurno"/>
    <n v="515.5"/>
    <n v="51.55"/>
    <n v="6.3906249999999996E-3"/>
    <n v="3.2943671874999998"/>
    <n v="10"/>
    <n v="51.55"/>
    <n v="1.1455555555555554"/>
    <m/>
    <m/>
    <n v="10"/>
  </r>
  <r>
    <x v="3"/>
    <m/>
    <s v="CLASIFICACIÓN SOPLADO"/>
    <s v="PACAS"/>
    <n v="710"/>
    <x v="4"/>
    <s v="Diurno"/>
    <n v="474.33333333333331"/>
    <n v="47.43333333333333"/>
    <n v="6.3906249999999996E-3"/>
    <n v="3.0312864583333332"/>
    <n v="10"/>
    <n v="47.43333333333333"/>
    <n v="0.86242424242424232"/>
    <m/>
    <m/>
    <n v="10"/>
  </r>
  <r>
    <x v="3"/>
    <m/>
    <s v="CLASIFICACIÓN SOPLADO"/>
    <s v="PACAS"/>
    <n v="710"/>
    <x v="2"/>
    <s v="Diurno"/>
    <n v="474.33333333333331"/>
    <n v="47.43333333333333"/>
    <n v="6.3906249999999996E-3"/>
    <n v="3.0312864583333332"/>
    <n v="10"/>
    <n v="47.43333333333333"/>
    <n v="0.86242424242424232"/>
    <m/>
    <m/>
    <n v="10"/>
  </r>
  <r>
    <x v="3"/>
    <m/>
    <s v="CLASIFICACIÓN SOPLADO"/>
    <s v="PACAS"/>
    <n v="710"/>
    <x v="3"/>
    <s v="Diurno"/>
    <n v="474.33333333333331"/>
    <n v="47.43333333333333"/>
    <n v="6.3906249999999996E-3"/>
    <n v="3.0312864583333332"/>
    <n v="10"/>
    <n v="47.43333333333333"/>
    <n v="0.86242424242424232"/>
    <m/>
    <m/>
    <n v="10"/>
  </r>
  <r>
    <x v="3"/>
    <m/>
    <s v="CLASIFICACIÓN HOGAR"/>
    <s v="PIE"/>
    <n v="709"/>
    <x v="6"/>
    <s v="Diurno"/>
    <n v="876.33333333333337"/>
    <n v="87.63333333333334"/>
    <n v="5.5570652173913045E-3"/>
    <n v="4.8698414855072469"/>
    <n v="10"/>
    <n v="87.63333333333334"/>
    <n v="1.0954166666666667"/>
    <m/>
    <m/>
    <n v="10"/>
  </r>
  <r>
    <x v="3"/>
    <m/>
    <s v="CLASIFICACIÓN HOGAR"/>
    <s v="PIE"/>
    <n v="709"/>
    <x v="5"/>
    <s v="Diurno"/>
    <n v="876.33333333333337"/>
    <n v="87.63333333333334"/>
    <n v="5.5570652173913045E-3"/>
    <n v="4.8698414855072469"/>
    <n v="10"/>
    <n v="87.63333333333334"/>
    <n v="1.0954166666666667"/>
    <m/>
    <m/>
    <n v="10"/>
  </r>
  <r>
    <x v="3"/>
    <m/>
    <s v="CLASIFICACIÓN HOGAR"/>
    <s v="PIE"/>
    <n v="709"/>
    <x v="7"/>
    <s v="Diurno"/>
    <n v="876.33333333333337"/>
    <n v="87.63333333333334"/>
    <n v="5.5570652173913045E-3"/>
    <n v="4.8698414855072469"/>
    <n v="10"/>
    <n v="87.63333333333334"/>
    <n v="1.0954166666666667"/>
    <m/>
    <m/>
    <n v="10"/>
  </r>
  <r>
    <x v="3"/>
    <m/>
    <s v="CLASIFICACIÓN SOPLADO"/>
    <s v="TULAS"/>
    <n v="712"/>
    <x v="14"/>
    <s v="Diurno"/>
    <n v="419.5"/>
    <n v="41.95"/>
    <n v="6.3906249999999996E-3"/>
    <n v="2.6808671875000001"/>
    <n v="10"/>
    <n v="41.95"/>
    <n v="0.93222222222222229"/>
    <m/>
    <m/>
    <n v="10"/>
  </r>
  <r>
    <x v="3"/>
    <m/>
    <s v="CLASIFICACIÓN SOPLADO"/>
    <s v="TULAS"/>
    <n v="712"/>
    <x v="15"/>
    <s v="Diurno"/>
    <n v="419.5"/>
    <n v="41.95"/>
    <n v="6.3906249999999996E-3"/>
    <n v="2.6808671875000001"/>
    <n v="10"/>
    <n v="41.95"/>
    <n v="0.93222222222222229"/>
    <m/>
    <m/>
    <n v="10"/>
  </r>
  <r>
    <x v="3"/>
    <m/>
    <s v="CLASIFICACIÓN FILM"/>
    <s v="MONTAÑA"/>
    <n v="105"/>
    <x v="10"/>
    <s v="Diurno"/>
    <n v="444"/>
    <n v="44.4"/>
    <n v="1.1361111111111112E-2"/>
    <n v="5.0443333333333342"/>
    <n v="10"/>
    <n v="44.4"/>
    <n v="0.98666666666666658"/>
    <m/>
    <m/>
    <n v="10"/>
  </r>
  <r>
    <x v="3"/>
    <m/>
    <s v="TRITURADO NELMOR"/>
    <s v="HOGAR"/>
    <n v="346"/>
    <x v="8"/>
    <s v="Diurno"/>
    <n v="475"/>
    <n v="135.71428571428572"/>
    <n v="6.3906249999999996E-3"/>
    <n v="3.0355468750000001"/>
    <n v="3.5"/>
    <n v="135.71428571428572"/>
    <n v="0.6785714285714286"/>
    <m/>
    <m/>
    <n v="3.5"/>
  </r>
  <r>
    <x v="3"/>
    <m/>
    <s v="TRITURADO"/>
    <s v="HOGAR"/>
    <n v="345"/>
    <x v="8"/>
    <s v="Diurno"/>
    <n v="2556"/>
    <n v="393.23076923076923"/>
    <n v="6.3906249999999996E-3"/>
    <n v="16.334437499999996"/>
    <n v="6.5"/>
    <n v="393.23076923076923"/>
    <n v="0.78646153846153843"/>
    <m/>
    <m/>
    <n v="6.5"/>
  </r>
  <r>
    <x v="4"/>
    <m/>
    <s v="CLASIFICACIÓN SOPLADO"/>
    <s v="PACAS"/>
    <n v="1179"/>
    <x v="3"/>
    <s v="Diurno"/>
    <n v="986.3"/>
    <n v="98.63"/>
    <n v="6.3906249999999996E-3"/>
    <n v="6.3030734375000002"/>
    <n v="10"/>
    <n v="98.63"/>
    <e v="#N/A"/>
    <m/>
    <m/>
    <m/>
  </r>
  <r>
    <x v="4"/>
    <m/>
    <s v="CLASIFICACIÓN SOPLADO"/>
    <s v="PACAS"/>
    <n v="1179"/>
    <x v="10"/>
    <s v="Diurno"/>
    <n v="986.3"/>
    <n v="98.63"/>
    <n v="6.3906249999999996E-3"/>
    <n v="6.3030734375000002"/>
    <n v="10"/>
    <n v="98.63"/>
    <e v="#N/A"/>
    <m/>
    <m/>
    <m/>
  </r>
  <r>
    <x v="4"/>
    <m/>
    <s v="LAVADO"/>
    <s v="SOPLADO"/>
    <n v="1179"/>
    <x v="12"/>
    <s v="Diurno"/>
    <n v="986.3"/>
    <n v="98.63"/>
    <n v="6.3906249999999996E-3"/>
    <n v="6.3030734375000002"/>
    <n v="10"/>
    <n v="98.63"/>
    <n v="0.28179999999999999"/>
    <m/>
    <m/>
    <m/>
  </r>
  <r>
    <x v="5"/>
    <m/>
    <s v="OPERACIONES"/>
    <m/>
    <m/>
    <x v="9"/>
    <s v="Diurno"/>
    <n v="1"/>
    <n v="1"/>
    <n v="0.3483"/>
    <n v="2.7864"/>
    <n v="8"/>
    <n v="0.125"/>
    <e v="#N/A"/>
    <m/>
    <s v="Inventario de patio. Solo trabajaron hasta las 4"/>
    <n v="8"/>
  </r>
  <r>
    <x v="2"/>
    <m/>
    <s v="OPERACIONES"/>
    <m/>
    <m/>
    <x v="9"/>
    <s v="Nocturno"/>
    <n v="1"/>
    <n v="1"/>
    <n v="0.3483"/>
    <n v="3.8313000000000001"/>
    <n v="11"/>
    <n v="9.0909090909090912E-2"/>
    <n v="2.0202020202020202E-3"/>
    <m/>
    <m/>
    <n v="11"/>
  </r>
  <r>
    <x v="4"/>
    <m/>
    <s v="CLASIFICACIÓN SOPLADO"/>
    <s v="PACAS"/>
    <n v="1179"/>
    <x v="9"/>
    <s v="Diurno"/>
    <n v="522.1"/>
    <n v="87.016666666666666"/>
    <n v="6.3906249999999996E-3"/>
    <n v="3.3365453124999997"/>
    <n v="6"/>
    <n v="87.016666666666666"/>
    <e v="#N/A"/>
    <m/>
    <m/>
    <n v="6"/>
  </r>
  <r>
    <x v="4"/>
    <m/>
    <s v="CLASIFICACIÓN FILM"/>
    <s v="MONTAÑA"/>
    <n v="99"/>
    <x v="9"/>
    <s v="Diurno"/>
    <n v="210"/>
    <n v="52.5"/>
    <n v="1.1361111111111112E-2"/>
    <n v="2.3858333333333333"/>
    <n v="4"/>
    <n v="52.5"/>
    <e v="#N/A"/>
    <m/>
    <m/>
    <n v="4"/>
  </r>
  <r>
    <x v="4"/>
    <m/>
    <s v="LOGISTICA"/>
    <m/>
    <m/>
    <x v="8"/>
    <s v="Diurno"/>
    <n v="1"/>
    <n v="1"/>
    <n v="0.3483"/>
    <n v="3.4830000000000001"/>
    <n v="10"/>
    <n v="0.1"/>
    <e v="#N/A"/>
    <m/>
    <m/>
    <m/>
  </r>
  <r>
    <x v="4"/>
    <m/>
    <s v="LOGISTICA"/>
    <m/>
    <m/>
    <x v="5"/>
    <s v="Diurno"/>
    <n v="1"/>
    <n v="1"/>
    <n v="0.3483"/>
    <n v="3.4830000000000001"/>
    <n v="10"/>
    <n v="0.1"/>
    <e v="#N/A"/>
    <m/>
    <m/>
    <m/>
  </r>
  <r>
    <x v="4"/>
    <m/>
    <s v="LOGISTICA"/>
    <m/>
    <m/>
    <x v="16"/>
    <s v="Diurno"/>
    <n v="1"/>
    <n v="1"/>
    <n v="0.3483"/>
    <n v="3.4830000000000001"/>
    <n v="10"/>
    <n v="0.1"/>
    <e v="#N/A"/>
    <m/>
    <m/>
    <m/>
  </r>
  <r>
    <x v="4"/>
    <m/>
    <s v="LOGISTICA"/>
    <s v="Montacarga"/>
    <m/>
    <x v="0"/>
    <s v="Diurno"/>
    <n v="1"/>
    <n v="1"/>
    <n v="0.3483"/>
    <n v="3.4830000000000001"/>
    <n v="10"/>
    <n v="0.1"/>
    <e v="#N/A"/>
    <m/>
    <m/>
    <m/>
  </r>
  <r>
    <x v="4"/>
    <m/>
    <s v="LOGISTICA"/>
    <m/>
    <m/>
    <x v="6"/>
    <s v="Diurno"/>
    <n v="1"/>
    <n v="1"/>
    <n v="0.3483"/>
    <n v="3.4830000000000001"/>
    <n v="10"/>
    <n v="0.1"/>
    <e v="#N/A"/>
    <m/>
    <m/>
    <m/>
  </r>
  <r>
    <x v="4"/>
    <m/>
    <s v="COMPACTADORA"/>
    <s v="PACAS"/>
    <m/>
    <x v="11"/>
    <s v="Diurno"/>
    <m/>
    <n v="0"/>
    <n v="3.0073529411764707E-2"/>
    <n v="0"/>
    <n v="7"/>
    <n v="0"/>
    <e v="#N/A"/>
    <m/>
    <m/>
    <m/>
  </r>
  <r>
    <x v="4"/>
    <m/>
    <s v="COMPACTADORA"/>
    <s v="PACAS"/>
    <m/>
    <x v="11"/>
    <s v="Diurno"/>
    <m/>
    <n v="0"/>
    <m/>
    <n v="0"/>
    <n v="3"/>
    <n v="0"/>
    <e v="#N/A"/>
    <m/>
    <m/>
    <m/>
  </r>
  <r>
    <x v="4"/>
    <m/>
    <s v="PLANTA DE TRATAMIENTO"/>
    <m/>
    <m/>
    <x v="17"/>
    <s v="Diurno"/>
    <m/>
    <n v="1"/>
    <n v="0.3483"/>
    <n v="2.7864"/>
    <n v="8"/>
    <n v="0"/>
    <n v="0"/>
    <m/>
    <m/>
    <m/>
  </r>
  <r>
    <x v="4"/>
    <m/>
    <s v="LOGISTICA"/>
    <m/>
    <m/>
    <x v="17"/>
    <s v="Diurno"/>
    <n v="1"/>
    <n v="1"/>
    <n v="0.3483"/>
    <n v="0.6966"/>
    <n v="2"/>
    <n v="0.5"/>
    <e v="#N/A"/>
    <m/>
    <m/>
    <m/>
  </r>
  <r>
    <x v="4"/>
    <m/>
    <s v="LAVADO"/>
    <s v="SOPLADO"/>
    <n v="1178"/>
    <x v="1"/>
    <s v="Nocturno"/>
    <n v="859.4"/>
    <n v="78.127272727272725"/>
    <n v="6.3906249999999996E-3"/>
    <n v="5.4921031249999999"/>
    <n v="11"/>
    <n v="78.127272727272725"/>
    <e v="#N/A"/>
    <m/>
    <m/>
    <m/>
  </r>
  <r>
    <x v="4"/>
    <m/>
    <s v="CLASIFICACIÓN SOPLADO"/>
    <s v="PACAS"/>
    <n v="1178"/>
    <x v="14"/>
    <s v="Nocturno"/>
    <n v="859.3"/>
    <n v="78.11818181818181"/>
    <n v="6.3906249999999996E-3"/>
    <n v="5.4914640624999986"/>
    <n v="11"/>
    <n v="78.11818181818181"/>
    <n v="0.22319480519480517"/>
    <m/>
    <m/>
    <m/>
  </r>
  <r>
    <x v="4"/>
    <m/>
    <s v="CLASIFICACIÓN SOPLADO"/>
    <s v="PACAS"/>
    <n v="1178"/>
    <x v="15"/>
    <s v="Nocturno"/>
    <n v="859.3"/>
    <n v="78.11818181818181"/>
    <n v="6.3906249999999996E-3"/>
    <n v="5.4914640624999986"/>
    <n v="11"/>
    <n v="78.11818181818181"/>
    <n v="0.22319480519480517"/>
    <m/>
    <m/>
    <m/>
  </r>
  <r>
    <x v="6"/>
    <m/>
    <s v="LAVADO"/>
    <s v="SOPLADO"/>
    <s v="1180/1182/1183"/>
    <x v="12"/>
    <s v="Diurno"/>
    <n v="1038.75"/>
    <n v="103.875"/>
    <n v="6.3906249999999996E-3"/>
    <n v="6.638261718749999"/>
    <n v="10"/>
    <n v="103.875"/>
    <n v="0.29678571428571426"/>
    <m/>
    <m/>
    <m/>
  </r>
  <r>
    <x v="6"/>
    <m/>
    <s v="LAVADO"/>
    <s v="SOPLADO"/>
    <s v="1180/1182/1183"/>
    <x v="10"/>
    <s v="Diurno"/>
    <n v="1038.75"/>
    <n v="103.875"/>
    <n v="6.3906249999999996E-3"/>
    <n v="6.638261718749999"/>
    <n v="10"/>
    <n v="103.875"/>
    <n v="0.29678571428571426"/>
    <m/>
    <m/>
    <m/>
  </r>
  <r>
    <x v="6"/>
    <m/>
    <s v="LAVADO"/>
    <s v="SOPLADO"/>
    <s v="1180/1182/1183"/>
    <x v="9"/>
    <s v="Diurno"/>
    <n v="1038.75"/>
    <n v="103.875"/>
    <n v="6.3906249999999996E-3"/>
    <n v="6.638261718749999"/>
    <n v="10"/>
    <n v="103.875"/>
    <e v="#N/A"/>
    <m/>
    <m/>
    <n v="10"/>
  </r>
  <r>
    <x v="6"/>
    <m/>
    <s v="LAVADO"/>
    <s v="SOPLADO"/>
    <s v="1180/1182/1183"/>
    <x v="7"/>
    <s v="Diurno"/>
    <n v="1038.75"/>
    <n v="103.875"/>
    <n v="6.3906249999999996E-3"/>
    <n v="6.638261718749999"/>
    <n v="10"/>
    <n v="103.875"/>
    <e v="#N/A"/>
    <m/>
    <m/>
    <m/>
  </r>
  <r>
    <x v="6"/>
    <m/>
    <s v="TRITURADO"/>
    <s v="HOGAR"/>
    <n v="339"/>
    <x v="4"/>
    <s v="Diurno"/>
    <n v="2620"/>
    <n v="262"/>
    <n v="1.0225E-3"/>
    <n v="2.6789499999999999"/>
    <n v="10"/>
    <n v="262"/>
    <e v="#N/A"/>
    <m/>
    <m/>
    <m/>
  </r>
  <r>
    <x v="6"/>
    <m/>
    <s v="LOGISTICA"/>
    <s v="Montacarga"/>
    <m/>
    <x v="17"/>
    <s v="Diurno"/>
    <n v="1"/>
    <n v="1"/>
    <n v="0.3483"/>
    <n v="3.4830000000000001"/>
    <n v="10"/>
    <n v="0.1"/>
    <e v="#N/A"/>
    <m/>
    <m/>
    <m/>
  </r>
  <r>
    <x v="6"/>
    <m/>
    <s v="LOGISTICA"/>
    <m/>
    <m/>
    <x v="5"/>
    <s v="Diurno"/>
    <n v="1"/>
    <n v="1"/>
    <n v="0.3483"/>
    <n v="3.4830000000000001"/>
    <n v="10"/>
    <n v="0.1"/>
    <e v="#N/A"/>
    <m/>
    <m/>
    <m/>
  </r>
  <r>
    <x v="7"/>
    <m/>
    <s v="CLASIFICACIÓN SOPLADO"/>
    <s v="PACAS"/>
    <n v="687"/>
    <x v="2"/>
    <s v="Diurno"/>
    <n v="491.66666666666669"/>
    <n v="54.629629629629633"/>
    <n v="6.3906249999999996E-3"/>
    <n v="3.1420572916666667"/>
    <n v="9"/>
    <n v="54.629629629629633"/>
    <e v="#N/A"/>
    <m/>
    <m/>
    <m/>
  </r>
  <r>
    <x v="7"/>
    <m/>
    <s v="CLASIFICACIÓN SOPLADO"/>
    <s v="PACAS"/>
    <n v="687"/>
    <x v="3"/>
    <s v="Diurno"/>
    <n v="491.66666666666669"/>
    <n v="54.629629629629633"/>
    <n v="6.3906249999999996E-3"/>
    <n v="3.1420572916666667"/>
    <n v="9"/>
    <n v="54.629629629629633"/>
    <e v="#N/A"/>
    <m/>
    <m/>
    <m/>
  </r>
  <r>
    <x v="7"/>
    <m/>
    <s v="CLASIFICACIÓN SOPLADO"/>
    <s v="PACAS"/>
    <n v="687"/>
    <x v="4"/>
    <s v="Diurno"/>
    <n v="491.66666666666669"/>
    <n v="54.629629629629633"/>
    <n v="6.3906249999999996E-3"/>
    <n v="3.1420572916666667"/>
    <n v="9"/>
    <n v="54.629629629629633"/>
    <e v="#N/A"/>
    <m/>
    <m/>
    <m/>
  </r>
  <r>
    <x v="7"/>
    <m/>
    <s v="LOGISTICA"/>
    <m/>
    <m/>
    <x v="5"/>
    <s v="Diurno"/>
    <n v="1"/>
    <n v="1"/>
    <n v="0.3483"/>
    <n v="3.4830000000000001"/>
    <n v="10"/>
    <n v="0.1"/>
    <n v="2.2222222222222222E-3"/>
    <m/>
    <m/>
    <m/>
  </r>
  <r>
    <x v="7"/>
    <m/>
    <s v="LOGISTICA"/>
    <m/>
    <m/>
    <x v="8"/>
    <s v="Diurno"/>
    <n v="1"/>
    <n v="1"/>
    <n v="0.3483"/>
    <n v="3.4830000000000001"/>
    <n v="10"/>
    <n v="0.1"/>
    <n v="1.25E-3"/>
    <m/>
    <m/>
    <m/>
  </r>
  <r>
    <x v="7"/>
    <m/>
    <s v="CLASIFICACIÓN FILM"/>
    <s v="MONTAÑA"/>
    <n v="100"/>
    <x v="10"/>
    <s v="Diurno"/>
    <n v="306"/>
    <n v="30.6"/>
    <n v="1.1361111111111112E-2"/>
    <n v="3.4765000000000001"/>
    <n v="10"/>
    <n v="30.6"/>
    <e v="#N/A"/>
    <m/>
    <m/>
    <n v="10"/>
  </r>
  <r>
    <x v="7"/>
    <m/>
    <s v="CLASIFICACIÓN HOGAR"/>
    <s v="PIE"/>
    <n v="689"/>
    <x v="7"/>
    <s v="Diurno"/>
    <n v="796"/>
    <n v="79.599999999999994"/>
    <n v="5.5570652173913045E-3"/>
    <n v="4.4234239130434787"/>
    <n v="10"/>
    <n v="79.599999999999994"/>
    <e v="#N/A"/>
    <m/>
    <m/>
    <m/>
  </r>
  <r>
    <x v="7"/>
    <m/>
    <s v="AGLOMERADO"/>
    <s v="Chicle Seco"/>
    <n v="119"/>
    <x v="9"/>
    <s v="Diurno"/>
    <n v="680"/>
    <n v="68"/>
    <n v="1.0225333333333333E-2"/>
    <n v="6.9532266666666667"/>
    <n v="10"/>
    <n v="68"/>
    <e v="#N/A"/>
    <m/>
    <m/>
    <n v="10"/>
  </r>
  <r>
    <x v="7"/>
    <m/>
    <s v="ADMINISTRACIÓN"/>
    <s v="Zaranda"/>
    <m/>
    <x v="14"/>
    <s v="Diurno"/>
    <n v="1"/>
    <n v="1"/>
    <n v="0.3483"/>
    <n v="3.4830000000000001"/>
    <n v="10"/>
    <n v="0.1"/>
    <e v="#N/A"/>
    <m/>
    <m/>
    <m/>
  </r>
  <r>
    <x v="7"/>
    <m/>
    <s v="COMPACTADORA"/>
    <s v="PACAS"/>
    <m/>
    <x v="11"/>
    <s v="Diurno"/>
    <m/>
    <n v="0"/>
    <n v="3.0073529411764707E-2"/>
    <n v="0"/>
    <n v="10"/>
    <n v="0"/>
    <e v="#N/A"/>
    <m/>
    <m/>
    <m/>
  </r>
  <r>
    <x v="7"/>
    <m/>
    <s v="LOGISTICA"/>
    <s v="Montacarga"/>
    <m/>
    <x v="15"/>
    <s v="Diurno"/>
    <n v="1"/>
    <n v="1"/>
    <n v="0.3483"/>
    <n v="3.4830000000000001"/>
    <n v="10"/>
    <n v="0.1"/>
    <e v="#N/A"/>
    <m/>
    <m/>
    <m/>
  </r>
  <r>
    <x v="7"/>
    <m/>
    <s v="LAVADO"/>
    <s v="HOGAR"/>
    <n v="1184"/>
    <x v="13"/>
    <s v="Diurno"/>
    <n v="1169"/>
    <n v="584.5"/>
    <n v="1.0955714285714286E-3"/>
    <n v="1.2807230000000001"/>
    <n v="2"/>
    <n v="584.5"/>
    <e v="#N/A"/>
    <m/>
    <m/>
    <m/>
  </r>
  <r>
    <x v="7"/>
    <m/>
    <s v="ADMINISTRACIÓN"/>
    <m/>
    <m/>
    <x v="13"/>
    <m/>
    <n v="1"/>
    <n v="1"/>
    <n v="0.3483"/>
    <n v="1.7415"/>
    <n v="5"/>
    <n v="0.2"/>
    <e v="#N/A"/>
    <m/>
    <m/>
    <m/>
  </r>
  <r>
    <x v="7"/>
    <m/>
    <s v="ADMINISTRACIÓN"/>
    <m/>
    <m/>
    <x v="1"/>
    <m/>
    <n v="1"/>
    <n v="1"/>
    <n v="0.3483"/>
    <n v="1.9156500000000001"/>
    <n v="5.5"/>
    <n v="0.18181818181818182"/>
    <e v="#N/A"/>
    <m/>
    <m/>
    <m/>
  </r>
  <r>
    <x v="7"/>
    <m/>
    <s v="ADMINISTRACIÓN"/>
    <m/>
    <m/>
    <x v="1"/>
    <m/>
    <n v="1"/>
    <n v="1"/>
    <n v="0.3483"/>
    <n v="1.56735"/>
    <n v="4.5"/>
    <n v="0.22222222222222221"/>
    <e v="#N/A"/>
    <m/>
    <m/>
    <m/>
  </r>
  <r>
    <x v="0"/>
    <m/>
    <s v="PLANTA DE TRATAMIENTO"/>
    <m/>
    <m/>
    <x v="17"/>
    <s v="Diurno"/>
    <m/>
    <n v="1"/>
    <n v="0.3483"/>
    <n v="3.4830000000000001"/>
    <n v="10"/>
    <n v="0"/>
    <e v="#N/A"/>
    <m/>
    <m/>
    <m/>
  </r>
  <r>
    <x v="2"/>
    <m/>
    <s v="PLANTA DE TRATAMIENTO"/>
    <m/>
    <m/>
    <x v="17"/>
    <s v="Diurno"/>
    <m/>
    <n v="1"/>
    <n v="0.3483"/>
    <n v="3.4830000000000001"/>
    <n v="10"/>
    <n v="0"/>
    <e v="#N/A"/>
    <m/>
    <m/>
    <m/>
  </r>
  <r>
    <x v="7"/>
    <m/>
    <s v="PLANTA DE TRATAMIENTO"/>
    <m/>
    <m/>
    <x v="17"/>
    <s v="Diurno"/>
    <m/>
    <n v="1"/>
    <n v="0.3483"/>
    <n v="3.4830000000000001"/>
    <n v="10"/>
    <n v="0"/>
    <n v="0"/>
    <m/>
    <m/>
    <m/>
  </r>
  <r>
    <x v="7"/>
    <m/>
    <s v="LAVADO"/>
    <s v="HOGAR"/>
    <s v="1187/1186/1185"/>
    <x v="12"/>
    <s v="Diurno"/>
    <n v="6118"/>
    <n v="611.79999999999995"/>
    <n v="1.0955714285714286E-3"/>
    <n v="6.7027059999999992"/>
    <n v="10"/>
    <n v="611.79999999999995"/>
    <n v="7.6474999999999991"/>
    <m/>
    <m/>
    <m/>
  </r>
  <r>
    <x v="7"/>
    <m/>
    <s v="LAVADO"/>
    <s v="HOGAR"/>
    <s v="1187/1186/1185"/>
    <x v="0"/>
    <s v="Diurno"/>
    <n v="2622"/>
    <n v="437"/>
    <n v="1.0955714285714286E-3"/>
    <n v="2.8725882857142859"/>
    <n v="6"/>
    <n v="437"/>
    <e v="#N/A"/>
    <m/>
    <m/>
    <m/>
  </r>
  <r>
    <x v="7"/>
    <m/>
    <s v="PELLETIZADO# 2"/>
    <s v="HOGAR"/>
    <n v="870"/>
    <x v="0"/>
    <s v="Diurno"/>
    <n v="275"/>
    <n v="68.75"/>
    <n v="3.0675999999999998E-3"/>
    <n v="0.84358999999999995"/>
    <n v="4"/>
    <n v="68.75"/>
    <n v="1.5277777777777777"/>
    <m/>
    <m/>
    <m/>
  </r>
  <r>
    <x v="8"/>
    <m/>
    <s v="CLASIFICACIÓN HOGAR"/>
    <s v="PIE"/>
    <n v="691"/>
    <x v="6"/>
    <s v="Diurno"/>
    <n v="810.5"/>
    <n v="81.05"/>
    <n v="5.5570652173913045E-3"/>
    <n v="4.5040013586956524"/>
    <n v="10"/>
    <n v="81.05"/>
    <e v="#N/A"/>
    <m/>
    <m/>
    <m/>
  </r>
  <r>
    <x v="8"/>
    <m/>
    <s v="CLASIFICACIÓN HOGAR"/>
    <s v="PIE"/>
    <n v="691"/>
    <x v="7"/>
    <s v="Diurno"/>
    <n v="810.5"/>
    <n v="81.05"/>
    <n v="5.5570652173913045E-3"/>
    <n v="4.5040013586956524"/>
    <n v="10"/>
    <n v="81.05"/>
    <e v="#N/A"/>
    <m/>
    <m/>
    <m/>
  </r>
  <r>
    <x v="8"/>
    <m/>
    <s v="AGLOMERADO"/>
    <s v="Chicle Seco"/>
    <n v="138"/>
    <x v="9"/>
    <s v="Diurno"/>
    <n v="673"/>
    <n v="67.3"/>
    <n v="1.0225333333333333E-2"/>
    <n v="6.8816493333333328"/>
    <n v="10"/>
    <n v="67.3"/>
    <e v="#N/A"/>
    <m/>
    <m/>
    <n v="10"/>
  </r>
  <r>
    <x v="8"/>
    <m/>
    <s v="CLASIFICACIÓN FILM"/>
    <s v="MONTAÑA"/>
    <n v="101"/>
    <x v="10"/>
    <s v="Diurno"/>
    <n v="206"/>
    <n v="68.666666666666671"/>
    <n v="1.1361111111111112E-2"/>
    <n v="2.3403888888888891"/>
    <n v="3"/>
    <n v="68.666666666666671"/>
    <e v="#N/A"/>
    <m/>
    <m/>
    <n v="3"/>
  </r>
  <r>
    <x v="8"/>
    <m/>
    <s v="PLANTA DE TRATAMIENTO"/>
    <m/>
    <m/>
    <x v="1"/>
    <s v="Diurno"/>
    <m/>
    <n v="1"/>
    <n v="0.3483"/>
    <n v="2.4380999999999999"/>
    <n v="7"/>
    <n v="0"/>
    <e v="#N/A"/>
    <m/>
    <m/>
    <m/>
  </r>
  <r>
    <x v="8"/>
    <m/>
    <s v="LOGISTICA"/>
    <m/>
    <m/>
    <x v="1"/>
    <s v="Diurno"/>
    <n v="1"/>
    <n v="1"/>
    <n v="0.3483"/>
    <n v="1.0448999999999999"/>
    <n v="3"/>
    <n v="0.33333333333333331"/>
    <e v="#N/A"/>
    <m/>
    <m/>
    <m/>
  </r>
  <r>
    <x v="8"/>
    <m/>
    <s v="CLASIFICACIÓN SOPLADO"/>
    <s v="PACAS"/>
    <n v="690"/>
    <x v="3"/>
    <s v="Diurno"/>
    <n v="523.67999999999995"/>
    <n v="52.367999999999995"/>
    <n v="6.3906249999999996E-3"/>
    <n v="3.3466424999999993"/>
    <n v="10"/>
    <n v="52.367999999999995"/>
    <e v="#N/A"/>
    <m/>
    <m/>
    <m/>
  </r>
  <r>
    <x v="8"/>
    <m/>
    <s v="CLASIFICACIÓN SOPLADO"/>
    <s v="PACAS"/>
    <n v="690"/>
    <x v="2"/>
    <s v="Diurno"/>
    <n v="523.66"/>
    <n v="52.366"/>
    <n v="6.3906249999999996E-3"/>
    <n v="3.3465146874999996"/>
    <n v="10"/>
    <n v="52.366"/>
    <e v="#N/A"/>
    <m/>
    <m/>
    <m/>
  </r>
  <r>
    <x v="8"/>
    <m/>
    <s v="CLASIFICACIÓN SOPLADO"/>
    <s v="PACAS"/>
    <n v="690"/>
    <x v="4"/>
    <s v="Diurno"/>
    <n v="523.66"/>
    <n v="52.366"/>
    <n v="6.3906249999999996E-3"/>
    <n v="3.3465146874999996"/>
    <n v="10"/>
    <n v="52.366"/>
    <e v="#N/A"/>
    <m/>
    <m/>
    <m/>
  </r>
  <r>
    <x v="8"/>
    <m/>
    <s v="LOGISTICA"/>
    <s v="Montacarga"/>
    <m/>
    <x v="15"/>
    <s v="Diurno"/>
    <n v="1"/>
    <n v="1"/>
    <n v="0.3483"/>
    <n v="3.4830000000000001"/>
    <n v="10"/>
    <n v="0.1"/>
    <e v="#N/A"/>
    <m/>
    <m/>
    <m/>
  </r>
  <r>
    <x v="8"/>
    <m/>
    <s v="COMPACTADORA"/>
    <s v="PACAS"/>
    <m/>
    <x v="17"/>
    <s v="Diurno"/>
    <m/>
    <n v="0"/>
    <n v="3.0073529411764707E-2"/>
    <n v="0"/>
    <n v="10"/>
    <n v="0"/>
    <e v="#N/A"/>
    <m/>
    <m/>
    <m/>
  </r>
  <r>
    <x v="8"/>
    <m/>
    <s v="LOGISTICA"/>
    <m/>
    <m/>
    <x v="8"/>
    <s v="Diurno"/>
    <n v="1"/>
    <n v="1"/>
    <n v="0.3483"/>
    <n v="3.4830000000000001"/>
    <n v="10"/>
    <n v="0.1"/>
    <e v="#N/A"/>
    <m/>
    <m/>
    <m/>
  </r>
  <r>
    <x v="8"/>
    <m/>
    <s v="PELLETIZADO# 2"/>
    <s v="HOGAR"/>
    <n v="871"/>
    <x v="14"/>
    <s v="Diurno"/>
    <n v="1125"/>
    <n v="140.625"/>
    <n v="3.0675999999999998E-3"/>
    <n v="3.4510499999999995"/>
    <n v="8"/>
    <n v="140.625"/>
    <e v="#N/A"/>
    <m/>
    <m/>
    <m/>
  </r>
  <r>
    <x v="8"/>
    <m/>
    <s v="ADMINISTRACIÓN"/>
    <s v="Zaranda"/>
    <m/>
    <x v="14"/>
    <s v="Diurno"/>
    <n v="1"/>
    <n v="1"/>
    <n v="0.3483"/>
    <n v="0.6966"/>
    <n v="2"/>
    <n v="0.5"/>
    <e v="#N/A"/>
    <m/>
    <m/>
    <m/>
  </r>
  <r>
    <x v="8"/>
    <m/>
    <s v="LAVADO"/>
    <s v="HOGAR"/>
    <n v="1188"/>
    <x v="13"/>
    <s v="Diurno"/>
    <n v="3832"/>
    <n v="638.66666666666663"/>
    <n v="1.0955714285714286E-3"/>
    <n v="4.1982297142857137"/>
    <n v="6"/>
    <n v="638.66666666666663"/>
    <e v="#N/A"/>
    <m/>
    <m/>
    <m/>
  </r>
  <r>
    <x v="8"/>
    <m/>
    <s v="LAVADO"/>
    <s v="HOGAR"/>
    <n v="1190"/>
    <x v="13"/>
    <s v="Diurno"/>
    <n v="980"/>
    <n v="245"/>
    <n v="1.0955714285714286E-3"/>
    <n v="1.0736600000000001"/>
    <n v="4"/>
    <n v="245"/>
    <e v="#N/A"/>
    <m/>
    <m/>
    <m/>
  </r>
  <r>
    <x v="8"/>
    <m/>
    <s v="LAVADO"/>
    <s v="HOGAR"/>
    <s v="1191/1192"/>
    <x v="12"/>
    <s v="Nocturno"/>
    <n v="4253"/>
    <n v="386.63636363636363"/>
    <n v="1.0955714285714286E-3"/>
    <n v="4.659465285714286"/>
    <n v="11"/>
    <n v="386.63636363636363"/>
    <n v="4.8329545454545455"/>
    <m/>
    <m/>
    <m/>
  </r>
  <r>
    <x v="8"/>
    <m/>
    <s v="PELLETIZADO# 2"/>
    <s v="HOGAR"/>
    <n v="872"/>
    <x v="0"/>
    <s v="Nocturno"/>
    <n v="2075"/>
    <n v="188.63636363636363"/>
    <n v="3.0675999999999998E-3"/>
    <n v="6.3652699999999998"/>
    <n v="11"/>
    <n v="188.63636363636363"/>
    <e v="#N/A"/>
    <m/>
    <m/>
    <m/>
  </r>
  <r>
    <x v="8"/>
    <m/>
    <s v="COMPACTADORA"/>
    <s v="PACAS"/>
    <m/>
    <x v="11"/>
    <s v="Nocturno"/>
    <m/>
    <n v="0"/>
    <n v="3.0073529411764707E-2"/>
    <n v="0"/>
    <n v="11"/>
    <n v="0"/>
    <e v="#N/A"/>
    <m/>
    <m/>
    <m/>
  </r>
  <r>
    <x v="8"/>
    <m/>
    <s v="LOGISTICA"/>
    <m/>
    <m/>
    <x v="18"/>
    <s v="Nocturno"/>
    <n v="1"/>
    <n v="1"/>
    <n v="0.3483"/>
    <n v="3.8313000000000001"/>
    <n v="11"/>
    <n v="9.0909090909090912E-2"/>
    <e v="#N/A"/>
    <m/>
    <m/>
    <m/>
  </r>
  <r>
    <x v="9"/>
    <m/>
    <s v="CLASIFICACIÓN HOGAR"/>
    <s v="PIE"/>
    <n v="693"/>
    <x v="6"/>
    <s v="Diurno"/>
    <n v="560"/>
    <n v="80"/>
    <n v="5.5570652173913045E-3"/>
    <n v="3.1119565217391307"/>
    <n v="7"/>
    <n v="80"/>
    <n v="1"/>
    <m/>
    <m/>
    <m/>
  </r>
  <r>
    <x v="9"/>
    <m/>
    <s v="CLASIFICACIÓN SOPLADO"/>
    <s v="PACAS"/>
    <n v="693"/>
    <x v="6"/>
    <s v="Diurno"/>
    <n v="29"/>
    <n v="29"/>
    <n v="6.3906249999999996E-3"/>
    <n v="0.18532812499999998"/>
    <n v="1"/>
    <n v="29"/>
    <e v="#N/A"/>
    <m/>
    <m/>
    <m/>
  </r>
  <r>
    <x v="9"/>
    <m/>
    <s v="LOGISTICA"/>
    <m/>
    <m/>
    <x v="6"/>
    <s v="Diurno"/>
    <n v="1"/>
    <n v="1"/>
    <n v="0.3483"/>
    <n v="0.6966"/>
    <n v="2"/>
    <n v="0.5"/>
    <n v="6.2500000000000003E-3"/>
    <m/>
    <m/>
    <m/>
  </r>
  <r>
    <x v="9"/>
    <m/>
    <s v="LOGISTICA"/>
    <m/>
    <m/>
    <x v="5"/>
    <s v="Diurno"/>
    <n v="1"/>
    <n v="1"/>
    <n v="0.3483"/>
    <n v="1.0448999999999999"/>
    <n v="3"/>
    <n v="0.33333333333333331"/>
    <e v="#N/A"/>
    <m/>
    <m/>
    <m/>
  </r>
  <r>
    <x v="9"/>
    <m/>
    <s v="CLASIFICACIÓN HOGAR"/>
    <s v="PIE"/>
    <n v="693"/>
    <x v="5"/>
    <s v="Diurno"/>
    <n v="480"/>
    <n v="80"/>
    <n v="5.5570652173913045E-3"/>
    <n v="2.6673913043478263"/>
    <n v="6"/>
    <n v="80"/>
    <e v="#N/A"/>
    <m/>
    <m/>
    <m/>
  </r>
  <r>
    <x v="9"/>
    <m/>
    <s v="CLASIFICACIÓN SOPLADO"/>
    <s v="PACAS"/>
    <n v="693"/>
    <x v="5"/>
    <s v="Diurno"/>
    <n v="25"/>
    <n v="25"/>
    <n v="6.3906249999999996E-3"/>
    <n v="0.15976562499999999"/>
    <n v="1"/>
    <n v="25"/>
    <e v="#N/A"/>
    <m/>
    <m/>
    <m/>
  </r>
  <r>
    <x v="9"/>
    <m/>
    <s v="CLASIFICACIÓN HOGAR"/>
    <s v="PIE"/>
    <n v="693"/>
    <x v="7"/>
    <s v="Diurno"/>
    <n v="872"/>
    <n v="87.2"/>
    <n v="5.5570652173913045E-3"/>
    <n v="4.8457608695652175"/>
    <n v="10"/>
    <n v="87.2"/>
    <e v="#N/A"/>
    <m/>
    <m/>
    <m/>
  </r>
  <r>
    <x v="9"/>
    <m/>
    <s v="CLASIFICACIÓN SOPLADO"/>
    <s v="PACAS"/>
    <n v="690"/>
    <x v="3"/>
    <s v="Diurno"/>
    <n v="539"/>
    <n v="53.9"/>
    <n v="6.3906249999999996E-3"/>
    <n v="3.4445468749999995"/>
    <n v="10"/>
    <n v="53.9"/>
    <e v="#N/A"/>
    <m/>
    <m/>
    <m/>
  </r>
  <r>
    <x v="9"/>
    <m/>
    <s v="CLASIFICACIÓN SOPLADO"/>
    <s v="PACAS"/>
    <n v="690"/>
    <x v="2"/>
    <s v="Diurno"/>
    <n v="539"/>
    <n v="53.9"/>
    <n v="6.3906249999999996E-3"/>
    <n v="3.4445468749999995"/>
    <n v="10"/>
    <n v="53.9"/>
    <e v="#N/A"/>
    <m/>
    <m/>
    <m/>
  </r>
  <r>
    <x v="9"/>
    <m/>
    <s v="CLASIFICACIÓN SOPLADO"/>
    <s v="PACAS"/>
    <n v="690"/>
    <x v="4"/>
    <s v="Diurno"/>
    <n v="539"/>
    <n v="53.9"/>
    <n v="6.3906249999999996E-3"/>
    <n v="3.4445468749999995"/>
    <n v="10"/>
    <n v="53.9"/>
    <e v="#N/A"/>
    <m/>
    <m/>
    <m/>
  </r>
  <r>
    <x v="9"/>
    <m/>
    <s v="LAVADO"/>
    <s v="HOGAR"/>
    <s v="1195/1196"/>
    <x v="12"/>
    <s v="Nocturno"/>
    <n v="5107.25"/>
    <n v="638.40625"/>
    <n v="1.0955714285714286E-3"/>
    <n v="5.5953571785714287"/>
    <n v="8"/>
    <n v="638.40625"/>
    <e v="#N/A"/>
    <m/>
    <m/>
    <m/>
  </r>
  <r>
    <x v="9"/>
    <m/>
    <s v="LOGISTICA"/>
    <m/>
    <m/>
    <x v="12"/>
    <s v="Nocturno"/>
    <n v="1"/>
    <n v="1"/>
    <n v="0.3483"/>
    <n v="1.0448999999999999"/>
    <n v="3"/>
    <n v="0.33333333333333331"/>
    <e v="#N/A"/>
    <m/>
    <m/>
    <m/>
  </r>
  <r>
    <x v="9"/>
    <m/>
    <s v="LAVADO"/>
    <s v="HOGAR"/>
    <s v="1193/1197"/>
    <x v="13"/>
    <s v="Diurno"/>
    <n v="2928.75"/>
    <n v="292.875"/>
    <n v="1.0955714285714286E-3"/>
    <n v="3.2086548214285715"/>
    <n v="10"/>
    <n v="292.875"/>
    <e v="#N/A"/>
    <m/>
    <m/>
    <m/>
  </r>
  <r>
    <x v="9"/>
    <m/>
    <s v="PELLETIZADO# 2"/>
    <s v="HOGAR"/>
    <n v="873"/>
    <x v="14"/>
    <s v="Diurno"/>
    <n v="1875"/>
    <n v="234.375"/>
    <n v="3.0675999999999998E-3"/>
    <n v="5.7517499999999995"/>
    <n v="8"/>
    <n v="234.375"/>
    <e v="#N/A"/>
    <m/>
    <m/>
    <m/>
  </r>
  <r>
    <x v="9"/>
    <m/>
    <s v="PELLETIZADO# 2"/>
    <s v="HOGAR"/>
    <n v="874"/>
    <x v="0"/>
    <s v="Nocturno"/>
    <n v="2325"/>
    <n v="211.36363636363637"/>
    <n v="3.0675999999999998E-3"/>
    <n v="7.1321699999999995"/>
    <n v="11"/>
    <n v="211.36363636363637"/>
    <e v="#N/A"/>
    <m/>
    <m/>
    <m/>
  </r>
  <r>
    <x v="9"/>
    <m/>
    <s v="TRITURADO"/>
    <s v="HOGAR"/>
    <n v="340"/>
    <x v="8"/>
    <s v="Diurno"/>
    <n v="628"/>
    <n v="209.33333333333334"/>
    <n v="1.0225E-3"/>
    <n v="0.64212999999999998"/>
    <n v="3"/>
    <n v="209.33333333333334"/>
    <e v="#N/A"/>
    <m/>
    <m/>
    <m/>
  </r>
  <r>
    <x v="9"/>
    <m/>
    <s v="LOGISTICA"/>
    <m/>
    <m/>
    <x v="8"/>
    <s v="Diurno"/>
    <n v="1"/>
    <n v="1"/>
    <n v="0.3483"/>
    <n v="2.4380999999999999"/>
    <n v="7"/>
    <n v="0.14285714285714285"/>
    <e v="#N/A"/>
    <m/>
    <m/>
    <m/>
  </r>
  <r>
    <x v="10"/>
    <m/>
    <s v="CLASIFICACIÓN SOPLADO"/>
    <s v="PACAS"/>
    <n v="694"/>
    <x v="2"/>
    <s v="Diurno"/>
    <n v="535"/>
    <n v="53.5"/>
    <n v="6.3906249999999996E-3"/>
    <n v="3.418984375"/>
    <n v="10"/>
    <n v="53.5"/>
    <e v="#N/A"/>
    <m/>
    <m/>
    <m/>
  </r>
  <r>
    <x v="10"/>
    <m/>
    <s v="CLASIFICACIÓN SOPLADO"/>
    <s v="PACAS"/>
    <n v="694"/>
    <x v="3"/>
    <s v="Diurno"/>
    <n v="535"/>
    <n v="53.5"/>
    <n v="6.3906249999999996E-3"/>
    <n v="3.418984375"/>
    <n v="10"/>
    <n v="53.5"/>
    <e v="#N/A"/>
    <m/>
    <m/>
    <m/>
  </r>
  <r>
    <x v="10"/>
    <m/>
    <s v="CLASIFICACIÓN SOPLADO"/>
    <s v="PACAS"/>
    <n v="694"/>
    <x v="4"/>
    <s v="Diurno"/>
    <n v="535"/>
    <n v="53.5"/>
    <n v="6.3906249999999996E-3"/>
    <n v="3.418984375"/>
    <n v="10"/>
    <n v="53.5"/>
    <n v="0.66874999999999996"/>
    <m/>
    <m/>
    <m/>
  </r>
  <r>
    <x v="10"/>
    <m/>
    <s v="PELLETIZADO# 2"/>
    <s v="HOGAR"/>
    <n v="877"/>
    <x v="0"/>
    <s v="Nocturno"/>
    <n v="1000"/>
    <n v="90.909090909090907"/>
    <n v="3.0675999999999998E-3"/>
    <n v="3.0675999999999992"/>
    <n v="11"/>
    <n v="90.909090909090907"/>
    <n v="1.1363636363636362"/>
    <m/>
    <m/>
    <m/>
  </r>
  <r>
    <x v="10"/>
    <m/>
    <s v="PELLETIZADO# 2"/>
    <s v="HOGAR"/>
    <n v="876"/>
    <x v="14"/>
    <s v="Diurno"/>
    <n v="1100"/>
    <n v="110"/>
    <n v="3.0675999999999998E-3"/>
    <n v="3.3743599999999994"/>
    <n v="10"/>
    <n v="110"/>
    <n v="1.375"/>
    <m/>
    <m/>
    <m/>
  </r>
  <r>
    <x v="10"/>
    <m/>
    <s v="TRITURADO"/>
    <s v="HOGAR"/>
    <n v="341"/>
    <x v="8"/>
    <s v="Diurno"/>
    <n v="3956"/>
    <n v="395.6"/>
    <n v="1.0225E-3"/>
    <n v="4.0450099999999996"/>
    <n v="10"/>
    <n v="395.6"/>
    <e v="#N/A"/>
    <m/>
    <m/>
    <m/>
  </r>
  <r>
    <x v="10"/>
    <m/>
    <s v="CLASIFICACIÓN HOGAR"/>
    <s v="PIE"/>
    <n v="695"/>
    <x v="6"/>
    <s v="Diurno"/>
    <n v="478.67"/>
    <n v="47.867000000000004"/>
    <n v="5.5570652173913045E-3"/>
    <n v="2.6600004076086958"/>
    <n v="10"/>
    <n v="47.867000000000004"/>
    <e v="#N/A"/>
    <m/>
    <m/>
    <m/>
  </r>
  <r>
    <x v="10"/>
    <m/>
    <s v="CLASIFICACIÓN HOGAR"/>
    <s v="PIE"/>
    <n v="695"/>
    <x v="5"/>
    <s v="Diurno"/>
    <n v="478.67"/>
    <n v="47.867000000000004"/>
    <n v="5.5570652173913045E-3"/>
    <n v="2.6600004076086958"/>
    <n v="10"/>
    <n v="47.867000000000004"/>
    <e v="#N/A"/>
    <m/>
    <m/>
    <m/>
  </r>
  <r>
    <x v="10"/>
    <m/>
    <s v="CLASIFICACIÓN HOGAR"/>
    <s v="PIE"/>
    <n v="695"/>
    <x v="7"/>
    <s v="Diurno"/>
    <n v="478.66"/>
    <n v="47.866"/>
    <n v="5.5570652173913045E-3"/>
    <n v="2.6599448369565222"/>
    <n v="10"/>
    <n v="47.866"/>
    <e v="#N/A"/>
    <m/>
    <m/>
    <m/>
  </r>
  <r>
    <x v="10"/>
    <m/>
    <s v="LAVADO"/>
    <s v="HOGAR"/>
    <n v="1198"/>
    <x v="13"/>
    <s v="Diurno"/>
    <n v="1706"/>
    <n v="426.5"/>
    <n v="1.0955714285714286E-3"/>
    <n v="1.8690448571428573"/>
    <n v="4"/>
    <n v="426.5"/>
    <e v="#N/A"/>
    <m/>
    <m/>
    <m/>
  </r>
  <r>
    <x v="10"/>
    <m/>
    <s v="LOGISTICA"/>
    <m/>
    <m/>
    <x v="13"/>
    <s v="Diurno"/>
    <n v="1"/>
    <n v="1"/>
    <n v="0.3483"/>
    <n v="2.0897999999999999"/>
    <n v="6"/>
    <n v="0.16666666666666666"/>
    <n v="2.0833333333333333E-3"/>
    <m/>
    <m/>
    <m/>
  </r>
  <r>
    <x v="1"/>
    <m/>
    <s v="CLASIFICACIÓN SOPLADO"/>
    <s v="PACAS"/>
    <n v="696"/>
    <x v="2"/>
    <s v="Diurno"/>
    <n v="544"/>
    <n v="54.4"/>
    <n v="6.3906249999999996E-3"/>
    <n v="3.4764999999999997"/>
    <n v="10"/>
    <n v="54.4"/>
    <n v="0.67999999999999994"/>
    <m/>
    <m/>
    <m/>
  </r>
  <r>
    <x v="1"/>
    <m/>
    <s v="CLASIFICACIÓN SOPLADO"/>
    <s v="PACAS"/>
    <n v="696"/>
    <x v="3"/>
    <s v="Diurno"/>
    <n v="544"/>
    <n v="54.4"/>
    <n v="6.3906249999999996E-3"/>
    <n v="3.4764999999999997"/>
    <n v="10"/>
    <n v="54.4"/>
    <n v="0.67999999999999994"/>
    <m/>
    <m/>
    <m/>
  </r>
  <r>
    <x v="1"/>
    <m/>
    <s v="CLASIFICACIÓN SOPLADO"/>
    <s v="PACAS"/>
    <n v="696"/>
    <x v="4"/>
    <s v="Diurno"/>
    <n v="544"/>
    <n v="54.4"/>
    <n v="6.3906249999999996E-3"/>
    <n v="3.4764999999999997"/>
    <n v="10"/>
    <n v="54.4"/>
    <e v="#N/A"/>
    <m/>
    <m/>
    <m/>
  </r>
  <r>
    <x v="1"/>
    <m/>
    <s v="CLASIFICACIÓN HOGAR"/>
    <s v="PIE"/>
    <n v="697"/>
    <x v="5"/>
    <s v="Diurno"/>
    <n v="441.66666666666669"/>
    <n v="88.333333333333343"/>
    <n v="5.5570652173913045E-3"/>
    <n v="2.4543704710144931"/>
    <n v="5"/>
    <n v="88.333333333333343"/>
    <e v="#N/A"/>
    <m/>
    <m/>
    <m/>
  </r>
  <r>
    <x v="1"/>
    <m/>
    <s v="CLASIFICACIÓN HOGAR"/>
    <s v="PIE"/>
    <n v="697"/>
    <x v="6"/>
    <s v="Diurno"/>
    <n v="441.66666666666669"/>
    <n v="88.333333333333343"/>
    <n v="5.5570652173913045E-3"/>
    <n v="2.4543704710144931"/>
    <n v="5"/>
    <n v="88.333333333333343"/>
    <e v="#N/A"/>
    <m/>
    <m/>
    <m/>
  </r>
  <r>
    <x v="1"/>
    <m/>
    <s v="CLASIFICACIÓN HOGAR"/>
    <s v="PIE"/>
    <n v="697"/>
    <x v="7"/>
    <s v="Diurno"/>
    <n v="441.66666666666669"/>
    <n v="88.333333333333343"/>
    <n v="5.5570652173913045E-3"/>
    <n v="2.4543704710144931"/>
    <n v="5"/>
    <n v="88.333333333333343"/>
    <e v="#N/A"/>
    <m/>
    <m/>
    <m/>
  </r>
  <r>
    <x v="1"/>
    <m/>
    <s v="LOGISTICA"/>
    <m/>
    <m/>
    <x v="5"/>
    <s v="Diurno"/>
    <n v="1"/>
    <n v="1"/>
    <n v="0.3483"/>
    <n v="1.7415"/>
    <n v="5"/>
    <n v="0.2"/>
    <e v="#N/A"/>
    <m/>
    <m/>
    <m/>
  </r>
  <r>
    <x v="1"/>
    <m/>
    <s v="LOGISTICA"/>
    <m/>
    <m/>
    <x v="6"/>
    <s v="Diurno"/>
    <n v="1"/>
    <n v="1"/>
    <n v="0.3483"/>
    <n v="1.7415"/>
    <n v="5"/>
    <n v="0.2"/>
    <n v="5.7142857142857147E-4"/>
    <m/>
    <m/>
    <m/>
  </r>
  <r>
    <x v="1"/>
    <m/>
    <s v="LOGISTICA"/>
    <m/>
    <m/>
    <x v="7"/>
    <s v="Diurno"/>
    <n v="1"/>
    <n v="1"/>
    <n v="0.3483"/>
    <n v="1.7415"/>
    <n v="5"/>
    <n v="0.2"/>
    <e v="#N/A"/>
    <m/>
    <m/>
    <m/>
  </r>
  <r>
    <x v="1"/>
    <m/>
    <s v="PELLETIZADO# 2"/>
    <s v="HOGAR"/>
    <n v="880"/>
    <x v="0"/>
    <s v="Nocturno"/>
    <n v="1875"/>
    <n v="187.5"/>
    <n v="3.0675999999999998E-3"/>
    <n v="5.7517499999999995"/>
    <n v="10"/>
    <n v="187.5"/>
    <e v="#N/A"/>
    <m/>
    <m/>
    <m/>
  </r>
  <r>
    <x v="1"/>
    <m/>
    <s v="PELLETIZADO# 2"/>
    <s v="HOGAR"/>
    <n v="878"/>
    <x v="14"/>
    <s v="Diurno"/>
    <n v="1375"/>
    <n v="137.5"/>
    <n v="3.0675999999999998E-3"/>
    <n v="4.2179500000000001"/>
    <n v="10"/>
    <n v="137.5"/>
    <e v="#N/A"/>
    <m/>
    <m/>
    <m/>
  </r>
  <r>
    <x v="1"/>
    <m/>
    <s v="LAVADO"/>
    <s v="SOPLADO"/>
    <n v="1200"/>
    <x v="13"/>
    <s v="Diurno"/>
    <n v="3487"/>
    <n v="348.7"/>
    <n v="6.3906249999999996E-3"/>
    <n v="22.284109374999996"/>
    <n v="10"/>
    <n v="348.7"/>
    <e v="#N/A"/>
    <m/>
    <m/>
    <m/>
  </r>
  <r>
    <x v="1"/>
    <m/>
    <s v="CLASIFICACIÓN SOPLADO"/>
    <s v="PACAS"/>
    <n v="1200"/>
    <x v="1"/>
    <s v="Diurno"/>
    <n v="194.33"/>
    <n v="19.433"/>
    <n v="6.3906249999999996E-3"/>
    <n v="1.24189015625"/>
    <n v="10"/>
    <n v="19.433"/>
    <e v="#N/A"/>
    <m/>
    <m/>
    <m/>
  </r>
  <r>
    <x v="1"/>
    <m/>
    <s v="CLASIFICACIÓN SOPLADO"/>
    <s v="PACAS"/>
    <n v="1200"/>
    <x v="10"/>
    <s v="Diurno"/>
    <n v="194.33"/>
    <n v="19.433"/>
    <n v="6.3906249999999996E-3"/>
    <n v="1.24189015625"/>
    <n v="10"/>
    <n v="19.433"/>
    <e v="#N/A"/>
    <m/>
    <m/>
    <m/>
  </r>
  <r>
    <x v="1"/>
    <m/>
    <s v="CLASIFICACIÓN SOPLADO"/>
    <s v="PACAS"/>
    <n v="1200"/>
    <x v="11"/>
    <s v="Diurno"/>
    <n v="194.34"/>
    <n v="19.434000000000001"/>
    <n v="6.3906249999999996E-3"/>
    <n v="1.2419540625000001"/>
    <n v="10"/>
    <n v="19.434000000000001"/>
    <e v="#N/A"/>
    <m/>
    <m/>
    <m/>
  </r>
  <r>
    <x v="11"/>
    <m/>
    <s v="PELLETIZADO# 2"/>
    <s v="HOGAR"/>
    <s v="883/882"/>
    <x v="14"/>
    <s v="Diurno"/>
    <n v="1575"/>
    <n v="157.5"/>
    <n v="3.0675999999999998E-3"/>
    <n v="4.8314699999999995"/>
    <n v="10"/>
    <n v="157.5"/>
    <e v="#N/A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  <r>
    <x v="12"/>
    <m/>
    <m/>
    <m/>
    <m/>
    <x v="19"/>
    <m/>
    <m/>
    <m/>
    <m/>
    <m/>
    <m/>
    <e v="#DIV/0!"/>
    <e v="#DIV/0!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n v="2"/>
    <n v="701"/>
    <x v="0"/>
    <x v="0"/>
    <x v="0"/>
    <m/>
    <m/>
    <m/>
    <m/>
    <m/>
    <n v="260"/>
    <n v="2341"/>
    <m/>
    <m/>
    <n v="260"/>
  </r>
  <r>
    <x v="0"/>
    <n v="2"/>
    <n v="701"/>
    <x v="0"/>
    <x v="1"/>
    <x v="1"/>
    <n v="191"/>
    <n v="3027"/>
    <n v="2919"/>
    <n v="2936"/>
    <m/>
    <m/>
    <m/>
    <m/>
    <m/>
    <n v="191"/>
  </r>
  <r>
    <x v="0"/>
    <n v="2"/>
    <n v="701"/>
    <x v="0"/>
    <x v="2"/>
    <x v="2"/>
    <n v="17"/>
    <n v="3027"/>
    <n v="2919"/>
    <n v="2936"/>
    <n v="2339"/>
    <m/>
    <m/>
    <m/>
    <m/>
    <n v="17"/>
  </r>
  <r>
    <x v="0"/>
    <n v="2"/>
    <n v="701"/>
    <x v="0"/>
    <x v="3"/>
    <x v="2"/>
    <n v="181"/>
    <n v="3027"/>
    <n v="2919"/>
    <n v="2936"/>
    <n v="2339"/>
    <m/>
    <m/>
    <m/>
    <m/>
    <n v="181"/>
  </r>
  <r>
    <x v="0"/>
    <n v="2"/>
    <n v="701"/>
    <x v="0"/>
    <x v="3"/>
    <x v="1"/>
    <n v="66"/>
    <n v="3027"/>
    <n v="2919"/>
    <n v="2936"/>
    <n v="2339"/>
    <m/>
    <m/>
    <m/>
    <m/>
    <n v="66"/>
  </r>
  <r>
    <x v="0"/>
    <n v="2"/>
    <n v="701"/>
    <x v="0"/>
    <x v="4"/>
    <x v="3"/>
    <n v="190"/>
    <n v="3027"/>
    <n v="2919"/>
    <n v="2936"/>
    <n v="2339"/>
    <m/>
    <m/>
    <m/>
    <m/>
    <n v="190"/>
  </r>
  <r>
    <x v="0"/>
    <n v="2"/>
    <n v="699"/>
    <x v="0"/>
    <x v="2"/>
    <x v="2"/>
    <n v="87"/>
    <n v="3049"/>
    <n v="2941"/>
    <n v="2958"/>
    <n v="2393"/>
    <m/>
    <m/>
    <m/>
    <m/>
    <n v="87"/>
  </r>
  <r>
    <x v="0"/>
    <n v="2"/>
    <n v="699"/>
    <x v="0"/>
    <x v="5"/>
    <x v="4"/>
    <n v="49"/>
    <n v="3049"/>
    <n v="2941"/>
    <n v="2958"/>
    <n v="2393"/>
    <m/>
    <m/>
    <m/>
    <m/>
    <n v="49"/>
  </r>
  <r>
    <x v="0"/>
    <n v="2"/>
    <n v="699"/>
    <x v="0"/>
    <x v="3"/>
    <x v="2"/>
    <n v="93"/>
    <n v="3049"/>
    <n v="2941"/>
    <n v="2958"/>
    <n v="2393"/>
    <m/>
    <m/>
    <m/>
    <m/>
    <n v="93"/>
  </r>
  <r>
    <x v="0"/>
    <n v="2"/>
    <n v="699"/>
    <x v="0"/>
    <x v="3"/>
    <x v="1"/>
    <n v="38"/>
    <n v="3049"/>
    <n v="2941"/>
    <n v="2958"/>
    <n v="2393"/>
    <m/>
    <m/>
    <m/>
    <m/>
    <n v="38"/>
  </r>
  <r>
    <x v="0"/>
    <n v="2"/>
    <n v="699"/>
    <x v="0"/>
    <x v="1"/>
    <x v="1"/>
    <n v="119"/>
    <n v="3049"/>
    <n v="2941"/>
    <n v="2958"/>
    <m/>
    <m/>
    <m/>
    <m/>
    <m/>
    <n v="119"/>
  </r>
  <r>
    <x v="0"/>
    <n v="3"/>
    <n v="700"/>
    <x v="0"/>
    <x v="3"/>
    <x v="2"/>
    <n v="357"/>
    <n v="3028"/>
    <n v="2920"/>
    <n v="2937"/>
    <n v="2343"/>
    <m/>
    <m/>
    <m/>
    <m/>
    <n v="357"/>
  </r>
  <r>
    <x v="0"/>
    <n v="3"/>
    <n v="700"/>
    <x v="0"/>
    <x v="3"/>
    <x v="1"/>
    <n v="76"/>
    <n v="3028"/>
    <n v="2920"/>
    <n v="2937"/>
    <n v="2343"/>
    <m/>
    <m/>
    <m/>
    <m/>
    <n v="76"/>
  </r>
  <r>
    <x v="0"/>
    <n v="3"/>
    <n v="700"/>
    <x v="0"/>
    <x v="2"/>
    <x v="2"/>
    <n v="325"/>
    <n v="3028"/>
    <n v="2920"/>
    <n v="2937"/>
    <n v="2343"/>
    <m/>
    <m/>
    <m/>
    <m/>
    <n v="325"/>
  </r>
  <r>
    <x v="0"/>
    <n v="3"/>
    <n v="700"/>
    <x v="0"/>
    <x v="5"/>
    <x v="4"/>
    <n v="221"/>
    <n v="3028"/>
    <n v="2920"/>
    <n v="2937"/>
    <n v="2343"/>
    <m/>
    <m/>
    <m/>
    <m/>
    <n v="221"/>
  </r>
  <r>
    <x v="0"/>
    <n v="3"/>
    <n v="700"/>
    <x v="0"/>
    <x v="1"/>
    <x v="1"/>
    <n v="214"/>
    <n v="3028"/>
    <n v="2920"/>
    <n v="2937"/>
    <n v="2343"/>
    <m/>
    <m/>
    <m/>
    <m/>
    <n v="214"/>
  </r>
  <r>
    <x v="0"/>
    <n v="3"/>
    <n v="700"/>
    <x v="0"/>
    <x v="1"/>
    <x v="5"/>
    <n v="82"/>
    <n v="3028"/>
    <n v="2920"/>
    <n v="2937"/>
    <n v="2343"/>
    <m/>
    <m/>
    <m/>
    <m/>
    <n v="82"/>
  </r>
  <r>
    <x v="0"/>
    <n v="3"/>
    <n v="700"/>
    <x v="0"/>
    <x v="4"/>
    <x v="0"/>
    <n v="103"/>
    <n v="3028"/>
    <n v="2920"/>
    <n v="2937"/>
    <n v="2343"/>
    <m/>
    <m/>
    <m/>
    <m/>
    <n v="103"/>
  </r>
  <r>
    <x v="0"/>
    <n v="3"/>
    <n v="698"/>
    <x v="1"/>
    <x v="5"/>
    <x v="6"/>
    <n v="284"/>
    <n v="3029"/>
    <n v="2921"/>
    <n v="2938"/>
    <n v="2345"/>
    <m/>
    <m/>
    <m/>
    <m/>
    <n v="284"/>
  </r>
  <r>
    <x v="0"/>
    <n v="3"/>
    <n v="698"/>
    <x v="1"/>
    <x v="5"/>
    <x v="7"/>
    <n v="225"/>
    <n v="3029"/>
    <n v="2921"/>
    <n v="2938"/>
    <n v="2345"/>
    <m/>
    <m/>
    <m/>
    <m/>
    <n v="225"/>
  </r>
  <r>
    <x v="0"/>
    <n v="3"/>
    <n v="698"/>
    <x v="1"/>
    <x v="5"/>
    <x v="8"/>
    <n v="200"/>
    <n v="3029"/>
    <n v="2921"/>
    <n v="2938"/>
    <n v="2345"/>
    <m/>
    <m/>
    <m/>
    <m/>
    <n v="200"/>
  </r>
  <r>
    <x v="0"/>
    <n v="3"/>
    <n v="698"/>
    <x v="1"/>
    <x v="5"/>
    <x v="9"/>
    <n v="158"/>
    <n v="3029"/>
    <n v="2921"/>
    <n v="2938"/>
    <n v="2345"/>
    <m/>
    <m/>
    <m/>
    <m/>
    <n v="158"/>
  </r>
  <r>
    <x v="0"/>
    <n v="3"/>
    <n v="698"/>
    <x v="1"/>
    <x v="5"/>
    <x v="5"/>
    <n v="237"/>
    <n v="3029"/>
    <n v="2921"/>
    <n v="2938"/>
    <n v="2345"/>
    <m/>
    <m/>
    <m/>
    <m/>
    <n v="237"/>
  </r>
  <r>
    <x v="0"/>
    <n v="3"/>
    <n v="698"/>
    <x v="1"/>
    <x v="6"/>
    <x v="7"/>
    <n v="122"/>
    <n v="3029"/>
    <n v="2921"/>
    <n v="2938"/>
    <n v="2345"/>
    <m/>
    <m/>
    <m/>
    <m/>
    <n v="122"/>
  </r>
  <r>
    <x v="0"/>
    <n v="3"/>
    <n v="698"/>
    <x v="1"/>
    <x v="6"/>
    <x v="6"/>
    <n v="129"/>
    <n v="3029"/>
    <n v="2921"/>
    <n v="2938"/>
    <n v="2345"/>
    <m/>
    <m/>
    <m/>
    <m/>
    <n v="129"/>
  </r>
  <r>
    <x v="0"/>
    <n v="3"/>
    <n v="698"/>
    <x v="1"/>
    <x v="6"/>
    <x v="5"/>
    <n v="137"/>
    <n v="3029"/>
    <n v="2921"/>
    <n v="2938"/>
    <n v="2345"/>
    <m/>
    <m/>
    <m/>
    <m/>
    <n v="137"/>
  </r>
  <r>
    <x v="0"/>
    <n v="3"/>
    <n v="698"/>
    <x v="1"/>
    <x v="6"/>
    <x v="8"/>
    <n v="55"/>
    <n v="3029"/>
    <n v="2921"/>
    <n v="2938"/>
    <n v="2345"/>
    <m/>
    <m/>
    <m/>
    <m/>
    <n v="55"/>
  </r>
  <r>
    <x v="0"/>
    <n v="3"/>
    <n v="698"/>
    <x v="1"/>
    <x v="4"/>
    <x v="0"/>
    <n v="27"/>
    <n v="3029"/>
    <n v="2921"/>
    <n v="2938"/>
    <n v="2345"/>
    <m/>
    <m/>
    <m/>
    <m/>
    <n v="27"/>
  </r>
  <r>
    <x v="0"/>
    <n v="3"/>
    <n v="698"/>
    <x v="1"/>
    <x v="1"/>
    <x v="1"/>
    <m/>
    <m/>
    <m/>
    <m/>
    <m/>
    <n v="40"/>
    <n v="2347"/>
    <m/>
    <m/>
    <n v="40"/>
  </r>
  <r>
    <x v="0"/>
    <n v="1"/>
    <n v="342"/>
    <x v="2"/>
    <x v="6"/>
    <x v="8"/>
    <n v="349"/>
    <n v="3030"/>
    <n v="2922"/>
    <n v="2939"/>
    <n v="2349"/>
    <m/>
    <m/>
    <n v="380"/>
    <n v="8.1578947368421056E-2"/>
    <n v="349"/>
  </r>
  <r>
    <x v="1"/>
    <n v="1"/>
    <n v="342"/>
    <x v="2"/>
    <x v="6"/>
    <x v="7"/>
    <n v="472"/>
    <n v="3030"/>
    <n v="2922"/>
    <n v="2939"/>
    <n v="2349"/>
    <m/>
    <m/>
    <n v="513"/>
    <n v="7.9922027290448339E-2"/>
    <n v="472"/>
  </r>
  <r>
    <x v="1"/>
    <n v="1"/>
    <n v="342"/>
    <x v="2"/>
    <x v="6"/>
    <x v="6"/>
    <n v="467"/>
    <n v="3030"/>
    <n v="2922"/>
    <n v="2939"/>
    <n v="2349"/>
    <m/>
    <m/>
    <n v="524"/>
    <n v="0.10877862595419847"/>
    <n v="467"/>
  </r>
  <r>
    <x v="1"/>
    <n v="1"/>
    <n v="342"/>
    <x v="2"/>
    <x v="5"/>
    <x v="5"/>
    <n v="1462"/>
    <n v="3030"/>
    <n v="2922"/>
    <n v="2939"/>
    <n v="2349"/>
    <m/>
    <m/>
    <n v="1363"/>
    <n v="-7.2633895818048425E-2"/>
    <n v="1462"/>
  </r>
  <r>
    <x v="1"/>
    <n v="1"/>
    <n v="342"/>
    <x v="2"/>
    <x v="5"/>
    <x v="9"/>
    <n v="1042"/>
    <n v="3030"/>
    <n v="2922"/>
    <n v="2939"/>
    <n v="2349"/>
    <m/>
    <m/>
    <n v="987"/>
    <n v="-5.5724417426545089E-2"/>
    <n v="1042"/>
  </r>
  <r>
    <x v="1"/>
    <n v="1"/>
    <n v="342"/>
    <x v="2"/>
    <x v="6"/>
    <x v="5"/>
    <n v="501"/>
    <n v="3030"/>
    <n v="2922"/>
    <n v="2939"/>
    <n v="2349"/>
    <m/>
    <m/>
    <n v="563"/>
    <n v="0.11012433392539965"/>
    <n v="501"/>
  </r>
  <r>
    <x v="1"/>
    <n v="1"/>
    <n v="102"/>
    <x v="3"/>
    <x v="7"/>
    <x v="10"/>
    <n v="405"/>
    <n v="3031"/>
    <n v="2923"/>
    <n v="2940"/>
    <n v="2351"/>
    <m/>
    <m/>
    <m/>
    <m/>
    <n v="405"/>
  </r>
  <r>
    <x v="0"/>
    <n v="2"/>
    <n v="1201"/>
    <x v="4"/>
    <x v="1"/>
    <x v="1"/>
    <n v="1149"/>
    <n v="3032"/>
    <n v="2924"/>
    <n v="2941"/>
    <m/>
    <m/>
    <n v="129"/>
    <n v="1278"/>
    <n v="0.10093896713615023"/>
    <n v="1149"/>
  </r>
  <r>
    <x v="0"/>
    <n v="2"/>
    <n v="1202"/>
    <x v="4"/>
    <x v="8"/>
    <x v="5"/>
    <n v="386"/>
    <n v="3033"/>
    <n v="2925"/>
    <n v="2942"/>
    <m/>
    <m/>
    <n v="9"/>
    <n v="395"/>
    <n v="2.2784810126582278E-2"/>
    <n v="386"/>
  </r>
  <r>
    <x v="0"/>
    <n v="1"/>
    <n v="343"/>
    <x v="2"/>
    <x v="5"/>
    <x v="9"/>
    <n v="224"/>
    <n v="3034"/>
    <n v="2926"/>
    <n v="2943"/>
    <n v="2353"/>
    <m/>
    <m/>
    <n v="231"/>
    <n v="3.0303030303030304E-2"/>
    <n v="224"/>
  </r>
  <r>
    <x v="0"/>
    <n v="1"/>
    <n v="343"/>
    <x v="2"/>
    <x v="5"/>
    <x v="5"/>
    <n v="342"/>
    <n v="3034"/>
    <n v="2926"/>
    <n v="2943"/>
    <n v="2353"/>
    <m/>
    <m/>
    <n v="344"/>
    <n v="5.8139534883720929E-3"/>
    <n v="342"/>
  </r>
  <r>
    <x v="0"/>
    <n v="1"/>
    <n v="343"/>
    <x v="2"/>
    <x v="9"/>
    <x v="6"/>
    <n v="574"/>
    <n v="3034"/>
    <n v="2926"/>
    <n v="2943"/>
    <n v="2353"/>
    <m/>
    <m/>
    <n v="617"/>
    <n v="6.9692058346839544E-2"/>
    <n v="574"/>
  </r>
  <r>
    <x v="0"/>
    <n v="1"/>
    <n v="343"/>
    <x v="2"/>
    <x v="5"/>
    <x v="8"/>
    <n v="355"/>
    <n v="3034"/>
    <n v="2926"/>
    <n v="2943"/>
    <n v="2353"/>
    <m/>
    <m/>
    <n v="386"/>
    <n v="8.0310880829015538E-2"/>
    <n v="355"/>
  </r>
  <r>
    <x v="0"/>
    <n v="1"/>
    <n v="343"/>
    <x v="2"/>
    <x v="5"/>
    <x v="7"/>
    <n v="665"/>
    <n v="3034"/>
    <n v="2926"/>
    <n v="2943"/>
    <n v="2353"/>
    <m/>
    <m/>
    <n v="719"/>
    <n v="7.5104311543810851E-2"/>
    <n v="665"/>
  </r>
  <r>
    <x v="0"/>
    <n v="1"/>
    <n v="343"/>
    <x v="2"/>
    <x v="6"/>
    <x v="5"/>
    <n v="379"/>
    <n v="3034"/>
    <n v="2926"/>
    <n v="2943"/>
    <n v="2353"/>
    <m/>
    <m/>
    <n v="318"/>
    <n v="-0.1918238993710692"/>
    <n v="379"/>
  </r>
  <r>
    <x v="0"/>
    <n v="1"/>
    <n v="343"/>
    <x v="5"/>
    <x v="2"/>
    <x v="2"/>
    <n v="464"/>
    <n v="3035"/>
    <n v="2927"/>
    <n v="2944"/>
    <n v="2355"/>
    <m/>
    <m/>
    <n v="464"/>
    <n v="0"/>
    <n v="464"/>
  </r>
  <r>
    <x v="0"/>
    <n v="2"/>
    <n v="103"/>
    <x v="3"/>
    <x v="10"/>
    <x v="10"/>
    <n v="238"/>
    <n v="3046"/>
    <n v="2938"/>
    <n v="2955"/>
    <n v="2387"/>
    <m/>
    <m/>
    <m/>
    <m/>
    <n v="238"/>
  </r>
  <r>
    <x v="0"/>
    <n v="2"/>
    <n v="705"/>
    <x v="1"/>
    <x v="5"/>
    <x v="6"/>
    <n v="102"/>
    <n v="3036"/>
    <n v="2928"/>
    <n v="2945"/>
    <m/>
    <m/>
    <m/>
    <m/>
    <m/>
    <n v="102"/>
  </r>
  <r>
    <x v="2"/>
    <n v="2"/>
    <n v="705"/>
    <x v="1"/>
    <x v="5"/>
    <x v="7"/>
    <n v="85"/>
    <n v="3036"/>
    <n v="2928"/>
    <n v="2945"/>
    <m/>
    <m/>
    <m/>
    <m/>
    <m/>
    <n v="85"/>
  </r>
  <r>
    <x v="2"/>
    <n v="2"/>
    <n v="705"/>
    <x v="1"/>
    <x v="5"/>
    <x v="9"/>
    <n v="45"/>
    <n v="3036"/>
    <n v="2928"/>
    <n v="2945"/>
    <m/>
    <m/>
    <m/>
    <m/>
    <m/>
    <n v="45"/>
  </r>
  <r>
    <x v="2"/>
    <n v="2"/>
    <n v="705"/>
    <x v="1"/>
    <x v="6"/>
    <x v="6"/>
    <n v="66"/>
    <n v="3036"/>
    <n v="2928"/>
    <n v="2945"/>
    <m/>
    <m/>
    <m/>
    <m/>
    <m/>
    <n v="66"/>
  </r>
  <r>
    <x v="2"/>
    <n v="2"/>
    <n v="705"/>
    <x v="1"/>
    <x v="6"/>
    <x v="7"/>
    <n v="111"/>
    <n v="3036"/>
    <n v="2928"/>
    <n v="2945"/>
    <m/>
    <m/>
    <m/>
    <m/>
    <m/>
    <n v="111"/>
  </r>
  <r>
    <x v="2"/>
    <n v="2"/>
    <n v="705"/>
    <x v="1"/>
    <x v="6"/>
    <x v="5"/>
    <n v="110"/>
    <n v="3036"/>
    <n v="2928"/>
    <n v="2945"/>
    <m/>
    <m/>
    <m/>
    <m/>
    <m/>
    <n v="110"/>
  </r>
  <r>
    <x v="2"/>
    <n v="2"/>
    <n v="705"/>
    <x v="1"/>
    <x v="5"/>
    <x v="8"/>
    <n v="71"/>
    <n v="3036"/>
    <n v="2928"/>
    <n v="2945"/>
    <m/>
    <m/>
    <m/>
    <m/>
    <m/>
    <n v="71"/>
  </r>
  <r>
    <x v="2"/>
    <n v="2"/>
    <n v="705"/>
    <x v="1"/>
    <x v="5"/>
    <x v="5"/>
    <n v="193"/>
    <n v="3036"/>
    <n v="2928"/>
    <n v="2945"/>
    <m/>
    <m/>
    <m/>
    <m/>
    <m/>
    <n v="193"/>
  </r>
  <r>
    <x v="2"/>
    <n v="2"/>
    <n v="705"/>
    <x v="1"/>
    <x v="6"/>
    <x v="8"/>
    <n v="39"/>
    <n v="3036"/>
    <n v="2928"/>
    <n v="2945"/>
    <m/>
    <m/>
    <m/>
    <m/>
    <m/>
    <n v="39"/>
  </r>
  <r>
    <x v="2"/>
    <n v="2"/>
    <n v="705"/>
    <x v="1"/>
    <x v="1"/>
    <x v="1"/>
    <m/>
    <m/>
    <m/>
    <m/>
    <m/>
    <n v="106"/>
    <n v="2357"/>
    <m/>
    <m/>
    <n v="106"/>
  </r>
  <r>
    <x v="2"/>
    <n v="3"/>
    <n v="706"/>
    <x v="0"/>
    <x v="3"/>
    <x v="1"/>
    <n v="64"/>
    <n v="3037"/>
    <n v="2929"/>
    <n v="2946"/>
    <n v="2359"/>
    <m/>
    <m/>
    <m/>
    <m/>
    <n v="64"/>
  </r>
  <r>
    <x v="2"/>
    <n v="3"/>
    <n v="706"/>
    <x v="0"/>
    <x v="3"/>
    <x v="2"/>
    <n v="485"/>
    <n v="3037"/>
    <n v="2929"/>
    <n v="2946"/>
    <n v="2359"/>
    <m/>
    <m/>
    <m/>
    <m/>
    <n v="485"/>
  </r>
  <r>
    <x v="2"/>
    <n v="3"/>
    <n v="706"/>
    <x v="0"/>
    <x v="5"/>
    <x v="4"/>
    <n v="222"/>
    <n v="3037"/>
    <n v="2929"/>
    <n v="2946"/>
    <n v="2359"/>
    <m/>
    <m/>
    <m/>
    <m/>
    <n v="222"/>
  </r>
  <r>
    <x v="2"/>
    <n v="3"/>
    <n v="706"/>
    <x v="0"/>
    <x v="5"/>
    <x v="11"/>
    <n v="321"/>
    <n v="3037"/>
    <n v="2929"/>
    <n v="2946"/>
    <n v="2359"/>
    <m/>
    <m/>
    <m/>
    <m/>
    <n v="321"/>
  </r>
  <r>
    <x v="2"/>
    <n v="3"/>
    <n v="706"/>
    <x v="0"/>
    <x v="1"/>
    <x v="1"/>
    <n v="470"/>
    <n v="3037"/>
    <n v="2929"/>
    <n v="2946"/>
    <n v="2359"/>
    <m/>
    <m/>
    <m/>
    <m/>
    <n v="470"/>
  </r>
  <r>
    <x v="2"/>
    <n v="3"/>
    <n v="706"/>
    <x v="0"/>
    <x v="4"/>
    <x v="3"/>
    <n v="130"/>
    <n v="3037"/>
    <n v="2929"/>
    <n v="2946"/>
    <n v="2359"/>
    <m/>
    <m/>
    <m/>
    <m/>
    <n v="130"/>
  </r>
  <r>
    <x v="2"/>
    <n v="1"/>
    <n v="344"/>
    <x v="5"/>
    <x v="2"/>
    <x v="2"/>
    <n v="1245"/>
    <n v="3038"/>
    <n v="2930"/>
    <n v="2947"/>
    <n v="2361"/>
    <m/>
    <m/>
    <n v="1257"/>
    <n v="9.5465393794749408E-3"/>
    <n v="1245"/>
  </r>
  <r>
    <x v="2"/>
    <n v="1"/>
    <n v="704"/>
    <x v="0"/>
    <x v="0"/>
    <x v="0"/>
    <m/>
    <m/>
    <m/>
    <m/>
    <m/>
    <n v="171"/>
    <n v="2367"/>
    <m/>
    <m/>
    <n v="171"/>
  </r>
  <r>
    <x v="2"/>
    <n v="1"/>
    <n v="704"/>
    <x v="0"/>
    <x v="4"/>
    <x v="3"/>
    <n v="174"/>
    <n v="3039"/>
    <n v="2931"/>
    <n v="2948"/>
    <n v="2365"/>
    <m/>
    <m/>
    <m/>
    <m/>
    <n v="174"/>
  </r>
  <r>
    <x v="2"/>
    <n v="1"/>
    <n v="704"/>
    <x v="0"/>
    <x v="1"/>
    <x v="1"/>
    <n v="66"/>
    <n v="3039"/>
    <n v="2931"/>
    <n v="2948"/>
    <m/>
    <m/>
    <m/>
    <m/>
    <m/>
    <n v="66"/>
  </r>
  <r>
    <x v="2"/>
    <n v="1"/>
    <n v="704"/>
    <x v="0"/>
    <x v="3"/>
    <x v="2"/>
    <n v="34"/>
    <n v="3039"/>
    <n v="2931"/>
    <n v="2948"/>
    <n v="2363"/>
    <m/>
    <m/>
    <m/>
    <m/>
    <n v="34"/>
  </r>
  <r>
    <x v="2"/>
    <n v="1"/>
    <n v="704"/>
    <x v="0"/>
    <x v="3"/>
    <x v="1"/>
    <n v="33"/>
    <n v="3039"/>
    <n v="2931"/>
    <n v="2948"/>
    <n v="2363"/>
    <m/>
    <m/>
    <m/>
    <m/>
    <n v="33"/>
  </r>
  <r>
    <x v="2"/>
    <n v="1"/>
    <n v="704"/>
    <x v="0"/>
    <x v="3"/>
    <x v="12"/>
    <n v="16"/>
    <n v="3039"/>
    <n v="2931"/>
    <n v="2948"/>
    <n v="2363"/>
    <m/>
    <m/>
    <m/>
    <m/>
    <n v="16"/>
  </r>
  <r>
    <x v="2"/>
    <n v="1"/>
    <n v="704"/>
    <x v="0"/>
    <x v="11"/>
    <x v="1"/>
    <n v="66"/>
    <n v="3039"/>
    <n v="2931"/>
    <n v="2948"/>
    <m/>
    <m/>
    <m/>
    <m/>
    <m/>
    <n v="66"/>
  </r>
  <r>
    <x v="2"/>
    <n v="1"/>
    <n v="704"/>
    <x v="0"/>
    <x v="2"/>
    <x v="2"/>
    <n v="8"/>
    <n v="3039"/>
    <n v="2931"/>
    <n v="2948"/>
    <n v="2363"/>
    <m/>
    <m/>
    <m/>
    <m/>
    <n v="8"/>
  </r>
  <r>
    <x v="2"/>
    <n v="2"/>
    <n v="703"/>
    <x v="0"/>
    <x v="2"/>
    <x v="2"/>
    <n v="99"/>
    <n v="3039"/>
    <n v="2931"/>
    <n v="2948"/>
    <n v="2363"/>
    <m/>
    <m/>
    <m/>
    <m/>
    <n v="99"/>
  </r>
  <r>
    <x v="2"/>
    <n v="2"/>
    <n v="703"/>
    <x v="0"/>
    <x v="5"/>
    <x v="4"/>
    <n v="84"/>
    <n v="3039"/>
    <n v="2931"/>
    <n v="2948"/>
    <n v="2363"/>
    <m/>
    <m/>
    <m/>
    <m/>
    <n v="84"/>
  </r>
  <r>
    <x v="2"/>
    <n v="2"/>
    <n v="703"/>
    <x v="0"/>
    <x v="1"/>
    <x v="1"/>
    <n v="127"/>
    <n v="3039"/>
    <n v="2931"/>
    <n v="2948"/>
    <m/>
    <m/>
    <m/>
    <m/>
    <m/>
    <n v="127"/>
  </r>
  <r>
    <x v="2"/>
    <n v="2"/>
    <n v="703"/>
    <x v="0"/>
    <x v="3"/>
    <x v="2"/>
    <n v="300"/>
    <n v="3039"/>
    <n v="2931"/>
    <n v="2948"/>
    <n v="2363"/>
    <m/>
    <m/>
    <m/>
    <m/>
    <n v="300"/>
  </r>
  <r>
    <x v="2"/>
    <n v="2"/>
    <n v="703"/>
    <x v="0"/>
    <x v="3"/>
    <x v="1"/>
    <n v="97"/>
    <n v="3039"/>
    <n v="2931"/>
    <n v="2948"/>
    <n v="2363"/>
    <m/>
    <m/>
    <m/>
    <m/>
    <n v="97"/>
  </r>
  <r>
    <x v="2"/>
    <n v="2"/>
    <n v="703"/>
    <x v="0"/>
    <x v="4"/>
    <x v="3"/>
    <n v="70"/>
    <n v="3039"/>
    <n v="2931"/>
    <n v="2948"/>
    <n v="2363"/>
    <m/>
    <m/>
    <m/>
    <m/>
    <n v="70"/>
  </r>
  <r>
    <x v="2"/>
    <n v="2"/>
    <n v="703"/>
    <x v="0"/>
    <x v="0"/>
    <x v="0"/>
    <m/>
    <m/>
    <m/>
    <m/>
    <m/>
    <n v="31"/>
    <n v="2367"/>
    <m/>
    <m/>
    <n v="31"/>
  </r>
  <r>
    <x v="2"/>
    <n v="2"/>
    <n v="104"/>
    <x v="3"/>
    <x v="10"/>
    <x v="10"/>
    <n v="767"/>
    <n v="3045"/>
    <n v="2937"/>
    <n v="2954"/>
    <n v="2385"/>
    <m/>
    <m/>
    <m/>
    <m/>
    <n v="767"/>
  </r>
  <r>
    <x v="2"/>
    <n v="2"/>
    <n v="713"/>
    <x v="0"/>
    <x v="0"/>
    <x v="0"/>
    <m/>
    <m/>
    <m/>
    <m/>
    <m/>
    <n v="279"/>
    <n v="2371"/>
    <m/>
    <m/>
    <n v="279"/>
  </r>
  <r>
    <x v="3"/>
    <n v="2"/>
    <n v="713"/>
    <x v="0"/>
    <x v="1"/>
    <x v="1"/>
    <n v="88"/>
    <n v="3040"/>
    <n v="2932"/>
    <n v="2949"/>
    <m/>
    <m/>
    <m/>
    <m/>
    <m/>
    <n v="88"/>
  </r>
  <r>
    <x v="3"/>
    <n v="2"/>
    <n v="713"/>
    <x v="0"/>
    <x v="8"/>
    <x v="1"/>
    <n v="151"/>
    <n v="3040"/>
    <n v="2932"/>
    <n v="2949"/>
    <m/>
    <m/>
    <m/>
    <m/>
    <m/>
    <n v="151"/>
  </r>
  <r>
    <x v="3"/>
    <n v="2"/>
    <n v="713"/>
    <x v="0"/>
    <x v="11"/>
    <x v="1"/>
    <n v="114"/>
    <n v="3040"/>
    <n v="2932"/>
    <n v="2949"/>
    <m/>
    <m/>
    <m/>
    <m/>
    <m/>
    <n v="114"/>
  </r>
  <r>
    <x v="3"/>
    <n v="2"/>
    <n v="713"/>
    <x v="0"/>
    <x v="4"/>
    <x v="3"/>
    <n v="253"/>
    <n v="3040"/>
    <n v="2932"/>
    <n v="2949"/>
    <n v="2369"/>
    <m/>
    <m/>
    <m/>
    <m/>
    <n v="253"/>
  </r>
  <r>
    <x v="3"/>
    <n v="2"/>
    <n v="713"/>
    <x v="0"/>
    <x v="2"/>
    <x v="2"/>
    <n v="41"/>
    <n v="3040"/>
    <n v="2932"/>
    <n v="2949"/>
    <n v="2369"/>
    <m/>
    <m/>
    <m/>
    <m/>
    <n v="41"/>
  </r>
  <r>
    <x v="3"/>
    <n v="2"/>
    <n v="713"/>
    <x v="0"/>
    <x v="3"/>
    <x v="2"/>
    <n v="40"/>
    <n v="3040"/>
    <n v="2932"/>
    <n v="2949"/>
    <n v="2369"/>
    <m/>
    <m/>
    <m/>
    <m/>
    <n v="40"/>
  </r>
  <r>
    <x v="3"/>
    <n v="2"/>
    <n v="713"/>
    <x v="0"/>
    <x v="3"/>
    <x v="1"/>
    <n v="36"/>
    <n v="3040"/>
    <n v="2932"/>
    <n v="2949"/>
    <n v="2369"/>
    <m/>
    <m/>
    <m/>
    <m/>
    <n v="36"/>
  </r>
  <r>
    <x v="3"/>
    <n v="2"/>
    <n v="713"/>
    <x v="0"/>
    <x v="3"/>
    <x v="12"/>
    <n v="29"/>
    <n v="3040"/>
    <n v="2932"/>
    <n v="2949"/>
    <n v="2369"/>
    <m/>
    <m/>
    <m/>
    <m/>
    <n v="29"/>
  </r>
  <r>
    <x v="3"/>
    <n v="3"/>
    <n v="710"/>
    <x v="0"/>
    <x v="3"/>
    <x v="2"/>
    <n v="366"/>
    <n v="3041"/>
    <n v="2933"/>
    <n v="2950"/>
    <n v="2375"/>
    <m/>
    <m/>
    <m/>
    <m/>
    <n v="366"/>
  </r>
  <r>
    <x v="3"/>
    <n v="3"/>
    <n v="710"/>
    <x v="0"/>
    <x v="3"/>
    <x v="1"/>
    <n v="125"/>
    <n v="3041"/>
    <n v="2933"/>
    <n v="2950"/>
    <n v="2375"/>
    <m/>
    <m/>
    <m/>
    <m/>
    <n v="125"/>
  </r>
  <r>
    <x v="3"/>
    <n v="3"/>
    <n v="710"/>
    <x v="0"/>
    <x v="2"/>
    <x v="2"/>
    <n v="239"/>
    <n v="3041"/>
    <n v="2933"/>
    <n v="2950"/>
    <n v="2375"/>
    <m/>
    <m/>
    <m/>
    <m/>
    <n v="239"/>
  </r>
  <r>
    <x v="3"/>
    <n v="3"/>
    <n v="710"/>
    <x v="0"/>
    <x v="5"/>
    <x v="4"/>
    <n v="192"/>
    <n v="3041"/>
    <n v="2933"/>
    <n v="2950"/>
    <n v="2375"/>
    <m/>
    <m/>
    <m/>
    <m/>
    <n v="192"/>
  </r>
  <r>
    <x v="3"/>
    <n v="3"/>
    <n v="710"/>
    <x v="0"/>
    <x v="1"/>
    <x v="1"/>
    <n v="404"/>
    <n v="3041"/>
    <n v="2933"/>
    <n v="2950"/>
    <n v="2375"/>
    <m/>
    <m/>
    <m/>
    <m/>
    <n v="404"/>
  </r>
  <r>
    <x v="3"/>
    <n v="3"/>
    <n v="710"/>
    <x v="0"/>
    <x v="4"/>
    <x v="3"/>
    <n v="97"/>
    <n v="3041"/>
    <n v="2933"/>
    <n v="2950"/>
    <n v="2375"/>
    <m/>
    <m/>
    <m/>
    <m/>
    <n v="97"/>
  </r>
  <r>
    <x v="3"/>
    <n v="3"/>
    <n v="709"/>
    <x v="1"/>
    <x v="5"/>
    <x v="8"/>
    <n v="305"/>
    <n v="3042"/>
    <n v="2934"/>
    <n v="2951"/>
    <m/>
    <m/>
    <m/>
    <m/>
    <m/>
    <n v="305"/>
  </r>
  <r>
    <x v="3"/>
    <n v="3"/>
    <n v="709"/>
    <x v="1"/>
    <x v="5"/>
    <x v="5"/>
    <n v="306"/>
    <n v="3042"/>
    <n v="2934"/>
    <n v="2951"/>
    <m/>
    <m/>
    <m/>
    <m/>
    <m/>
    <n v="306"/>
  </r>
  <r>
    <x v="3"/>
    <n v="3"/>
    <n v="709"/>
    <x v="1"/>
    <x v="5"/>
    <x v="9"/>
    <n v="238"/>
    <n v="3042"/>
    <n v="2934"/>
    <n v="2951"/>
    <m/>
    <m/>
    <m/>
    <m/>
    <m/>
    <n v="238"/>
  </r>
  <r>
    <x v="3"/>
    <n v="3"/>
    <n v="709"/>
    <x v="1"/>
    <x v="5"/>
    <x v="6"/>
    <n v="415"/>
    <n v="3042"/>
    <n v="2934"/>
    <n v="2951"/>
    <m/>
    <m/>
    <m/>
    <m/>
    <m/>
    <n v="415"/>
  </r>
  <r>
    <x v="3"/>
    <n v="3"/>
    <n v="709"/>
    <x v="1"/>
    <x v="5"/>
    <x v="7"/>
    <n v="392"/>
    <n v="3042"/>
    <n v="2934"/>
    <n v="2951"/>
    <m/>
    <m/>
    <m/>
    <m/>
    <m/>
    <n v="392"/>
  </r>
  <r>
    <x v="3"/>
    <n v="3"/>
    <n v="709"/>
    <x v="1"/>
    <x v="6"/>
    <x v="6"/>
    <n v="278"/>
    <n v="3042"/>
    <n v="2934"/>
    <n v="2951"/>
    <m/>
    <m/>
    <m/>
    <m/>
    <m/>
    <n v="278"/>
  </r>
  <r>
    <x v="3"/>
    <n v="3"/>
    <n v="709"/>
    <x v="1"/>
    <x v="6"/>
    <x v="7"/>
    <n v="215"/>
    <n v="3042"/>
    <n v="2934"/>
    <n v="2951"/>
    <m/>
    <m/>
    <m/>
    <m/>
    <m/>
    <n v="215"/>
  </r>
  <r>
    <x v="3"/>
    <n v="3"/>
    <n v="709"/>
    <x v="1"/>
    <x v="6"/>
    <x v="5"/>
    <n v="236"/>
    <n v="3042"/>
    <n v="2934"/>
    <n v="2951"/>
    <m/>
    <m/>
    <m/>
    <m/>
    <m/>
    <n v="236"/>
  </r>
  <r>
    <x v="3"/>
    <n v="3"/>
    <n v="709"/>
    <x v="1"/>
    <x v="6"/>
    <x v="8"/>
    <n v="48"/>
    <n v="3042"/>
    <n v="2934"/>
    <n v="2951"/>
    <m/>
    <m/>
    <m/>
    <m/>
    <m/>
    <n v="48"/>
  </r>
  <r>
    <x v="3"/>
    <n v="3"/>
    <n v="709"/>
    <x v="1"/>
    <x v="4"/>
    <x v="3"/>
    <n v="76"/>
    <n v="3042"/>
    <n v="2934"/>
    <n v="2951"/>
    <n v="2377"/>
    <m/>
    <m/>
    <m/>
    <m/>
    <n v="76"/>
  </r>
  <r>
    <x v="3"/>
    <n v="3"/>
    <n v="709"/>
    <x v="1"/>
    <x v="1"/>
    <x v="1"/>
    <m/>
    <m/>
    <m/>
    <m/>
    <m/>
    <n v="120"/>
    <n v="2379"/>
    <m/>
    <m/>
    <n v="120"/>
  </r>
  <r>
    <x v="3"/>
    <n v="2"/>
    <n v="712"/>
    <x v="0"/>
    <x v="1"/>
    <x v="1"/>
    <n v="229"/>
    <n v="3043"/>
    <n v="2935"/>
    <n v="2952"/>
    <m/>
    <m/>
    <m/>
    <m/>
    <m/>
    <n v="229"/>
  </r>
  <r>
    <x v="3"/>
    <n v="2"/>
    <n v="712"/>
    <x v="0"/>
    <x v="3"/>
    <x v="2"/>
    <n v="256"/>
    <n v="3043"/>
    <n v="2935"/>
    <n v="2952"/>
    <n v="2381"/>
    <m/>
    <m/>
    <m/>
    <m/>
    <n v="256"/>
  </r>
  <r>
    <x v="3"/>
    <n v="2"/>
    <n v="712"/>
    <x v="0"/>
    <x v="3"/>
    <x v="1"/>
    <n v="66"/>
    <n v="3043"/>
    <n v="2935"/>
    <n v="2952"/>
    <n v="2381"/>
    <m/>
    <m/>
    <m/>
    <m/>
    <n v="66"/>
  </r>
  <r>
    <x v="3"/>
    <n v="2"/>
    <n v="712"/>
    <x v="0"/>
    <x v="5"/>
    <x v="4"/>
    <n v="105"/>
    <n v="3043"/>
    <n v="2935"/>
    <n v="2952"/>
    <n v="2381"/>
    <m/>
    <m/>
    <m/>
    <m/>
    <n v="105"/>
  </r>
  <r>
    <x v="3"/>
    <n v="2"/>
    <n v="712"/>
    <x v="0"/>
    <x v="2"/>
    <x v="2"/>
    <n v="183"/>
    <n v="3043"/>
    <n v="2935"/>
    <n v="2952"/>
    <n v="2381"/>
    <m/>
    <m/>
    <m/>
    <m/>
    <n v="183"/>
  </r>
  <r>
    <x v="3"/>
    <n v="1"/>
    <n v="105"/>
    <x v="3"/>
    <x v="10"/>
    <x v="10"/>
    <n v="444"/>
    <n v="3044"/>
    <n v="2936"/>
    <n v="2953"/>
    <n v="2383"/>
    <m/>
    <m/>
    <m/>
    <m/>
    <n v="444"/>
  </r>
  <r>
    <x v="3"/>
    <n v="1"/>
    <n v="345"/>
    <x v="2"/>
    <x v="6"/>
    <x v="5"/>
    <n v="301"/>
    <n v="3047"/>
    <n v="2939"/>
    <n v="2956"/>
    <n v="2389"/>
    <m/>
    <m/>
    <n v="294"/>
    <n v="-2.3809523809523808E-2"/>
    <n v="301"/>
  </r>
  <r>
    <x v="3"/>
    <n v="1"/>
    <n v="345"/>
    <x v="2"/>
    <x v="6"/>
    <x v="6"/>
    <n v="331"/>
    <n v="3047"/>
    <n v="2939"/>
    <n v="2956"/>
    <n v="2389"/>
    <m/>
    <m/>
    <n v="306"/>
    <n v="-8.1699346405228759E-2"/>
    <n v="331"/>
  </r>
  <r>
    <x v="3"/>
    <n v="1"/>
    <n v="345"/>
    <x v="2"/>
    <x v="6"/>
    <x v="7"/>
    <n v="417"/>
    <n v="3047"/>
    <n v="2939"/>
    <n v="2956"/>
    <n v="2389"/>
    <m/>
    <m/>
    <n v="490"/>
    <n v="0.1489795918367347"/>
    <n v="417"/>
  </r>
  <r>
    <x v="3"/>
    <n v="1"/>
    <n v="345"/>
    <x v="2"/>
    <x v="5"/>
    <x v="9"/>
    <n v="240"/>
    <n v="3047"/>
    <n v="2939"/>
    <n v="2956"/>
    <n v="2389"/>
    <m/>
    <m/>
    <n v="264"/>
    <n v="9.0909090909090912E-2"/>
    <n v="240"/>
  </r>
  <r>
    <x v="3"/>
    <n v="1"/>
    <n v="345"/>
    <x v="2"/>
    <x v="5"/>
    <x v="6"/>
    <n v="365"/>
    <n v="3047"/>
    <n v="2939"/>
    <n v="2956"/>
    <n v="2389"/>
    <m/>
    <m/>
    <n v="344"/>
    <n v="-6.1046511627906974E-2"/>
    <n v="365"/>
  </r>
  <r>
    <x v="3"/>
    <n v="1"/>
    <n v="345"/>
    <x v="2"/>
    <x v="5"/>
    <x v="8"/>
    <n v="247"/>
    <n v="3047"/>
    <n v="2939"/>
    <n v="2956"/>
    <n v="2389"/>
    <m/>
    <m/>
    <n v="269"/>
    <n v="8.1784386617100371E-2"/>
    <n v="247"/>
  </r>
  <r>
    <x v="3"/>
    <n v="1"/>
    <n v="345"/>
    <x v="2"/>
    <x v="5"/>
    <x v="7"/>
    <n v="179"/>
    <n v="3047"/>
    <n v="2939"/>
    <n v="2956"/>
    <n v="2389"/>
    <m/>
    <m/>
    <n v="232"/>
    <n v="0.22844827586206898"/>
    <n v="179"/>
  </r>
  <r>
    <x v="3"/>
    <n v="1"/>
    <n v="345"/>
    <x v="2"/>
    <x v="5"/>
    <x v="5"/>
    <n v="476"/>
    <n v="3047"/>
    <n v="2939"/>
    <n v="2956"/>
    <n v="2389"/>
    <m/>
    <m/>
    <n v="436"/>
    <n v="-9.1743119266055051E-2"/>
    <n v="476"/>
  </r>
  <r>
    <x v="3"/>
    <n v="1"/>
    <n v="346"/>
    <x v="2"/>
    <x v="2"/>
    <x v="2"/>
    <n v="475"/>
    <n v="3048"/>
    <n v="2940"/>
    <n v="2957"/>
    <n v="2391"/>
    <m/>
    <m/>
    <n v="475"/>
    <m/>
    <n v="4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3">
  <r>
    <x v="0"/>
    <m/>
    <x v="0"/>
    <x v="0"/>
    <n v="701"/>
    <s v="Jimmy"/>
    <s v="Diurno"/>
    <n v="452.5"/>
    <n v="45.25"/>
    <n v="45"/>
    <n v="1.1361111111111112E-2"/>
    <n v="5.1409027777777787"/>
    <n v="10"/>
    <n v="45.25"/>
    <n v="1.0055555555555555"/>
    <m/>
    <m/>
  </r>
  <r>
    <x v="0"/>
    <m/>
    <x v="0"/>
    <x v="0"/>
    <n v="701"/>
    <s v="Rodriguez"/>
    <s v="Diurno"/>
    <n v="452.5"/>
    <n v="45.25"/>
    <n v="45"/>
    <n v="1.1361111111111112E-2"/>
    <n v="5.1409027777777787"/>
    <n v="10"/>
    <n v="45.25"/>
    <n v="1.0055555555555555"/>
    <m/>
    <m/>
  </r>
  <r>
    <x v="0"/>
    <m/>
    <x v="0"/>
    <x v="1"/>
    <n v="700"/>
    <s v="Balladares"/>
    <s v="Diurno"/>
    <n v="459.34"/>
    <n v="45.933999999999997"/>
    <n v="55"/>
    <n v="9.295454545454546E-3"/>
    <n v="4.2697740909090909"/>
    <n v="10"/>
    <n v="45.933999999999997"/>
    <n v="0.83516363636363633"/>
    <m/>
    <m/>
  </r>
  <r>
    <x v="0"/>
    <m/>
    <x v="0"/>
    <x v="1"/>
    <n v="700"/>
    <s v="Nunura"/>
    <s v="Diurno"/>
    <n v="459.33"/>
    <n v="45.933"/>
    <n v="55"/>
    <n v="9.295454545454546E-3"/>
    <n v="4.2696811363636371"/>
    <n v="10"/>
    <n v="45.933"/>
    <n v="0.83514545454545452"/>
    <m/>
    <m/>
  </r>
  <r>
    <x v="0"/>
    <m/>
    <x v="0"/>
    <x v="1"/>
    <n v="700"/>
    <s v="Bazan"/>
    <s v="Diurno"/>
    <n v="459.33"/>
    <n v="45.933"/>
    <n v="55"/>
    <n v="9.295454545454546E-3"/>
    <n v="4.2696811363636371"/>
    <n v="10"/>
    <n v="45.933"/>
    <n v="0.83514545454545452"/>
    <m/>
    <m/>
  </r>
  <r>
    <x v="0"/>
    <m/>
    <x v="1"/>
    <x v="2"/>
    <n v="698"/>
    <s v="Robledo"/>
    <s v="Diurno"/>
    <n v="538"/>
    <n v="53.8"/>
    <n v="92"/>
    <n v="5.5570652173913045E-3"/>
    <n v="2.9897010869565217"/>
    <n v="10"/>
    <n v="53.8"/>
    <n v="0.58478260869565213"/>
    <m/>
    <m/>
  </r>
  <r>
    <x v="0"/>
    <m/>
    <x v="1"/>
    <x v="2"/>
    <n v="698"/>
    <s v="Polanco"/>
    <s v="Diurno"/>
    <n v="538"/>
    <n v="53.8"/>
    <n v="92"/>
    <n v="5.5570652173913045E-3"/>
    <n v="2.9897010869565217"/>
    <n v="10"/>
    <n v="53.8"/>
    <n v="0.58478260869565213"/>
    <m/>
    <m/>
  </r>
  <r>
    <x v="0"/>
    <m/>
    <x v="1"/>
    <x v="2"/>
    <n v="698"/>
    <s v="Solis"/>
    <s v="Diurno"/>
    <n v="538"/>
    <n v="53.8"/>
    <n v="92"/>
    <n v="5.5570652173913045E-3"/>
    <n v="2.9897010869565217"/>
    <n v="10"/>
    <n v="53.8"/>
    <n v="0.58478260869565213"/>
    <m/>
    <m/>
  </r>
  <r>
    <x v="1"/>
    <m/>
    <x v="2"/>
    <x v="3"/>
    <n v="342"/>
    <s v="Carpio"/>
    <s v="Diurno"/>
    <n v="4293"/>
    <n v="536.625"/>
    <n v="500"/>
    <n v="1.0225E-3"/>
    <n v="4.3895925"/>
    <n v="8"/>
    <n v="536.625"/>
    <n v="1.07325"/>
    <n v="2"/>
    <s v="1 h revision de cuchillas / 1h limpieza por cambio de material"/>
  </r>
  <r>
    <x v="0"/>
    <m/>
    <x v="3"/>
    <x v="4"/>
    <n v="102"/>
    <s v="Castro"/>
    <s v="Diurno"/>
    <n v="405"/>
    <n v="40.5"/>
    <n v="45"/>
    <n v="1.1361111111111112E-2"/>
    <n v="4.6012500000000003"/>
    <n v="10"/>
    <n v="40.5"/>
    <n v="0.9"/>
    <m/>
    <m/>
  </r>
  <r>
    <x v="0"/>
    <m/>
    <x v="4"/>
    <x v="5"/>
    <m/>
    <s v="Segura"/>
    <s v="Diurno"/>
    <n v="1"/>
    <n v="1"/>
    <m/>
    <n v="0.3483"/>
    <n v="1.7415"/>
    <n v="5"/>
    <n v="0.2"/>
    <e v="#N/A"/>
    <m/>
    <m/>
  </r>
  <r>
    <x v="0"/>
    <m/>
    <x v="3"/>
    <x v="4"/>
    <n v="103"/>
    <s v="Segura"/>
    <s v="Diurno"/>
    <n v="150"/>
    <n v="30"/>
    <n v="45"/>
    <n v="1.1361111111111112E-2"/>
    <n v="1.7041666666666668"/>
    <n v="5"/>
    <n v="30"/>
    <n v="0.66666666666666663"/>
    <m/>
    <m/>
  </r>
  <r>
    <x v="0"/>
    <m/>
    <x v="3"/>
    <x v="4"/>
    <n v="103"/>
    <s v="Quiñonez"/>
    <s v="Diurno"/>
    <n v="88"/>
    <n v="29.333333333333332"/>
    <n v="45"/>
    <n v="1.1361111111111112E-2"/>
    <n v="0.99977777777777777"/>
    <n v="3"/>
    <n v="29.333333333333332"/>
    <n v="0.65185185185185179"/>
    <m/>
    <m/>
  </r>
  <r>
    <x v="0"/>
    <m/>
    <x v="5"/>
    <x v="5"/>
    <m/>
    <s v="Quiñonez"/>
    <s v="Diurno"/>
    <n v="1"/>
    <n v="1"/>
    <m/>
    <n v="0.3483"/>
    <n v="2.4380999999999999"/>
    <n v="7"/>
    <n v="0.14285714285714285"/>
    <e v="#N/A"/>
    <m/>
    <m/>
  </r>
  <r>
    <x v="0"/>
    <m/>
    <x v="6"/>
    <x v="6"/>
    <s v="1201/1202"/>
    <s v="Suarez"/>
    <s v="Diurno"/>
    <n v="767.5"/>
    <n v="85.277777777777771"/>
    <n v="70"/>
    <n v="1.0955714285714286E-2"/>
    <n v="8.408510714285713"/>
    <n v="9"/>
    <n v="85.277777777777771"/>
    <n v="1.2182539682539681"/>
    <n v="1"/>
    <s v="Limpieza"/>
  </r>
  <r>
    <x v="0"/>
    <m/>
    <x v="6"/>
    <x v="6"/>
    <s v="1201/1202"/>
    <s v="Vicente"/>
    <s v="Diurno"/>
    <n v="767.5"/>
    <n v="85.277777777777771"/>
    <n v="70"/>
    <n v="1.0955714285714286E-2"/>
    <n v="8.408510714285713"/>
    <n v="9"/>
    <n v="85.277777777777771"/>
    <n v="1.2182539682539681"/>
    <n v="1"/>
    <s v="Limpieza"/>
  </r>
  <r>
    <x v="0"/>
    <m/>
    <x v="2"/>
    <x v="3"/>
    <n v="343"/>
    <s v="Carpio"/>
    <s v="Diurno"/>
    <n v="2539"/>
    <n v="423.16666666666669"/>
    <n v="500"/>
    <n v="1.0225E-3"/>
    <n v="2.5961275000000001"/>
    <n v="6"/>
    <n v="423.16666666666669"/>
    <n v="0.84633333333333338"/>
    <m/>
    <m/>
  </r>
  <r>
    <x v="0"/>
    <m/>
    <x v="7"/>
    <x v="3"/>
    <n v="343"/>
    <s v="Carpio"/>
    <s v="Diurno"/>
    <n v="464"/>
    <n v="116"/>
    <n v="200"/>
    <n v="2.5562499999999999E-3"/>
    <n v="1.1860999999999999"/>
    <n v="4"/>
    <n v="116"/>
    <n v="0.57999999999999996"/>
    <m/>
    <m/>
  </r>
  <r>
    <x v="0"/>
    <m/>
    <x v="0"/>
    <x v="0"/>
    <n v="699"/>
    <s v="Ciro"/>
    <s v="Diurno"/>
    <n v="193"/>
    <n v="38.6"/>
    <n v="45"/>
    <n v="1.1361111111111112E-2"/>
    <n v="2.1926944444444447"/>
    <n v="5"/>
    <n v="38.6"/>
    <n v="0.85777777777777786"/>
    <m/>
    <m/>
  </r>
  <r>
    <x v="0"/>
    <m/>
    <x v="0"/>
    <x v="0"/>
    <n v="699"/>
    <s v="Andrade"/>
    <s v="Diurno"/>
    <n v="193"/>
    <n v="38.6"/>
    <n v="45"/>
    <n v="1.1361111111111112E-2"/>
    <n v="2.1926944444444447"/>
    <n v="5"/>
    <n v="38.6"/>
    <n v="0.85777777777777786"/>
    <m/>
    <m/>
  </r>
  <r>
    <x v="0"/>
    <m/>
    <x v="4"/>
    <x v="5"/>
    <m/>
    <s v="Ciro"/>
    <s v="Diurno"/>
    <n v="1"/>
    <n v="1"/>
    <m/>
    <n v="0.3483"/>
    <n v="1.7415"/>
    <n v="5"/>
    <n v="0.2"/>
    <e v="#N/A"/>
    <m/>
    <s v="Limpieza de área nueva de trabajo"/>
  </r>
  <r>
    <x v="0"/>
    <m/>
    <x v="4"/>
    <x v="5"/>
    <m/>
    <s v="Andrade"/>
    <s v="Diurno"/>
    <n v="1"/>
    <n v="1"/>
    <m/>
    <n v="0.3483"/>
    <n v="1.7415"/>
    <n v="5"/>
    <n v="0.2"/>
    <e v="#N/A"/>
    <m/>
    <s v="Limpieza de área nueva de trabajo"/>
  </r>
  <r>
    <x v="2"/>
    <m/>
    <x v="1"/>
    <x v="2"/>
    <n v="705"/>
    <s v="Solis"/>
    <s v="Diurno"/>
    <n v="464"/>
    <n v="92.8"/>
    <n v="92"/>
    <n v="5.5570652173913045E-3"/>
    <n v="2.5784782608695651"/>
    <n v="5"/>
    <n v="92.8"/>
    <n v="1.008695652173913"/>
    <m/>
    <m/>
  </r>
  <r>
    <x v="2"/>
    <m/>
    <x v="1"/>
    <x v="2"/>
    <n v="705"/>
    <s v="Polanco"/>
    <s v="Diurno"/>
    <n v="464"/>
    <n v="92.8"/>
    <n v="92"/>
    <n v="5.5570652173913045E-3"/>
    <n v="2.5784782608695651"/>
    <n v="5"/>
    <n v="92.8"/>
    <n v="1.008695652173913"/>
    <m/>
    <m/>
  </r>
  <r>
    <x v="2"/>
    <m/>
    <x v="4"/>
    <x v="5"/>
    <m/>
    <s v="Solis"/>
    <s v="Diurno"/>
    <n v="1"/>
    <n v="1"/>
    <m/>
    <n v="0.3483"/>
    <n v="1.7415"/>
    <n v="5"/>
    <n v="0.2"/>
    <e v="#N/A"/>
    <m/>
    <s v="Inventario de tulas"/>
  </r>
  <r>
    <x v="2"/>
    <m/>
    <x v="4"/>
    <x v="5"/>
    <m/>
    <s v="Polanco"/>
    <s v="Diurno"/>
    <n v="1"/>
    <n v="1"/>
    <m/>
    <n v="0.3483"/>
    <n v="1.7415"/>
    <n v="5"/>
    <n v="0.2"/>
    <e v="#N/A"/>
    <m/>
    <s v="Inventario de tulas"/>
  </r>
  <r>
    <x v="2"/>
    <m/>
    <x v="0"/>
    <x v="1"/>
    <n v="706"/>
    <s v="Bazan"/>
    <s v="Diurno"/>
    <n v="564"/>
    <n v="56.4"/>
    <n v="55"/>
    <n v="9.295454545454546E-3"/>
    <n v="5.2426363636363638"/>
    <n v="10"/>
    <n v="56.4"/>
    <n v="1.0254545454545454"/>
    <m/>
    <m/>
  </r>
  <r>
    <x v="2"/>
    <m/>
    <x v="0"/>
    <x v="1"/>
    <n v="706"/>
    <s v="Balladares"/>
    <s v="Diurno"/>
    <n v="564"/>
    <n v="56.4"/>
    <n v="55"/>
    <n v="9.295454545454546E-3"/>
    <n v="5.2426363636363638"/>
    <n v="10"/>
    <n v="56.4"/>
    <n v="1.0254545454545454"/>
    <m/>
    <m/>
  </r>
  <r>
    <x v="2"/>
    <m/>
    <x v="0"/>
    <x v="1"/>
    <n v="706"/>
    <s v="Nunura"/>
    <s v="Diurno"/>
    <n v="564"/>
    <n v="56.4"/>
    <n v="55"/>
    <n v="9.295454545454546E-3"/>
    <n v="5.2426363636363638"/>
    <n v="10"/>
    <n v="56.4"/>
    <n v="1.0254545454545454"/>
    <m/>
    <m/>
  </r>
  <r>
    <x v="2"/>
    <m/>
    <x v="7"/>
    <x v="3"/>
    <n v="344"/>
    <s v="Carpio"/>
    <s v="Diurno"/>
    <n v="1245"/>
    <n v="124.5"/>
    <n v="200"/>
    <n v="2.5562499999999999E-3"/>
    <n v="3.1825312499999998"/>
    <n v="10"/>
    <n v="124.5"/>
    <n v="0.62250000000000005"/>
    <m/>
    <m/>
  </r>
  <r>
    <x v="2"/>
    <m/>
    <x v="0"/>
    <x v="0"/>
    <n v="704"/>
    <s v="Rodriguez"/>
    <s v="Diurno"/>
    <n v="568"/>
    <n v="56.8"/>
    <n v="45"/>
    <n v="1.1361111111111112E-2"/>
    <n v="6.4531111111111112"/>
    <n v="10"/>
    <n v="56.8"/>
    <n v="1.2622222222222221"/>
    <m/>
    <m/>
  </r>
  <r>
    <x v="2"/>
    <m/>
    <x v="0"/>
    <x v="0"/>
    <n v="703"/>
    <s v="Ciro"/>
    <s v="Diurno"/>
    <n v="404"/>
    <n v="40.4"/>
    <n v="45"/>
    <n v="1.1361111111111112E-2"/>
    <n v="4.5898888888888889"/>
    <n v="10"/>
    <n v="40.4"/>
    <n v="0.89777777777777779"/>
    <m/>
    <m/>
  </r>
  <r>
    <x v="2"/>
    <m/>
    <x v="0"/>
    <x v="0"/>
    <n v="703"/>
    <s v="Andrade"/>
    <s v="Diurno"/>
    <n v="404"/>
    <n v="40.4"/>
    <n v="45"/>
    <n v="1.1361111111111112E-2"/>
    <n v="4.5898888888888889"/>
    <n v="10"/>
    <n v="40.4"/>
    <n v="0.89777777777777779"/>
    <m/>
    <m/>
  </r>
  <r>
    <x v="2"/>
    <m/>
    <x v="3"/>
    <x v="4"/>
    <n v="104"/>
    <s v="Segura"/>
    <s v="Diurno"/>
    <n v="383.5"/>
    <n v="38.35"/>
    <n v="45"/>
    <n v="1.1361111111111112E-2"/>
    <n v="4.3569861111111114"/>
    <n v="10"/>
    <n v="38.35"/>
    <n v="0.85222222222222221"/>
    <m/>
    <m/>
  </r>
  <r>
    <x v="2"/>
    <m/>
    <x v="3"/>
    <x v="4"/>
    <n v="104"/>
    <s v="Quiñonez"/>
    <s v="Diurno"/>
    <n v="383.5"/>
    <n v="42.611111111111114"/>
    <n v="45"/>
    <n v="1.1361111111111112E-2"/>
    <n v="4.3569861111111114"/>
    <n v="9"/>
    <n v="42.611111111111114"/>
    <n v="0.94691358024691363"/>
    <m/>
    <m/>
  </r>
  <r>
    <x v="2"/>
    <m/>
    <x v="5"/>
    <x v="5"/>
    <m/>
    <s v="Quiñonez"/>
    <s v="Diurno"/>
    <n v="1"/>
    <n v="1"/>
    <m/>
    <n v="0.3483"/>
    <n v="0.3483"/>
    <n v="1"/>
    <n v="1"/>
    <e v="#N/A"/>
    <m/>
    <m/>
  </r>
  <r>
    <x v="3"/>
    <m/>
    <x v="0"/>
    <x v="0"/>
    <n v="713"/>
    <s v="Rodriguez"/>
    <s v="Diurno"/>
    <n v="515.5"/>
    <n v="51.55"/>
    <n v="45"/>
    <n v="1.1361111111111112E-2"/>
    <n v="5.8566527777777777"/>
    <n v="10"/>
    <n v="51.55"/>
    <n v="1.1455555555555554"/>
    <m/>
    <m/>
  </r>
  <r>
    <x v="3"/>
    <m/>
    <x v="0"/>
    <x v="0"/>
    <n v="713"/>
    <s v="Jimmy"/>
    <s v="Diurno"/>
    <n v="515.5"/>
    <n v="51.55"/>
    <n v="45"/>
    <n v="1.1361111111111112E-2"/>
    <n v="5.8566527777777777"/>
    <n v="10"/>
    <n v="51.55"/>
    <n v="1.1455555555555554"/>
    <m/>
    <m/>
  </r>
  <r>
    <x v="3"/>
    <m/>
    <x v="0"/>
    <x v="1"/>
    <n v="710"/>
    <s v="Bazan"/>
    <s v="Diurno"/>
    <n v="474.33333333333331"/>
    <n v="47.43333333333333"/>
    <n v="55"/>
    <n v="9.295454545454546E-3"/>
    <n v="4.4091439393939389"/>
    <n v="10"/>
    <n v="47.43333333333333"/>
    <n v="0.86242424242424232"/>
    <m/>
    <m/>
  </r>
  <r>
    <x v="3"/>
    <m/>
    <x v="0"/>
    <x v="1"/>
    <n v="710"/>
    <s v="Balladares"/>
    <s v="Diurno"/>
    <n v="474.33333333333331"/>
    <n v="47.43333333333333"/>
    <n v="55"/>
    <n v="9.295454545454546E-3"/>
    <n v="4.4091439393939389"/>
    <n v="10"/>
    <n v="47.43333333333333"/>
    <n v="0.86242424242424232"/>
    <m/>
    <m/>
  </r>
  <r>
    <x v="3"/>
    <m/>
    <x v="0"/>
    <x v="1"/>
    <n v="710"/>
    <s v="Nunura"/>
    <s v="Diurno"/>
    <n v="474.33333333333331"/>
    <n v="47.43333333333333"/>
    <n v="55"/>
    <n v="9.295454545454546E-3"/>
    <n v="4.4091439393939389"/>
    <n v="10"/>
    <n v="47.43333333333333"/>
    <n v="0.86242424242424232"/>
    <m/>
    <m/>
  </r>
  <r>
    <x v="3"/>
    <m/>
    <x v="1"/>
    <x v="2"/>
    <n v="709"/>
    <s v="Polanco"/>
    <s v="Diurno"/>
    <n v="876.33333333333337"/>
    <n v="87.63333333333334"/>
    <n v="92"/>
    <n v="5.5570652173913045E-3"/>
    <n v="4.8698414855072469"/>
    <n v="10"/>
    <n v="87.63333333333334"/>
    <n v="0.952536231884058"/>
    <m/>
    <m/>
  </r>
  <r>
    <x v="3"/>
    <m/>
    <x v="1"/>
    <x v="2"/>
    <n v="709"/>
    <s v="Robledo"/>
    <s v="Diurno"/>
    <n v="876.33333333333337"/>
    <n v="87.63333333333334"/>
    <n v="92"/>
    <n v="5.5570652173913045E-3"/>
    <n v="4.8698414855072469"/>
    <n v="10"/>
    <n v="87.63333333333334"/>
    <n v="0.952536231884058"/>
    <m/>
    <m/>
  </r>
  <r>
    <x v="3"/>
    <m/>
    <x v="1"/>
    <x v="2"/>
    <n v="709"/>
    <s v="Solis"/>
    <s v="Diurno"/>
    <n v="876.33333333333337"/>
    <n v="87.63333333333334"/>
    <n v="92"/>
    <n v="5.5570652173913045E-3"/>
    <n v="4.8698414855072469"/>
    <n v="10"/>
    <n v="87.63333333333334"/>
    <n v="0.952536231884058"/>
    <m/>
    <m/>
  </r>
  <r>
    <x v="3"/>
    <m/>
    <x v="0"/>
    <x v="0"/>
    <n v="712"/>
    <s v="Ciro"/>
    <s v="Diurno"/>
    <n v="419.5"/>
    <n v="41.95"/>
    <n v="45"/>
    <n v="1.1361111111111112E-2"/>
    <n v="4.7659861111111121"/>
    <n v="10"/>
    <n v="41.95"/>
    <n v="0.93222222222222229"/>
    <m/>
    <m/>
  </r>
  <r>
    <x v="3"/>
    <m/>
    <x v="0"/>
    <x v="0"/>
    <n v="712"/>
    <s v="Andrade"/>
    <s v="Diurno"/>
    <n v="419.5"/>
    <n v="41.95"/>
    <n v="45"/>
    <n v="1.1361111111111112E-2"/>
    <n v="4.7659861111111121"/>
    <n v="10"/>
    <n v="41.95"/>
    <n v="0.93222222222222229"/>
    <m/>
    <m/>
  </r>
  <r>
    <x v="3"/>
    <m/>
    <x v="3"/>
    <x v="4"/>
    <n v="105"/>
    <s v="Segura"/>
    <s v="Diurno"/>
    <n v="444"/>
    <n v="44.4"/>
    <n v="45"/>
    <n v="1.1361111111111112E-2"/>
    <n v="5.0443333333333342"/>
    <n v="10"/>
    <n v="44.4"/>
    <n v="0.98666666666666658"/>
    <m/>
    <m/>
  </r>
  <r>
    <x v="3"/>
    <m/>
    <x v="7"/>
    <x v="3"/>
    <n v="346"/>
    <s v="Carpio"/>
    <s v="Diurno"/>
    <n v="475"/>
    <n v="135.71428571428572"/>
    <n v="200"/>
    <n v="2.5562499999999999E-3"/>
    <n v="1.2142187500000001"/>
    <n v="3.5"/>
    <n v="135.71428571428572"/>
    <n v="0.6785714285714286"/>
    <m/>
    <m/>
  </r>
  <r>
    <x v="3"/>
    <m/>
    <x v="2"/>
    <x v="3"/>
    <n v="345"/>
    <s v="Carpio"/>
    <s v="Diurno"/>
    <n v="2556"/>
    <n v="393.23076923076923"/>
    <n v="500"/>
    <n v="1.0225E-3"/>
    <n v="2.6135099999999998"/>
    <n v="6.5"/>
    <n v="393.23076923076923"/>
    <n v="0.78646153846153843"/>
    <m/>
    <m/>
  </r>
  <r>
    <x v="4"/>
    <m/>
    <x v="0"/>
    <x v="2"/>
    <n v="1179"/>
    <s v="Nunura"/>
    <s v="Diurno"/>
    <n v="986.3"/>
    <n v="98.63"/>
    <n v="80"/>
    <n v="6.3899999999999998E-3"/>
    <n v="6.3024569999999986"/>
    <n v="10"/>
    <n v="98.63"/>
    <n v="1.2328749999999999"/>
    <m/>
    <m/>
  </r>
  <r>
    <x v="4"/>
    <m/>
    <x v="0"/>
    <x v="2"/>
    <n v="1179"/>
    <s v="Segura"/>
    <s v="Diurno"/>
    <n v="986.3"/>
    <n v="98.63"/>
    <n v="80"/>
    <n v="6.3899999999999998E-3"/>
    <n v="6.3024569999999986"/>
    <n v="10"/>
    <n v="98.63"/>
    <n v="1.2328749999999999"/>
    <m/>
    <m/>
  </r>
  <r>
    <x v="4"/>
    <m/>
    <x v="6"/>
    <x v="6"/>
    <n v="1179"/>
    <s v="Suarez"/>
    <s v="Diurno"/>
    <n v="986.3"/>
    <n v="98.63"/>
    <n v="70"/>
    <n v="1.0955714285714286E-2"/>
    <n v="10.805620999999999"/>
    <n v="10"/>
    <n v="98.63"/>
    <n v="1.409"/>
    <m/>
    <m/>
  </r>
  <r>
    <x v="5"/>
    <m/>
    <x v="8"/>
    <x v="5"/>
    <m/>
    <s v="Castro"/>
    <s v="Diurno"/>
    <n v="1"/>
    <n v="1"/>
    <m/>
    <n v="0.3483"/>
    <n v="2.7864"/>
    <n v="8"/>
    <n v="0.125"/>
    <e v="#N/A"/>
    <m/>
    <s v="Inventario de patio. Solo trabajaron hasta las 4"/>
  </r>
  <r>
    <x v="2"/>
    <m/>
    <x v="8"/>
    <x v="5"/>
    <m/>
    <s v="Castro"/>
    <s v="Nocturno"/>
    <n v="1"/>
    <n v="1"/>
    <m/>
    <n v="0.3483"/>
    <n v="3.8313000000000001"/>
    <n v="11"/>
    <n v="9.0909090909090912E-2"/>
    <e v="#N/A"/>
    <m/>
    <m/>
  </r>
  <r>
    <x v="4"/>
    <m/>
    <x v="0"/>
    <x v="2"/>
    <n v="1179"/>
    <s v="Castro"/>
    <s v="Diurno"/>
    <n v="522.1"/>
    <n v="87.016666666666666"/>
    <n v="80"/>
    <n v="6.3899999999999998E-3"/>
    <n v="3.3362189999999998"/>
    <n v="6"/>
    <n v="87.016666666666666"/>
    <n v="1.0877083333333333"/>
    <m/>
    <m/>
  </r>
  <r>
    <x v="4"/>
    <m/>
    <x v="3"/>
    <x v="4"/>
    <n v="99"/>
    <s v="Castro"/>
    <s v="Diurno"/>
    <n v="210"/>
    <n v="52.5"/>
    <n v="45"/>
    <n v="1.1361111111111112E-2"/>
    <n v="2.3858333333333333"/>
    <n v="4"/>
    <n v="52.5"/>
    <n v="1.1666666666666667"/>
    <m/>
    <m/>
  </r>
  <r>
    <x v="4"/>
    <m/>
    <x v="5"/>
    <x v="5"/>
    <m/>
    <s v="Carpio"/>
    <s v="Diurno"/>
    <n v="1"/>
    <n v="1"/>
    <m/>
    <n v="0.3483"/>
    <n v="3.4830000000000001"/>
    <n v="10"/>
    <n v="0.1"/>
    <e v="#N/A"/>
    <m/>
    <m/>
  </r>
  <r>
    <x v="4"/>
    <m/>
    <x v="5"/>
    <x v="5"/>
    <m/>
    <s v="Robledo"/>
    <s v="Diurno"/>
    <n v="1"/>
    <n v="1"/>
    <m/>
    <n v="0.3483"/>
    <n v="3.4830000000000001"/>
    <n v="10"/>
    <n v="0.1"/>
    <e v="#N/A"/>
    <m/>
    <m/>
  </r>
  <r>
    <x v="4"/>
    <m/>
    <x v="5"/>
    <x v="5"/>
    <m/>
    <s v="Palma"/>
    <s v="Diurno"/>
    <n v="1"/>
    <n v="1"/>
    <m/>
    <n v="0.3483"/>
    <n v="3.4830000000000001"/>
    <n v="10"/>
    <n v="0.1"/>
    <e v="#N/A"/>
    <m/>
    <m/>
  </r>
  <r>
    <x v="4"/>
    <m/>
    <x v="5"/>
    <x v="7"/>
    <m/>
    <s v="Jimmy"/>
    <s v="Diurno"/>
    <n v="1"/>
    <n v="1"/>
    <m/>
    <n v="0.3483"/>
    <n v="3.4830000000000001"/>
    <n v="10"/>
    <n v="0.1"/>
    <e v="#N/A"/>
    <m/>
    <m/>
  </r>
  <r>
    <x v="4"/>
    <m/>
    <x v="5"/>
    <x v="5"/>
    <m/>
    <s v="Polanco"/>
    <s v="Diurno"/>
    <n v="1"/>
    <n v="1"/>
    <m/>
    <n v="0.3483"/>
    <n v="3.4830000000000001"/>
    <n v="10"/>
    <n v="0.1"/>
    <e v="#N/A"/>
    <m/>
    <m/>
  </r>
  <r>
    <x v="4"/>
    <m/>
    <x v="9"/>
    <x v="1"/>
    <m/>
    <s v="Quiñonez"/>
    <s v="Diurno"/>
    <n v="140"/>
    <n v="20"/>
    <n v="17"/>
    <n v="3.0073529411764707E-2"/>
    <n v="4.2102941176470594"/>
    <n v="7"/>
    <n v="20"/>
    <n v="1.1764705882352942"/>
    <m/>
    <m/>
  </r>
  <r>
    <x v="4"/>
    <m/>
    <x v="10"/>
    <x v="5"/>
    <m/>
    <s v="Miraba"/>
    <s v="Diurno"/>
    <m/>
    <n v="1"/>
    <m/>
    <n v="0.3483"/>
    <n v="2.7864"/>
    <n v="8"/>
    <n v="0"/>
    <e v="#N/A"/>
    <m/>
    <m/>
  </r>
  <r>
    <x v="4"/>
    <m/>
    <x v="5"/>
    <x v="5"/>
    <m/>
    <s v="Miraba"/>
    <s v="Diurno"/>
    <n v="1"/>
    <n v="1"/>
    <m/>
    <n v="0.3483"/>
    <n v="0.6966"/>
    <n v="2"/>
    <n v="0.5"/>
    <e v="#N/A"/>
    <m/>
    <m/>
  </r>
  <r>
    <x v="4"/>
    <m/>
    <x v="6"/>
    <x v="6"/>
    <n v="1178"/>
    <s v="Rodriguez"/>
    <s v="Nocturno"/>
    <n v="859.4"/>
    <n v="78.127272727272725"/>
    <n v="70"/>
    <n v="1.0955714285714286E-2"/>
    <n v="9.4153408571428567"/>
    <n v="11"/>
    <n v="78.127272727272725"/>
    <n v="1.116103896103896"/>
    <m/>
    <m/>
  </r>
  <r>
    <x v="4"/>
    <m/>
    <x v="0"/>
    <x v="2"/>
    <n v="1178"/>
    <s v="Ciro"/>
    <s v="Nocturno"/>
    <n v="859.3"/>
    <n v="78.11818181818181"/>
    <n v="80"/>
    <n v="6.3899999999999998E-3"/>
    <n v="5.4909269999999992"/>
    <n v="11"/>
    <n v="78.11818181818181"/>
    <n v="0.97647727272727258"/>
    <m/>
    <m/>
  </r>
  <r>
    <x v="4"/>
    <m/>
    <x v="0"/>
    <x v="2"/>
    <n v="1178"/>
    <s v="Andrade"/>
    <s v="Nocturno"/>
    <n v="859.3"/>
    <n v="78.11818181818181"/>
    <n v="80"/>
    <n v="6.3899999999999998E-3"/>
    <n v="5.4909269999999992"/>
    <n v="11"/>
    <n v="78.11818181818181"/>
    <n v="0.97647727272727258"/>
    <m/>
    <m/>
  </r>
  <r>
    <x v="6"/>
    <m/>
    <x v="6"/>
    <x v="6"/>
    <s v="1180/1182/1183"/>
    <s v="Suarez"/>
    <s v="Diurno"/>
    <n v="1038.75"/>
    <n v="103.875"/>
    <n v="70"/>
    <n v="1.0955714285714286E-2"/>
    <n v="11.380248214285714"/>
    <n v="10"/>
    <n v="103.875"/>
    <n v="1.4839285714285715"/>
    <m/>
    <m/>
  </r>
  <r>
    <x v="6"/>
    <m/>
    <x v="6"/>
    <x v="6"/>
    <s v="1180/1182/1183"/>
    <s v="Segura"/>
    <s v="Diurno"/>
    <n v="1038.75"/>
    <n v="103.875"/>
    <n v="70"/>
    <n v="1.0955714285714286E-2"/>
    <n v="11.380248214285714"/>
    <n v="10"/>
    <n v="103.875"/>
    <n v="1.4839285714285715"/>
    <m/>
    <m/>
  </r>
  <r>
    <x v="6"/>
    <m/>
    <x v="6"/>
    <x v="6"/>
    <s v="1180/1182/1183"/>
    <s v="Castro"/>
    <s v="Diurno"/>
    <n v="1038.75"/>
    <n v="103.875"/>
    <n v="70"/>
    <n v="1.0955714285714286E-2"/>
    <n v="11.380248214285714"/>
    <n v="10"/>
    <n v="103.875"/>
    <n v="1.4839285714285715"/>
    <m/>
    <m/>
  </r>
  <r>
    <x v="6"/>
    <m/>
    <x v="6"/>
    <x v="6"/>
    <s v="1180/1182/1183"/>
    <s v="Solis"/>
    <s v="Diurno"/>
    <n v="1038.75"/>
    <n v="103.875"/>
    <n v="70"/>
    <n v="1.0955714285714286E-2"/>
    <n v="11.380248214285714"/>
    <n v="10"/>
    <n v="103.875"/>
    <n v="1.4839285714285715"/>
    <m/>
    <m/>
  </r>
  <r>
    <x v="6"/>
    <m/>
    <x v="2"/>
    <x v="3"/>
    <n v="339"/>
    <s v="Bazan"/>
    <s v="Diurno"/>
    <n v="2620"/>
    <n v="262"/>
    <n v="500"/>
    <n v="1.0225E-3"/>
    <n v="2.6789499999999999"/>
    <n v="10"/>
    <n v="262"/>
    <n v="0.52400000000000002"/>
    <m/>
    <m/>
  </r>
  <r>
    <x v="6"/>
    <m/>
    <x v="5"/>
    <x v="7"/>
    <m/>
    <s v="Miraba"/>
    <s v="Diurno"/>
    <n v="1"/>
    <n v="1"/>
    <m/>
    <n v="0.3483"/>
    <n v="3.4830000000000001"/>
    <n v="10"/>
    <n v="0.1"/>
    <e v="#N/A"/>
    <m/>
    <m/>
  </r>
  <r>
    <x v="6"/>
    <m/>
    <x v="5"/>
    <x v="5"/>
    <m/>
    <s v="Robledo"/>
    <s v="Diurno"/>
    <n v="1"/>
    <n v="1"/>
    <m/>
    <n v="0.3483"/>
    <n v="3.4830000000000001"/>
    <n v="10"/>
    <n v="0.1"/>
    <e v="#N/A"/>
    <m/>
    <m/>
  </r>
  <r>
    <x v="7"/>
    <m/>
    <x v="0"/>
    <x v="1"/>
    <n v="687"/>
    <s v="Balladares"/>
    <s v="Diurno"/>
    <n v="491.66666666666669"/>
    <n v="54.629629629629633"/>
    <n v="55"/>
    <n v="9.295454545454546E-3"/>
    <n v="4.5702651515151524"/>
    <n v="9"/>
    <n v="54.629629629629633"/>
    <n v="0.9932659932659933"/>
    <m/>
    <m/>
  </r>
  <r>
    <x v="7"/>
    <m/>
    <x v="0"/>
    <x v="1"/>
    <n v="687"/>
    <s v="Nunura"/>
    <s v="Diurno"/>
    <n v="491.66666666666669"/>
    <n v="54.629629629629633"/>
    <n v="55"/>
    <n v="9.295454545454546E-3"/>
    <n v="4.5702651515151524"/>
    <n v="9"/>
    <n v="54.629629629629633"/>
    <n v="0.9932659932659933"/>
    <m/>
    <m/>
  </r>
  <r>
    <x v="7"/>
    <m/>
    <x v="0"/>
    <x v="1"/>
    <n v="687"/>
    <s v="Bazan"/>
    <s v="Diurno"/>
    <n v="491.66666666666669"/>
    <n v="54.629629629629633"/>
    <n v="55"/>
    <n v="9.295454545454546E-3"/>
    <n v="4.5702651515151524"/>
    <n v="9"/>
    <n v="54.629629629629633"/>
    <n v="0.9932659932659933"/>
    <m/>
    <m/>
  </r>
  <r>
    <x v="7"/>
    <m/>
    <x v="5"/>
    <x v="5"/>
    <m/>
    <s v="Robledo"/>
    <s v="Diurno"/>
    <n v="1"/>
    <n v="1"/>
    <m/>
    <n v="0.3483"/>
    <n v="3.4830000000000001"/>
    <n v="10"/>
    <n v="0.1"/>
    <e v="#N/A"/>
    <m/>
    <m/>
  </r>
  <r>
    <x v="7"/>
    <m/>
    <x v="5"/>
    <x v="5"/>
    <m/>
    <s v="Carpio"/>
    <s v="Diurno"/>
    <n v="1"/>
    <n v="1"/>
    <m/>
    <n v="0.3483"/>
    <n v="3.4830000000000001"/>
    <n v="10"/>
    <n v="0.1"/>
    <e v="#N/A"/>
    <m/>
    <m/>
  </r>
  <r>
    <x v="7"/>
    <m/>
    <x v="3"/>
    <x v="4"/>
    <n v="100"/>
    <s v="Segura"/>
    <s v="Diurno"/>
    <n v="306"/>
    <n v="30.6"/>
    <n v="45"/>
    <n v="1.1361111111111112E-2"/>
    <n v="3.4765000000000001"/>
    <n v="10"/>
    <n v="30.6"/>
    <n v="0.68"/>
    <m/>
    <m/>
  </r>
  <r>
    <x v="7"/>
    <m/>
    <x v="1"/>
    <x v="2"/>
    <n v="689"/>
    <s v="Solis"/>
    <s v="Diurno"/>
    <n v="796"/>
    <n v="79.599999999999994"/>
    <n v="92"/>
    <n v="5.5570652173913045E-3"/>
    <n v="4.4234239130434787"/>
    <n v="10"/>
    <n v="79.599999999999994"/>
    <n v="0.86521739130434772"/>
    <m/>
    <m/>
  </r>
  <r>
    <x v="7"/>
    <m/>
    <x v="11"/>
    <x v="8"/>
    <n v="119"/>
    <s v="Castro"/>
    <s v="Diurno"/>
    <n v="680"/>
    <n v="68"/>
    <n v="75"/>
    <n v="1.0225333333333333E-2"/>
    <n v="6.9532266666666667"/>
    <n v="10"/>
    <n v="68"/>
    <n v="0.90666666666666662"/>
    <m/>
    <m/>
  </r>
  <r>
    <x v="7"/>
    <m/>
    <x v="4"/>
    <x v="9"/>
    <m/>
    <s v="Ciro"/>
    <s v="Diurno"/>
    <n v="1"/>
    <n v="1"/>
    <m/>
    <n v="0.3483"/>
    <n v="3.4830000000000001"/>
    <n v="10"/>
    <n v="0.1"/>
    <e v="#N/A"/>
    <m/>
    <m/>
  </r>
  <r>
    <x v="8"/>
    <m/>
    <x v="9"/>
    <x v="1"/>
    <m/>
    <s v="Quiñonez"/>
    <s v="Diurno"/>
    <n v="64"/>
    <n v="9.1428571428571423"/>
    <n v="17"/>
    <n v="3.0073529411764707E-2"/>
    <n v="1.924705882352941"/>
    <n v="7"/>
    <n v="9.1428571428571423"/>
    <n v="0.53781512605042014"/>
    <m/>
    <m/>
  </r>
  <r>
    <x v="7"/>
    <m/>
    <x v="9"/>
    <x v="1"/>
    <m/>
    <s v="Quiñonez"/>
    <s v="Diurno"/>
    <n v="81"/>
    <n v="8.1"/>
    <n v="17"/>
    <n v="3.0073529411764707E-2"/>
    <n v="2.4359558823529412"/>
    <n v="10"/>
    <n v="8.1"/>
    <n v="0.47647058823529409"/>
    <m/>
    <m/>
  </r>
  <r>
    <x v="7"/>
    <m/>
    <x v="5"/>
    <x v="7"/>
    <m/>
    <s v="Andrade"/>
    <s v="Diurno"/>
    <n v="1"/>
    <n v="1"/>
    <m/>
    <n v="0.3483"/>
    <n v="3.4830000000000001"/>
    <n v="10"/>
    <n v="0.1"/>
    <e v="#N/A"/>
    <m/>
    <m/>
  </r>
  <r>
    <x v="7"/>
    <m/>
    <x v="6"/>
    <x v="3"/>
    <n v="1184"/>
    <s v="Vicente"/>
    <s v="Diurno"/>
    <n v="1169"/>
    <n v="584.5"/>
    <n v="700"/>
    <n v="1.0955714285714286E-3"/>
    <n v="1.2807230000000001"/>
    <n v="2"/>
    <n v="584.5"/>
    <n v="0.83499999999999996"/>
    <m/>
    <m/>
  </r>
  <r>
    <x v="7"/>
    <m/>
    <x v="4"/>
    <x v="5"/>
    <m/>
    <s v="Vicente"/>
    <m/>
    <n v="1"/>
    <n v="1"/>
    <m/>
    <n v="0.3483"/>
    <n v="1.7415"/>
    <n v="5"/>
    <n v="0.2"/>
    <e v="#N/A"/>
    <m/>
    <m/>
  </r>
  <r>
    <x v="7"/>
    <m/>
    <x v="4"/>
    <x v="5"/>
    <m/>
    <s v="Rodriguez"/>
    <m/>
    <n v="1"/>
    <n v="1"/>
    <m/>
    <n v="0.3483"/>
    <n v="1.9156500000000001"/>
    <n v="5.5"/>
    <n v="0.18181818181818182"/>
    <e v="#N/A"/>
    <m/>
    <m/>
  </r>
  <r>
    <x v="7"/>
    <m/>
    <x v="4"/>
    <x v="5"/>
    <m/>
    <s v="Rodriguez"/>
    <m/>
    <n v="1"/>
    <n v="1"/>
    <m/>
    <n v="0.3483"/>
    <n v="1.56735"/>
    <n v="4.5"/>
    <n v="0.22222222222222221"/>
    <e v="#N/A"/>
    <m/>
    <m/>
  </r>
  <r>
    <x v="0"/>
    <m/>
    <x v="10"/>
    <x v="5"/>
    <m/>
    <s v="Miraba"/>
    <s v="Diurno"/>
    <m/>
    <n v="1"/>
    <m/>
    <n v="0.3483"/>
    <n v="3.4830000000000001"/>
    <n v="10"/>
    <n v="0"/>
    <e v="#N/A"/>
    <m/>
    <m/>
  </r>
  <r>
    <x v="2"/>
    <m/>
    <x v="10"/>
    <x v="5"/>
    <m/>
    <s v="Miraba"/>
    <s v="Diurno"/>
    <m/>
    <n v="1"/>
    <m/>
    <n v="0.3483"/>
    <n v="3.4830000000000001"/>
    <n v="10"/>
    <n v="0"/>
    <e v="#N/A"/>
    <m/>
    <m/>
  </r>
  <r>
    <x v="7"/>
    <m/>
    <x v="10"/>
    <x v="5"/>
    <m/>
    <s v="Miraba"/>
    <s v="Diurno"/>
    <m/>
    <n v="1"/>
    <m/>
    <n v="0.3483"/>
    <n v="3.4830000000000001"/>
    <n v="10"/>
    <n v="0"/>
    <e v="#N/A"/>
    <m/>
    <m/>
  </r>
  <r>
    <x v="7"/>
    <m/>
    <x v="6"/>
    <x v="3"/>
    <s v="1187/1186/1185"/>
    <s v="Suarez"/>
    <s v="Diurno"/>
    <n v="6118"/>
    <n v="611.79999999999995"/>
    <n v="700"/>
    <n v="1.0955714285714286E-3"/>
    <n v="6.7027059999999992"/>
    <n v="10"/>
    <n v="611.79999999999995"/>
    <n v="0.87399999999999989"/>
    <m/>
    <m/>
  </r>
  <r>
    <x v="7"/>
    <m/>
    <x v="6"/>
    <x v="3"/>
    <s v="1187/1186/1185"/>
    <s v="Jimmy"/>
    <s v="Diurno"/>
    <n v="2622"/>
    <n v="437"/>
    <n v="700"/>
    <n v="1.0955714285714286E-3"/>
    <n v="2.8725882857142859"/>
    <n v="6"/>
    <n v="437"/>
    <n v="0.62428571428571433"/>
    <m/>
    <m/>
  </r>
  <r>
    <x v="7"/>
    <m/>
    <x v="12"/>
    <x v="3"/>
    <n v="870"/>
    <s v="Jimmy"/>
    <s v="Diurno"/>
    <n v="275"/>
    <n v="68.75"/>
    <n v="250"/>
    <n v="3.0675999999999998E-3"/>
    <n v="0.84358999999999995"/>
    <n v="4"/>
    <n v="68.75"/>
    <n v="0.27500000000000002"/>
    <m/>
    <m/>
  </r>
  <r>
    <x v="9"/>
    <m/>
    <x v="1"/>
    <x v="2"/>
    <n v="691"/>
    <s v="Polanco"/>
    <s v="Diurno"/>
    <n v="810.5"/>
    <n v="81.05"/>
    <n v="92"/>
    <n v="5.5570652173913045E-3"/>
    <n v="4.5040013586956524"/>
    <n v="10"/>
    <n v="81.05"/>
    <n v="0.88097826086956521"/>
    <m/>
    <m/>
  </r>
  <r>
    <x v="9"/>
    <m/>
    <x v="1"/>
    <x v="2"/>
    <n v="691"/>
    <s v="Solis"/>
    <s v="Diurno"/>
    <n v="810.5"/>
    <n v="81.05"/>
    <n v="92"/>
    <n v="5.5570652173913045E-3"/>
    <n v="4.5040013586956524"/>
    <n v="10"/>
    <n v="81.05"/>
    <n v="0.88097826086956521"/>
    <m/>
    <m/>
  </r>
  <r>
    <x v="9"/>
    <m/>
    <x v="11"/>
    <x v="8"/>
    <n v="138"/>
    <s v="Castro"/>
    <s v="Diurno"/>
    <n v="673"/>
    <n v="67.3"/>
    <n v="75"/>
    <n v="1.0225333333333333E-2"/>
    <n v="6.8816493333333328"/>
    <n v="10"/>
    <n v="67.3"/>
    <n v="0.89733333333333332"/>
    <m/>
    <m/>
  </r>
  <r>
    <x v="9"/>
    <m/>
    <x v="3"/>
    <x v="4"/>
    <n v="101"/>
    <s v="Segura"/>
    <s v="Diurno"/>
    <n v="206"/>
    <n v="68.666666666666671"/>
    <n v="45"/>
    <n v="1.1361111111111112E-2"/>
    <n v="2.3403888888888891"/>
    <n v="3"/>
    <n v="68.666666666666671"/>
    <n v="1.5259259259259261"/>
    <m/>
    <m/>
  </r>
  <r>
    <x v="9"/>
    <m/>
    <x v="10"/>
    <x v="5"/>
    <m/>
    <s v="Rodriguez"/>
    <s v="Diurno"/>
    <m/>
    <n v="1"/>
    <m/>
    <n v="0.3483"/>
    <n v="2.4380999999999999"/>
    <n v="7"/>
    <n v="0"/>
    <e v="#N/A"/>
    <m/>
    <m/>
  </r>
  <r>
    <x v="9"/>
    <m/>
    <x v="5"/>
    <x v="5"/>
    <m/>
    <s v="Rodriguez"/>
    <s v="Diurno"/>
    <n v="1"/>
    <n v="1"/>
    <m/>
    <n v="0.3483"/>
    <n v="1.0448999999999999"/>
    <n v="3"/>
    <n v="0.33333333333333331"/>
    <e v="#N/A"/>
    <m/>
    <m/>
  </r>
  <r>
    <x v="9"/>
    <m/>
    <x v="0"/>
    <x v="1"/>
    <n v="690"/>
    <s v="Nunura"/>
    <s v="Diurno"/>
    <n v="523.67999999999995"/>
    <n v="52.367999999999995"/>
    <n v="55"/>
    <n v="9.295454545454546E-3"/>
    <n v="4.8678436363636362"/>
    <n v="10"/>
    <n v="52.367999999999995"/>
    <n v="0.95214545454545441"/>
    <m/>
    <m/>
  </r>
  <r>
    <x v="9"/>
    <m/>
    <x v="0"/>
    <x v="1"/>
    <n v="690"/>
    <s v="Balladares"/>
    <s v="Diurno"/>
    <n v="523.66"/>
    <n v="52.366"/>
    <n v="55"/>
    <n v="9.295454545454546E-3"/>
    <n v="4.8676577272727268"/>
    <n v="10"/>
    <n v="52.366"/>
    <n v="0.9521090909090909"/>
    <m/>
    <m/>
  </r>
  <r>
    <x v="9"/>
    <m/>
    <x v="0"/>
    <x v="1"/>
    <n v="690"/>
    <s v="Bazan"/>
    <s v="Diurno"/>
    <n v="523.66"/>
    <n v="52.366"/>
    <n v="55"/>
    <n v="9.295454545454546E-3"/>
    <n v="4.8676577272727268"/>
    <n v="10"/>
    <n v="52.366"/>
    <n v="0.9521090909090909"/>
    <m/>
    <m/>
  </r>
  <r>
    <x v="9"/>
    <m/>
    <x v="5"/>
    <x v="7"/>
    <m/>
    <s v="Andrade"/>
    <s v="Diurno"/>
    <n v="1"/>
    <n v="1"/>
    <m/>
    <n v="0.3483"/>
    <n v="3.4830000000000001"/>
    <n v="10"/>
    <n v="0.1"/>
    <e v="#N/A"/>
    <m/>
    <m/>
  </r>
  <r>
    <x v="9"/>
    <m/>
    <x v="9"/>
    <x v="1"/>
    <m/>
    <s v="Miraba"/>
    <s v="Diurno"/>
    <n v="200"/>
    <n v="20"/>
    <n v="17"/>
    <n v="3.0073529411764707E-2"/>
    <n v="6.014705882352942"/>
    <n v="10"/>
    <n v="20"/>
    <n v="1.1764705882352942"/>
    <m/>
    <m/>
  </r>
  <r>
    <x v="9"/>
    <m/>
    <x v="5"/>
    <x v="5"/>
    <m/>
    <s v="Carpio"/>
    <s v="Diurno"/>
    <n v="1"/>
    <n v="1"/>
    <m/>
    <n v="0.3483"/>
    <n v="3.4830000000000001"/>
    <n v="10"/>
    <n v="0.1"/>
    <e v="#N/A"/>
    <m/>
    <m/>
  </r>
  <r>
    <x v="9"/>
    <m/>
    <x v="12"/>
    <x v="3"/>
    <n v="871"/>
    <s v="Ciro"/>
    <s v="Diurno"/>
    <n v="1125"/>
    <n v="140.625"/>
    <n v="250"/>
    <n v="3.0675999999999998E-3"/>
    <n v="3.4510499999999995"/>
    <n v="8"/>
    <n v="140.625"/>
    <n v="0.5625"/>
    <m/>
    <m/>
  </r>
  <r>
    <x v="9"/>
    <m/>
    <x v="4"/>
    <x v="9"/>
    <m/>
    <s v="Ciro"/>
    <s v="Diurno"/>
    <n v="1"/>
    <n v="1"/>
    <m/>
    <n v="0.3483"/>
    <n v="0.6966"/>
    <n v="2"/>
    <n v="0.5"/>
    <e v="#N/A"/>
    <m/>
    <m/>
  </r>
  <r>
    <x v="9"/>
    <m/>
    <x v="6"/>
    <x v="3"/>
    <n v="1188"/>
    <s v="Vicente"/>
    <s v="Diurno"/>
    <n v="3832"/>
    <n v="638.66666666666663"/>
    <n v="700"/>
    <n v="1.0955714285714286E-3"/>
    <n v="4.1982297142857137"/>
    <n v="6"/>
    <n v="638.66666666666663"/>
    <n v="0.91238095238095229"/>
    <m/>
    <m/>
  </r>
  <r>
    <x v="9"/>
    <m/>
    <x v="6"/>
    <x v="3"/>
    <n v="1190"/>
    <s v="Vicente"/>
    <s v="Diurno"/>
    <n v="980"/>
    <n v="245"/>
    <n v="700"/>
    <n v="1.0955714285714286E-3"/>
    <n v="1.0736600000000001"/>
    <n v="4"/>
    <n v="245"/>
    <n v="0.35"/>
    <m/>
    <m/>
  </r>
  <r>
    <x v="9"/>
    <m/>
    <x v="6"/>
    <x v="3"/>
    <s v="1191/1192"/>
    <s v="Suarez"/>
    <s v="Nocturno"/>
    <n v="4253"/>
    <n v="386.63636363636363"/>
    <n v="700"/>
    <n v="1.0955714285714286E-3"/>
    <n v="4.659465285714286"/>
    <n v="11"/>
    <n v="386.63636363636363"/>
    <n v="0.55233766233766235"/>
    <m/>
    <m/>
  </r>
  <r>
    <x v="9"/>
    <m/>
    <x v="12"/>
    <x v="3"/>
    <n v="872"/>
    <s v="Jimmy"/>
    <s v="Nocturno"/>
    <n v="2075"/>
    <n v="188.63636363636363"/>
    <n v="250"/>
    <n v="3.0675999999999998E-3"/>
    <n v="6.3652699999999998"/>
    <n v="11"/>
    <n v="188.63636363636363"/>
    <n v="0.75454545454545452"/>
    <m/>
    <m/>
  </r>
  <r>
    <x v="9"/>
    <m/>
    <x v="5"/>
    <x v="5"/>
    <m/>
    <s v="Huacon"/>
    <s v="Nocturno"/>
    <n v="1"/>
    <n v="1"/>
    <m/>
    <n v="0.3483"/>
    <n v="3.8313000000000001"/>
    <n v="11"/>
    <n v="9.0909090909090912E-2"/>
    <e v="#N/A"/>
    <m/>
    <m/>
  </r>
  <r>
    <x v="8"/>
    <m/>
    <x v="1"/>
    <x v="2"/>
    <n v="693"/>
    <s v="Polanco"/>
    <s v="Diurno"/>
    <n v="560"/>
    <n v="80"/>
    <n v="92"/>
    <n v="5.5570652173913045E-3"/>
    <n v="3.1119565217391307"/>
    <n v="7"/>
    <n v="80"/>
    <n v="0.86956521739130432"/>
    <m/>
    <m/>
  </r>
  <r>
    <x v="8"/>
    <m/>
    <x v="0"/>
    <x v="1"/>
    <n v="693"/>
    <s v="Polanco"/>
    <s v="Diurno"/>
    <n v="29"/>
    <n v="29"/>
    <n v="55"/>
    <n v="9.295454545454546E-3"/>
    <n v="0.26956818181818182"/>
    <n v="1"/>
    <n v="29"/>
    <n v="0.52727272727272723"/>
    <m/>
    <m/>
  </r>
  <r>
    <x v="8"/>
    <m/>
    <x v="5"/>
    <x v="5"/>
    <m/>
    <s v="Polanco"/>
    <s v="Diurno"/>
    <n v="1"/>
    <n v="1"/>
    <m/>
    <n v="0.3483"/>
    <n v="0.6966"/>
    <n v="2"/>
    <n v="0.5"/>
    <e v="#N/A"/>
    <m/>
    <m/>
  </r>
  <r>
    <x v="8"/>
    <m/>
    <x v="5"/>
    <x v="5"/>
    <m/>
    <s v="Robledo"/>
    <s v="Diurno"/>
    <n v="1"/>
    <n v="1"/>
    <m/>
    <n v="0.3483"/>
    <n v="1.0448999999999999"/>
    <n v="3"/>
    <n v="0.33333333333333331"/>
    <e v="#N/A"/>
    <m/>
    <m/>
  </r>
  <r>
    <x v="8"/>
    <m/>
    <x v="1"/>
    <x v="2"/>
    <n v="693"/>
    <s v="Robledo"/>
    <s v="Diurno"/>
    <n v="480"/>
    <n v="80"/>
    <n v="92"/>
    <n v="5.5570652173913045E-3"/>
    <n v="2.6673913043478263"/>
    <n v="6"/>
    <n v="80"/>
    <n v="0.86956521739130432"/>
    <m/>
    <m/>
  </r>
  <r>
    <x v="8"/>
    <m/>
    <x v="0"/>
    <x v="1"/>
    <n v="693"/>
    <s v="Robledo"/>
    <s v="Diurno"/>
    <n v="25"/>
    <n v="25"/>
    <n v="55"/>
    <n v="9.295454545454546E-3"/>
    <n v="0.23238636363636364"/>
    <n v="1"/>
    <n v="25"/>
    <n v="0.45454545454545453"/>
    <m/>
    <m/>
  </r>
  <r>
    <x v="8"/>
    <m/>
    <x v="1"/>
    <x v="2"/>
    <n v="693"/>
    <s v="Solis"/>
    <s v="Diurno"/>
    <n v="872"/>
    <n v="87.2"/>
    <n v="92"/>
    <n v="5.5570652173913045E-3"/>
    <n v="4.8457608695652175"/>
    <n v="10"/>
    <n v="87.2"/>
    <n v="0.94782608695652182"/>
    <m/>
    <m/>
  </r>
  <r>
    <x v="8"/>
    <m/>
    <x v="0"/>
    <x v="1"/>
    <n v="690"/>
    <s v="Nunura"/>
    <s v="Diurno"/>
    <n v="539"/>
    <n v="53.9"/>
    <n v="55"/>
    <n v="9.295454545454546E-3"/>
    <n v="5.010250000000001"/>
    <n v="10"/>
    <n v="53.9"/>
    <n v="0.98"/>
    <m/>
    <m/>
  </r>
  <r>
    <x v="8"/>
    <m/>
    <x v="0"/>
    <x v="1"/>
    <n v="690"/>
    <s v="Balladares"/>
    <s v="Diurno"/>
    <n v="539"/>
    <n v="53.9"/>
    <n v="55"/>
    <n v="9.295454545454546E-3"/>
    <n v="5.010250000000001"/>
    <n v="10"/>
    <n v="53.9"/>
    <n v="0.98"/>
    <m/>
    <m/>
  </r>
  <r>
    <x v="8"/>
    <m/>
    <x v="0"/>
    <x v="1"/>
    <n v="690"/>
    <s v="Bazan"/>
    <s v="Diurno"/>
    <n v="539"/>
    <n v="53.9"/>
    <n v="55"/>
    <n v="9.295454545454546E-3"/>
    <n v="5.010250000000001"/>
    <n v="10"/>
    <n v="53.9"/>
    <n v="0.98"/>
    <m/>
    <m/>
  </r>
  <r>
    <x v="8"/>
    <m/>
    <x v="6"/>
    <x v="3"/>
    <s v="1195/1196"/>
    <s v="Suarez"/>
    <s v="Nocturno"/>
    <n v="5107.25"/>
    <n v="638.40625"/>
    <n v="700"/>
    <n v="1.0955714285714286E-3"/>
    <n v="5.5953571785714287"/>
    <n v="8"/>
    <n v="638.40625"/>
    <n v="0.91200892857142857"/>
    <m/>
    <m/>
  </r>
  <r>
    <x v="8"/>
    <m/>
    <x v="5"/>
    <x v="5"/>
    <m/>
    <s v="Suarez"/>
    <s v="Nocturno"/>
    <n v="1"/>
    <n v="1"/>
    <m/>
    <n v="0.3483"/>
    <n v="1.0448999999999999"/>
    <n v="3"/>
    <n v="0.33333333333333331"/>
    <e v="#N/A"/>
    <m/>
    <m/>
  </r>
  <r>
    <x v="8"/>
    <m/>
    <x v="6"/>
    <x v="3"/>
    <s v="1193/1197"/>
    <s v="Vicente"/>
    <s v="Diurno"/>
    <n v="2928.75"/>
    <n v="292.875"/>
    <n v="700"/>
    <n v="1.0955714285714286E-3"/>
    <n v="3.2086548214285715"/>
    <n v="10"/>
    <n v="292.875"/>
    <n v="0.41839285714285712"/>
    <m/>
    <m/>
  </r>
  <r>
    <x v="8"/>
    <m/>
    <x v="12"/>
    <x v="3"/>
    <n v="873"/>
    <s v="Ciro"/>
    <s v="Diurno"/>
    <n v="1875"/>
    <n v="234.375"/>
    <n v="250"/>
    <n v="3.0675999999999998E-3"/>
    <n v="5.7517499999999995"/>
    <n v="8"/>
    <n v="234.375"/>
    <n v="0.9375"/>
    <m/>
    <m/>
  </r>
  <r>
    <x v="8"/>
    <m/>
    <x v="12"/>
    <x v="3"/>
    <n v="874"/>
    <s v="Jimmy"/>
    <s v="Nocturno"/>
    <n v="2325"/>
    <n v="211.36363636363637"/>
    <n v="250"/>
    <n v="3.0675999999999998E-3"/>
    <n v="7.1321699999999995"/>
    <n v="11"/>
    <n v="211.36363636363637"/>
    <n v="0.84545454545454546"/>
    <m/>
    <m/>
  </r>
  <r>
    <x v="8"/>
    <m/>
    <x v="2"/>
    <x v="3"/>
    <n v="340"/>
    <s v="Carpio"/>
    <s v="Diurno"/>
    <n v="628"/>
    <n v="209.33333333333334"/>
    <n v="500"/>
    <n v="1.0225E-3"/>
    <n v="0.64212999999999998"/>
    <n v="3"/>
    <n v="209.33333333333334"/>
    <n v="0.41866666666666669"/>
    <m/>
    <m/>
  </r>
  <r>
    <x v="8"/>
    <m/>
    <x v="5"/>
    <x v="5"/>
    <m/>
    <s v="Carpio"/>
    <s v="Diurno"/>
    <n v="1"/>
    <n v="1"/>
    <m/>
    <n v="0.3483"/>
    <n v="2.4380999999999999"/>
    <n v="7"/>
    <n v="0.14285714285714285"/>
    <e v="#N/A"/>
    <m/>
    <m/>
  </r>
  <r>
    <x v="10"/>
    <m/>
    <x v="0"/>
    <x v="1"/>
    <n v="694"/>
    <s v="Balladares"/>
    <s v="Diurno"/>
    <n v="535"/>
    <n v="53.5"/>
    <n v="55"/>
    <n v="9.295454545454546E-3"/>
    <n v="4.9730681818181823"/>
    <n v="10"/>
    <n v="53.5"/>
    <n v="0.97272727272727277"/>
    <m/>
    <m/>
  </r>
  <r>
    <x v="10"/>
    <m/>
    <x v="0"/>
    <x v="1"/>
    <n v="694"/>
    <s v="Nunura"/>
    <s v="Diurno"/>
    <n v="535"/>
    <n v="53.5"/>
    <n v="55"/>
    <n v="9.295454545454546E-3"/>
    <n v="4.9730681818181823"/>
    <n v="10"/>
    <n v="53.5"/>
    <n v="0.97272727272727277"/>
    <m/>
    <m/>
  </r>
  <r>
    <x v="10"/>
    <m/>
    <x v="0"/>
    <x v="1"/>
    <n v="694"/>
    <s v="Bazan"/>
    <s v="Diurno"/>
    <n v="535"/>
    <n v="53.5"/>
    <n v="55"/>
    <n v="9.295454545454546E-3"/>
    <n v="4.9730681818181823"/>
    <n v="10"/>
    <n v="53.5"/>
    <n v="0.97272727272727277"/>
    <m/>
    <m/>
  </r>
  <r>
    <x v="10"/>
    <m/>
    <x v="12"/>
    <x v="3"/>
    <n v="877"/>
    <s v="Jimmy"/>
    <s v="Nocturno"/>
    <n v="1000"/>
    <n v="90.909090909090907"/>
    <n v="250"/>
    <n v="3.0675999999999998E-3"/>
    <n v="3.0675999999999992"/>
    <n v="11"/>
    <n v="90.909090909090907"/>
    <n v="0.36363636363636365"/>
    <m/>
    <m/>
  </r>
  <r>
    <x v="10"/>
    <m/>
    <x v="12"/>
    <x v="3"/>
    <n v="876"/>
    <s v="Ciro"/>
    <s v="Diurno"/>
    <n v="1100"/>
    <n v="110"/>
    <n v="250"/>
    <n v="3.0675999999999998E-3"/>
    <n v="3.3743599999999994"/>
    <n v="10"/>
    <n v="110"/>
    <n v="0.44"/>
    <m/>
    <m/>
  </r>
  <r>
    <x v="10"/>
    <m/>
    <x v="2"/>
    <x v="3"/>
    <n v="341"/>
    <s v="Carpio"/>
    <s v="Diurno"/>
    <n v="3956"/>
    <n v="395.6"/>
    <n v="500"/>
    <n v="1.0225E-3"/>
    <n v="4.0450099999999996"/>
    <n v="10"/>
    <n v="395.6"/>
    <n v="0.79120000000000001"/>
    <m/>
    <m/>
  </r>
  <r>
    <x v="10"/>
    <m/>
    <x v="1"/>
    <x v="2"/>
    <n v="695"/>
    <s v="Polanco"/>
    <s v="Diurno"/>
    <n v="478.67"/>
    <n v="47.867000000000004"/>
    <n v="92"/>
    <n v="5.5570652173913045E-3"/>
    <n v="2.6600004076086958"/>
    <n v="10"/>
    <n v="47.867000000000004"/>
    <n v="0.52029347826086958"/>
    <m/>
    <m/>
  </r>
  <r>
    <x v="10"/>
    <m/>
    <x v="1"/>
    <x v="2"/>
    <n v="695"/>
    <s v="Robledo"/>
    <s v="Diurno"/>
    <n v="478.67"/>
    <n v="47.867000000000004"/>
    <n v="92"/>
    <n v="5.5570652173913045E-3"/>
    <n v="2.6600004076086958"/>
    <n v="10"/>
    <n v="47.867000000000004"/>
    <n v="0.52029347826086958"/>
    <m/>
    <m/>
  </r>
  <r>
    <x v="10"/>
    <m/>
    <x v="1"/>
    <x v="2"/>
    <n v="695"/>
    <s v="Solis"/>
    <s v="Diurno"/>
    <n v="478.66"/>
    <n v="47.866"/>
    <n v="92"/>
    <n v="5.5570652173913045E-3"/>
    <n v="2.6599448369565222"/>
    <n v="10"/>
    <n v="47.866"/>
    <n v="0.52028260869565213"/>
    <m/>
    <m/>
  </r>
  <r>
    <x v="10"/>
    <m/>
    <x v="6"/>
    <x v="3"/>
    <n v="1198"/>
    <s v="Vicente"/>
    <s v="Diurno"/>
    <n v="1706"/>
    <n v="426.5"/>
    <n v="700"/>
    <n v="1.0955714285714286E-3"/>
    <n v="1.8690448571428573"/>
    <n v="4"/>
    <n v="426.5"/>
    <n v="0.60928571428571432"/>
    <m/>
    <m/>
  </r>
  <r>
    <x v="10"/>
    <m/>
    <x v="5"/>
    <x v="5"/>
    <m/>
    <s v="Vicente"/>
    <s v="Diurno"/>
    <n v="1"/>
    <n v="1"/>
    <m/>
    <n v="0.3483"/>
    <n v="2.0897999999999999"/>
    <n v="6"/>
    <n v="0.16666666666666666"/>
    <e v="#N/A"/>
    <m/>
    <m/>
  </r>
  <r>
    <x v="1"/>
    <m/>
    <x v="0"/>
    <x v="1"/>
    <n v="696"/>
    <s v="Balladares"/>
    <s v="Diurno"/>
    <n v="544"/>
    <n v="54.4"/>
    <n v="55"/>
    <n v="9.295454545454546E-3"/>
    <n v="5.0567272727272723"/>
    <n v="10"/>
    <n v="54.4"/>
    <n v="0.98909090909090902"/>
    <m/>
    <m/>
  </r>
  <r>
    <x v="1"/>
    <m/>
    <x v="0"/>
    <x v="1"/>
    <n v="696"/>
    <s v="Nunura"/>
    <s v="Diurno"/>
    <n v="544"/>
    <n v="54.4"/>
    <n v="55"/>
    <n v="9.295454545454546E-3"/>
    <n v="5.0567272727272723"/>
    <n v="10"/>
    <n v="54.4"/>
    <n v="0.98909090909090902"/>
    <m/>
    <m/>
  </r>
  <r>
    <x v="1"/>
    <m/>
    <x v="0"/>
    <x v="1"/>
    <n v="696"/>
    <s v="Bazan"/>
    <s v="Diurno"/>
    <n v="544"/>
    <n v="54.4"/>
    <n v="55"/>
    <n v="9.295454545454546E-3"/>
    <n v="5.0567272727272723"/>
    <n v="10"/>
    <n v="54.4"/>
    <n v="0.98909090909090902"/>
    <m/>
    <m/>
  </r>
  <r>
    <x v="1"/>
    <m/>
    <x v="1"/>
    <x v="2"/>
    <n v="697"/>
    <s v="Robledo"/>
    <s v="Diurno"/>
    <n v="441.66666666666669"/>
    <n v="88.333333333333343"/>
    <n v="92"/>
    <n v="5.5570652173913045E-3"/>
    <n v="2.4543704710144931"/>
    <n v="5"/>
    <n v="88.333333333333343"/>
    <n v="0.96014492753623204"/>
    <m/>
    <m/>
  </r>
  <r>
    <x v="1"/>
    <m/>
    <x v="1"/>
    <x v="2"/>
    <n v="697"/>
    <s v="Polanco"/>
    <s v="Diurno"/>
    <n v="441.66666666666669"/>
    <n v="88.333333333333343"/>
    <n v="92"/>
    <n v="5.5570652173913045E-3"/>
    <n v="2.4543704710144931"/>
    <n v="5"/>
    <n v="88.333333333333343"/>
    <n v="0.96014492753623204"/>
    <m/>
    <m/>
  </r>
  <r>
    <x v="1"/>
    <m/>
    <x v="1"/>
    <x v="2"/>
    <n v="697"/>
    <s v="Solis"/>
    <s v="Diurno"/>
    <n v="441.66666666666669"/>
    <n v="88.333333333333343"/>
    <n v="92"/>
    <n v="5.5570652173913045E-3"/>
    <n v="2.4543704710144931"/>
    <n v="5"/>
    <n v="88.333333333333343"/>
    <n v="0.96014492753623204"/>
    <m/>
    <m/>
  </r>
  <r>
    <x v="1"/>
    <m/>
    <x v="5"/>
    <x v="5"/>
    <m/>
    <s v="Robledo"/>
    <s v="Diurno"/>
    <n v="1"/>
    <n v="1"/>
    <m/>
    <n v="0.3483"/>
    <n v="1.7415"/>
    <n v="5"/>
    <n v="0.2"/>
    <e v="#N/A"/>
    <m/>
    <m/>
  </r>
  <r>
    <x v="1"/>
    <m/>
    <x v="5"/>
    <x v="5"/>
    <m/>
    <s v="Polanco"/>
    <s v="Diurno"/>
    <n v="1"/>
    <n v="1"/>
    <m/>
    <n v="0.3483"/>
    <n v="1.7415"/>
    <n v="5"/>
    <n v="0.2"/>
    <e v="#N/A"/>
    <m/>
    <m/>
  </r>
  <r>
    <x v="1"/>
    <m/>
    <x v="5"/>
    <x v="5"/>
    <m/>
    <s v="Solis"/>
    <s v="Diurno"/>
    <n v="1"/>
    <n v="1"/>
    <m/>
    <n v="0.3483"/>
    <n v="1.7415"/>
    <n v="5"/>
    <n v="0.2"/>
    <e v="#N/A"/>
    <m/>
    <m/>
  </r>
  <r>
    <x v="1"/>
    <m/>
    <x v="12"/>
    <x v="3"/>
    <n v="880"/>
    <s v="Jimmy"/>
    <s v="Nocturno"/>
    <n v="1875"/>
    <n v="187.5"/>
    <n v="250"/>
    <n v="3.0675999999999998E-3"/>
    <n v="5.7517499999999995"/>
    <n v="10"/>
    <n v="187.5"/>
    <n v="0.75"/>
    <m/>
    <m/>
  </r>
  <r>
    <x v="1"/>
    <m/>
    <x v="12"/>
    <x v="3"/>
    <n v="878"/>
    <s v="Ciro"/>
    <s v="Diurno"/>
    <n v="1375"/>
    <n v="137.5"/>
    <n v="250"/>
    <n v="3.0675999999999998E-3"/>
    <n v="4.2179500000000001"/>
    <n v="10"/>
    <n v="137.5"/>
    <n v="0.55000000000000004"/>
    <m/>
    <m/>
  </r>
  <r>
    <x v="1"/>
    <m/>
    <x v="6"/>
    <x v="10"/>
    <n v="1200"/>
    <s v="Vicente"/>
    <s v="Diurno"/>
    <n v="3487"/>
    <n v="348.7"/>
    <n v="350"/>
    <n v="2.1911428571428572E-3"/>
    <n v="7.6405151428571427"/>
    <n v="10"/>
    <n v="348.7"/>
    <e v="#N/A"/>
    <m/>
    <m/>
  </r>
  <r>
    <x v="1"/>
    <m/>
    <x v="0"/>
    <x v="1"/>
    <n v="1200"/>
    <s v="Rodriguez"/>
    <s v="Diurno"/>
    <n v="194.33"/>
    <n v="19.433"/>
    <n v="55"/>
    <n v="9.295454545454546E-3"/>
    <n v="1.806385681818182"/>
    <n v="10"/>
    <n v="19.433"/>
    <n v="0.35332727272727271"/>
    <m/>
    <m/>
  </r>
  <r>
    <x v="1"/>
    <m/>
    <x v="0"/>
    <x v="1"/>
    <n v="1200"/>
    <s v="Segura"/>
    <s v="Diurno"/>
    <n v="194.33"/>
    <n v="19.433"/>
    <n v="55"/>
    <n v="9.295454545454546E-3"/>
    <n v="1.806385681818182"/>
    <n v="10"/>
    <n v="19.433"/>
    <n v="0.35332727272727271"/>
    <m/>
    <m/>
  </r>
  <r>
    <x v="10"/>
    <m/>
    <x v="9"/>
    <x v="1"/>
    <m/>
    <s v="Quiñonez"/>
    <s v="Diurno"/>
    <n v="55"/>
    <n v="5.5"/>
    <n v="17"/>
    <n v="3.0073529411764707E-2"/>
    <n v="1.6540441176470588"/>
    <n v="10"/>
    <n v="5.5"/>
    <n v="0.3235294117647059"/>
    <m/>
    <m/>
  </r>
  <r>
    <x v="1"/>
    <m/>
    <x v="0"/>
    <x v="1"/>
    <n v="1200"/>
    <s v="Quiñonez"/>
    <s v="Diurno"/>
    <n v="194.34"/>
    <n v="19.434000000000001"/>
    <n v="55"/>
    <n v="9.295454545454546E-3"/>
    <n v="1.8064786363636365"/>
    <n v="10"/>
    <n v="19.434000000000001"/>
    <n v="0.35334545454545457"/>
    <m/>
    <m/>
  </r>
  <r>
    <x v="11"/>
    <m/>
    <x v="12"/>
    <x v="3"/>
    <s v="883/882"/>
    <s v="Ciro"/>
    <s v="Diurno"/>
    <n v="1575"/>
    <n v="157.5"/>
    <n v="250"/>
    <n v="3.0675999999999998E-3"/>
    <n v="4.8314699999999995"/>
    <n v="10"/>
    <n v="157.5"/>
    <n v="0.63"/>
    <m/>
    <m/>
  </r>
  <r>
    <x v="12"/>
    <m/>
    <x v="1"/>
    <x v="2"/>
    <n v="715"/>
    <s v="Polanco"/>
    <s v="Diurno"/>
    <n v="132.5"/>
    <n v="66.25"/>
    <n v="92"/>
    <n v="5.5570652173913045E-3"/>
    <n v="0.73631114130434783"/>
    <n v="2"/>
    <n v="66.25"/>
    <n v="0.72010869565217395"/>
    <m/>
    <m/>
  </r>
  <r>
    <x v="12"/>
    <m/>
    <x v="1"/>
    <x v="2"/>
    <n v="715"/>
    <s v="Solis"/>
    <s v="Diurno"/>
    <n v="132.5"/>
    <n v="66.25"/>
    <n v="92"/>
    <n v="5.5570652173913045E-3"/>
    <n v="0.73631114130434783"/>
    <n v="2"/>
    <n v="66.25"/>
    <n v="0.72010869565217395"/>
    <m/>
    <m/>
  </r>
  <r>
    <x v="12"/>
    <m/>
    <x v="5"/>
    <x v="5"/>
    <m/>
    <s v="Polanco"/>
    <s v="Diurno"/>
    <n v="1"/>
    <n v="1"/>
    <e v="#N/A"/>
    <n v="0.3483"/>
    <n v="1.7415"/>
    <n v="5"/>
    <n v="0.2"/>
    <e v="#N/A"/>
    <m/>
    <m/>
  </r>
  <r>
    <x v="12"/>
    <m/>
    <x v="5"/>
    <x v="5"/>
    <m/>
    <s v="Solis"/>
    <s v="Diurno"/>
    <n v="1"/>
    <n v="1"/>
    <e v="#N/A"/>
    <n v="0.3483"/>
    <n v="1.7415"/>
    <n v="5"/>
    <n v="0.2"/>
    <e v="#N/A"/>
    <m/>
    <m/>
  </r>
  <r>
    <x v="12"/>
    <m/>
    <x v="0"/>
    <x v="1"/>
    <n v="714"/>
    <s v="Bazan"/>
    <s v="Diurno"/>
    <n v="323"/>
    <n v="46.142857142857146"/>
    <n v="55"/>
    <n v="9.295454545454546E-3"/>
    <n v="3.0024318181818188"/>
    <n v="7"/>
    <n v="46.142857142857146"/>
    <n v="0.83896103896103902"/>
    <m/>
    <m/>
  </r>
  <r>
    <x v="12"/>
    <m/>
    <x v="0"/>
    <x v="1"/>
    <n v="714"/>
    <s v="Nunura"/>
    <s v="Diurno"/>
    <n v="323"/>
    <n v="46.142857142857146"/>
    <n v="55"/>
    <n v="9.295454545454546E-3"/>
    <n v="3.0024318181818188"/>
    <n v="7"/>
    <n v="46.142857142857146"/>
    <n v="0.83896103896103902"/>
    <m/>
    <m/>
  </r>
  <r>
    <x v="12"/>
    <m/>
    <x v="3"/>
    <x v="4"/>
    <n v="106"/>
    <s v="Quiñonez"/>
    <s v="Diurno"/>
    <n v="292"/>
    <n v="41.714285714285715"/>
    <n v="45"/>
    <n v="1.1361111111111112E-2"/>
    <n v="3.3174444444444449"/>
    <n v="7"/>
    <n v="41.714285714285715"/>
    <n v="0.92698412698412702"/>
    <m/>
    <m/>
  </r>
  <r>
    <x v="12"/>
    <m/>
    <x v="3"/>
    <x v="4"/>
    <n v="106"/>
    <s v="Segura"/>
    <s v="Diurno"/>
    <n v="292"/>
    <n v="41.714285714285715"/>
    <n v="45"/>
    <n v="1.1361111111111112E-2"/>
    <n v="3.3174444444444449"/>
    <n v="7"/>
    <n v="41.714285714285715"/>
    <n v="0.92698412698412702"/>
    <m/>
    <m/>
  </r>
  <r>
    <x v="12"/>
    <m/>
    <x v="2"/>
    <x v="3"/>
    <n v="347"/>
    <s v="Carpio"/>
    <s v="Diurno"/>
    <n v="990"/>
    <n v="330"/>
    <n v="500"/>
    <n v="1.0225E-3"/>
    <n v="1.0122749999999998"/>
    <n v="3"/>
    <n v="330"/>
    <n v="0.66"/>
    <m/>
    <m/>
  </r>
  <r>
    <x v="12"/>
    <m/>
    <x v="7"/>
    <x v="3"/>
    <n v="348"/>
    <s v="Carpio"/>
    <s v="Diurno"/>
    <n v="479"/>
    <n v="119.75"/>
    <n v="200"/>
    <n v="2.5562499999999999E-3"/>
    <n v="1.2244437500000001"/>
    <n v="4"/>
    <n v="119.75"/>
    <n v="0.59875"/>
    <m/>
    <m/>
  </r>
  <r>
    <x v="12"/>
    <m/>
    <x v="11"/>
    <x v="8"/>
    <n v="141"/>
    <s v="Castro"/>
    <s v="Diurno"/>
    <n v="500"/>
    <n v="71.428571428571431"/>
    <n v="75"/>
    <n v="1.0225333333333333E-2"/>
    <n v="5.1126666666666667"/>
    <n v="7"/>
    <n v="71.428571428571431"/>
    <n v="0.95238095238095244"/>
    <m/>
    <m/>
  </r>
  <r>
    <x v="12"/>
    <m/>
    <x v="9"/>
    <x v="1"/>
    <m/>
    <s v="Miraba"/>
    <s v="Diurno"/>
    <n v="102"/>
    <n v="14.571428571428571"/>
    <n v="17"/>
    <n v="3.0073529411764707E-2"/>
    <n v="3.0674999999999999"/>
    <n v="7"/>
    <n v="14.571428571428571"/>
    <n v="0.8571428571428571"/>
    <m/>
    <m/>
  </r>
  <r>
    <x v="13"/>
    <m/>
    <x v="0"/>
    <x v="1"/>
    <n v="717"/>
    <s v="Andrade"/>
    <s v="Diurno"/>
    <n v="508.5"/>
    <n v="50.85"/>
    <n v="55"/>
    <n v="9.295454545454546E-3"/>
    <n v="4.7267386363636366"/>
    <n v="10"/>
    <n v="50.85"/>
    <n v="0.92454545454545456"/>
    <m/>
    <m/>
  </r>
  <r>
    <x v="13"/>
    <m/>
    <x v="0"/>
    <x v="1"/>
    <n v="717"/>
    <s v="Ciro"/>
    <s v="Diurno"/>
    <n v="508.5"/>
    <n v="50.85"/>
    <n v="55"/>
    <n v="9.295454545454546E-3"/>
    <n v="4.7267386363636366"/>
    <n v="10"/>
    <n v="50.85"/>
    <n v="0.92454545454545456"/>
    <m/>
    <m/>
  </r>
  <r>
    <x v="13"/>
    <m/>
    <x v="1"/>
    <x v="2"/>
    <n v="708"/>
    <s v="Polanco"/>
    <s v="Diurno"/>
    <n v="749"/>
    <n v="74.900000000000006"/>
    <n v="92"/>
    <n v="5.5570652173913045E-3"/>
    <n v="4.1622418478260874"/>
    <n v="10"/>
    <n v="74.900000000000006"/>
    <n v="0.81413043478260871"/>
    <m/>
    <m/>
  </r>
  <r>
    <x v="13"/>
    <m/>
    <x v="1"/>
    <x v="2"/>
    <n v="708"/>
    <s v="Robledo"/>
    <s v="Diurno"/>
    <n v="749"/>
    <n v="74.900000000000006"/>
    <n v="92"/>
    <n v="5.5570652173913045E-3"/>
    <n v="4.1622418478260874"/>
    <n v="10"/>
    <n v="74.900000000000006"/>
    <n v="0.81413043478260871"/>
    <m/>
    <m/>
  </r>
  <r>
    <x v="13"/>
    <m/>
    <x v="1"/>
    <x v="2"/>
    <n v="708"/>
    <s v="Solis"/>
    <s v="Diurno"/>
    <n v="400"/>
    <n v="80"/>
    <n v="92"/>
    <n v="5.5570652173913045E-3"/>
    <n v="2.222826086956522"/>
    <n v="5"/>
    <n v="80"/>
    <n v="0.86956521739130432"/>
    <m/>
    <m/>
  </r>
  <r>
    <x v="13"/>
    <m/>
    <x v="5"/>
    <x v="5"/>
    <m/>
    <s v="Solis"/>
    <s v="Diurno"/>
    <n v="1"/>
    <n v="1"/>
    <e v="#N/A"/>
    <n v="0.3483"/>
    <n v="1.7415"/>
    <n v="5"/>
    <n v="0.2"/>
    <e v="#N/A"/>
    <m/>
    <m/>
  </r>
  <r>
    <x v="13"/>
    <m/>
    <x v="0"/>
    <x v="1"/>
    <n v="716"/>
    <s v="Bazan"/>
    <s v="Diurno"/>
    <n v="516.66666666666663"/>
    <n v="51.666666666666664"/>
    <n v="55"/>
    <n v="9.295454545454546E-3"/>
    <n v="4.8026515151515152"/>
    <n v="10"/>
    <n v="51.666666666666664"/>
    <n v="0.93939393939393934"/>
    <m/>
    <m/>
  </r>
  <r>
    <x v="13"/>
    <m/>
    <x v="0"/>
    <x v="1"/>
    <n v="716"/>
    <s v="Balladares"/>
    <s v="Diurno"/>
    <n v="516.66666666666663"/>
    <n v="51.666666666666664"/>
    <n v="55"/>
    <n v="9.295454545454546E-3"/>
    <n v="4.8026515151515152"/>
    <n v="10"/>
    <n v="51.666666666666664"/>
    <n v="0.93939393939393934"/>
    <m/>
    <m/>
  </r>
  <r>
    <x v="13"/>
    <m/>
    <x v="0"/>
    <x v="1"/>
    <n v="716"/>
    <s v="Nunura"/>
    <s v="Diurno"/>
    <n v="516.66666666666663"/>
    <n v="51.666666666666664"/>
    <n v="55"/>
    <n v="9.295454545454546E-3"/>
    <n v="4.8026515151515152"/>
    <n v="10"/>
    <n v="51.666666666666664"/>
    <n v="0.93939393939393934"/>
    <m/>
    <m/>
  </r>
  <r>
    <x v="13"/>
    <m/>
    <x v="0"/>
    <x v="0"/>
    <n v="707"/>
    <s v="Rodriguez"/>
    <s v="Diurno"/>
    <n v="525"/>
    <n v="52.5"/>
    <n v="45"/>
    <n v="1.1361111111111112E-2"/>
    <n v="5.9645833333333336"/>
    <n v="10"/>
    <n v="52.5"/>
    <n v="1.1666666666666667"/>
    <m/>
    <m/>
  </r>
  <r>
    <x v="13"/>
    <m/>
    <x v="0"/>
    <x v="0"/>
    <n v="707"/>
    <s v="Jimmy"/>
    <s v="Diurno"/>
    <n v="525"/>
    <n v="52.5"/>
    <n v="45"/>
    <n v="1.1361111111111112E-2"/>
    <n v="5.9645833333333336"/>
    <n v="10"/>
    <n v="52.5"/>
    <n v="1.1666666666666667"/>
    <m/>
    <m/>
  </r>
  <r>
    <x v="13"/>
    <m/>
    <x v="7"/>
    <x v="3"/>
    <n v="351"/>
    <s v="Carpio"/>
    <s v="Diurno"/>
    <n v="1161"/>
    <n v="116.1"/>
    <n v="200"/>
    <n v="2.5562499999999999E-3"/>
    <n v="2.9678062499999998"/>
    <n v="10"/>
    <n v="116.1"/>
    <n v="0.58050000000000002"/>
    <m/>
    <m/>
  </r>
  <r>
    <x v="13"/>
    <m/>
    <x v="11"/>
    <x v="8"/>
    <n v="142"/>
    <s v="Castro"/>
    <s v="Diurno"/>
    <n v="750"/>
    <n v="75"/>
    <n v="75"/>
    <n v="1.0225333333333333E-2"/>
    <n v="7.6689999999999987"/>
    <n v="10"/>
    <n v="75"/>
    <n v="1"/>
    <m/>
    <m/>
  </r>
  <r>
    <x v="13"/>
    <m/>
    <x v="8"/>
    <x v="5"/>
    <m/>
    <s v="Victor"/>
    <s v="Diurno"/>
    <n v="1"/>
    <n v="1"/>
    <e v="#N/A"/>
    <n v="0.3483"/>
    <n v="3.4830000000000001"/>
    <n v="10"/>
    <n v="0.1"/>
    <e v="#N/A"/>
    <m/>
    <m/>
  </r>
  <r>
    <x v="13"/>
    <m/>
    <x v="13"/>
    <x v="5"/>
    <m/>
    <s v="Palma"/>
    <s v="Diurno"/>
    <n v="1"/>
    <n v="1"/>
    <e v="#N/A"/>
    <n v="0.3483"/>
    <n v="3.4830000000000001"/>
    <n v="10"/>
    <n v="0.1"/>
    <e v="#N/A"/>
    <m/>
    <m/>
  </r>
  <r>
    <x v="13"/>
    <m/>
    <x v="8"/>
    <x v="5"/>
    <m/>
    <s v="Suarez"/>
    <s v="Diurno"/>
    <n v="1"/>
    <n v="1"/>
    <e v="#N/A"/>
    <n v="0.3483"/>
    <n v="2.4380999999999999"/>
    <n v="7"/>
    <n v="0.14285714285714285"/>
    <e v="#N/A"/>
    <m/>
    <m/>
  </r>
  <r>
    <x v="13"/>
    <m/>
    <x v="5"/>
    <x v="5"/>
    <m/>
    <s v="Suarez"/>
    <s v="Diurno"/>
    <n v="1"/>
    <n v="1"/>
    <e v="#N/A"/>
    <n v="0.3483"/>
    <n v="1.0448999999999999"/>
    <n v="3"/>
    <n v="0.33333333333333331"/>
    <e v="#N/A"/>
    <m/>
    <m/>
  </r>
  <r>
    <x v="13"/>
    <m/>
    <x v="3"/>
    <x v="4"/>
    <n v="108"/>
    <s v="Quiñonez"/>
    <s v="Diurno"/>
    <n v="236.5"/>
    <n v="27.823529411764707"/>
    <n v="45"/>
    <n v="1.1361111111111112E-2"/>
    <n v="2.6869027777777781"/>
    <n v="8.5"/>
    <n v="27.823529411764707"/>
    <n v="0.61830065359477127"/>
    <m/>
    <m/>
  </r>
  <r>
    <x v="13"/>
    <m/>
    <x v="8"/>
    <x v="7"/>
    <m/>
    <s v="Vicente"/>
    <s v="Diurno"/>
    <n v="1"/>
    <n v="1"/>
    <e v="#N/A"/>
    <n v="0.3483"/>
    <n v="3.4830000000000001"/>
    <n v="10"/>
    <n v="0.1"/>
    <e v="#N/A"/>
    <m/>
    <m/>
  </r>
  <r>
    <x v="13"/>
    <m/>
    <x v="3"/>
    <x v="4"/>
    <n v="108"/>
    <s v="Segura"/>
    <s v="Diurno"/>
    <n v="236.5"/>
    <n v="27.823529411764707"/>
    <n v="45"/>
    <n v="1.1361111111111112E-2"/>
    <n v="2.6869027777777781"/>
    <n v="8.5"/>
    <n v="27.823529411764707"/>
    <n v="0.61830065359477127"/>
    <m/>
    <m/>
  </r>
  <r>
    <x v="13"/>
    <m/>
    <x v="9"/>
    <x v="1"/>
    <m/>
    <s v="Miraba"/>
    <s v="Diurno"/>
    <n v="181"/>
    <n v="18.100000000000001"/>
    <n v="17"/>
    <n v="3.0073529411764707E-2"/>
    <n v="5.4433088235294127"/>
    <n v="10"/>
    <n v="18.100000000000001"/>
    <n v="1.0647058823529412"/>
    <m/>
    <m/>
  </r>
  <r>
    <x v="14"/>
    <m/>
    <x v="0"/>
    <x v="1"/>
    <n v="721"/>
    <s v="Ciro"/>
    <s v="Diurno"/>
    <n v="518.5"/>
    <n v="51.85"/>
    <n v="55"/>
    <n v="9.295454545454546E-3"/>
    <n v="4.8196931818181818"/>
    <n v="10"/>
    <n v="51.85"/>
    <n v="0.94272727272727275"/>
    <m/>
    <m/>
  </r>
  <r>
    <x v="14"/>
    <m/>
    <x v="0"/>
    <x v="1"/>
    <n v="721"/>
    <s v="Andrade"/>
    <s v="Diurno"/>
    <n v="518.5"/>
    <n v="51.85"/>
    <n v="55"/>
    <n v="9.295454545454546E-3"/>
    <n v="4.8196931818181818"/>
    <n v="10"/>
    <n v="51.85"/>
    <n v="0.94272727272727275"/>
    <m/>
    <m/>
  </r>
  <r>
    <x v="14"/>
    <m/>
    <x v="0"/>
    <x v="1"/>
    <n v="718"/>
    <s v="Balladares"/>
    <s v="Diurno"/>
    <n v="539.66666666666663"/>
    <n v="53.966666666666661"/>
    <n v="55"/>
    <n v="9.295454545454546E-3"/>
    <n v="5.0164469696969691"/>
    <n v="10"/>
    <n v="53.966666666666661"/>
    <n v="0.98121212121212109"/>
    <m/>
    <m/>
  </r>
  <r>
    <x v="14"/>
    <m/>
    <x v="0"/>
    <x v="1"/>
    <n v="718"/>
    <s v="Bazan"/>
    <s v="Diurno"/>
    <n v="539.66666666666663"/>
    <n v="53.966666666666661"/>
    <n v="55"/>
    <n v="9.295454545454546E-3"/>
    <n v="5.0164469696969691"/>
    <n v="10"/>
    <n v="53.966666666666661"/>
    <n v="0.98121212121212109"/>
    <m/>
    <m/>
  </r>
  <r>
    <x v="14"/>
    <m/>
    <x v="0"/>
    <x v="1"/>
    <n v="718"/>
    <s v="Nunura"/>
    <s v="Diurno"/>
    <n v="539.66666666666663"/>
    <n v="53.966666666666661"/>
    <n v="55"/>
    <n v="9.295454545454546E-3"/>
    <n v="5.0164469696969691"/>
    <n v="10"/>
    <n v="53.966666666666661"/>
    <n v="0.98121212121212109"/>
    <m/>
    <m/>
  </r>
  <r>
    <x v="14"/>
    <m/>
    <x v="0"/>
    <x v="0"/>
    <n v="720"/>
    <s v="Rodriguez"/>
    <s v="Diurno"/>
    <n v="524"/>
    <n v="52.4"/>
    <n v="45"/>
    <n v="1.1361111111111112E-2"/>
    <n v="5.9532222222222222"/>
    <n v="10"/>
    <n v="52.4"/>
    <n v="1.1644444444444444"/>
    <m/>
    <m/>
  </r>
  <r>
    <x v="14"/>
    <m/>
    <x v="0"/>
    <x v="0"/>
    <n v="720"/>
    <s v="Jimmy"/>
    <s v="Diurno"/>
    <n v="524"/>
    <n v="52.4"/>
    <n v="45"/>
    <n v="1.1361111111111112E-2"/>
    <n v="5.9532222222222222"/>
    <n v="10"/>
    <n v="52.4"/>
    <n v="1.1644444444444444"/>
    <m/>
    <m/>
  </r>
  <r>
    <x v="14"/>
    <m/>
    <x v="1"/>
    <x v="2"/>
    <n v="719"/>
    <s v="Polanco"/>
    <s v="Diurno"/>
    <n v="681.33333333333337"/>
    <n v="68.13333333333334"/>
    <n v="92"/>
    <n v="5.5570652173913045E-3"/>
    <n v="3.7862137681159425"/>
    <n v="10"/>
    <n v="68.13333333333334"/>
    <n v="0.74057971014492763"/>
    <m/>
    <m/>
  </r>
  <r>
    <x v="14"/>
    <m/>
    <x v="1"/>
    <x v="2"/>
    <n v="719"/>
    <s v="Solis"/>
    <s v="Diurno"/>
    <n v="681.33333333333337"/>
    <n v="68.13333333333334"/>
    <n v="92"/>
    <n v="5.5570652173913045E-3"/>
    <n v="3.7862137681159425"/>
    <n v="10"/>
    <n v="68.13333333333334"/>
    <n v="0.74057971014492763"/>
    <m/>
    <m/>
  </r>
  <r>
    <x v="14"/>
    <m/>
    <x v="1"/>
    <x v="2"/>
    <n v="719"/>
    <s v="Robledo"/>
    <s v="Diurno"/>
    <n v="681.33333333333337"/>
    <n v="68.13333333333334"/>
    <n v="92"/>
    <n v="5.5570652173913045E-3"/>
    <n v="3.7862137681159425"/>
    <n v="10"/>
    <n v="68.13333333333334"/>
    <n v="0.74057971014492763"/>
    <m/>
    <m/>
  </r>
  <r>
    <x v="14"/>
    <m/>
    <x v="11"/>
    <x v="8"/>
    <n v="143"/>
    <s v="Castro"/>
    <s v="Diurno"/>
    <n v="820"/>
    <n v="82"/>
    <n v="75"/>
    <n v="1.0225333333333333E-2"/>
    <n v="8.3847733333333334"/>
    <n v="10"/>
    <n v="82"/>
    <n v="1.0933333333333333"/>
    <m/>
    <m/>
  </r>
  <r>
    <x v="14"/>
    <m/>
    <x v="7"/>
    <x v="3"/>
    <n v="352"/>
    <s v="Carpio"/>
    <s v="Diurno"/>
    <n v="1204"/>
    <n v="120.4"/>
    <n v="200"/>
    <n v="2.5562499999999999E-3"/>
    <n v="3.077725"/>
    <n v="10"/>
    <n v="120.4"/>
    <n v="0.60199999999999998"/>
    <m/>
    <m/>
  </r>
  <r>
    <x v="14"/>
    <m/>
    <x v="3"/>
    <x v="4"/>
    <n v="109"/>
    <s v="Segura"/>
    <s v="Diurno"/>
    <n v="240.33333333333334"/>
    <n v="28.274509803921571"/>
    <n v="45"/>
    <n v="1.1361111111111112E-2"/>
    <n v="2.730453703703704"/>
    <n v="8.5"/>
    <n v="28.274509803921571"/>
    <n v="0.62832244008714599"/>
    <m/>
    <m/>
  </r>
  <r>
    <x v="14"/>
    <m/>
    <x v="3"/>
    <x v="4"/>
    <n v="109"/>
    <s v="Suarez"/>
    <s v="Diurno"/>
    <n v="240.33333333333334"/>
    <n v="28.274509803921571"/>
    <n v="45"/>
    <n v="1.1361111111111112E-2"/>
    <n v="2.730453703703704"/>
    <n v="8.5"/>
    <n v="28.274509803921571"/>
    <n v="0.62832244008714599"/>
    <m/>
    <m/>
  </r>
  <r>
    <x v="14"/>
    <m/>
    <x v="3"/>
    <x v="4"/>
    <n v="109"/>
    <s v="Quiñonez"/>
    <s v="Diurno"/>
    <n v="240.33333333333334"/>
    <n v="28.274509803921571"/>
    <n v="45"/>
    <n v="1.1361111111111112E-2"/>
    <n v="2.730453703703704"/>
    <n v="8.5"/>
    <n v="28.274509803921571"/>
    <n v="0.62832244008714599"/>
    <m/>
    <m/>
  </r>
  <r>
    <x v="14"/>
    <m/>
    <x v="9"/>
    <x v="1"/>
    <m/>
    <s v="Miraba"/>
    <s v="Diurno"/>
    <m/>
    <n v="0"/>
    <n v="17"/>
    <n v="3.0073529411764707E-2"/>
    <n v="0"/>
    <n v="10"/>
    <n v="0"/>
    <n v="0"/>
    <m/>
    <m/>
  </r>
  <r>
    <x v="14"/>
    <m/>
    <x v="8"/>
    <x v="7"/>
    <m/>
    <s v="Vicente"/>
    <s v="Diurno"/>
    <n v="1"/>
    <n v="1"/>
    <e v="#N/A"/>
    <n v="0.3483"/>
    <n v="3.4830000000000001"/>
    <n v="10"/>
    <n v="0.1"/>
    <e v="#N/A"/>
    <m/>
    <m/>
  </r>
  <r>
    <x v="14"/>
    <m/>
    <x v="8"/>
    <x v="9"/>
    <m/>
    <s v="Victor"/>
    <s v="Diurno"/>
    <n v="1"/>
    <n v="1"/>
    <e v="#N/A"/>
    <n v="0.3483"/>
    <n v="3.4830000000000001"/>
    <n v="10"/>
    <n v="0.1"/>
    <e v="#N/A"/>
    <m/>
    <m/>
  </r>
  <r>
    <x v="14"/>
    <m/>
    <x v="13"/>
    <x v="5"/>
    <m/>
    <s v="Palma"/>
    <s v="Diurno"/>
    <n v="1"/>
    <n v="1"/>
    <e v="#N/A"/>
    <n v="0.3483"/>
    <n v="3.4830000000000001"/>
    <n v="10"/>
    <n v="0.1"/>
    <e v="#N/A"/>
    <m/>
    <m/>
  </r>
  <r>
    <x v="15"/>
    <m/>
    <x v="0"/>
    <x v="1"/>
    <n v="722"/>
    <s v="Ciro"/>
    <s v="Diurno"/>
    <n v="538"/>
    <n v="63.294117647058826"/>
    <n v="55"/>
    <n v="9.295454545454546E-3"/>
    <n v="5.0009545454545465"/>
    <n v="8.5"/>
    <n v="63.294117647058826"/>
    <n v="1.1508021390374332"/>
    <m/>
    <m/>
  </r>
  <r>
    <x v="15"/>
    <m/>
    <x v="0"/>
    <x v="1"/>
    <n v="726"/>
    <s v="Balladares"/>
    <s v="Diurno"/>
    <n v="544.66666666666663"/>
    <n v="54.466666666666661"/>
    <n v="55"/>
    <n v="9.295454545454546E-3"/>
    <n v="5.0629242424242431"/>
    <n v="10"/>
    <n v="54.466666666666661"/>
    <n v="0.99030303030303024"/>
    <m/>
    <m/>
  </r>
  <r>
    <x v="15"/>
    <m/>
    <x v="0"/>
    <x v="1"/>
    <n v="726"/>
    <s v="Bazan"/>
    <s v="Diurno"/>
    <n v="544.66666666666663"/>
    <n v="54.466666666666661"/>
    <n v="55"/>
    <n v="9.295454545454546E-3"/>
    <n v="5.0629242424242431"/>
    <n v="10"/>
    <n v="54.466666666666661"/>
    <n v="0.99030303030303024"/>
    <m/>
    <m/>
  </r>
  <r>
    <x v="15"/>
    <m/>
    <x v="0"/>
    <x v="1"/>
    <n v="726"/>
    <s v="Nunura"/>
    <s v="Diurno"/>
    <n v="544.66666666666663"/>
    <n v="54.466666666666661"/>
    <n v="55"/>
    <n v="9.295454545454546E-3"/>
    <n v="5.0629242424242431"/>
    <n v="10"/>
    <n v="54.466666666666661"/>
    <n v="0.99030303030303024"/>
    <m/>
    <m/>
  </r>
  <r>
    <x v="15"/>
    <m/>
    <x v="1"/>
    <x v="2"/>
    <n v="728"/>
    <s v="Solis"/>
    <s v="Diurno"/>
    <n v="625"/>
    <n v="62.5"/>
    <n v="92"/>
    <n v="5.5570652173913045E-3"/>
    <n v="3.4731657608695654"/>
    <n v="10"/>
    <n v="62.5"/>
    <n v="0.67934782608695654"/>
    <m/>
    <m/>
  </r>
  <r>
    <x v="15"/>
    <m/>
    <x v="1"/>
    <x v="2"/>
    <n v="728"/>
    <s v="Robledo"/>
    <s v="Diurno"/>
    <n v="625"/>
    <n v="62.5"/>
    <n v="92"/>
    <n v="5.5570652173913045E-3"/>
    <n v="3.4731657608695654"/>
    <n v="10"/>
    <n v="62.5"/>
    <n v="0.67934782608695654"/>
    <m/>
    <m/>
  </r>
  <r>
    <x v="15"/>
    <m/>
    <x v="0"/>
    <x v="2"/>
    <n v="727"/>
    <s v="Polanco"/>
    <s v="Diurno"/>
    <n v="735"/>
    <n v="73.5"/>
    <n v="80"/>
    <n v="6.3906249999999996E-3"/>
    <n v="4.6971093750000001"/>
    <n v="10"/>
    <n v="73.5"/>
    <n v="0.91874999999999996"/>
    <m/>
    <m/>
  </r>
  <r>
    <x v="15"/>
    <m/>
    <x v="8"/>
    <x v="9"/>
    <m/>
    <s v="Victor"/>
    <s v="Diurno"/>
    <n v="1"/>
    <n v="1"/>
    <e v="#N/A"/>
    <n v="0.3483"/>
    <n v="3.4830000000000001"/>
    <n v="10"/>
    <n v="0.1"/>
    <e v="#N/A"/>
    <m/>
    <m/>
  </r>
  <r>
    <x v="15"/>
    <m/>
    <x v="8"/>
    <x v="7"/>
    <m/>
    <s v="Vicente"/>
    <s v="Diurno"/>
    <n v="1"/>
    <n v="1"/>
    <e v="#N/A"/>
    <n v="0.3483"/>
    <n v="3.4830000000000001"/>
    <n v="10"/>
    <n v="0.1"/>
    <e v="#N/A"/>
    <m/>
    <m/>
  </r>
  <r>
    <x v="15"/>
    <m/>
    <x v="9"/>
    <x v="1"/>
    <m/>
    <s v="Miraba"/>
    <s v="Diurno"/>
    <m/>
    <n v="0"/>
    <n v="17"/>
    <n v="3.0073529411764707E-2"/>
    <n v="0"/>
    <n v="10"/>
    <n v="0"/>
    <n v="0"/>
    <m/>
    <m/>
  </r>
  <r>
    <x v="15"/>
    <m/>
    <x v="11"/>
    <x v="8"/>
    <n v="144"/>
    <s v="Castro"/>
    <s v="Diurno"/>
    <n v="180"/>
    <n v="72"/>
    <n v="75"/>
    <n v="1.0225333333333333E-2"/>
    <n v="1.84056"/>
    <n v="2.5"/>
    <n v="72"/>
    <n v="0.96"/>
    <m/>
    <m/>
  </r>
  <r>
    <x v="15"/>
    <m/>
    <x v="14"/>
    <x v="5"/>
    <m/>
    <s v="Castro"/>
    <s v="Diurno"/>
    <m/>
    <n v="0"/>
    <e v="#N/A"/>
    <n v="3.0073529411764706E-3"/>
    <n v="0"/>
    <n v="7.5"/>
    <n v="0"/>
    <e v="#N/A"/>
    <m/>
    <m/>
  </r>
  <r>
    <x v="15"/>
    <m/>
    <x v="8"/>
    <x v="5"/>
    <m/>
    <s v="Suarez"/>
    <s v="Diurno"/>
    <n v="1"/>
    <n v="1"/>
    <e v="#N/A"/>
    <n v="0.3483"/>
    <n v="3.4830000000000001"/>
    <n v="10"/>
    <n v="0.1"/>
    <e v="#N/A"/>
    <m/>
    <m/>
  </r>
  <r>
    <x v="15"/>
    <m/>
    <x v="8"/>
    <x v="5"/>
    <m/>
    <s v="Segura"/>
    <s v="Diurno"/>
    <n v="1"/>
    <n v="1"/>
    <e v="#N/A"/>
    <n v="0.3483"/>
    <n v="3.4830000000000001"/>
    <n v="10"/>
    <n v="0.1"/>
    <e v="#N/A"/>
    <m/>
    <m/>
  </r>
  <r>
    <x v="15"/>
    <m/>
    <x v="0"/>
    <x v="0"/>
    <n v="724"/>
    <s v="Rodriguez"/>
    <s v="Diurno"/>
    <n v="373.5"/>
    <n v="37.35"/>
    <n v="45"/>
    <n v="1.1361111111111112E-2"/>
    <n v="4.2433750000000003"/>
    <n v="10"/>
    <n v="37.35"/>
    <n v="0.83000000000000007"/>
    <m/>
    <m/>
  </r>
  <r>
    <x v="15"/>
    <m/>
    <x v="0"/>
    <x v="0"/>
    <n v="724"/>
    <s v="Jimmy"/>
    <s v="Diurno"/>
    <n v="373.5"/>
    <n v="37.35"/>
    <n v="45"/>
    <n v="1.1361111111111112E-2"/>
    <n v="4.2433750000000003"/>
    <n v="10"/>
    <n v="37.35"/>
    <n v="0.83000000000000007"/>
    <m/>
    <m/>
  </r>
  <r>
    <x v="15"/>
    <m/>
    <x v="2"/>
    <x v="3"/>
    <n v="353"/>
    <s v="Carpio"/>
    <s v="Diurno"/>
    <n v="3340"/>
    <n v="417.5"/>
    <n v="500"/>
    <n v="1.0225E-3"/>
    <n v="3.4151499999999997"/>
    <n v="8"/>
    <n v="417.5"/>
    <n v="0.83499999999999996"/>
    <m/>
    <m/>
  </r>
  <r>
    <x v="15"/>
    <m/>
    <x v="9"/>
    <x v="1"/>
    <m/>
    <s v="Quiñonez"/>
    <s v="Nocturno"/>
    <n v="216"/>
    <n v="19.636363636363637"/>
    <n v="17"/>
    <n v="3.0073529411764707E-2"/>
    <n v="6.4958823529411767"/>
    <n v="11"/>
    <n v="19.636363636363637"/>
    <n v="1.1550802139037433"/>
    <m/>
    <m/>
  </r>
  <r>
    <x v="15"/>
    <m/>
    <x v="13"/>
    <x v="5"/>
    <m/>
    <s v="Palma"/>
    <s v="Diurno"/>
    <n v="1"/>
    <n v="1"/>
    <e v="#N/A"/>
    <n v="0.3483"/>
    <n v="3.4830000000000001"/>
    <n v="10"/>
    <n v="0.1"/>
    <e v="#N/A"/>
    <m/>
    <m/>
  </r>
  <r>
    <x v="16"/>
    <m/>
    <x v="3"/>
    <x v="4"/>
    <n v="110"/>
    <s v="Segura"/>
    <s v="Diurno"/>
    <n v="517.5"/>
    <n v="51.75"/>
    <n v="45"/>
    <n v="1.1361111111111112E-2"/>
    <n v="5.8793749999999996"/>
    <n v="10"/>
    <n v="51.75"/>
    <n v="1.1499999999999999"/>
    <m/>
    <m/>
  </r>
  <r>
    <x v="16"/>
    <m/>
    <x v="3"/>
    <x v="4"/>
    <n v="110"/>
    <s v="Suarez"/>
    <s v="Diurno"/>
    <n v="57.5"/>
    <n v="57.5"/>
    <n v="45"/>
    <n v="1.1361111111111112E-2"/>
    <n v="0.65326388888888898"/>
    <n v="1"/>
    <n v="57.5"/>
    <n v="1.2777777777777777"/>
    <m/>
    <m/>
  </r>
  <r>
    <x v="16"/>
    <m/>
    <x v="8"/>
    <x v="5"/>
    <m/>
    <s v="Suarez"/>
    <s v="Diurno"/>
    <n v="1"/>
    <n v="1"/>
    <e v="#N/A"/>
    <n v="0.3483"/>
    <n v="3.1347"/>
    <n v="9"/>
    <n v="0.1111111111111111"/>
    <e v="#N/A"/>
    <m/>
    <m/>
  </r>
  <r>
    <x v="16"/>
    <m/>
    <x v="0"/>
    <x v="1"/>
    <n v="731"/>
    <s v="Ciro"/>
    <s v="Diurno"/>
    <n v="435"/>
    <n v="54.375"/>
    <n v="55"/>
    <n v="9.295454545454546E-3"/>
    <n v="4.0435227272727277"/>
    <n v="8"/>
    <n v="54.375"/>
    <n v="0.98863636363636365"/>
    <m/>
    <m/>
  </r>
  <r>
    <x v="16"/>
    <m/>
    <x v="8"/>
    <x v="5"/>
    <m/>
    <s v="Ciro"/>
    <s v="Diurno"/>
    <n v="1"/>
    <n v="1"/>
    <e v="#N/A"/>
    <n v="0.3483"/>
    <n v="0.6966"/>
    <n v="2"/>
    <n v="0.5"/>
    <e v="#N/A"/>
    <m/>
    <m/>
  </r>
  <r>
    <x v="16"/>
    <m/>
    <x v="0"/>
    <x v="1"/>
    <n v="730"/>
    <s v="Balladares"/>
    <s v="Diurno"/>
    <n v="545.33333333333337"/>
    <n v="54.533333333333339"/>
    <n v="55"/>
    <n v="9.295454545454546E-3"/>
    <n v="5.0691212121212121"/>
    <n v="10"/>
    <n v="54.533333333333339"/>
    <n v="0.99151515151515157"/>
    <m/>
    <m/>
  </r>
  <r>
    <x v="16"/>
    <m/>
    <x v="0"/>
    <x v="1"/>
    <n v="730"/>
    <s v="Bazan"/>
    <s v="Diurno"/>
    <n v="545.33333333333337"/>
    <n v="54.533333333333339"/>
    <n v="55"/>
    <n v="9.295454545454546E-3"/>
    <n v="5.0691212121212121"/>
    <n v="10"/>
    <n v="54.533333333333339"/>
    <n v="0.99151515151515157"/>
    <m/>
    <m/>
  </r>
  <r>
    <x v="16"/>
    <m/>
    <x v="0"/>
    <x v="1"/>
    <n v="730"/>
    <s v="Nunura"/>
    <s v="Diurno"/>
    <n v="545.33333333333337"/>
    <n v="54.533333333333339"/>
    <n v="55"/>
    <n v="9.295454545454546E-3"/>
    <n v="5.0691212121212121"/>
    <n v="10"/>
    <n v="54.533333333333339"/>
    <n v="0.99151515151515157"/>
    <m/>
    <m/>
  </r>
  <r>
    <x v="16"/>
    <m/>
    <x v="1"/>
    <x v="2"/>
    <n v="729"/>
    <s v="Solis"/>
    <s v="Diurno"/>
    <n v="334.25"/>
    <n v="47.75"/>
    <n v="92"/>
    <n v="5.5570652173913045E-3"/>
    <n v="1.8574490489130433"/>
    <n v="7"/>
    <n v="47.75"/>
    <n v="0.51902173913043481"/>
    <m/>
    <m/>
  </r>
  <r>
    <x v="16"/>
    <m/>
    <x v="1"/>
    <x v="2"/>
    <n v="729"/>
    <s v="Robledo"/>
    <s v="Diurno"/>
    <n v="334.25"/>
    <n v="47.75"/>
    <n v="92"/>
    <n v="5.5570652173913045E-3"/>
    <n v="1.8574490489130433"/>
    <n v="7"/>
    <n v="47.75"/>
    <n v="0.51902173913043481"/>
    <m/>
    <m/>
  </r>
  <r>
    <x v="16"/>
    <m/>
    <x v="1"/>
    <x v="2"/>
    <n v="729"/>
    <s v="Polanco"/>
    <s v="Diurno"/>
    <n v="286.5"/>
    <n v="47.75"/>
    <n v="92"/>
    <n v="5.5570652173913045E-3"/>
    <n v="1.5920991847826085"/>
    <n v="6"/>
    <n v="47.75"/>
    <n v="0.51902173913043481"/>
    <m/>
    <m/>
  </r>
  <r>
    <x v="16"/>
    <m/>
    <x v="8"/>
    <x v="5"/>
    <m/>
    <s v="Polanco"/>
    <s v="Diurno"/>
    <n v="1"/>
    <n v="1"/>
    <e v="#N/A"/>
    <n v="0.3483"/>
    <n v="0.3483"/>
    <n v="1"/>
    <n v="1"/>
    <e v="#N/A"/>
    <m/>
    <m/>
  </r>
  <r>
    <x v="16"/>
    <m/>
    <x v="0"/>
    <x v="0"/>
    <n v="732"/>
    <s v="Jimmy"/>
    <s v="Diurno"/>
    <n v="399"/>
    <n v="49.875"/>
    <n v="45"/>
    <n v="1.1361111111111112E-2"/>
    <n v="4.5330833333333338"/>
    <n v="8"/>
    <n v="49.875"/>
    <n v="1.1083333333333334"/>
    <m/>
    <m/>
  </r>
  <r>
    <x v="16"/>
    <m/>
    <x v="0"/>
    <x v="0"/>
    <n v="732"/>
    <s v="Rodriguez"/>
    <s v="Diurno"/>
    <n v="399"/>
    <n v="49.875"/>
    <n v="45"/>
    <n v="1.1361111111111112E-2"/>
    <n v="4.5330833333333338"/>
    <n v="8"/>
    <n v="49.875"/>
    <n v="1.1083333333333334"/>
    <m/>
    <m/>
  </r>
  <r>
    <x v="16"/>
    <m/>
    <x v="8"/>
    <x v="5"/>
    <m/>
    <s v="Jimmy"/>
    <s v="Diurno"/>
    <n v="1"/>
    <n v="1"/>
    <e v="#N/A"/>
    <n v="0.3483"/>
    <n v="0.6966"/>
    <n v="2"/>
    <n v="0.5"/>
    <e v="#N/A"/>
    <m/>
    <m/>
  </r>
  <r>
    <x v="16"/>
    <m/>
    <x v="8"/>
    <x v="5"/>
    <m/>
    <s v="Rodriguez"/>
    <s v="Diurno"/>
    <n v="1"/>
    <n v="1"/>
    <e v="#N/A"/>
    <n v="0.3483"/>
    <n v="0.6966"/>
    <n v="2"/>
    <n v="0.5"/>
    <e v="#N/A"/>
    <m/>
    <m/>
  </r>
  <r>
    <x v="16"/>
    <m/>
    <x v="8"/>
    <x v="9"/>
    <m/>
    <s v="Victor"/>
    <s v="Diurno"/>
    <n v="1"/>
    <n v="1"/>
    <e v="#N/A"/>
    <n v="0.3483"/>
    <n v="3.4830000000000001"/>
    <n v="10"/>
    <n v="0.1"/>
    <e v="#N/A"/>
    <m/>
    <m/>
  </r>
  <r>
    <x v="16"/>
    <m/>
    <x v="9"/>
    <x v="1"/>
    <m/>
    <s v="Miraba"/>
    <s v="Diurno"/>
    <m/>
    <n v="0"/>
    <n v="17"/>
    <n v="3.0073529411764707E-2"/>
    <n v="0"/>
    <n v="10"/>
    <n v="0"/>
    <n v="0"/>
    <m/>
    <m/>
  </r>
  <r>
    <x v="16"/>
    <m/>
    <x v="13"/>
    <x v="5"/>
    <m/>
    <s v="Palma"/>
    <s v="Diurno"/>
    <n v="1"/>
    <n v="1"/>
    <e v="#N/A"/>
    <n v="0.3483"/>
    <n v="3.4830000000000001"/>
    <n v="10"/>
    <n v="0.1"/>
    <e v="#N/A"/>
    <m/>
    <m/>
  </r>
  <r>
    <x v="16"/>
    <m/>
    <x v="9"/>
    <x v="1"/>
    <m/>
    <s v="Quiñonez"/>
    <s v="Nocturno"/>
    <n v="240"/>
    <n v="21.818181818181817"/>
    <n v="17"/>
    <n v="3.0073529411764707E-2"/>
    <n v="7.2176470588235295"/>
    <n v="11"/>
    <n v="21.818181818181817"/>
    <n v="1.2834224598930479"/>
    <m/>
    <m/>
  </r>
  <r>
    <x v="17"/>
    <m/>
    <x v="2"/>
    <x v="3"/>
    <n v="354"/>
    <s v="Carpio"/>
    <s v="Diurno"/>
    <n v="2242"/>
    <n v="373.66666666666669"/>
    <n v="500"/>
    <n v="1.0225E-3"/>
    <n v="2.2924449999999998"/>
    <n v="6"/>
    <n v="373.66666666666669"/>
    <n v="0.7473333333333334"/>
    <m/>
    <m/>
  </r>
  <r>
    <x v="17"/>
    <m/>
    <x v="5"/>
    <x v="5"/>
    <m/>
    <s v="Carpio"/>
    <s v="Diurno"/>
    <n v="1"/>
    <n v="1"/>
    <e v="#N/A"/>
    <n v="0.3483"/>
    <n v="1.3932"/>
    <n v="4"/>
    <n v="0.25"/>
    <e v="#N/A"/>
    <m/>
    <m/>
  </r>
  <r>
    <x v="17"/>
    <m/>
    <x v="0"/>
    <x v="1"/>
    <n v="733"/>
    <s v="Balladares"/>
    <s v="Diurno"/>
    <n v="572"/>
    <n v="57.2"/>
    <n v="55"/>
    <n v="9.295454545454546E-3"/>
    <n v="5.3170000000000002"/>
    <n v="10"/>
    <n v="57.2"/>
    <n v="1.04"/>
    <m/>
    <m/>
  </r>
  <r>
    <x v="17"/>
    <m/>
    <x v="0"/>
    <x v="1"/>
    <n v="733"/>
    <s v="Bazan"/>
    <s v="Diurno"/>
    <n v="572"/>
    <n v="57.2"/>
    <n v="55"/>
    <n v="9.295454545454546E-3"/>
    <n v="5.3170000000000002"/>
    <n v="10"/>
    <n v="57.2"/>
    <n v="1.04"/>
    <m/>
    <m/>
  </r>
  <r>
    <x v="17"/>
    <m/>
    <x v="0"/>
    <x v="1"/>
    <n v="733"/>
    <s v="Nunura"/>
    <s v="Diurno"/>
    <n v="572"/>
    <n v="57.2"/>
    <n v="55"/>
    <n v="9.295454545454546E-3"/>
    <n v="5.3170000000000002"/>
    <n v="10"/>
    <n v="57.2"/>
    <n v="1.04"/>
    <m/>
    <m/>
  </r>
  <r>
    <x v="17"/>
    <m/>
    <x v="6"/>
    <x v="6"/>
    <s v="1203/1204"/>
    <s v="Vicente"/>
    <s v="Diurno"/>
    <n v="766.8"/>
    <n v="76.679999999999993"/>
    <n v="70"/>
    <n v="2.1911428571428572E-3"/>
    <n v="1.6801683428571426"/>
    <n v="10"/>
    <n v="76.679999999999993"/>
    <n v="1.0954285714285714"/>
    <m/>
    <m/>
  </r>
  <r>
    <x v="17"/>
    <m/>
    <x v="6"/>
    <x v="6"/>
    <s v="1203/1204"/>
    <s v="Suarez"/>
    <s v="Diurno"/>
    <n v="766.8"/>
    <n v="76.679999999999993"/>
    <n v="70"/>
    <n v="2.1911428571428572E-3"/>
    <n v="1.6801683428571426"/>
    <n v="10"/>
    <n v="76.679999999999993"/>
    <n v="1.0954285714285714"/>
    <m/>
    <m/>
  </r>
  <r>
    <x v="17"/>
    <m/>
    <x v="6"/>
    <x v="6"/>
    <s v="1203/1204"/>
    <s v="Rodriguez"/>
    <s v="Diurno"/>
    <n v="766.8"/>
    <n v="76.679999999999993"/>
    <n v="70"/>
    <n v="2.1911428571428572E-3"/>
    <n v="1.6801683428571426"/>
    <n v="10"/>
    <n v="76.679999999999993"/>
    <n v="1.0954285714285714"/>
    <m/>
    <m/>
  </r>
  <r>
    <x v="17"/>
    <m/>
    <x v="6"/>
    <x v="6"/>
    <s v="1203/1204"/>
    <s v="Ciro"/>
    <s v="Diurno"/>
    <n v="766.8"/>
    <n v="76.679999999999993"/>
    <n v="70"/>
    <n v="2.1911428571428572E-3"/>
    <n v="1.6801683428571426"/>
    <n v="10"/>
    <n v="76.679999999999993"/>
    <n v="1.0954285714285714"/>
    <m/>
    <m/>
  </r>
  <r>
    <x v="17"/>
    <m/>
    <x v="6"/>
    <x v="6"/>
    <s v="1203/1204"/>
    <s v="Andrade"/>
    <s v="Diurno"/>
    <n v="766.8"/>
    <n v="76.679999999999993"/>
    <n v="70"/>
    <n v="2.1911428571428572E-3"/>
    <n v="1.6801683428571426"/>
    <n v="10"/>
    <n v="76.679999999999993"/>
    <n v="1.0954285714285714"/>
    <m/>
    <m/>
  </r>
  <r>
    <x v="17"/>
    <m/>
    <x v="13"/>
    <x v="5"/>
    <m/>
    <s v="Palma"/>
    <s v="Diurno"/>
    <n v="1"/>
    <n v="1"/>
    <e v="#N/A"/>
    <n v="0.3483"/>
    <n v="3.4830000000000001"/>
    <n v="10"/>
    <n v="0.1"/>
    <e v="#N/A"/>
    <m/>
    <m/>
  </r>
  <r>
    <x v="17"/>
    <m/>
    <x v="9"/>
    <x v="1"/>
    <m/>
    <s v="Miraba"/>
    <s v="Diurno"/>
    <n v="137"/>
    <n v="13.7"/>
    <n v="17"/>
    <n v="3.0073529411764707E-2"/>
    <n v="4.1200735294117647"/>
    <n v="10"/>
    <n v="13.7"/>
    <n v="0.80588235294117638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3">
  <r>
    <x v="0"/>
    <x v="0"/>
    <x v="0"/>
    <n v="363"/>
    <x v="0"/>
    <s v="Diurno"/>
    <n v="3562"/>
    <n v="356.2"/>
    <n v="500"/>
    <n v="1.0225E-3"/>
    <n v="3.6421450000000002"/>
    <n v="10"/>
    <n v="356.2"/>
    <n v="0.71239999999999992"/>
  </r>
  <r>
    <x v="0"/>
    <x v="1"/>
    <x v="1"/>
    <n v="1231"/>
    <x v="1"/>
    <s v="Diurno"/>
    <n v="2364"/>
    <n v="262.66666666666669"/>
    <n v="350"/>
    <n v="2.1911428571428572E-3"/>
    <n v="5.1798617142857148"/>
    <n v="9"/>
    <n v="262.66666666666669"/>
    <n v="0.75047619047619052"/>
  </r>
  <r>
    <x v="1"/>
    <x v="0"/>
    <x v="1"/>
    <n v="357"/>
    <x v="0"/>
    <s v="Diurno"/>
    <n v="1157"/>
    <n v="192.83333333333334"/>
    <n v="300"/>
    <n v="1.7041666666666668E-3"/>
    <n v="1.9717208333333334"/>
    <n v="6"/>
    <n v="192.83333333333334"/>
    <n v="0.64277777777777778"/>
  </r>
  <r>
    <x v="1"/>
    <x v="2"/>
    <x v="2"/>
    <m/>
    <x v="0"/>
    <s v="Diurno"/>
    <m/>
    <n v="1"/>
    <n v="1"/>
    <n v="0.3483"/>
    <n v="1.3932"/>
    <n v="4"/>
    <n v="0"/>
    <e v="#N/A"/>
  </r>
  <r>
    <x v="1"/>
    <x v="3"/>
    <x v="3"/>
    <n v="754"/>
    <x v="2"/>
    <s v="Diurno"/>
    <n v="514"/>
    <n v="57.111111111111114"/>
    <n v="55"/>
    <n v="9.295454545454546E-3"/>
    <n v="4.7778636363636373"/>
    <n v="9"/>
    <n v="57.111111111111114"/>
    <n v="1.0383838383838384"/>
  </r>
  <r>
    <x v="1"/>
    <x v="4"/>
    <x v="2"/>
    <m/>
    <x v="2"/>
    <s v="Diurno"/>
    <m/>
    <n v="1"/>
    <n v="1"/>
    <n v="0.3483"/>
    <n v="0.3483"/>
    <n v="1"/>
    <n v="0"/>
    <e v="#N/A"/>
  </r>
  <r>
    <x v="1"/>
    <x v="5"/>
    <x v="4"/>
    <n v="752"/>
    <x v="3"/>
    <s v="Diurno"/>
    <n v="809"/>
    <n v="80.900000000000006"/>
    <n v="92"/>
    <n v="5.5570652173913045E-3"/>
    <n v="4.4956657608695654"/>
    <n v="10"/>
    <n v="80.900000000000006"/>
    <n v="0.87934782608695661"/>
  </r>
  <r>
    <x v="1"/>
    <x v="3"/>
    <x v="3"/>
    <n v="755"/>
    <x v="4"/>
    <s v="Diurno"/>
    <n v="629"/>
    <n v="62.9"/>
    <n v="55"/>
    <n v="9.295454545454546E-3"/>
    <n v="5.8468409090909095"/>
    <n v="10"/>
    <n v="62.9"/>
    <n v="1.1436363636363636"/>
  </r>
  <r>
    <x v="1"/>
    <x v="3"/>
    <x v="3"/>
    <n v="753"/>
    <x v="5"/>
    <s v="Diurno"/>
    <n v="395.27"/>
    <n v="39.527000000000001"/>
    <n v="55"/>
    <n v="9.295454545454546E-3"/>
    <n v="3.6742143181818188"/>
    <n v="10"/>
    <n v="39.527000000000001"/>
    <n v="0.71867272727272724"/>
  </r>
  <r>
    <x v="1"/>
    <x v="3"/>
    <x v="3"/>
    <n v="753"/>
    <x v="6"/>
    <s v="Diurno"/>
    <n v="395.27"/>
    <n v="39.527000000000001"/>
    <n v="55"/>
    <n v="9.295454545454546E-3"/>
    <n v="3.6742143181818188"/>
    <n v="10"/>
    <n v="39.527000000000001"/>
    <n v="0.71867272727272724"/>
  </r>
  <r>
    <x v="1"/>
    <x v="3"/>
    <x v="3"/>
    <n v="753"/>
    <x v="7"/>
    <s v="Diurno"/>
    <n v="287.45999999999998"/>
    <n v="35.932499999999997"/>
    <n v="55"/>
    <n v="9.295454545454546E-3"/>
    <n v="2.6720713636363636"/>
    <n v="8"/>
    <n v="35.932499999999997"/>
    <n v="0.6533181818181818"/>
  </r>
  <r>
    <x v="1"/>
    <x v="4"/>
    <x v="2"/>
    <m/>
    <x v="7"/>
    <m/>
    <m/>
    <n v="1"/>
    <n v="1"/>
    <n v="0.3483"/>
    <n v="0.6966"/>
    <n v="2"/>
    <n v="0"/>
    <e v="#N/A"/>
  </r>
  <r>
    <x v="1"/>
    <x v="2"/>
    <x v="2"/>
    <m/>
    <x v="8"/>
    <m/>
    <m/>
    <n v="1"/>
    <n v="1"/>
    <n v="0.3483"/>
    <n v="1.7415"/>
    <n v="5"/>
    <n v="0"/>
    <e v="#N/A"/>
  </r>
  <r>
    <x v="1"/>
    <x v="2"/>
    <x v="2"/>
    <m/>
    <x v="9"/>
    <m/>
    <m/>
    <n v="1"/>
    <n v="1"/>
    <n v="0.3483"/>
    <n v="1.7415"/>
    <n v="5"/>
    <n v="0"/>
    <e v="#N/A"/>
  </r>
  <r>
    <x v="1"/>
    <x v="6"/>
    <x v="5"/>
    <n v="118"/>
    <x v="8"/>
    <s v="Diurno"/>
    <n v="176.5"/>
    <n v="35.299999999999997"/>
    <n v="45"/>
    <n v="1.1361111111111112E-2"/>
    <n v="2.005236111111111"/>
    <n v="5"/>
    <n v="35.299999999999997"/>
    <n v="0.78444444444444439"/>
  </r>
  <r>
    <x v="1"/>
    <x v="6"/>
    <x v="5"/>
    <n v="118"/>
    <x v="9"/>
    <s v="Diurno"/>
    <n v="176.5"/>
    <n v="35.299999999999997"/>
    <n v="45"/>
    <n v="1.1361111111111112E-2"/>
    <n v="2.005236111111111"/>
    <n v="5"/>
    <n v="35.299999999999997"/>
    <n v="0.78444444444444439"/>
  </r>
  <r>
    <x v="1"/>
    <x v="2"/>
    <x v="2"/>
    <m/>
    <x v="1"/>
    <s v="Diurno"/>
    <m/>
    <n v="1"/>
    <n v="1"/>
    <n v="0.3483"/>
    <n v="3.4830000000000001"/>
    <n v="10"/>
    <n v="0"/>
    <e v="#N/A"/>
  </r>
  <r>
    <x v="1"/>
    <x v="2"/>
    <x v="2"/>
    <m/>
    <x v="10"/>
    <s v="Diurno"/>
    <m/>
    <n v="1"/>
    <n v="1"/>
    <n v="0.3483"/>
    <n v="3.4830000000000001"/>
    <n v="10"/>
    <n v="0"/>
    <e v="#N/A"/>
  </r>
  <r>
    <x v="1"/>
    <x v="2"/>
    <x v="2"/>
    <m/>
    <x v="11"/>
    <s v="Diurno"/>
    <m/>
    <n v="1"/>
    <n v="1"/>
    <n v="0.3483"/>
    <n v="3.4830000000000001"/>
    <n v="10"/>
    <n v="0"/>
    <e v="#N/A"/>
  </r>
  <r>
    <x v="1"/>
    <x v="2"/>
    <x v="2"/>
    <m/>
    <x v="12"/>
    <s v="Diurno"/>
    <m/>
    <n v="1"/>
    <n v="1"/>
    <n v="0.3483"/>
    <n v="3.4830000000000001"/>
    <n v="10"/>
    <n v="0"/>
    <e v="#N/A"/>
  </r>
  <r>
    <x v="1"/>
    <x v="2"/>
    <x v="2"/>
    <m/>
    <x v="13"/>
    <s v="Diurno"/>
    <m/>
    <n v="1"/>
    <n v="1"/>
    <n v="0.3483"/>
    <n v="3.4830000000000001"/>
    <n v="10"/>
    <n v="0"/>
    <e v="#N/A"/>
  </r>
  <r>
    <x v="1"/>
    <x v="2"/>
    <x v="2"/>
    <m/>
    <x v="14"/>
    <s v="Diurno"/>
    <m/>
    <n v="1"/>
    <n v="1"/>
    <n v="0.3483"/>
    <n v="3.4830000000000001"/>
    <n v="10"/>
    <n v="0"/>
    <e v="#N/A"/>
  </r>
  <r>
    <x v="1"/>
    <x v="2"/>
    <x v="2"/>
    <m/>
    <x v="15"/>
    <s v="Diurno"/>
    <m/>
    <n v="1"/>
    <n v="1"/>
    <n v="0.3483"/>
    <n v="3.4830000000000001"/>
    <n v="10"/>
    <n v="0"/>
    <e v="#N/A"/>
  </r>
  <r>
    <x v="1"/>
    <x v="2"/>
    <x v="2"/>
    <m/>
    <x v="16"/>
    <s v="Diurno"/>
    <m/>
    <n v="1"/>
    <n v="1"/>
    <n v="0.3483"/>
    <n v="3.4830000000000001"/>
    <n v="10"/>
    <n v="0"/>
    <e v="#N/A"/>
  </r>
  <r>
    <x v="1"/>
    <x v="2"/>
    <x v="2"/>
    <m/>
    <x v="17"/>
    <s v="Diurno"/>
    <m/>
    <n v="1"/>
    <n v="1"/>
    <n v="0.3483"/>
    <n v="3.4830000000000001"/>
    <n v="10"/>
    <n v="0"/>
    <e v="#N/A"/>
  </r>
  <r>
    <x v="1"/>
    <x v="2"/>
    <x v="2"/>
    <m/>
    <x v="18"/>
    <s v="Diurno"/>
    <m/>
    <n v="1"/>
    <n v="1"/>
    <n v="0.3483"/>
    <n v="3.4830000000000001"/>
    <n v="10"/>
    <n v="0"/>
    <e v="#N/A"/>
  </r>
  <r>
    <x v="2"/>
    <x v="3"/>
    <x v="3"/>
    <n v="756"/>
    <x v="5"/>
    <s v="Diurno"/>
    <n v="520.5"/>
    <n v="52.05"/>
    <n v="55"/>
    <n v="9.295454545454546E-3"/>
    <n v="4.8382840909090907"/>
    <n v="10"/>
    <n v="52.05"/>
    <n v="0.9463636363636363"/>
  </r>
  <r>
    <x v="2"/>
    <x v="3"/>
    <x v="3"/>
    <n v="756"/>
    <x v="6"/>
    <s v="Diurno"/>
    <n v="520.5"/>
    <n v="52.05"/>
    <n v="55"/>
    <n v="9.295454545454546E-3"/>
    <n v="4.8382840909090907"/>
    <n v="10"/>
    <n v="52.05"/>
    <n v="0.9463636363636363"/>
  </r>
  <r>
    <x v="2"/>
    <x v="3"/>
    <x v="3"/>
    <n v="756"/>
    <x v="7"/>
    <s v="Diurno"/>
    <n v="520"/>
    <n v="57.777777777777779"/>
    <n v="55"/>
    <n v="9.295454545454546E-3"/>
    <n v="4.833636363636364"/>
    <n v="9"/>
    <n v="57.777777777777779"/>
    <n v="1.0505050505050506"/>
  </r>
  <r>
    <x v="2"/>
    <x v="0"/>
    <x v="1"/>
    <n v="359"/>
    <x v="0"/>
    <s v="Diurno"/>
    <n v="1686"/>
    <n v="168.6"/>
    <n v="300"/>
    <n v="1.7041666666666668E-3"/>
    <n v="2.8732249999999997"/>
    <n v="10"/>
    <n v="168.6"/>
    <n v="0.56199999999999994"/>
  </r>
  <r>
    <x v="2"/>
    <x v="5"/>
    <x v="4"/>
    <n v="757"/>
    <x v="3"/>
    <s v="Diurno"/>
    <n v="822"/>
    <n v="82.2"/>
    <n v="92"/>
    <n v="5.5570652173913045E-3"/>
    <n v="4.5679076086956529"/>
    <n v="10"/>
    <n v="82.2"/>
    <n v="0.89347826086956528"/>
  </r>
  <r>
    <x v="2"/>
    <x v="3"/>
    <x v="3"/>
    <n v="758"/>
    <x v="2"/>
    <s v="Diurno"/>
    <n v="494.65"/>
    <n v="49.464999999999996"/>
    <n v="55"/>
    <n v="9.295454545454546E-3"/>
    <n v="4.5979965909090907"/>
    <n v="10"/>
    <n v="49.464999999999996"/>
    <n v="0.89936363636363625"/>
  </r>
  <r>
    <x v="2"/>
    <x v="3"/>
    <x v="3"/>
    <n v="458"/>
    <x v="17"/>
    <s v="Diurno"/>
    <n v="266.35000000000002"/>
    <n v="38.050000000000004"/>
    <n v="55"/>
    <n v="9.295454545454546E-3"/>
    <n v="2.4758443181818186"/>
    <n v="7"/>
    <n v="38.050000000000004"/>
    <n v="0.69181818181818189"/>
  </r>
  <r>
    <x v="2"/>
    <x v="6"/>
    <x v="5"/>
    <n v="117"/>
    <x v="8"/>
    <s v="Diurno"/>
    <n v="425.5"/>
    <n v="42.55"/>
    <n v="45"/>
    <n v="1.1361111111111112E-2"/>
    <n v="4.8341527777777777"/>
    <n v="10"/>
    <n v="42.55"/>
    <n v="0.94555555555555548"/>
  </r>
  <r>
    <x v="2"/>
    <x v="6"/>
    <x v="5"/>
    <n v="117"/>
    <x v="9"/>
    <s v="Diurno"/>
    <n v="426"/>
    <n v="42.6"/>
    <n v="45"/>
    <n v="1.1361111111111112E-2"/>
    <n v="4.8398333333333339"/>
    <n v="10"/>
    <n v="42.6"/>
    <n v="0.94666666666666666"/>
  </r>
  <r>
    <x v="2"/>
    <x v="6"/>
    <x v="5"/>
    <n v="119"/>
    <x v="4"/>
    <s v="Diurno"/>
    <n v="208"/>
    <n v="20.8"/>
    <n v="45"/>
    <n v="1.1361111111111112E-2"/>
    <n v="2.3631111111111114"/>
    <n v="10"/>
    <n v="20.8"/>
    <n v="0.46222222222222226"/>
  </r>
  <r>
    <x v="2"/>
    <x v="7"/>
    <x v="6"/>
    <n v="149"/>
    <x v="13"/>
    <s v="Diurno"/>
    <n v="541"/>
    <n v="67.625"/>
    <n v="75"/>
    <n v="1.0225333333333333E-2"/>
    <n v="5.5319053333333335"/>
    <n v="8"/>
    <n v="67.625"/>
    <n v="0.90166666666666662"/>
  </r>
  <r>
    <x v="2"/>
    <x v="2"/>
    <x v="2"/>
    <m/>
    <x v="10"/>
    <s v="Diurno"/>
    <m/>
    <n v="1"/>
    <n v="1"/>
    <n v="0.3483"/>
    <n v="3.4830000000000001"/>
    <n v="10"/>
    <n v="0"/>
    <e v="#N/A"/>
  </r>
  <r>
    <x v="2"/>
    <x v="4"/>
    <x v="2"/>
    <m/>
    <x v="12"/>
    <s v="Diurno"/>
    <m/>
    <n v="1"/>
    <n v="1"/>
    <n v="0.3483"/>
    <n v="3.4830000000000001"/>
    <n v="10"/>
    <n v="0"/>
    <e v="#N/A"/>
  </r>
  <r>
    <x v="2"/>
    <x v="8"/>
    <x v="2"/>
    <m/>
    <x v="11"/>
    <s v="Diurno"/>
    <m/>
    <n v="1"/>
    <n v="1"/>
    <n v="0.3483"/>
    <n v="3.4830000000000001"/>
    <n v="10"/>
    <n v="0"/>
    <e v="#N/A"/>
  </r>
  <r>
    <x v="2"/>
    <x v="4"/>
    <x v="2"/>
    <m/>
    <x v="14"/>
    <s v="Diurno"/>
    <m/>
    <n v="1"/>
    <n v="1"/>
    <n v="0.3483"/>
    <n v="3.4830000000000001"/>
    <n v="10"/>
    <n v="0"/>
    <e v="#N/A"/>
  </r>
  <r>
    <x v="2"/>
    <x v="9"/>
    <x v="2"/>
    <m/>
    <x v="15"/>
    <s v="Diurno"/>
    <m/>
    <n v="1"/>
    <n v="1"/>
    <n v="0.3483"/>
    <n v="3.4830000000000001"/>
    <n v="10"/>
    <n v="0"/>
    <e v="#N/A"/>
  </r>
  <r>
    <x v="2"/>
    <x v="2"/>
    <x v="2"/>
    <m/>
    <x v="16"/>
    <s v="Diurno"/>
    <m/>
    <n v="1"/>
    <n v="1"/>
    <n v="0.3483"/>
    <n v="3.4830000000000001"/>
    <n v="10"/>
    <n v="0"/>
    <e v="#N/A"/>
  </r>
  <r>
    <x v="2"/>
    <x v="8"/>
    <x v="2"/>
    <m/>
    <x v="18"/>
    <s v="Diurno"/>
    <m/>
    <n v="1"/>
    <n v="1"/>
    <n v="0.3483"/>
    <n v="3.4830000000000001"/>
    <n v="10"/>
    <n v="0"/>
    <e v="#N/A"/>
  </r>
  <r>
    <x v="2"/>
    <x v="8"/>
    <x v="2"/>
    <m/>
    <x v="1"/>
    <s v="Diurno"/>
    <m/>
    <n v="1"/>
    <n v="1"/>
    <n v="0.3483"/>
    <n v="3.4830000000000001"/>
    <n v="10"/>
    <n v="0"/>
    <e v="#N/A"/>
  </r>
  <r>
    <x v="3"/>
    <x v="6"/>
    <x v="5"/>
    <n v="120"/>
    <x v="4"/>
    <s v="Diurno"/>
    <n v="402"/>
    <n v="40.200000000000003"/>
    <n v="45"/>
    <n v="1.1361111111111112E-2"/>
    <n v="4.567166666666667"/>
    <n v="10"/>
    <n v="40.200000000000003"/>
    <n v="0.89333333333333342"/>
  </r>
  <r>
    <x v="3"/>
    <x v="6"/>
    <x v="5"/>
    <n v="120"/>
    <x v="8"/>
    <s v="Diurno"/>
    <n v="402"/>
    <n v="40.200000000000003"/>
    <n v="45"/>
    <n v="1.1361111111111112E-2"/>
    <n v="4.567166666666667"/>
    <n v="10"/>
    <n v="40.200000000000003"/>
    <n v="0.89333333333333342"/>
  </r>
  <r>
    <x v="3"/>
    <x v="6"/>
    <x v="5"/>
    <n v="120"/>
    <x v="11"/>
    <s v="Diurno"/>
    <n v="123.6"/>
    <n v="30.9"/>
    <n v="45"/>
    <n v="1.1361111111111112E-2"/>
    <n v="1.4042333333333334"/>
    <n v="4"/>
    <n v="30.9"/>
    <n v="0.68666666666666665"/>
  </r>
  <r>
    <x v="3"/>
    <x v="8"/>
    <x v="2"/>
    <m/>
    <x v="11"/>
    <s v="Diurno"/>
    <m/>
    <n v="1"/>
    <n v="1"/>
    <n v="0.3483"/>
    <n v="2.0897999999999999"/>
    <n v="6"/>
    <n v="0"/>
    <e v="#N/A"/>
  </r>
  <r>
    <x v="3"/>
    <x v="1"/>
    <x v="0"/>
    <n v="1217"/>
    <x v="15"/>
    <s v="Diurno"/>
    <n v="2599"/>
    <n v="433.16666666666669"/>
    <n v="700"/>
    <n v="1.0955714285714286E-3"/>
    <n v="2.8473901428571433"/>
    <n v="6"/>
    <n v="433.16666666666669"/>
    <n v="0.61880952380952381"/>
  </r>
  <r>
    <x v="3"/>
    <x v="1"/>
    <x v="0"/>
    <s v="1215/1216"/>
    <x v="1"/>
    <s v="Nocturno"/>
    <n v="5961"/>
    <n v="541.90909090909088"/>
    <n v="700"/>
    <n v="1.0955714285714286E-3"/>
    <n v="6.5307012857142857"/>
    <n v="11"/>
    <n v="541.90909090909088"/>
    <n v="0.77415584415584415"/>
  </r>
  <r>
    <x v="3"/>
    <x v="2"/>
    <x v="2"/>
    <m/>
    <x v="9"/>
    <s v="Diurno"/>
    <m/>
    <n v="1"/>
    <n v="1"/>
    <n v="0.3483"/>
    <n v="1.7415"/>
    <n v="5"/>
    <n v="0"/>
    <e v="#N/A"/>
  </r>
  <r>
    <x v="3"/>
    <x v="10"/>
    <x v="0"/>
    <n v="892"/>
    <x v="9"/>
    <s v="Diurno"/>
    <n v="2750"/>
    <n v="550"/>
    <n v="700"/>
    <n v="1.0955714285714286E-3"/>
    <n v="3.0128214285714288"/>
    <n v="5"/>
    <n v="550"/>
    <n v="0.7857142857142857"/>
  </r>
  <r>
    <x v="3"/>
    <x v="10"/>
    <x v="0"/>
    <s v="893/894"/>
    <x v="14"/>
    <s v="Nocturno"/>
    <n v="6525"/>
    <n v="593.18181818181813"/>
    <n v="700"/>
    <n v="1.0955714285714286E-3"/>
    <n v="7.1486035714285707"/>
    <n v="11"/>
    <n v="593.18181818181813"/>
    <n v="0.84740259740259738"/>
  </r>
  <r>
    <x v="3"/>
    <x v="0"/>
    <x v="1"/>
    <n v="360"/>
    <x v="0"/>
    <s v="Diurno"/>
    <n v="2073"/>
    <n v="207.3"/>
    <n v="300"/>
    <n v="1.7041666666666668E-3"/>
    <n v="3.5327375000000005"/>
    <n v="10"/>
    <n v="207.3"/>
    <n v="0.69100000000000006"/>
  </r>
  <r>
    <x v="3"/>
    <x v="2"/>
    <x v="2"/>
    <m/>
    <x v="10"/>
    <s v="Diurno"/>
    <m/>
    <n v="1"/>
    <n v="1"/>
    <n v="0.3483"/>
    <n v="3.4830000000000001"/>
    <n v="10"/>
    <n v="0"/>
    <e v="#N/A"/>
  </r>
  <r>
    <x v="3"/>
    <x v="4"/>
    <x v="2"/>
    <m/>
    <x v="5"/>
    <s v="Diurno"/>
    <m/>
    <n v="1"/>
    <n v="1"/>
    <n v="0.3483"/>
    <n v="3.4830000000000001"/>
    <n v="10"/>
    <n v="0"/>
    <e v="#N/A"/>
  </r>
  <r>
    <x v="3"/>
    <x v="4"/>
    <x v="2"/>
    <m/>
    <x v="7"/>
    <s v="Diurno"/>
    <m/>
    <n v="1"/>
    <n v="1"/>
    <n v="0.3483"/>
    <n v="3.4830000000000001"/>
    <n v="10"/>
    <n v="0"/>
    <e v="#N/A"/>
  </r>
  <r>
    <x v="3"/>
    <x v="4"/>
    <x v="2"/>
    <m/>
    <x v="6"/>
    <s v="Diurno"/>
    <m/>
    <n v="1"/>
    <n v="1"/>
    <n v="0.3483"/>
    <n v="3.4830000000000001"/>
    <n v="10"/>
    <n v="0"/>
    <e v="#N/A"/>
  </r>
  <r>
    <x v="3"/>
    <x v="8"/>
    <x v="2"/>
    <m/>
    <x v="17"/>
    <s v="Diurno"/>
    <m/>
    <n v="1"/>
    <n v="1"/>
    <n v="0.3483"/>
    <n v="3.4830000000000001"/>
    <n v="10"/>
    <n v="0"/>
    <e v="#N/A"/>
  </r>
  <r>
    <x v="3"/>
    <x v="4"/>
    <x v="2"/>
    <m/>
    <x v="3"/>
    <s v="Diurno"/>
    <m/>
    <n v="1"/>
    <n v="1"/>
    <n v="0.3483"/>
    <n v="3.4830000000000001"/>
    <n v="10"/>
    <n v="0"/>
    <e v="#N/A"/>
  </r>
  <r>
    <x v="3"/>
    <x v="4"/>
    <x v="2"/>
    <m/>
    <x v="2"/>
    <s v="Diurno"/>
    <m/>
    <n v="1"/>
    <n v="1"/>
    <n v="0.3483"/>
    <n v="3.4830000000000001"/>
    <n v="10"/>
    <n v="0"/>
    <e v="#N/A"/>
  </r>
  <r>
    <x v="3"/>
    <x v="9"/>
    <x v="2"/>
    <m/>
    <x v="16"/>
    <s v="Diurno"/>
    <m/>
    <n v="1"/>
    <n v="1"/>
    <n v="0.3483"/>
    <n v="3.4830000000000001"/>
    <n v="10"/>
    <n v="0"/>
    <e v="#N/A"/>
  </r>
  <r>
    <x v="3"/>
    <x v="8"/>
    <x v="2"/>
    <m/>
    <x v="18"/>
    <s v="Diurno"/>
    <m/>
    <n v="1"/>
    <n v="1"/>
    <n v="0.3483"/>
    <n v="3.4830000000000001"/>
    <n v="10"/>
    <n v="0"/>
    <e v="#N/A"/>
  </r>
  <r>
    <x v="3"/>
    <x v="2"/>
    <x v="2"/>
    <m/>
    <x v="13"/>
    <s v="Nocturno"/>
    <m/>
    <n v="1"/>
    <n v="1"/>
    <n v="0.3483"/>
    <n v="3.8313000000000001"/>
    <n v="11"/>
    <n v="0"/>
    <e v="#N/A"/>
  </r>
  <r>
    <x v="4"/>
    <x v="5"/>
    <x v="4"/>
    <n v="759"/>
    <x v="3"/>
    <s v="Diurno"/>
    <n v="902"/>
    <n v="90.2"/>
    <n v="92"/>
    <n v="5.5570652173913045E-3"/>
    <n v="5.0124728260869569"/>
    <n v="10"/>
    <n v="90.2"/>
    <n v="0.98043478260869565"/>
  </r>
  <r>
    <x v="4"/>
    <x v="1"/>
    <x v="0"/>
    <s v="1221/1222"/>
    <x v="8"/>
    <s v="Diurno"/>
    <n v="3491"/>
    <n v="436.375"/>
    <n v="700"/>
    <n v="1.0955714285714286E-3"/>
    <n v="3.8246398571428575"/>
    <n v="8"/>
    <n v="436.375"/>
    <n v="0.62339285714285719"/>
  </r>
  <r>
    <x v="4"/>
    <x v="1"/>
    <x v="0"/>
    <s v="1218/1219"/>
    <x v="1"/>
    <s v="Nocturno"/>
    <n v="2999"/>
    <n v="599.79999999999995"/>
    <n v="700"/>
    <n v="1.0955714285714286E-3"/>
    <n v="3.2856187142857141"/>
    <n v="5"/>
    <n v="599.79999999999995"/>
    <n v="0.85685714285714276"/>
  </r>
  <r>
    <x v="4"/>
    <x v="2"/>
    <x v="2"/>
    <m/>
    <x v="13"/>
    <s v="Nocturno"/>
    <m/>
    <n v="1"/>
    <n v="1"/>
    <n v="0.3483"/>
    <n v="1.7415"/>
    <n v="5"/>
    <n v="0"/>
    <e v="#N/A"/>
  </r>
  <r>
    <x v="4"/>
    <x v="10"/>
    <x v="0"/>
    <n v="896"/>
    <x v="9"/>
    <s v="Diurno"/>
    <n v="4000"/>
    <n v="400"/>
    <n v="700"/>
    <n v="1.0955714285714286E-3"/>
    <n v="4.3822857142857146"/>
    <n v="10"/>
    <n v="400"/>
    <n v="0.5714285714285714"/>
  </r>
  <r>
    <x v="4"/>
    <x v="10"/>
    <x v="0"/>
    <s v="897/898"/>
    <x v="14"/>
    <s v="Diurno"/>
    <n v="3175"/>
    <n v="288.63636363636363"/>
    <n v="700"/>
    <n v="1.0955714285714286E-3"/>
    <n v="3.4784392857142854"/>
    <n v="11"/>
    <n v="288.63636363636363"/>
    <n v="0.41233766233766234"/>
  </r>
  <r>
    <x v="4"/>
    <x v="3"/>
    <x v="3"/>
    <n v="761"/>
    <x v="5"/>
    <s v="Diurno"/>
    <n v="543"/>
    <n v="54.3"/>
    <n v="55"/>
    <n v="9.295454545454546E-3"/>
    <n v="5.0474318181818179"/>
    <n v="10"/>
    <n v="54.3"/>
    <n v="0.98727272727272719"/>
  </r>
  <r>
    <x v="4"/>
    <x v="3"/>
    <x v="3"/>
    <n v="761"/>
    <x v="6"/>
    <s v="Diurno"/>
    <n v="543"/>
    <n v="54.3"/>
    <n v="55"/>
    <n v="9.295454545454546E-3"/>
    <n v="5.0474318181818179"/>
    <n v="10"/>
    <n v="54.3"/>
    <n v="0.98727272727272719"/>
  </r>
  <r>
    <x v="4"/>
    <x v="3"/>
    <x v="3"/>
    <n v="761"/>
    <x v="7"/>
    <s v="Diurno"/>
    <n v="543"/>
    <n v="54.3"/>
    <n v="55"/>
    <n v="9.295454545454546E-3"/>
    <n v="5.0474318181818179"/>
    <n v="10"/>
    <n v="54.3"/>
    <n v="0.98727272727272719"/>
  </r>
  <r>
    <x v="4"/>
    <x v="3"/>
    <x v="3"/>
    <n v="761"/>
    <x v="17"/>
    <s v="Diurno"/>
    <n v="181"/>
    <n v="45.25"/>
    <n v="55"/>
    <n v="9.295454545454546E-3"/>
    <n v="1.6824772727272728"/>
    <n v="4"/>
    <n v="45.25"/>
    <n v="0.82272727272727275"/>
  </r>
  <r>
    <x v="4"/>
    <x v="8"/>
    <x v="2"/>
    <m/>
    <x v="17"/>
    <s v="Diurno"/>
    <m/>
    <n v="1"/>
    <n v="1"/>
    <n v="0.3483"/>
    <n v="2.0897999999999999"/>
    <n v="6"/>
    <n v="0"/>
    <e v="#N/A"/>
  </r>
  <r>
    <x v="4"/>
    <x v="2"/>
    <x v="2"/>
    <m/>
    <x v="10"/>
    <s v="Diurno"/>
    <m/>
    <n v="1"/>
    <n v="1"/>
    <n v="0.3483"/>
    <n v="3.4830000000000001"/>
    <n v="10"/>
    <n v="0"/>
    <e v="#N/A"/>
  </r>
  <r>
    <x v="4"/>
    <x v="8"/>
    <x v="2"/>
    <m/>
    <x v="12"/>
    <s v="Diurno"/>
    <m/>
    <n v="1"/>
    <n v="1"/>
    <n v="0.3483"/>
    <n v="3.4830000000000001"/>
    <n v="10"/>
    <n v="0"/>
    <e v="#N/A"/>
  </r>
  <r>
    <x v="4"/>
    <x v="8"/>
    <x v="2"/>
    <m/>
    <x v="18"/>
    <s v="Diurno"/>
    <m/>
    <n v="1"/>
    <n v="1"/>
    <n v="0.3483"/>
    <n v="3.4830000000000001"/>
    <n v="10"/>
    <n v="0"/>
    <e v="#N/A"/>
  </r>
  <r>
    <x v="4"/>
    <x v="2"/>
    <x v="2"/>
    <m/>
    <x v="2"/>
    <s v="Diurno"/>
    <m/>
    <n v="1"/>
    <n v="1"/>
    <n v="0.3483"/>
    <n v="3.4830000000000001"/>
    <n v="10"/>
    <n v="0"/>
    <e v="#N/A"/>
  </r>
  <r>
    <x v="4"/>
    <x v="6"/>
    <x v="5"/>
    <n v="121"/>
    <x v="4"/>
    <s v="Diurno"/>
    <n v="303.5"/>
    <n v="30.35"/>
    <n v="45"/>
    <n v="1.1361111111111112E-2"/>
    <n v="3.4480972222222226"/>
    <n v="10"/>
    <n v="30.35"/>
    <n v="0.67444444444444451"/>
  </r>
  <r>
    <x v="4"/>
    <x v="6"/>
    <x v="5"/>
    <n v="121"/>
    <x v="11"/>
    <s v="Diurno"/>
    <n v="303.5"/>
    <n v="30.35"/>
    <n v="45"/>
    <n v="1.1361111111111112E-2"/>
    <n v="3.4480972222222226"/>
    <n v="10"/>
    <n v="30.35"/>
    <n v="0.67444444444444451"/>
  </r>
  <r>
    <x v="4"/>
    <x v="4"/>
    <x v="2"/>
    <m/>
    <x v="15"/>
    <s v="Diurno"/>
    <m/>
    <n v="1"/>
    <n v="1"/>
    <n v="0.3483"/>
    <n v="3.4830000000000001"/>
    <n v="10"/>
    <n v="0"/>
    <e v="#N/A"/>
  </r>
  <r>
    <x v="4"/>
    <x v="9"/>
    <x v="2"/>
    <m/>
    <x v="16"/>
    <s v="Diurno"/>
    <m/>
    <n v="1"/>
    <n v="1"/>
    <n v="0.3483"/>
    <n v="3.4830000000000001"/>
    <n v="10"/>
    <n v="0"/>
    <e v="#N/A"/>
  </r>
  <r>
    <x v="4"/>
    <x v="0"/>
    <x v="0"/>
    <n v="361"/>
    <x v="0"/>
    <s v="Diurno"/>
    <n v="3016"/>
    <n v="430.85714285714283"/>
    <n v="500"/>
    <n v="1.0225E-3"/>
    <n v="3.0838599999999996"/>
    <n v="7"/>
    <n v="430.85714285714283"/>
    <n v="0.86171428571428565"/>
  </r>
  <r>
    <x v="4"/>
    <x v="2"/>
    <x v="2"/>
    <m/>
    <x v="0"/>
    <s v="Diurno"/>
    <m/>
    <n v="1"/>
    <n v="1"/>
    <n v="0.3483"/>
    <n v="1.0448999999999999"/>
    <n v="3"/>
    <n v="0"/>
    <e v="#N/A"/>
  </r>
  <r>
    <x v="5"/>
    <x v="5"/>
    <x v="4"/>
    <n v="764"/>
    <x v="17"/>
    <s v="Diurno"/>
    <n v="667"/>
    <n v="66.7"/>
    <n v="92"/>
    <n v="5.5570652173913045E-3"/>
    <n v="3.7065625000000004"/>
    <n v="10"/>
    <n v="66.7"/>
    <n v="0.72499999999999998"/>
  </r>
  <r>
    <x v="5"/>
    <x v="5"/>
    <x v="4"/>
    <n v="764"/>
    <x v="2"/>
    <s v="Diurno"/>
    <n v="667"/>
    <n v="66.7"/>
    <n v="92"/>
    <n v="5.5570652173913045E-3"/>
    <n v="3.7065625000000004"/>
    <n v="10"/>
    <n v="66.7"/>
    <n v="0.72499999999999998"/>
  </r>
  <r>
    <x v="5"/>
    <x v="5"/>
    <x v="4"/>
    <n v="764"/>
    <x v="3"/>
    <s v="Diurno"/>
    <n v="667"/>
    <n v="66.7"/>
    <n v="92"/>
    <n v="5.5570652173913045E-3"/>
    <n v="3.7065625000000004"/>
    <n v="10"/>
    <n v="66.7"/>
    <n v="0.72499999999999998"/>
  </r>
  <r>
    <x v="5"/>
    <x v="3"/>
    <x v="3"/>
    <n v="762"/>
    <x v="5"/>
    <s v="Diurno"/>
    <n v="165.33333333333334"/>
    <n v="55.111111111111114"/>
    <n v="55"/>
    <n v="9.295454545454546E-3"/>
    <n v="1.5368484848484849"/>
    <n v="3"/>
    <n v="55.111111111111114"/>
    <n v="1.002020202020202"/>
  </r>
  <r>
    <x v="5"/>
    <x v="3"/>
    <x v="3"/>
    <n v="762"/>
    <x v="6"/>
    <s v="Diurno"/>
    <n v="165.33333333333334"/>
    <n v="55.111111111111114"/>
    <n v="55"/>
    <n v="9.295454545454546E-3"/>
    <n v="1.5368484848484849"/>
    <n v="3"/>
    <n v="55.111111111111114"/>
    <n v="1.002020202020202"/>
  </r>
  <r>
    <x v="5"/>
    <x v="3"/>
    <x v="3"/>
    <n v="762"/>
    <x v="7"/>
    <s v="Diurno"/>
    <n v="165.33333333333334"/>
    <n v="55.111111111111114"/>
    <n v="55"/>
    <n v="9.295454545454546E-3"/>
    <n v="1.5368484848484849"/>
    <n v="3"/>
    <n v="55.111111111111114"/>
    <n v="1.002020202020202"/>
  </r>
  <r>
    <x v="5"/>
    <x v="2"/>
    <x v="2"/>
    <m/>
    <x v="5"/>
    <s v="Diurno"/>
    <m/>
    <n v="1"/>
    <n v="1"/>
    <n v="0.3483"/>
    <n v="2.4380999999999999"/>
    <n v="7"/>
    <n v="0"/>
    <e v="#N/A"/>
  </r>
  <r>
    <x v="5"/>
    <x v="2"/>
    <x v="2"/>
    <m/>
    <x v="6"/>
    <s v="Diurno"/>
    <m/>
    <n v="1"/>
    <n v="1"/>
    <n v="0.3483"/>
    <n v="2.4380999999999999"/>
    <n v="7"/>
    <n v="0"/>
    <e v="#N/A"/>
  </r>
  <r>
    <x v="5"/>
    <x v="2"/>
    <x v="2"/>
    <m/>
    <x v="7"/>
    <s v="Diurno"/>
    <m/>
    <n v="1"/>
    <n v="1"/>
    <n v="0.3483"/>
    <n v="2.4380999999999999"/>
    <n v="7"/>
    <n v="0"/>
    <e v="#N/A"/>
  </r>
  <r>
    <x v="5"/>
    <x v="3"/>
    <x v="3"/>
    <n v="763"/>
    <x v="4"/>
    <s v="Diurno"/>
    <n v="402"/>
    <n v="40.200000000000003"/>
    <n v="55"/>
    <n v="9.295454545454546E-3"/>
    <n v="3.736772727272728"/>
    <n v="10"/>
    <n v="40.200000000000003"/>
    <n v="0.73090909090909095"/>
  </r>
  <r>
    <x v="5"/>
    <x v="3"/>
    <x v="3"/>
    <n v="763"/>
    <x v="11"/>
    <s v="Diurno"/>
    <n v="402"/>
    <n v="40.200000000000003"/>
    <n v="55"/>
    <n v="9.295454545454546E-3"/>
    <n v="3.736772727272728"/>
    <n v="10"/>
    <n v="40.200000000000003"/>
    <n v="0.73090909090909095"/>
  </r>
  <r>
    <x v="5"/>
    <x v="7"/>
    <x v="6"/>
    <n v="150"/>
    <x v="13"/>
    <s v="Nocturno"/>
    <n v="754"/>
    <n v="68.545454545454547"/>
    <n v="75"/>
    <n v="1.0225333333333333E-2"/>
    <n v="7.7099013333333328"/>
    <n v="11"/>
    <n v="68.545454545454547"/>
    <n v="0.91393939393939394"/>
  </r>
  <r>
    <x v="5"/>
    <x v="1"/>
    <x v="0"/>
    <n v="1225"/>
    <x v="8"/>
    <s v="Diurno"/>
    <n v="5154"/>
    <n v="515.4"/>
    <n v="700"/>
    <n v="1.0955714285714286E-3"/>
    <n v="5.6465751428571433"/>
    <n v="10"/>
    <n v="515.4"/>
    <n v="0.73628571428571421"/>
  </r>
  <r>
    <x v="5"/>
    <x v="1"/>
    <x v="0"/>
    <s v="1226/1227/     1228"/>
    <x v="1"/>
    <s v="Nocturno"/>
    <n v="6330"/>
    <n v="575.4545454545455"/>
    <n v="700"/>
    <n v="1.0955714285714286E-3"/>
    <n v="6.9349671428571442"/>
    <n v="11"/>
    <n v="575.4545454545455"/>
    <n v="0.82207792207792219"/>
  </r>
  <r>
    <x v="5"/>
    <x v="10"/>
    <x v="0"/>
    <n v="899"/>
    <x v="9"/>
    <s v="Diurno"/>
    <n v="4625"/>
    <n v="462.5"/>
    <n v="700"/>
    <n v="1.0955714285714286E-3"/>
    <n v="5.067017857142857"/>
    <n v="10"/>
    <n v="462.5"/>
    <n v="0.6607142857142857"/>
  </r>
  <r>
    <x v="5"/>
    <x v="10"/>
    <x v="0"/>
    <n v="900"/>
    <x v="14"/>
    <s v="Nocturno"/>
    <n v="5000"/>
    <n v="454.54545454545456"/>
    <n v="700"/>
    <n v="1.0955714285714286E-3"/>
    <n v="5.4778571428571432"/>
    <n v="11"/>
    <n v="454.54545454545456"/>
    <n v="0.64935064935064934"/>
  </r>
  <r>
    <x v="5"/>
    <x v="2"/>
    <x v="2"/>
    <m/>
    <x v="10"/>
    <s v="Diurno"/>
    <m/>
    <n v="1"/>
    <n v="1"/>
    <n v="0.3483"/>
    <n v="3.4830000000000001"/>
    <n v="10"/>
    <n v="0"/>
    <e v="#N/A"/>
  </r>
  <r>
    <x v="5"/>
    <x v="4"/>
    <x v="2"/>
    <m/>
    <x v="15"/>
    <s v="Diurno"/>
    <m/>
    <n v="1"/>
    <n v="1"/>
    <n v="0.3483"/>
    <n v="3.4830000000000001"/>
    <n v="10"/>
    <n v="0"/>
    <e v="#N/A"/>
  </r>
  <r>
    <x v="5"/>
    <x v="9"/>
    <x v="2"/>
    <m/>
    <x v="16"/>
    <s v="Diurno"/>
    <m/>
    <n v="1"/>
    <n v="1"/>
    <n v="0.3483"/>
    <n v="3.4830000000000001"/>
    <n v="10"/>
    <n v="0"/>
    <e v="#N/A"/>
  </r>
  <r>
    <x v="5"/>
    <x v="8"/>
    <x v="2"/>
    <m/>
    <x v="18"/>
    <s v="Diurno"/>
    <m/>
    <n v="1"/>
    <n v="1"/>
    <n v="0.3483"/>
    <n v="3.4830000000000001"/>
    <n v="10"/>
    <n v="0"/>
    <e v="#N/A"/>
  </r>
  <r>
    <x v="6"/>
    <x v="10"/>
    <x v="0"/>
    <s v="901/902"/>
    <x v="9"/>
    <s v="Diurno"/>
    <n v="5625"/>
    <n v="562.5"/>
    <n v="700"/>
    <n v="1.0955714285714286E-3"/>
    <n v="6.1625892857142865"/>
    <n v="10"/>
    <n v="562.5"/>
    <n v="0.8035714285714286"/>
  </r>
  <r>
    <x v="6"/>
    <x v="10"/>
    <x v="0"/>
    <s v="903/904"/>
    <x v="14"/>
    <s v="Nocturno"/>
    <n v="4025"/>
    <n v="805"/>
    <n v="700"/>
    <n v="1.0955714285714286E-3"/>
    <n v="4.409675"/>
    <n v="5"/>
    <n v="805"/>
    <n v="1.1499999999999999"/>
  </r>
  <r>
    <x v="6"/>
    <x v="2"/>
    <x v="2"/>
    <m/>
    <x v="14"/>
    <m/>
    <m/>
    <n v="1"/>
    <n v="1"/>
    <n v="0.3483"/>
    <n v="1.7415"/>
    <n v="5"/>
    <n v="0"/>
    <e v="#N/A"/>
  </r>
  <r>
    <x v="7"/>
    <x v="5"/>
    <x v="4"/>
    <s v="765/766"/>
    <x v="6"/>
    <s v="Diurno"/>
    <n v="808.4"/>
    <n v="80.84"/>
    <n v="92"/>
    <n v="5.5570652173913045E-3"/>
    <n v="4.4923315217391311"/>
    <n v="10"/>
    <n v="80.84"/>
    <n v="0.8786956521739131"/>
  </r>
  <r>
    <x v="7"/>
    <x v="5"/>
    <x v="4"/>
    <s v="765/766"/>
    <x v="17"/>
    <s v="Diurno"/>
    <n v="808.4"/>
    <n v="80.84"/>
    <n v="92"/>
    <n v="5.5570652173913045E-3"/>
    <n v="4.4923315217391311"/>
    <n v="10"/>
    <n v="80.84"/>
    <n v="0.8786956521739131"/>
  </r>
  <r>
    <x v="7"/>
    <x v="5"/>
    <x v="4"/>
    <s v="765/766"/>
    <x v="0"/>
    <s v="Diurno"/>
    <n v="808.4"/>
    <n v="80.84"/>
    <n v="92"/>
    <n v="5.5570652173913045E-3"/>
    <n v="4.4923315217391311"/>
    <n v="10"/>
    <n v="80.84"/>
    <n v="0.8786956521739131"/>
  </r>
  <r>
    <x v="7"/>
    <x v="5"/>
    <x v="4"/>
    <s v="765/766"/>
    <x v="3"/>
    <s v="Diurno"/>
    <n v="808.4"/>
    <n v="80.84"/>
    <n v="92"/>
    <n v="5.5570652173913045E-3"/>
    <n v="4.4923315217391311"/>
    <n v="10"/>
    <n v="80.84"/>
    <n v="0.8786956521739131"/>
  </r>
  <r>
    <x v="7"/>
    <x v="5"/>
    <x v="4"/>
    <s v="765/766"/>
    <x v="2"/>
    <s v="Diurno"/>
    <n v="808.4"/>
    <n v="80.84"/>
    <n v="92"/>
    <n v="5.5570652173913045E-3"/>
    <n v="4.4923315217391311"/>
    <n v="10"/>
    <n v="80.84"/>
    <n v="0.8786956521739131"/>
  </r>
  <r>
    <x v="7"/>
    <x v="10"/>
    <x v="0"/>
    <n v="905"/>
    <x v="5"/>
    <s v="Diurno"/>
    <n v="2000"/>
    <n v="250"/>
    <n v="700"/>
    <n v="1.0955714285714286E-3"/>
    <n v="2.1911428571428573"/>
    <n v="8"/>
    <n v="250"/>
    <n v="0.35714285714285715"/>
  </r>
  <r>
    <x v="7"/>
    <x v="1"/>
    <x v="0"/>
    <n v="1229"/>
    <x v="1"/>
    <s v="Diurno"/>
    <n v="2616"/>
    <n v="373.71428571428572"/>
    <n v="700"/>
    <n v="1.0955714285714286E-3"/>
    <n v="2.8660148571428574"/>
    <n v="7"/>
    <n v="373.71428571428572"/>
    <n v="0.53387755102040813"/>
  </r>
  <r>
    <x v="7"/>
    <x v="4"/>
    <x v="2"/>
    <m/>
    <x v="10"/>
    <s v="Diurno"/>
    <m/>
    <n v="1"/>
    <n v="1"/>
    <n v="0.3483"/>
    <n v="3.4830000000000001"/>
    <n v="10"/>
    <n v="0"/>
    <e v="#N/A"/>
  </r>
  <r>
    <x v="7"/>
    <x v="2"/>
    <x v="2"/>
    <m/>
    <x v="11"/>
    <s v="Diurno"/>
    <m/>
    <n v="1"/>
    <n v="1"/>
    <n v="0.3483"/>
    <n v="3.4830000000000001"/>
    <n v="10"/>
    <n v="0"/>
    <e v="#N/A"/>
  </r>
  <r>
    <x v="7"/>
    <x v="2"/>
    <x v="2"/>
    <m/>
    <x v="12"/>
    <s v="Diurno"/>
    <m/>
    <n v="1"/>
    <n v="1"/>
    <n v="0.3483"/>
    <n v="3.4830000000000001"/>
    <n v="10"/>
    <n v="0"/>
    <e v="#N/A"/>
  </r>
  <r>
    <x v="7"/>
    <x v="9"/>
    <x v="2"/>
    <m/>
    <x v="16"/>
    <s v="Diurno"/>
    <m/>
    <n v="1"/>
    <n v="1"/>
    <n v="0.3483"/>
    <n v="3.4830000000000001"/>
    <n v="10"/>
    <n v="0"/>
    <e v="#N/A"/>
  </r>
  <r>
    <x v="7"/>
    <x v="8"/>
    <x v="2"/>
    <m/>
    <x v="18"/>
    <s v="Diurno"/>
    <m/>
    <n v="1"/>
    <n v="1"/>
    <n v="0.3483"/>
    <n v="3.4830000000000001"/>
    <n v="10"/>
    <n v="0"/>
    <e v="#N/A"/>
  </r>
  <r>
    <x v="0"/>
    <x v="1"/>
    <x v="1"/>
    <n v="1231"/>
    <x v="8"/>
    <s v="Diurno"/>
    <n v="2364"/>
    <n v="262.66666666666669"/>
    <n v="350"/>
    <n v="2.1911428571428572E-3"/>
    <n v="5.1798617142857148"/>
    <n v="9"/>
    <n v="262.66666666666669"/>
    <n v="0.75047619047619052"/>
  </r>
  <r>
    <x v="0"/>
    <x v="1"/>
    <x v="7"/>
    <n v="1232"/>
    <x v="15"/>
    <s v="Diurno"/>
    <n v="794"/>
    <n v="88.222222222222229"/>
    <n v="70"/>
    <n v="2.1911428571428572E-3"/>
    <n v="1.7397674285714286"/>
    <n v="9"/>
    <n v="88.222222222222229"/>
    <n v="1.2603174603174605"/>
  </r>
  <r>
    <x v="0"/>
    <x v="1"/>
    <x v="7"/>
    <n v="1232"/>
    <x v="4"/>
    <s v="Diurno"/>
    <n v="794"/>
    <n v="88.222222222222229"/>
    <n v="70"/>
    <n v="2.1911428571428572E-3"/>
    <n v="1.7397674285714286"/>
    <n v="9"/>
    <n v="88.222222222222229"/>
    <n v="1.2603174603174605"/>
  </r>
  <r>
    <x v="0"/>
    <x v="1"/>
    <x v="7"/>
    <n v="1232"/>
    <x v="9"/>
    <s v="Diurno"/>
    <n v="794"/>
    <n v="88.222222222222229"/>
    <n v="70"/>
    <n v="2.1911428571428572E-3"/>
    <n v="1.7397674285714286"/>
    <n v="9"/>
    <n v="88.222222222222229"/>
    <n v="1.2603174603174605"/>
  </r>
  <r>
    <x v="0"/>
    <x v="1"/>
    <x v="7"/>
    <n v="1232"/>
    <x v="13"/>
    <s v="Diurno"/>
    <n v="794"/>
    <n v="88.222222222222229"/>
    <n v="70"/>
    <n v="2.1911428571428572E-3"/>
    <n v="1.7397674285714286"/>
    <n v="9"/>
    <n v="88.222222222222229"/>
    <n v="1.2603174603174605"/>
  </r>
  <r>
    <x v="0"/>
    <x v="1"/>
    <x v="7"/>
    <n v="1232"/>
    <x v="7"/>
    <s v="Diurno"/>
    <n v="794"/>
    <n v="88.222222222222229"/>
    <n v="70"/>
    <n v="2.1911428571428572E-3"/>
    <n v="1.7397674285714286"/>
    <n v="9"/>
    <n v="88.222222222222229"/>
    <n v="1.2603174603174605"/>
  </r>
  <r>
    <x v="8"/>
    <x v="7"/>
    <x v="6"/>
    <n v="153"/>
    <x v="5"/>
    <s v="Diurno"/>
    <n v="1004"/>
    <n v="100.4"/>
    <n v="75"/>
    <n v="1.0225333333333333E-2"/>
    <n v="10.266234666666668"/>
    <n v="10"/>
    <n v="100.4"/>
    <n v="1.3386666666666667"/>
  </r>
  <r>
    <x v="8"/>
    <x v="0"/>
    <x v="0"/>
    <n v="364"/>
    <x v="8"/>
    <s v="Diurno"/>
    <n v="1532"/>
    <n v="383"/>
    <n v="500"/>
    <n v="1.0225E-3"/>
    <n v="1.56647"/>
    <n v="4"/>
    <n v="383"/>
    <n v="0.76600000000000001"/>
  </r>
  <r>
    <x v="8"/>
    <x v="2"/>
    <x v="2"/>
    <m/>
    <x v="8"/>
    <s v="Diurno"/>
    <m/>
    <n v="1"/>
    <n v="1"/>
    <n v="0.3483"/>
    <n v="2.0897999999999999"/>
    <n v="6"/>
    <n v="0"/>
    <e v="#N/A"/>
  </r>
  <r>
    <x v="8"/>
    <x v="1"/>
    <x v="7"/>
    <n v="1233"/>
    <x v="1"/>
    <s v="Diurno"/>
    <n v="558.66999999999996"/>
    <n v="69.833749999999995"/>
    <n v="70"/>
    <n v="2.1911428571428572E-3"/>
    <n v="1.2241257800000001"/>
    <n v="8"/>
    <n v="69.833749999999995"/>
    <n v="0.99762499999999987"/>
  </r>
  <r>
    <x v="8"/>
    <x v="1"/>
    <x v="7"/>
    <n v="1233"/>
    <x v="12"/>
    <s v="Diurno"/>
    <n v="558.66999999999996"/>
    <n v="69.833749999999995"/>
    <n v="70"/>
    <n v="2.1911428571428572E-3"/>
    <n v="1.2241257800000001"/>
    <n v="8"/>
    <n v="69.833749999999995"/>
    <n v="0.99762499999999987"/>
  </r>
  <r>
    <x v="8"/>
    <x v="1"/>
    <x v="7"/>
    <n v="1233"/>
    <x v="14"/>
    <s v="Diurno"/>
    <n v="355"/>
    <n v="71"/>
    <n v="70"/>
    <n v="2.1911428571428572E-3"/>
    <n v="0.77785571428571432"/>
    <n v="5"/>
    <n v="71"/>
    <n v="1.0142857142857142"/>
  </r>
  <r>
    <x v="8"/>
    <x v="1"/>
    <x v="7"/>
    <n v="1233"/>
    <x v="10"/>
    <s v="Diurno"/>
    <n v="558.66"/>
    <n v="69.832499999999996"/>
    <n v="70"/>
    <n v="2.1911428571428572E-3"/>
    <n v="1.2241038685714285"/>
    <n v="8"/>
    <n v="69.832499999999996"/>
    <n v="0.9976071428571428"/>
  </r>
  <r>
    <x v="8"/>
    <x v="2"/>
    <x v="2"/>
    <m/>
    <x v="1"/>
    <s v="Diurno"/>
    <m/>
    <n v="1"/>
    <n v="1"/>
    <n v="0.3483"/>
    <n v="0.6966"/>
    <n v="2"/>
    <n v="0"/>
    <e v="#N/A"/>
  </r>
  <r>
    <x v="8"/>
    <x v="2"/>
    <x v="2"/>
    <m/>
    <x v="12"/>
    <s v="Diurno"/>
    <m/>
    <n v="1"/>
    <n v="1"/>
    <n v="0.3483"/>
    <n v="0.6966"/>
    <n v="2"/>
    <n v="0"/>
    <e v="#N/A"/>
  </r>
  <r>
    <x v="8"/>
    <x v="2"/>
    <x v="2"/>
    <m/>
    <x v="14"/>
    <s v="Diurno"/>
    <m/>
    <n v="1"/>
    <n v="1"/>
    <n v="0.3483"/>
    <n v="0.6966"/>
    <n v="2"/>
    <n v="0"/>
    <e v="#N/A"/>
  </r>
  <r>
    <x v="8"/>
    <x v="2"/>
    <x v="2"/>
    <m/>
    <x v="10"/>
    <s v="Diurno"/>
    <m/>
    <n v="1"/>
    <n v="1"/>
    <n v="0.3483"/>
    <n v="0.6966"/>
    <n v="2"/>
    <n v="0"/>
    <e v="#N/A"/>
  </r>
  <r>
    <x v="8"/>
    <x v="1"/>
    <x v="7"/>
    <n v="1234"/>
    <x v="15"/>
    <s v="Diurno"/>
    <n v="741.5"/>
    <n v="74.150000000000006"/>
    <n v="70"/>
    <n v="2.1911428571428572E-3"/>
    <n v="1.6247324285714289"/>
    <n v="10"/>
    <n v="74.150000000000006"/>
    <n v="1.0592857142857144"/>
  </r>
  <r>
    <x v="8"/>
    <x v="1"/>
    <x v="7"/>
    <n v="1234"/>
    <x v="4"/>
    <s v="Diurno"/>
    <n v="741.5"/>
    <n v="74.150000000000006"/>
    <n v="70"/>
    <n v="2.1911428571428572E-3"/>
    <n v="1.6247324285714289"/>
    <n v="10"/>
    <n v="74.150000000000006"/>
    <n v="1.0592857142857144"/>
  </r>
  <r>
    <x v="9"/>
    <x v="6"/>
    <x v="5"/>
    <n v="122"/>
    <x v="5"/>
    <s v="Diurno"/>
    <n v="120"/>
    <n v="40"/>
    <n v="45"/>
    <n v="1.1361111111111112E-2"/>
    <n v="1.3633333333333335"/>
    <n v="3"/>
    <n v="40"/>
    <n v="0.88888888888888884"/>
  </r>
  <r>
    <x v="9"/>
    <x v="4"/>
    <x v="2"/>
    <m/>
    <x v="5"/>
    <s v="Diurno"/>
    <m/>
    <n v="1"/>
    <n v="1"/>
    <n v="0.3483"/>
    <n v="1.0448999999999999"/>
    <n v="3"/>
    <n v="0"/>
    <e v="#N/A"/>
  </r>
  <r>
    <x v="9"/>
    <x v="2"/>
    <x v="2"/>
    <m/>
    <x v="5"/>
    <s v="Diurno"/>
    <m/>
    <n v="1"/>
    <n v="1"/>
    <n v="0.3483"/>
    <n v="1.3932"/>
    <n v="4"/>
    <n v="0"/>
    <e v="#N/A"/>
  </r>
  <r>
    <x v="9"/>
    <x v="6"/>
    <x v="5"/>
    <n v="122"/>
    <x v="11"/>
    <s v="Diurno"/>
    <n v="308"/>
    <n v="44"/>
    <n v="45"/>
    <n v="1.1361111111111112E-2"/>
    <n v="3.4992222222222225"/>
    <n v="7"/>
    <n v="44"/>
    <n v="0.97777777777777775"/>
  </r>
  <r>
    <x v="9"/>
    <x v="4"/>
    <x v="2"/>
    <m/>
    <x v="11"/>
    <s v="Diurno"/>
    <m/>
    <n v="1"/>
    <n v="1"/>
    <n v="0.3483"/>
    <n v="1.0448999999999999"/>
    <n v="3"/>
    <n v="0"/>
    <e v="#N/A"/>
  </r>
  <r>
    <x v="9"/>
    <x v="1"/>
    <x v="7"/>
    <n v="1235"/>
    <x v="1"/>
    <s v="Diurno"/>
    <n v="703.33333333333337"/>
    <n v="70.333333333333343"/>
    <n v="70"/>
    <n v="2.1911428571428572E-3"/>
    <n v="1.5411038095238097"/>
    <n v="10"/>
    <n v="70.333333333333343"/>
    <n v="1.004761904761905"/>
  </r>
  <r>
    <x v="9"/>
    <x v="1"/>
    <x v="7"/>
    <n v="1235"/>
    <x v="7"/>
    <s v="Diurno"/>
    <n v="703.33333333333337"/>
    <n v="70.333333333333343"/>
    <n v="70"/>
    <n v="2.1911428571428572E-3"/>
    <n v="1.5411038095238097"/>
    <n v="10"/>
    <n v="70.333333333333343"/>
    <n v="1.004761904761905"/>
  </r>
  <r>
    <x v="9"/>
    <x v="1"/>
    <x v="7"/>
    <n v="1235"/>
    <x v="12"/>
    <s v="Diurno"/>
    <n v="703.33333333333337"/>
    <n v="70.333333333333343"/>
    <n v="70"/>
    <n v="2.1911428571428572E-3"/>
    <n v="1.5411038095238097"/>
    <n v="10"/>
    <n v="70.333333333333343"/>
    <n v="1.004761904761905"/>
  </r>
  <r>
    <x v="9"/>
    <x v="1"/>
    <x v="7"/>
    <n v="1236"/>
    <x v="15"/>
    <s v="Diurno"/>
    <n v="725.66666666666663"/>
    <n v="72.566666666666663"/>
    <n v="70"/>
    <n v="2.1911428571428572E-3"/>
    <n v="1.5900393333333331"/>
    <n v="10"/>
    <n v="72.566666666666663"/>
    <n v="1.0366666666666666"/>
  </r>
  <r>
    <x v="9"/>
    <x v="1"/>
    <x v="7"/>
    <n v="1236"/>
    <x v="13"/>
    <s v="Diurno"/>
    <n v="725.66666666666663"/>
    <n v="72.566666666666663"/>
    <n v="70"/>
    <n v="2.1911428571428572E-3"/>
    <n v="1.5900393333333331"/>
    <n v="10"/>
    <n v="72.566666666666663"/>
    <n v="1.0366666666666666"/>
  </r>
  <r>
    <x v="9"/>
    <x v="1"/>
    <x v="7"/>
    <n v="1236"/>
    <x v="4"/>
    <s v="Diurno"/>
    <n v="725.66666666666663"/>
    <n v="72.566666666666663"/>
    <n v="70"/>
    <n v="2.1911428571428572E-3"/>
    <n v="1.5900393333333331"/>
    <n v="10"/>
    <n v="72.566666666666663"/>
    <n v="1.0366666666666666"/>
  </r>
  <r>
    <x v="10"/>
    <x v="6"/>
    <x v="5"/>
    <n v="123"/>
    <x v="5"/>
    <s v="Diurno"/>
    <n v="120"/>
    <n v="40"/>
    <n v="45"/>
    <n v="1.1361111111111112E-2"/>
    <n v="1.3633333333333335"/>
    <n v="3"/>
    <n v="40"/>
    <n v="0.88888888888888884"/>
  </r>
  <r>
    <x v="10"/>
    <x v="6"/>
    <x v="5"/>
    <n v="123"/>
    <x v="11"/>
    <s v="Diurno"/>
    <n v="475"/>
    <n v="47.5"/>
    <n v="45"/>
    <n v="1.1361111111111112E-2"/>
    <n v="5.3965277777777771"/>
    <n v="10"/>
    <n v="47.5"/>
    <n v="1.0555555555555556"/>
  </r>
  <r>
    <x v="10"/>
    <x v="5"/>
    <x v="4"/>
    <n v="773"/>
    <x v="2"/>
    <s v="Diurno"/>
    <n v="802.4"/>
    <n v="80.239999999999995"/>
    <n v="92"/>
    <n v="5.5570652173913045E-3"/>
    <n v="4.458989130434782"/>
    <n v="10"/>
    <n v="80.239999999999995"/>
    <n v="0.87217391304347824"/>
  </r>
  <r>
    <x v="10"/>
    <x v="5"/>
    <x v="4"/>
    <n v="773"/>
    <x v="3"/>
    <s v="Diurno"/>
    <n v="802.4"/>
    <n v="80.239999999999995"/>
    <n v="92"/>
    <n v="5.5570652173913045E-3"/>
    <n v="4.458989130434782"/>
    <n v="10"/>
    <n v="80.239999999999995"/>
    <n v="0.87217391304347824"/>
  </r>
  <r>
    <x v="10"/>
    <x v="5"/>
    <x v="4"/>
    <n v="773"/>
    <x v="0"/>
    <s v="Diurno"/>
    <n v="250.75"/>
    <n v="50.15"/>
    <n v="92"/>
    <n v="5.5570652173913045E-3"/>
    <n v="1.3934341032608697"/>
    <n v="5"/>
    <n v="50.15"/>
    <n v="0.5451086956521739"/>
  </r>
  <r>
    <x v="10"/>
    <x v="2"/>
    <x v="2"/>
    <m/>
    <x v="0"/>
    <s v="Diurno"/>
    <m/>
    <n v="1"/>
    <n v="1"/>
    <n v="0.3483"/>
    <n v="1.7415"/>
    <n v="5"/>
    <n v="0"/>
    <e v="#N/A"/>
  </r>
  <r>
    <x v="10"/>
    <x v="5"/>
    <x v="4"/>
    <n v="773"/>
    <x v="6"/>
    <s v="Diurno"/>
    <n v="150.44999999999999"/>
    <n v="50.15"/>
    <n v="92"/>
    <n v="5.5570652173913045E-3"/>
    <n v="0.83606046195652173"/>
    <n v="3"/>
    <n v="50.15"/>
    <n v="0.5451086956521739"/>
  </r>
  <r>
    <x v="10"/>
    <x v="2"/>
    <x v="2"/>
    <m/>
    <x v="6"/>
    <s v="Diurno"/>
    <m/>
    <n v="1"/>
    <n v="1"/>
    <n v="0.3483"/>
    <n v="2.4380999999999999"/>
    <n v="7"/>
    <n v="0"/>
    <e v="#N/A"/>
  </r>
  <r>
    <x v="10"/>
    <x v="0"/>
    <x v="0"/>
    <n v="366"/>
    <x v="7"/>
    <s v="Diurno"/>
    <n v="2868"/>
    <n v="286.8"/>
    <n v="500"/>
    <n v="1.0225E-3"/>
    <n v="2.9325299999999999"/>
    <n v="10"/>
    <n v="286.8"/>
    <n v="0.5736"/>
  </r>
  <r>
    <x v="10"/>
    <x v="1"/>
    <x v="7"/>
    <n v="1237"/>
    <x v="8"/>
    <s v="Diurno"/>
    <n v="827"/>
    <n v="82.7"/>
    <n v="70"/>
    <n v="2.1911428571428572E-3"/>
    <n v="1.8120751428571431"/>
    <n v="10"/>
    <n v="82.7"/>
    <n v="1.1814285714285715"/>
  </r>
  <r>
    <x v="10"/>
    <x v="1"/>
    <x v="7"/>
    <n v="1237"/>
    <x v="10"/>
    <s v="Diurno"/>
    <n v="827"/>
    <n v="82.7"/>
    <n v="70"/>
    <n v="2.1911428571428572E-3"/>
    <n v="1.8120751428571431"/>
    <n v="10"/>
    <n v="82.7"/>
    <n v="1.1814285714285715"/>
  </r>
  <r>
    <x v="10"/>
    <x v="1"/>
    <x v="7"/>
    <n v="1237"/>
    <x v="12"/>
    <s v="Diurno"/>
    <n v="827"/>
    <n v="82.7"/>
    <n v="70"/>
    <n v="2.1911428571428572E-3"/>
    <n v="1.8120751428571431"/>
    <n v="10"/>
    <n v="82.7"/>
    <n v="1.1814285714285715"/>
  </r>
  <r>
    <x v="10"/>
    <x v="1"/>
    <x v="7"/>
    <n v="1238"/>
    <x v="15"/>
    <s v="Diurno"/>
    <n v="1072.6666666666667"/>
    <n v="107.26666666666668"/>
    <n v="70"/>
    <n v="2.1911428571428572E-3"/>
    <n v="2.3503659047619054"/>
    <n v="10"/>
    <n v="107.26666666666668"/>
    <n v="1.5323809523809526"/>
  </r>
  <r>
    <x v="10"/>
    <x v="1"/>
    <x v="7"/>
    <n v="1238"/>
    <x v="9"/>
    <s v="Diurno"/>
    <n v="1072.6666666666667"/>
    <n v="107.26666666666668"/>
    <n v="70"/>
    <n v="2.1911428571428572E-3"/>
    <n v="2.3503659047619054"/>
    <n v="10"/>
    <n v="107.26666666666668"/>
    <n v="1.5323809523809526"/>
  </r>
  <r>
    <x v="10"/>
    <x v="1"/>
    <x v="7"/>
    <n v="1238"/>
    <x v="13"/>
    <s v="Diurno"/>
    <n v="1072.6666666666667"/>
    <n v="107.26666666666668"/>
    <n v="70"/>
    <n v="2.1911428571428572E-3"/>
    <n v="2.3503659047619054"/>
    <n v="10"/>
    <n v="107.26666666666668"/>
    <n v="1.5323809523809526"/>
  </r>
  <r>
    <x v="11"/>
    <x v="0"/>
    <x v="0"/>
    <n v="367"/>
    <x v="7"/>
    <s v="Diurno"/>
    <n v="1813"/>
    <n v="181.3"/>
    <n v="500"/>
    <n v="1.0225E-3"/>
    <n v="1.8537925"/>
    <n v="10"/>
    <n v="181.3"/>
    <n v="0.36260000000000003"/>
  </r>
  <r>
    <x v="11"/>
    <x v="1"/>
    <x v="7"/>
    <n v="1239"/>
    <x v="1"/>
    <s v="Diurno"/>
    <n v="1310.5"/>
    <n v="131.05000000000001"/>
    <n v="70"/>
    <n v="2.1911428571428572E-3"/>
    <n v="2.8714927142857145"/>
    <n v="10"/>
    <n v="131.05000000000001"/>
    <n v="1.8721428571428573"/>
  </r>
  <r>
    <x v="11"/>
    <x v="1"/>
    <x v="7"/>
    <n v="1239"/>
    <x v="8"/>
    <s v="Diurno"/>
    <n v="1310.5"/>
    <n v="131.05000000000001"/>
    <n v="70"/>
    <n v="2.1911428571428572E-3"/>
    <n v="2.8714927142857145"/>
    <n v="10"/>
    <m/>
    <m/>
  </r>
  <r>
    <x v="11"/>
    <x v="1"/>
    <x v="7"/>
    <s v="1265/1266"/>
    <x v="11"/>
    <s v="Diurno"/>
    <n v="745"/>
    <n v="67.727272727272734"/>
    <n v="70"/>
    <n v="2.1911428571428572E-3"/>
    <n v="1.6324014285714286"/>
    <n v="11"/>
    <m/>
    <m/>
  </r>
  <r>
    <x v="11"/>
    <x v="1"/>
    <x v="7"/>
    <s v="1265/1266"/>
    <x v="10"/>
    <s v="Diurno"/>
    <n v="745"/>
    <n v="67.727272727272734"/>
    <n v="70"/>
    <n v="2.1911428571428572E-3"/>
    <n v="1.6324014285714286"/>
    <n v="11"/>
    <m/>
    <m/>
  </r>
  <r>
    <x v="12"/>
    <x v="6"/>
    <x v="5"/>
    <n v="124"/>
    <x v="12"/>
    <s v="Diurno"/>
    <n v="408"/>
    <n v="40.799999999999997"/>
    <n v="45"/>
    <n v="1.1361111111111112E-2"/>
    <n v="4.6353333333333335"/>
    <n v="10"/>
    <m/>
    <m/>
  </r>
  <r>
    <x v="12"/>
    <x v="3"/>
    <x v="3"/>
    <n v="775"/>
    <x v="4"/>
    <s v="Diurno"/>
    <n v="620.5"/>
    <n v="62.05"/>
    <n v="55"/>
    <n v="9.295454545454546E-3"/>
    <n v="5.7678295454545463"/>
    <n v="10"/>
    <n v="62.05"/>
    <n v="1.1281818181818182"/>
  </r>
  <r>
    <x v="12"/>
    <x v="3"/>
    <x v="3"/>
    <n v="775"/>
    <x v="6"/>
    <s v="Diurno"/>
    <n v="620.5"/>
    <n v="62.05"/>
    <n v="55"/>
    <n v="9.295454545454546E-3"/>
    <n v="5.7678295454545463"/>
    <n v="10"/>
    <n v="62.05"/>
    <n v="1.1281818181818182"/>
  </r>
  <r>
    <x v="12"/>
    <x v="5"/>
    <x v="4"/>
    <n v="774"/>
    <x v="2"/>
    <s v="Diurno"/>
    <n v="906.5"/>
    <n v="90.65"/>
    <n v="92"/>
    <n v="5.5570652173913045E-3"/>
    <n v="5.0374796195652181"/>
    <n v="10"/>
    <n v="62.05"/>
    <n v="0.6744565217391304"/>
  </r>
  <r>
    <x v="12"/>
    <x v="5"/>
    <x v="4"/>
    <n v="774"/>
    <x v="3"/>
    <s v="Diurno"/>
    <n v="906.5"/>
    <n v="90.65"/>
    <n v="92"/>
    <n v="5.5570652173913045E-3"/>
    <n v="5.0374796195652181"/>
    <n v="10"/>
    <n v="90.65"/>
    <n v="0.9853260869565218"/>
  </r>
  <r>
    <x v="12"/>
    <x v="7"/>
    <x v="6"/>
    <n v="154"/>
    <x v="5"/>
    <s v="Diurno"/>
    <n v="768"/>
    <n v="69.818181818181813"/>
    <n v="75"/>
    <n v="1.0225333333333333E-2"/>
    <n v="7.8530559999999996"/>
    <n v="11"/>
    <n v="69.818181818181813"/>
    <n v="0.9309090909090908"/>
  </r>
  <r>
    <x v="12"/>
    <x v="0"/>
    <x v="0"/>
    <n v="368"/>
    <x v="7"/>
    <s v="Diurno"/>
    <n v="2130"/>
    <n v="213"/>
    <n v="500"/>
    <n v="1.0225E-3"/>
    <n v="2.1779250000000001"/>
    <n v="10"/>
    <n v="213"/>
    <n v="0.42599999999999999"/>
  </r>
  <r>
    <x v="12"/>
    <x v="1"/>
    <x v="7"/>
    <n v="1268"/>
    <x v="1"/>
    <s v="Diurno"/>
    <n v="182.66666666666666"/>
    <n v="30.444444444444443"/>
    <n v="70"/>
    <n v="2.1911428571428572E-3"/>
    <n v="0.40024876190476188"/>
    <n v="6"/>
    <n v="30.444444444444443"/>
    <n v="0.43492063492063487"/>
  </r>
  <r>
    <x v="12"/>
    <x v="1"/>
    <x v="7"/>
    <n v="1268"/>
    <x v="17"/>
    <s v="Diurno"/>
    <n v="182.66666666666666"/>
    <n v="30.444444444444443"/>
    <n v="70"/>
    <n v="2.1911428571428572E-3"/>
    <n v="0.40024876190476188"/>
    <n v="6"/>
    <n v="30.444444444444443"/>
    <n v="0.43492063492063487"/>
  </r>
  <r>
    <x v="12"/>
    <x v="1"/>
    <x v="7"/>
    <n v="1268"/>
    <x v="9"/>
    <s v="Diurno"/>
    <n v="182.66666666666666"/>
    <n v="30.444444444444443"/>
    <n v="70"/>
    <n v="2.1911428571428572E-3"/>
    <n v="0.40024876190476188"/>
    <n v="6"/>
    <n v="30.444444444444443"/>
    <n v="0.43492063492063487"/>
  </r>
  <r>
    <x v="12"/>
    <x v="2"/>
    <x v="2"/>
    <m/>
    <x v="1"/>
    <s v="Diurno"/>
    <m/>
    <n v="1"/>
    <n v="1"/>
    <n v="0.3483"/>
    <n v="1.3932"/>
    <n v="4"/>
    <n v="0"/>
    <e v="#N/A"/>
  </r>
  <r>
    <x v="12"/>
    <x v="2"/>
    <x v="2"/>
    <m/>
    <x v="17"/>
    <s v="Diurno"/>
    <m/>
    <n v="1"/>
    <n v="1"/>
    <n v="0.3483"/>
    <n v="1.3932"/>
    <n v="4"/>
    <n v="0"/>
    <e v="#N/A"/>
  </r>
  <r>
    <x v="12"/>
    <x v="2"/>
    <x v="2"/>
    <m/>
    <x v="9"/>
    <s v="Diurno"/>
    <m/>
    <n v="1"/>
    <n v="1"/>
    <n v="0.3483"/>
    <n v="1.3932"/>
    <n v="4"/>
    <n v="0"/>
    <e v="#N/A"/>
  </r>
  <r>
    <x v="12"/>
    <x v="1"/>
    <x v="0"/>
    <n v="1240"/>
    <x v="14"/>
    <s v="Diurno"/>
    <n v="2008"/>
    <n v="182.54545454545453"/>
    <n v="700"/>
    <n v="1.0955714285714286E-3"/>
    <n v="2.1999074285714286"/>
    <n v="11"/>
    <n v="182.54545454545453"/>
    <m/>
  </r>
  <r>
    <x v="13"/>
    <x v="6"/>
    <x v="5"/>
    <n v="125"/>
    <x v="13"/>
    <s v="Diurno"/>
    <n v="337.5"/>
    <n v="37.5"/>
    <n v="45"/>
    <n v="1.1361111111111112E-2"/>
    <n v="3.8343750000000005"/>
    <n v="9"/>
    <n v="37.5"/>
    <n v="0.83333333333333337"/>
  </r>
  <r>
    <x v="13"/>
    <x v="6"/>
    <x v="5"/>
    <n v="125"/>
    <x v="12"/>
    <s v="Nocturno"/>
    <n v="337.5"/>
    <n v="37.5"/>
    <n v="45"/>
    <n v="1.1361111111111112E-2"/>
    <n v="3.8343750000000005"/>
    <n v="9"/>
    <n v="37.5"/>
    <n v="0.83333333333333337"/>
  </r>
  <r>
    <x v="13"/>
    <x v="5"/>
    <x v="4"/>
    <n v="776"/>
    <x v="2"/>
    <s v="Diurno"/>
    <n v="787.33333333333337"/>
    <n v="78.733333333333334"/>
    <n v="92"/>
    <n v="5.5570652173913045E-3"/>
    <n v="4.3752626811594206"/>
    <n v="10"/>
    <n v="78.733333333333334"/>
    <n v="0.85579710144927534"/>
  </r>
  <r>
    <x v="13"/>
    <x v="5"/>
    <x v="4"/>
    <n v="776"/>
    <x v="3"/>
    <s v="Diurno"/>
    <n v="787.33333333333337"/>
    <n v="78.733333333333334"/>
    <n v="92"/>
    <n v="5.5570652173913045E-3"/>
    <n v="4.3752626811594206"/>
    <n v="10"/>
    <n v="78.733333333333334"/>
    <n v="0.85579710144927534"/>
  </r>
  <r>
    <x v="13"/>
    <x v="5"/>
    <x v="4"/>
    <n v="776"/>
    <x v="0"/>
    <s v="Diurno"/>
    <n v="787.33333333333337"/>
    <n v="78.733333333333334"/>
    <n v="92"/>
    <n v="5.5570652173913045E-3"/>
    <n v="4.3752626811594206"/>
    <n v="10"/>
    <n v="78.733333333333334"/>
    <n v="0.85579710144927534"/>
  </r>
  <r>
    <x v="13"/>
    <x v="3"/>
    <x v="3"/>
    <n v="777"/>
    <x v="4"/>
    <s v="Diurno"/>
    <n v="620"/>
    <n v="62"/>
    <n v="55"/>
    <n v="9.295454545454546E-3"/>
    <n v="5.7631818181818186"/>
    <n v="10"/>
    <n v="62"/>
    <n v="1.1272727272727272"/>
  </r>
  <r>
    <x v="13"/>
    <x v="3"/>
    <x v="3"/>
    <n v="777"/>
    <x v="6"/>
    <s v="Diurno"/>
    <n v="620"/>
    <n v="62"/>
    <n v="55"/>
    <n v="9.295454545454546E-3"/>
    <n v="5.7631818181818186"/>
    <n v="10"/>
    <n v="62"/>
    <n v="1.1272727272727272"/>
  </r>
  <r>
    <x v="13"/>
    <x v="7"/>
    <x v="6"/>
    <n v="155"/>
    <x v="5"/>
    <s v="Diurno"/>
    <n v="704"/>
    <n v="64"/>
    <n v="75"/>
    <n v="1.0225333333333333E-2"/>
    <n v="7.1986346666666661"/>
    <n v="11"/>
    <n v="64"/>
    <n v="0.85333333333333339"/>
  </r>
  <r>
    <x v="13"/>
    <x v="6"/>
    <x v="5"/>
    <n v="126"/>
    <x v="9"/>
    <s v="Diurno"/>
    <n v="320.5"/>
    <n v="32.049999999999997"/>
    <n v="45"/>
    <n v="1.1361111111111112E-2"/>
    <n v="3.6412361111111107"/>
    <n v="10"/>
    <n v="32.049999999999997"/>
    <n v="0.7122222222222222"/>
  </r>
  <r>
    <x v="13"/>
    <x v="6"/>
    <x v="5"/>
    <n v="126"/>
    <x v="11"/>
    <s v="Diurno"/>
    <n v="320.5"/>
    <n v="32.049999999999997"/>
    <n v="45"/>
    <n v="1.1361111111111112E-2"/>
    <n v="3.6412361111111107"/>
    <n v="10"/>
    <n v="32.049999999999997"/>
    <n v="0.7122222222222222"/>
  </r>
  <r>
    <x v="13"/>
    <x v="0"/>
    <x v="0"/>
    <n v="373"/>
    <x v="7"/>
    <s v="Diurno"/>
    <n v="2726"/>
    <n v="272.60000000000002"/>
    <n v="500"/>
    <n v="1.0225E-3"/>
    <n v="2.7873350000000001"/>
    <n v="10"/>
    <n v="272.60000000000002"/>
    <n v="0.54520000000000002"/>
  </r>
  <r>
    <x v="13"/>
    <x v="1"/>
    <x v="7"/>
    <s v="1241/1242"/>
    <x v="15"/>
    <s v="Diurno"/>
    <n v="548"/>
    <n v="68.5"/>
    <n v="70"/>
    <n v="2.1911428571428572E-3"/>
    <n v="1.2007462857142857"/>
    <n v="8"/>
    <n v="68.5"/>
    <n v="0.97857142857142854"/>
  </r>
  <r>
    <x v="13"/>
    <x v="1"/>
    <x v="7"/>
    <s v="1241/1242"/>
    <x v="1"/>
    <s v="Nocturno"/>
    <n v="548"/>
    <n v="68.5"/>
    <n v="70"/>
    <n v="2.1911428571428572E-3"/>
    <n v="1.2007462857142857"/>
    <n v="8"/>
    <n v="68.5"/>
    <n v="0.97857142857142854"/>
  </r>
  <r>
    <x v="13"/>
    <x v="1"/>
    <x v="7"/>
    <s v="1241/1242"/>
    <x v="10"/>
    <s v="Nocturno"/>
    <n v="548"/>
    <n v="68.5"/>
    <n v="70"/>
    <n v="2.1911428571428572E-3"/>
    <n v="1.2007462857142857"/>
    <n v="8"/>
    <n v="68.5"/>
    <n v="0.97857142857142854"/>
  </r>
  <r>
    <x v="13"/>
    <x v="1"/>
    <x v="0"/>
    <n v="1243"/>
    <x v="14"/>
    <s v="Nocturno"/>
    <n v="2855"/>
    <n v="475.83333333333331"/>
    <n v="700"/>
    <n v="1.0955714285714286E-3"/>
    <n v="3.1278564285714285"/>
    <n v="6"/>
    <n v="475.83333333333331"/>
    <n v="0.67976190476190479"/>
  </r>
  <r>
    <x v="13"/>
    <x v="2"/>
    <x v="2"/>
    <m/>
    <x v="14"/>
    <s v="Diurno"/>
    <m/>
    <n v="1"/>
    <n v="1"/>
    <n v="0.3483"/>
    <n v="1.7415"/>
    <n v="5"/>
    <n v="0"/>
    <e v="#N/A"/>
  </r>
  <r>
    <x v="14"/>
    <x v="6"/>
    <x v="5"/>
    <n v="128"/>
    <x v="7"/>
    <s v="Diurno"/>
    <n v="378.25"/>
    <n v="37.825000000000003"/>
    <n v="45"/>
    <n v="1.1361111111111112E-2"/>
    <n v="4.2973402777777787"/>
    <n v="10"/>
    <n v="37.825000000000003"/>
    <n v="0.84055555555555561"/>
  </r>
  <r>
    <x v="14"/>
    <x v="6"/>
    <x v="5"/>
    <n v="128"/>
    <x v="11"/>
    <s v="Diurno"/>
    <n v="378.25"/>
    <n v="37.825000000000003"/>
    <n v="45"/>
    <n v="1.1361111111111112E-2"/>
    <n v="4.2973402777777787"/>
    <n v="10"/>
    <n v="37.825000000000003"/>
    <n v="0.84055555555555561"/>
  </r>
  <r>
    <x v="14"/>
    <x v="6"/>
    <x v="5"/>
    <n v="128"/>
    <x v="13"/>
    <s v="Diurno"/>
    <n v="378.25"/>
    <n v="37.825000000000003"/>
    <n v="45"/>
    <n v="1.1361111111111112E-2"/>
    <n v="4.2973402777777787"/>
    <n v="10"/>
    <n v="37.825000000000003"/>
    <n v="0.84055555555555561"/>
  </r>
  <r>
    <x v="14"/>
    <x v="6"/>
    <x v="5"/>
    <n v="128"/>
    <x v="8"/>
    <s v="Diurno"/>
    <n v="378.25"/>
    <n v="37.825000000000003"/>
    <n v="45"/>
    <n v="1.1361111111111112E-2"/>
    <n v="4.2973402777777787"/>
    <n v="10"/>
    <n v="37.825000000000003"/>
    <n v="0.84055555555555561"/>
  </r>
  <r>
    <x v="14"/>
    <x v="0"/>
    <x v="0"/>
    <n v="369"/>
    <x v="0"/>
    <s v="Diurno"/>
    <n v="1083"/>
    <n v="108.3"/>
    <n v="500"/>
    <n v="1.0225E-3"/>
    <n v="1.1073675000000001"/>
    <n v="10"/>
    <n v="108.3"/>
    <n v="0.21659999999999999"/>
  </r>
  <r>
    <x v="14"/>
    <x v="1"/>
    <x v="0"/>
    <s v="1244/1245/1247"/>
    <x v="15"/>
    <s v="Diurno"/>
    <n v="5465"/>
    <n v="546.5"/>
    <n v="700"/>
    <n v="1.0955714285714286E-3"/>
    <n v="5.987297857142857"/>
    <n v="10"/>
    <n v="546.5"/>
    <n v="0.78071428571428569"/>
  </r>
  <r>
    <x v="14"/>
    <x v="1"/>
    <x v="0"/>
    <s v="1248/1249/1250/1251/1252"/>
    <x v="1"/>
    <s v="Diurno"/>
    <n v="5880"/>
    <n v="534.5454545454545"/>
    <n v="700"/>
    <n v="1.0955714285714286E-3"/>
    <n v="6.441959999999999"/>
    <n v="11"/>
    <n v="534.5454545454545"/>
    <n v="0.76363636363636356"/>
  </r>
  <r>
    <x v="15"/>
    <x v="5"/>
    <x v="4"/>
    <s v="781/782"/>
    <x v="17"/>
    <s v="Diurno"/>
    <n v="756.4"/>
    <n v="252.13333333333333"/>
    <n v="92"/>
    <n v="5.5570652173913045E-3"/>
    <n v="4.2033641304347826"/>
    <n v="3"/>
    <n v="252.13333333333333"/>
    <n v="2.7405797101449276"/>
  </r>
  <r>
    <x v="15"/>
    <x v="5"/>
    <x v="4"/>
    <s v="781/782"/>
    <x v="6"/>
    <s v="Diurno"/>
    <n v="756.4"/>
    <n v="75.64"/>
    <n v="92"/>
    <n v="5.5570652173913045E-3"/>
    <n v="4.2033641304347826"/>
    <n v="10"/>
    <n v="75.64"/>
    <n v="0.82217391304347831"/>
  </r>
  <r>
    <x v="15"/>
    <x v="5"/>
    <x v="4"/>
    <s v="781/782"/>
    <x v="2"/>
    <s v="Diurno"/>
    <n v="756.4"/>
    <n v="75.64"/>
    <n v="92"/>
    <n v="5.5570652173913045E-3"/>
    <n v="4.2033641304347826"/>
    <n v="10"/>
    <n v="75.64"/>
    <n v="0.82217391304347831"/>
  </r>
  <r>
    <x v="15"/>
    <x v="5"/>
    <x v="4"/>
    <s v="781/782"/>
    <x v="3"/>
    <s v="Diurno"/>
    <n v="756.4"/>
    <n v="75.64"/>
    <n v="92"/>
    <n v="5.5570652173913045E-3"/>
    <n v="4.2033641304347826"/>
    <n v="10"/>
    <n v="75.64"/>
    <n v="0.82217391304347831"/>
  </r>
  <r>
    <x v="15"/>
    <x v="5"/>
    <x v="4"/>
    <s v="781/782"/>
    <x v="0"/>
    <s v="Diurno"/>
    <n v="756.4"/>
    <n v="75.64"/>
    <n v="92"/>
    <n v="5.5570652173913045E-3"/>
    <n v="4.2033641304347826"/>
    <n v="10"/>
    <n v="75.64"/>
    <n v="0.82217391304347831"/>
  </r>
  <r>
    <x v="15"/>
    <x v="3"/>
    <x v="3"/>
    <n v="780"/>
    <x v="4"/>
    <s v="Diurno"/>
    <n v="616.5"/>
    <n v="61.65"/>
    <n v="55"/>
    <n v="9.295454545454546E-3"/>
    <n v="5.7306477272727276"/>
    <n v="10"/>
    <n v="61.65"/>
    <n v="1.1209090909090909"/>
  </r>
  <r>
    <x v="15"/>
    <x v="3"/>
    <x v="3"/>
    <n v="780"/>
    <x v="10"/>
    <s v="Diurno"/>
    <n v="616.5"/>
    <n v="61.65"/>
    <n v="55"/>
    <n v="9.295454545454546E-3"/>
    <n v="5.7306477272727276"/>
    <n v="10"/>
    <n v="61.65"/>
    <n v="1.1209090909090909"/>
  </r>
  <r>
    <x v="15"/>
    <x v="0"/>
    <x v="1"/>
    <n v="371"/>
    <x v="5"/>
    <s v="Diurno"/>
    <n v="440"/>
    <n v="55"/>
    <n v="300"/>
    <n v="1.7041666666666668E-3"/>
    <n v="0.74983333333333335"/>
    <n v="8"/>
    <n v="55"/>
    <n v="0.18333333333333332"/>
  </r>
  <r>
    <x v="15"/>
    <x v="0"/>
    <x v="0"/>
    <n v="372"/>
    <x v="5"/>
    <s v="Diurno"/>
    <n v="837"/>
    <n v="418.5"/>
    <n v="500"/>
    <n v="1.0225E-3"/>
    <n v="0.8558325"/>
    <n v="2"/>
    <n v="418.5"/>
    <n v="0.83699999999999997"/>
  </r>
  <r>
    <x v="15"/>
    <x v="0"/>
    <x v="0"/>
    <n v="370"/>
    <x v="8"/>
    <s v="Diurno"/>
    <n v="3546"/>
    <n v="354.6"/>
    <n v="500"/>
    <n v="1.0225E-3"/>
    <n v="3.6257850000000005"/>
    <n v="10"/>
    <n v="354.6"/>
    <n v="0.70920000000000005"/>
  </r>
  <r>
    <x v="15"/>
    <x v="1"/>
    <x v="0"/>
    <s v="1253/1255/1256/"/>
    <x v="15"/>
    <s v="Diurno"/>
    <n v="5512"/>
    <n v="551.20000000000005"/>
    <n v="700"/>
    <n v="1.0955714285714286E-3"/>
    <n v="6.0387897142857145"/>
    <n v="10"/>
    <n v="551.20000000000005"/>
    <n v="0.78742857142857148"/>
  </r>
  <r>
    <x v="15"/>
    <x v="1"/>
    <x v="0"/>
    <s v="1257/1258/"/>
    <x v="1"/>
    <s v="Diurno"/>
    <n v="4761"/>
    <n v="432.81818181818181"/>
    <n v="700"/>
    <n v="1.0955714285714286E-3"/>
    <n v="5.2160155714285716"/>
    <n v="11"/>
    <n v="432.81818181818181"/>
    <n v="0.61831168831168826"/>
  </r>
  <r>
    <x v="16"/>
    <x v="6"/>
    <x v="5"/>
    <n v="201"/>
    <x v="13"/>
    <m/>
    <n v="218.75"/>
    <n v="31.25"/>
    <n v="45"/>
    <n v="1.1361111111111112E-2"/>
    <n v="2.4852430555555558"/>
    <n v="7"/>
    <n v="31.25"/>
    <n v="0.69444444444444442"/>
  </r>
  <r>
    <x v="16"/>
    <x v="2"/>
    <x v="2"/>
    <m/>
    <x v="13"/>
    <m/>
    <m/>
    <n v="1"/>
    <n v="1"/>
    <n v="0.3483"/>
    <n v="1.0448999999999999"/>
    <n v="3"/>
    <n v="0"/>
    <e v="#N/A"/>
  </r>
  <r>
    <x v="16"/>
    <x v="6"/>
    <x v="5"/>
    <n v="201"/>
    <x v="11"/>
    <m/>
    <n v="406.25"/>
    <n v="40.625"/>
    <n v="45"/>
    <n v="1.1361111111111112E-2"/>
    <n v="4.6154513888888893"/>
    <n v="10"/>
    <n v="40.625"/>
    <n v="0.90277777777777779"/>
  </r>
  <r>
    <x v="16"/>
    <x v="5"/>
    <x v="4"/>
    <n v="784"/>
    <x v="0"/>
    <s v="Diurno"/>
    <n v="566.75"/>
    <n v="70.84375"/>
    <n v="92"/>
    <n v="5.5570652173913045E-3"/>
    <n v="3.1494667119565221"/>
    <n v="8"/>
    <n v="70.84375"/>
    <n v="0.77004076086956519"/>
  </r>
  <r>
    <x v="16"/>
    <x v="5"/>
    <x v="4"/>
    <n v="784"/>
    <x v="6"/>
    <s v="Diurno"/>
    <n v="566.75"/>
    <n v="70.84375"/>
    <n v="92"/>
    <n v="5.5570652173913045E-3"/>
    <n v="3.1494667119565221"/>
    <n v="8"/>
    <n v="70.84375"/>
    <n v="0.77004076086956519"/>
  </r>
  <r>
    <x v="16"/>
    <x v="5"/>
    <x v="4"/>
    <n v="784"/>
    <x v="2"/>
    <s v="Diurno"/>
    <n v="566.75"/>
    <n v="70.84375"/>
    <n v="92"/>
    <n v="5.5570652173913045E-3"/>
    <n v="3.1494667119565221"/>
    <n v="8"/>
    <n v="70.84375"/>
    <n v="0.77004076086956519"/>
  </r>
  <r>
    <x v="16"/>
    <x v="5"/>
    <x v="4"/>
    <n v="784"/>
    <x v="3"/>
    <s v="Diurno"/>
    <n v="566.75"/>
    <n v="70.84375"/>
    <n v="92"/>
    <n v="5.5570652173913045E-3"/>
    <n v="3.1494667119565221"/>
    <n v="8"/>
    <n v="70.84375"/>
    <n v="0.77004076086956519"/>
  </r>
  <r>
    <x v="16"/>
    <x v="3"/>
    <x v="3"/>
    <n v="783"/>
    <x v="7"/>
    <s v="Diurno"/>
    <n v="357.5"/>
    <n v="44.6875"/>
    <n v="55"/>
    <n v="9.295454545454546E-3"/>
    <n v="3.3231250000000001"/>
    <n v="8"/>
    <n v="44.6875"/>
    <n v="0.8125"/>
  </r>
  <r>
    <x v="16"/>
    <x v="3"/>
    <x v="3"/>
    <n v="783"/>
    <x v="4"/>
    <s v="Diurno"/>
    <n v="357.5"/>
    <n v="44.6875"/>
    <n v="55"/>
    <n v="9.295454545454546E-3"/>
    <n v="3.3231250000000001"/>
    <n v="8"/>
    <n v="44.6875"/>
    <n v="0.8125"/>
  </r>
  <r>
    <x v="16"/>
    <x v="0"/>
    <x v="0"/>
    <n v="374"/>
    <x v="5"/>
    <s v="Diurno"/>
    <n v="3014"/>
    <n v="301.39999999999998"/>
    <n v="500"/>
    <n v="1.0225E-3"/>
    <n v="3.0818149999999993"/>
    <n v="10"/>
    <n v="301.39999999999998"/>
    <n v="0.6028"/>
  </r>
  <r>
    <x v="16"/>
    <x v="0"/>
    <x v="0"/>
    <n v="375"/>
    <x v="8"/>
    <s v="Diurno"/>
    <n v="3521"/>
    <n v="320.09090909090907"/>
    <n v="500"/>
    <n v="1.0225E-3"/>
    <n v="3.6002224999999992"/>
    <n v="11"/>
    <n v="320.09090909090907"/>
    <n v="0.64018181818181819"/>
  </r>
  <r>
    <x v="16"/>
    <x v="1"/>
    <x v="0"/>
    <s v="1259/1261/1264"/>
    <x v="15"/>
    <s v="Diurno"/>
    <n v="3058"/>
    <n v="382.25"/>
    <n v="700"/>
    <n v="1.0955714285714286E-3"/>
    <n v="3.3502574285714286"/>
    <n v="8"/>
    <n v="382.25"/>
    <n v="0.54607142857142854"/>
  </r>
  <r>
    <x v="16"/>
    <x v="1"/>
    <x v="0"/>
    <s v="1262/1263/"/>
    <x v="1"/>
    <s v="Diurno"/>
    <n v="2706"/>
    <n v="676.5"/>
    <n v="700"/>
    <n v="1.0955714285714286E-3"/>
    <n v="2.9646162857142859"/>
    <n v="4"/>
    <n v="676.5"/>
    <n v="0.96642857142857141"/>
  </r>
  <r>
    <x v="16"/>
    <x v="2"/>
    <x v="2"/>
    <m/>
    <x v="1"/>
    <s v="Diurno"/>
    <m/>
    <n v="1"/>
    <n v="1"/>
    <n v="0.3483"/>
    <n v="2.0897999999999999"/>
    <n v="6"/>
    <n v="0"/>
    <e v="#N/A"/>
  </r>
  <r>
    <x v="17"/>
    <x v="5"/>
    <x v="4"/>
    <n v="785"/>
    <x v="2"/>
    <s v="Diurno"/>
    <n v="837"/>
    <n v="83.7"/>
    <n v="92"/>
    <n v="5.5570652173913045E-3"/>
    <n v="4.6512635869565226"/>
    <n v="10"/>
    <n v="83.7"/>
    <n v="0.9097826086956522"/>
  </r>
  <r>
    <x v="17"/>
    <x v="0"/>
    <x v="0"/>
    <n v="376"/>
    <x v="0"/>
    <s v="Diurno"/>
    <n v="2618"/>
    <n v="290.88888888888891"/>
    <n v="500"/>
    <n v="1.0225E-3"/>
    <n v="2.6769050000000001"/>
    <n v="9"/>
    <n v="290.88888888888891"/>
    <n v="0.58177777777777784"/>
  </r>
  <r>
    <x v="18"/>
    <x v="6"/>
    <x v="5"/>
    <n v="202"/>
    <x v="5"/>
    <s v="Diurno"/>
    <n v="274"/>
    <n v="34.25"/>
    <n v="45"/>
    <n v="1.1361111111111112E-2"/>
    <n v="3.1129444444444445"/>
    <n v="8"/>
    <n v="34.25"/>
    <n v="0.76111111111111107"/>
  </r>
  <r>
    <x v="18"/>
    <x v="4"/>
    <x v="2"/>
    <m/>
    <x v="5"/>
    <s v="Diurno"/>
    <m/>
    <n v="1"/>
    <n v="1"/>
    <n v="0.3483"/>
    <n v="0.6966"/>
    <n v="2"/>
    <n v="0"/>
    <e v="#N/A"/>
  </r>
  <r>
    <x v="18"/>
    <x v="5"/>
    <x v="4"/>
    <s v="787/788"/>
    <x v="3"/>
    <s v="Diurno"/>
    <n v="683"/>
    <n v="68.3"/>
    <n v="92"/>
    <n v="5.5570652173913045E-3"/>
    <n v="3.7954755434782612"/>
    <n v="10"/>
    <n v="68.3"/>
    <n v="0.74239130434782608"/>
  </r>
  <r>
    <x v="18"/>
    <x v="5"/>
    <x v="4"/>
    <s v="787/788"/>
    <x v="2"/>
    <s v="Diurno"/>
    <n v="683"/>
    <n v="68.3"/>
    <n v="92"/>
    <n v="5.5570652173913045E-3"/>
    <n v="3.7954755434782612"/>
    <n v="10"/>
    <n v="68.3"/>
    <n v="0.74239130434782608"/>
  </r>
  <r>
    <x v="18"/>
    <x v="5"/>
    <x v="4"/>
    <s v="787/788"/>
    <x v="0"/>
    <s v="Diurno"/>
    <n v="683"/>
    <n v="68.3"/>
    <n v="92"/>
    <n v="5.5570652173913045E-3"/>
    <n v="3.7954755434782612"/>
    <n v="10"/>
    <n v="68.3"/>
    <n v="0.74239130434782608"/>
  </r>
  <r>
    <x v="18"/>
    <x v="5"/>
    <x v="4"/>
    <s v="787/788"/>
    <x v="17"/>
    <s v="Diurno"/>
    <n v="683"/>
    <n v="68.3"/>
    <n v="92"/>
    <n v="5.5570652173913045E-3"/>
    <n v="3.7954755434782612"/>
    <n v="10"/>
    <n v="68.3"/>
    <n v="0.74239130434782608"/>
  </r>
  <r>
    <x v="18"/>
    <x v="3"/>
    <x v="3"/>
    <n v="786"/>
    <x v="6"/>
    <s v="Diurno"/>
    <n v="605"/>
    <n v="60.5"/>
    <n v="55"/>
    <n v="9.295454545454546E-3"/>
    <n v="5.6237500000000011"/>
    <n v="10"/>
    <n v="60.5"/>
    <n v="1.1000000000000001"/>
  </r>
  <r>
    <x v="18"/>
    <x v="3"/>
    <x v="3"/>
    <n v="786"/>
    <x v="4"/>
    <s v="Diurno"/>
    <n v="605"/>
    <n v="60.5"/>
    <n v="55"/>
    <n v="9.295454545454546E-3"/>
    <n v="5.6237500000000011"/>
    <n v="10"/>
    <n v="60.5"/>
    <n v="1.1000000000000001"/>
  </r>
  <r>
    <x v="18"/>
    <x v="0"/>
    <x v="1"/>
    <n v="377"/>
    <x v="7"/>
    <s v="Diurno"/>
    <n v="910"/>
    <n v="82.727272727272734"/>
    <n v="300"/>
    <n v="1.7041666666666668E-3"/>
    <n v="1.550791666666667"/>
    <n v="11"/>
    <n v="82.727272727272734"/>
    <n v="0.27575757575757576"/>
  </r>
  <r>
    <x v="18"/>
    <x v="0"/>
    <x v="1"/>
    <n v="378"/>
    <x v="8"/>
    <s v="Nocturno"/>
    <n v="1339"/>
    <n v="133.9"/>
    <n v="300"/>
    <n v="1.7041666666666668E-3"/>
    <n v="2.2818791666666667"/>
    <n v="10"/>
    <n v="133.9"/>
    <n v="0.44633333333333336"/>
  </r>
  <r>
    <x v="18"/>
    <x v="1"/>
    <x v="0"/>
    <n v="1267"/>
    <x v="1"/>
    <s v="Nocturno"/>
    <n v="2617"/>
    <n v="654.25"/>
    <n v="700"/>
    <n v="1.0955714285714286E-3"/>
    <n v="2.8671104285714288"/>
    <n v="4"/>
    <n v="654.25"/>
    <n v="0.93464285714285711"/>
  </r>
  <r>
    <x v="18"/>
    <x v="2"/>
    <x v="2"/>
    <m/>
    <x v="1"/>
    <s v="Nocturno"/>
    <m/>
    <n v="1"/>
    <n v="1"/>
    <n v="0.3483"/>
    <n v="2.0897999999999999"/>
    <n v="6"/>
    <n v="0"/>
    <e v="#N/A"/>
  </r>
  <r>
    <x v="18"/>
    <x v="1"/>
    <x v="7"/>
    <n v="1269"/>
    <x v="15"/>
    <s v="Diurno"/>
    <n v="775.5"/>
    <n v="70.5"/>
    <n v="70"/>
    <n v="2.1911428571428572E-3"/>
    <n v="1.6992312857142857"/>
    <n v="11"/>
    <n v="70.5"/>
    <n v="1.0071428571428571"/>
  </r>
  <r>
    <x v="18"/>
    <x v="1"/>
    <x v="7"/>
    <n v="1269"/>
    <x v="10"/>
    <s v="Diurno"/>
    <n v="775.5"/>
    <n v="70.5"/>
    <n v="70"/>
    <n v="2.1911428571428572E-3"/>
    <n v="1.6992312857142857"/>
    <n v="11"/>
    <n v="70.5"/>
    <n v="1.0071428571428571"/>
  </r>
  <r>
    <x v="18"/>
    <x v="1"/>
    <x v="7"/>
    <n v="1269"/>
    <x v="12"/>
    <s v="Diurno"/>
    <n v="775.5"/>
    <n v="70.5"/>
    <n v="70"/>
    <n v="2.1911428571428572E-3"/>
    <n v="1.6992312857142857"/>
    <n v="11"/>
    <n v="70.5"/>
    <n v="1.0071428571428571"/>
  </r>
  <r>
    <x v="18"/>
    <x v="1"/>
    <x v="7"/>
    <n v="1269"/>
    <x v="13"/>
    <s v="Diurno"/>
    <n v="775.5"/>
    <n v="70.5"/>
    <n v="70"/>
    <n v="2.1911428571428572E-3"/>
    <n v="1.6992312857142857"/>
    <n v="11"/>
    <n v="70.5"/>
    <n v="1.0071428571428571"/>
  </r>
  <r>
    <x v="19"/>
    <x v="6"/>
    <x v="5"/>
    <n v="205"/>
    <x v="7"/>
    <s v="Diurno"/>
    <n v="312"/>
    <n v="28.363636363636363"/>
    <n v="45"/>
    <n v="1.1361111111111112E-2"/>
    <n v="3.5446666666666671"/>
    <n v="11"/>
    <n v="28.363636363636363"/>
    <n v="0.63030303030303025"/>
  </r>
  <r>
    <x v="19"/>
    <x v="6"/>
    <x v="5"/>
    <n v="203"/>
    <x v="11"/>
    <s v="Diurno"/>
    <n v="265"/>
    <n v="44.166666666666664"/>
    <n v="45"/>
    <n v="1.1361111111111112E-2"/>
    <n v="3.0106944444444448"/>
    <n v="6"/>
    <n v="44.166666666666664"/>
    <n v="0.9814814814814814"/>
  </r>
  <r>
    <x v="19"/>
    <x v="2"/>
    <x v="2"/>
    <m/>
    <x v="11"/>
    <s v="Diurno"/>
    <m/>
    <n v="1"/>
    <n v="1"/>
    <n v="0.3483"/>
    <n v="1.3932"/>
    <n v="4"/>
    <n v="0"/>
    <e v="#N/A"/>
  </r>
  <r>
    <x v="19"/>
    <x v="5"/>
    <x v="4"/>
    <n v="789"/>
    <x v="2"/>
    <s v="Diurno"/>
    <n v="822"/>
    <n v="82.2"/>
    <n v="92"/>
    <n v="5.5570652173913045E-3"/>
    <n v="4.5679076086956529"/>
    <n v="10"/>
    <n v="82.2"/>
    <n v="0.89347826086956528"/>
  </r>
  <r>
    <x v="19"/>
    <x v="5"/>
    <x v="4"/>
    <n v="789"/>
    <x v="17"/>
    <s v="Diurno"/>
    <n v="822"/>
    <n v="82.2"/>
    <n v="92"/>
    <n v="5.5570652173913045E-3"/>
    <n v="4.5679076086956529"/>
    <n v="10"/>
    <n v="82.2"/>
    <n v="0.89347826086956528"/>
  </r>
  <r>
    <x v="19"/>
    <x v="3"/>
    <x v="3"/>
    <n v="791"/>
    <x v="6"/>
    <s v="Diurno"/>
    <n v="577.85"/>
    <n v="57.785000000000004"/>
    <n v="55"/>
    <n v="9.295454545454546E-3"/>
    <n v="5.3713784090909105"/>
    <n v="10"/>
    <n v="57.785000000000004"/>
    <n v="1.0506363636363638"/>
  </r>
  <r>
    <x v="19"/>
    <x v="3"/>
    <x v="3"/>
    <n v="791"/>
    <x v="4"/>
    <s v="Nocturno"/>
    <n v="311.14999999999998"/>
    <n v="44.449999999999996"/>
    <n v="55"/>
    <n v="9.295454545454546E-3"/>
    <n v="2.8922806818181814"/>
    <n v="7"/>
    <n v="44.449999999999996"/>
    <n v="0.80818181818181811"/>
  </r>
  <r>
    <x v="19"/>
    <x v="11"/>
    <x v="2"/>
    <m/>
    <x v="4"/>
    <s v="Nocturno"/>
    <m/>
    <n v="1"/>
    <n v="1"/>
    <n v="0.3483"/>
    <n v="1.0448999999999999"/>
    <n v="3"/>
    <n v="0"/>
    <e v="#N/A"/>
  </r>
  <r>
    <x v="19"/>
    <x v="0"/>
    <x v="1"/>
    <n v="379"/>
    <x v="8"/>
    <s v="Diurno"/>
    <n v="864"/>
    <n v="123.42857142857143"/>
    <n v="300"/>
    <n v="1.7041666666666668E-3"/>
    <n v="1.4724000000000002"/>
    <n v="7"/>
    <n v="123.42857142857143"/>
    <n v="0.41142857142857142"/>
  </r>
  <r>
    <x v="19"/>
    <x v="1"/>
    <x v="7"/>
    <s v="1270/1271"/>
    <x v="1"/>
    <s v="Diurno"/>
    <n v="699.75"/>
    <n v="69.974999999999994"/>
    <n v="70"/>
    <n v="2.1911428571428572E-3"/>
    <n v="1.5332522142857141"/>
    <n v="10"/>
    <n v="69.974999999999994"/>
    <n v="0.99964285714285706"/>
  </r>
  <r>
    <x v="19"/>
    <x v="1"/>
    <x v="7"/>
    <s v="1270/1271"/>
    <x v="9"/>
    <s v="Nocturno"/>
    <n v="699.75"/>
    <n v="69.974999999999994"/>
    <n v="70"/>
    <n v="2.1911428571428572E-3"/>
    <n v="1.5332522142857141"/>
    <n v="10"/>
    <n v="69.974999999999994"/>
    <n v="0.99964285714285706"/>
  </r>
  <r>
    <x v="19"/>
    <x v="1"/>
    <x v="7"/>
    <s v="1270/1271"/>
    <x v="16"/>
    <s v="Diurno"/>
    <n v="699.75"/>
    <n v="69.974999999999994"/>
    <n v="70"/>
    <n v="2.1911428571428572E-3"/>
    <n v="1.5332522142857141"/>
    <n v="10"/>
    <n v="69.974999999999994"/>
    <n v="0.99964285714285706"/>
  </r>
  <r>
    <x v="19"/>
    <x v="1"/>
    <x v="7"/>
    <s v="1270/1271"/>
    <x v="0"/>
    <s v="Diurno"/>
    <n v="699.75"/>
    <n v="69.974999999999994"/>
    <n v="70"/>
    <n v="2.1911428571428572E-3"/>
    <n v="1.5332522142857141"/>
    <n v="10"/>
    <n v="69.974999999999994"/>
    <n v="0.99964285714285706"/>
  </r>
  <r>
    <x v="19"/>
    <x v="1"/>
    <x v="7"/>
    <s v="1273/1274/1275"/>
    <x v="15"/>
    <s v="Diurno"/>
    <n v="863.5"/>
    <n v="78.5"/>
    <n v="70"/>
    <n v="2.1911428571428572E-3"/>
    <n v="1.8920518571428571"/>
    <n v="11"/>
    <n v="78.5"/>
    <m/>
  </r>
  <r>
    <x v="19"/>
    <x v="1"/>
    <x v="7"/>
    <s v="1273/1274/1275"/>
    <x v="13"/>
    <s v="Diurno"/>
    <n v="863.5"/>
    <n v="78.5"/>
    <n v="70"/>
    <n v="2.1911428571428572E-3"/>
    <n v="1.8920518571428571"/>
    <n v="11"/>
    <n v="78.5"/>
    <m/>
  </r>
  <r>
    <x v="19"/>
    <x v="1"/>
    <x v="7"/>
    <s v="1273/1274/1275"/>
    <x v="12"/>
    <s v="Diurno"/>
    <n v="863.5"/>
    <n v="78.5"/>
    <n v="70"/>
    <n v="2.1911428571428572E-3"/>
    <n v="1.8920518571428571"/>
    <n v="11"/>
    <n v="78.5"/>
    <n v="1.1214285714285714"/>
  </r>
  <r>
    <x v="19"/>
    <x v="1"/>
    <x v="7"/>
    <s v="1273/1274/1275"/>
    <x v="10"/>
    <s v="Diurno"/>
    <n v="863.5"/>
    <n v="78.5"/>
    <n v="70"/>
    <n v="2.1911428571428572E-3"/>
    <n v="1.8920518571428571"/>
    <n v="11"/>
    <n v="78.5"/>
    <n v="1.1214285714285714"/>
  </r>
  <r>
    <x v="20"/>
    <x v="6"/>
    <x v="5"/>
    <n v="206"/>
    <x v="8"/>
    <s v="Diurno"/>
    <n v="507"/>
    <n v="63.375"/>
    <n v="45"/>
    <n v="1.1361111111111112E-2"/>
    <n v="5.7600833333333332"/>
    <n v="8"/>
    <n v="63.375"/>
    <n v="1.4083333333333334"/>
  </r>
  <r>
    <x v="20"/>
    <x v="5"/>
    <x v="4"/>
    <n v="793"/>
    <x v="2"/>
    <s v="Nocturno"/>
    <n v="612"/>
    <n v="122.4"/>
    <n v="92"/>
    <n v="5.5570652173913045E-3"/>
    <n v="3.4009239130434787"/>
    <n v="5"/>
    <n v="122.4"/>
    <n v="1.3304347826086957"/>
  </r>
  <r>
    <x v="20"/>
    <x v="5"/>
    <x v="4"/>
    <n v="793"/>
    <x v="17"/>
    <s v="Diurno"/>
    <n v="612"/>
    <n v="122.4"/>
    <n v="92"/>
    <n v="5.5570652173913045E-3"/>
    <n v="3.4009239130434787"/>
    <n v="5"/>
    <n v="122.4"/>
    <n v="1.3304347826086957"/>
  </r>
  <r>
    <x v="20"/>
    <x v="4"/>
    <x v="2"/>
    <m/>
    <x v="2"/>
    <s v="Diurno"/>
    <m/>
    <n v="1"/>
    <n v="1"/>
    <n v="0.3483"/>
    <n v="1.0448999999999999"/>
    <n v="3"/>
    <n v="0"/>
    <e v="#N/A"/>
  </r>
  <r>
    <x v="20"/>
    <x v="4"/>
    <x v="2"/>
    <m/>
    <x v="17"/>
    <s v="Diurno"/>
    <m/>
    <n v="1"/>
    <n v="1"/>
    <n v="0.3483"/>
    <n v="1.0448999999999999"/>
    <n v="3"/>
    <n v="0"/>
    <e v="#N/A"/>
  </r>
  <r>
    <x v="20"/>
    <x v="3"/>
    <x v="3"/>
    <n v="790"/>
    <x v="6"/>
    <s v="Diurno"/>
    <n v="527"/>
    <n v="65.875"/>
    <n v="55"/>
    <n v="9.295454545454546E-3"/>
    <n v="4.8987045454545459"/>
    <n v="8"/>
    <n v="65.875"/>
    <n v="1.1977272727272728"/>
  </r>
  <r>
    <x v="20"/>
    <x v="7"/>
    <x v="6"/>
    <n v="156"/>
    <x v="5"/>
    <s v="Diurno"/>
    <n v="585"/>
    <n v="58.5"/>
    <n v="75"/>
    <n v="1.0225333333333333E-2"/>
    <n v="5.9818199999999999"/>
    <n v="10"/>
    <n v="58.5"/>
    <n v="0.78"/>
  </r>
  <r>
    <x v="20"/>
    <x v="1"/>
    <x v="7"/>
    <s v="1276/1277/1278"/>
    <x v="14"/>
    <s v="Diurno"/>
    <n v="750.83333333333337"/>
    <n v="83.425925925925924"/>
    <n v="70"/>
    <n v="2.1911428571428572E-3"/>
    <n v="1.6451830952380955"/>
    <n v="9"/>
    <n v="83.425925925925924"/>
    <n v="1.1917989417989419"/>
  </r>
  <r>
    <x v="20"/>
    <x v="1"/>
    <x v="7"/>
    <s v="1276/1277/1278"/>
    <x v="0"/>
    <s v="Diurno"/>
    <n v="750.83333333333337"/>
    <n v="83.425925925925924"/>
    <n v="70"/>
    <n v="2.1911428571428572E-3"/>
    <n v="1.6451830952380955"/>
    <n v="9"/>
    <n v="83.425925925925924"/>
    <n v="1.1917989417989419"/>
  </r>
  <r>
    <x v="20"/>
    <x v="1"/>
    <x v="7"/>
    <s v="1276/1277/1278"/>
    <x v="4"/>
    <s v="Diurno"/>
    <n v="750.83333333333337"/>
    <n v="83.425925925925924"/>
    <n v="70"/>
    <n v="2.1911428571428572E-3"/>
    <n v="1.6451830952380955"/>
    <n v="9"/>
    <n v="83.425925925925924"/>
    <n v="1.1917989417989419"/>
  </r>
  <r>
    <x v="20"/>
    <x v="1"/>
    <x v="7"/>
    <s v="1276/1277/1278"/>
    <x v="16"/>
    <s v="Diurno"/>
    <n v="397.5"/>
    <n v="44.166666666666664"/>
    <n v="70"/>
    <n v="2.1911428571428572E-3"/>
    <n v="0.87097928571428573"/>
    <n v="9"/>
    <n v="44.166666666666664"/>
    <n v="0.63095238095238093"/>
  </r>
  <r>
    <x v="20"/>
    <x v="1"/>
    <x v="7"/>
    <s v="1292/123/1294/1295"/>
    <x v="15"/>
    <s v="Diurno"/>
    <n v="835.25"/>
    <n v="75.931818181818187"/>
    <n v="70"/>
    <n v="2.1911428571428572E-3"/>
    <n v="1.8301520714285717"/>
    <n v="11"/>
    <n v="75.931818181818187"/>
    <n v="1.0847402597402598"/>
  </r>
  <r>
    <x v="20"/>
    <x v="1"/>
    <x v="7"/>
    <s v="1292/123/1294/1295"/>
    <x v="9"/>
    <s v="Diurno"/>
    <n v="835.25"/>
    <n v="75.931818181818187"/>
    <n v="70"/>
    <n v="2.1911428571428572E-3"/>
    <n v="1.8301520714285717"/>
    <n v="11"/>
    <n v="75.931818181818187"/>
    <n v="1.0847402597402598"/>
  </r>
  <r>
    <x v="20"/>
    <x v="1"/>
    <x v="7"/>
    <s v="1292/123/1294/1295"/>
    <x v="10"/>
    <s v="Diurno"/>
    <n v="835.25"/>
    <n v="75.931818181818187"/>
    <n v="70"/>
    <n v="2.1911428571428572E-3"/>
    <n v="1.8301520714285717"/>
    <n v="11"/>
    <n v="75.931818181818187"/>
    <n v="1.0847402597402598"/>
  </r>
  <r>
    <x v="20"/>
    <x v="1"/>
    <x v="7"/>
    <s v="1292/123/1294/1295"/>
    <x v="12"/>
    <s v="Diurno"/>
    <n v="835.25"/>
    <n v="75.931818181818187"/>
    <n v="70"/>
    <n v="2.1911428571428572E-3"/>
    <n v="1.8301520714285717"/>
    <n v="11"/>
    <n v="75.931818181818187"/>
    <n v="1.0847402597402598"/>
  </r>
  <r>
    <x v="21"/>
    <x v="6"/>
    <x v="5"/>
    <n v="207"/>
    <x v="4"/>
    <s v="Diurno"/>
    <n v="405"/>
    <n v="40.5"/>
    <n v="45"/>
    <n v="1.1361111111111112E-2"/>
    <n v="4.6012500000000003"/>
    <n v="10"/>
    <n v="40.5"/>
    <n v="0.9"/>
  </r>
  <r>
    <x v="21"/>
    <x v="5"/>
    <x v="4"/>
    <n v="794"/>
    <x v="2"/>
    <s v="Diurno"/>
    <n v="788.5"/>
    <n v="78.849999999999994"/>
    <n v="92"/>
    <n v="5.5570652173913045E-3"/>
    <n v="4.3817459239130434"/>
    <n v="10"/>
    <n v="78.849999999999994"/>
    <m/>
  </r>
  <r>
    <x v="21"/>
    <x v="5"/>
    <x v="4"/>
    <n v="794"/>
    <x v="17"/>
    <s v="Diurno"/>
    <n v="788.5"/>
    <n v="78.849999999999994"/>
    <n v="92"/>
    <n v="5.5570652173913045E-3"/>
    <n v="4.3817459239130434"/>
    <n v="10"/>
    <n v="78.849999999999994"/>
    <m/>
  </r>
  <r>
    <x v="21"/>
    <x v="7"/>
    <x v="8"/>
    <n v="161"/>
    <x v="5"/>
    <s v="Diurno"/>
    <n v="263"/>
    <n v="65.75"/>
    <n v="90"/>
    <n v="8.5211111111111112E-3"/>
    <n v="2.2410522222222222"/>
    <n v="4"/>
    <n v="65.75"/>
    <n v="0.73055555555555551"/>
  </r>
  <r>
    <x v="21"/>
    <x v="7"/>
    <x v="6"/>
    <n v="159"/>
    <x v="5"/>
    <s v="Diurno"/>
    <n v="191"/>
    <n v="63.666666666666664"/>
    <n v="75"/>
    <n v="1.0225333333333333E-2"/>
    <n v="1.9530386666666666"/>
    <n v="3"/>
    <n v="63.666666666666664"/>
    <n v="0.8488888888888888"/>
  </r>
  <r>
    <x v="21"/>
    <x v="1"/>
    <x v="7"/>
    <s v="1279/1280/1281"/>
    <x v="14"/>
    <s v="Diurno"/>
    <n v="527.25"/>
    <n v="65.90625"/>
    <n v="70"/>
    <n v="2.1911428571428572E-3"/>
    <n v="1.1552800714285714"/>
    <n v="8"/>
    <n v="65.90625"/>
    <n v="0.94151785714285718"/>
  </r>
  <r>
    <x v="21"/>
    <x v="1"/>
    <x v="7"/>
    <s v="1279/1280/1281"/>
    <x v="0"/>
    <s v="Diurno"/>
    <n v="302.25"/>
    <n v="37.78125"/>
    <n v="70"/>
    <n v="2.1911428571428572E-3"/>
    <n v="0.66227292857142861"/>
    <n v="8"/>
    <n v="37.78125"/>
    <n v="0.53973214285714288"/>
  </r>
  <r>
    <x v="21"/>
    <x v="1"/>
    <x v="7"/>
    <s v="1279/1280/1281"/>
    <x v="6"/>
    <s v="Diurno"/>
    <n v="302.25"/>
    <n v="37.78125"/>
    <n v="70"/>
    <n v="2.1911428571428572E-3"/>
    <n v="0.66227292857142861"/>
    <n v="8"/>
    <n v="37.78125"/>
    <n v="0.53973214285714288"/>
  </r>
  <r>
    <x v="21"/>
    <x v="1"/>
    <x v="7"/>
    <s v="1279/1280/1281"/>
    <x v="8"/>
    <s v="Diurno"/>
    <n v="302.25"/>
    <n v="37.78125"/>
    <n v="70"/>
    <n v="2.1911428571428572E-3"/>
    <n v="0.66227292857142861"/>
    <n v="8"/>
    <n v="37.78125"/>
    <n v="0.53973214285714288"/>
  </r>
  <r>
    <x v="21"/>
    <x v="2"/>
    <x v="2"/>
    <m/>
    <x v="14"/>
    <s v="Diurno"/>
    <m/>
    <n v="1"/>
    <n v="1"/>
    <n v="0.3483"/>
    <n v="0.6966"/>
    <n v="2"/>
    <n v="0"/>
    <e v="#N/A"/>
  </r>
  <r>
    <x v="21"/>
    <x v="2"/>
    <x v="2"/>
    <m/>
    <x v="0"/>
    <s v="Diurno"/>
    <m/>
    <n v="1"/>
    <n v="1"/>
    <n v="0.3483"/>
    <n v="0.6966"/>
    <n v="2"/>
    <n v="0"/>
    <e v="#N/A"/>
  </r>
  <r>
    <x v="21"/>
    <x v="2"/>
    <x v="2"/>
    <m/>
    <x v="6"/>
    <s v="Diurno"/>
    <m/>
    <n v="1"/>
    <n v="1"/>
    <n v="0.3483"/>
    <n v="0.6966"/>
    <n v="2"/>
    <n v="0"/>
    <e v="#N/A"/>
  </r>
  <r>
    <x v="21"/>
    <x v="2"/>
    <x v="2"/>
    <m/>
    <x v="8"/>
    <s v="Diurno"/>
    <m/>
    <n v="1"/>
    <n v="1"/>
    <n v="0.3483"/>
    <n v="0.6966"/>
    <n v="2"/>
    <n v="0"/>
    <e v="#N/A"/>
  </r>
  <r>
    <x v="22"/>
    <x v="1"/>
    <x v="0"/>
    <s v="1289/1290/1291"/>
    <x v="1"/>
    <s v="Diurno"/>
    <n v="6972"/>
    <n v="633.81818181818187"/>
    <n v="700"/>
    <n v="1.0955714285714286E-3"/>
    <n v="7.6383240000000008"/>
    <n v="11"/>
    <m/>
    <m/>
  </r>
  <r>
    <x v="23"/>
    <x v="1"/>
    <x v="0"/>
    <s v="1285/1287"/>
    <x v="10"/>
    <s v="Diurno"/>
    <n v="2779"/>
    <n v="555.79999999999995"/>
    <n v="700"/>
    <n v="1.0955714285714286E-3"/>
    <n v="3.0445929999999999"/>
    <n v="5"/>
    <m/>
    <m/>
  </r>
  <r>
    <x v="23"/>
    <x v="1"/>
    <x v="7"/>
    <n v="1288"/>
    <x v="10"/>
    <s v="Diurno"/>
    <n v="306"/>
    <n v="153"/>
    <n v="70"/>
    <n v="2.1911428571428572E-3"/>
    <n v="0.67048971428571436"/>
    <n v="2"/>
    <n v="153"/>
    <n v="2.1857142857142855"/>
  </r>
  <r>
    <x v="23"/>
    <x v="2"/>
    <x v="2"/>
    <m/>
    <x v="10"/>
    <s v="Diurno"/>
    <m/>
    <n v="1"/>
    <n v="1"/>
    <n v="0.3483"/>
    <n v="1.0448999999999999"/>
    <n v="3"/>
    <n v="0"/>
    <e v="#N/A"/>
  </r>
  <r>
    <x v="23"/>
    <x v="1"/>
    <x v="0"/>
    <s v="1296/1297"/>
    <x v="1"/>
    <s v="Diurno"/>
    <n v="1023"/>
    <n v="93"/>
    <n v="700"/>
    <n v="1.0955714285714286E-3"/>
    <n v="1.1207695714285715"/>
    <n v="11"/>
    <n v="93"/>
    <n v="0.13285714285714287"/>
  </r>
  <r>
    <x v="23"/>
    <x v="1"/>
    <x v="0"/>
    <s v="1296/1297"/>
    <x v="8"/>
    <s v="Diurno"/>
    <n v="1023"/>
    <n v="93"/>
    <n v="700"/>
    <n v="1.0955714285714286E-3"/>
    <n v="1.1207695714285715"/>
    <n v="11"/>
    <n v="93"/>
    <n v="0.13285714285714287"/>
  </r>
  <r>
    <x v="24"/>
    <x v="1"/>
    <x v="0"/>
    <s v="1299/1300/1301/1302"/>
    <x v="1"/>
    <s v="Diurno"/>
    <n v="2689.5"/>
    <n v="268.95"/>
    <n v="700"/>
    <n v="1.0955714285714286E-3"/>
    <n v="2.9465393571428571"/>
    <n v="10"/>
    <n v="268.95"/>
    <n v="0.38421428571428567"/>
  </r>
  <r>
    <x v="24"/>
    <x v="1"/>
    <x v="0"/>
    <s v="1299/1300/1301/1302"/>
    <x v="17"/>
    <s v="Diurno"/>
    <n v="2689.5"/>
    <n v="268.95"/>
    <n v="700"/>
    <n v="1.0955714285714286E-3"/>
    <n v="2.9465393571428571"/>
    <n v="10"/>
    <n v="268.95"/>
    <n v="0.38421428571428567"/>
  </r>
  <r>
    <x v="0"/>
    <x v="10"/>
    <x v="0"/>
    <n v="908"/>
    <x v="5"/>
    <s v="Diurno"/>
    <n v="850"/>
    <n v="283.33333333333331"/>
    <n v="700"/>
    <n v="1.0955714285714286E-3"/>
    <n v="0.93123571428571439"/>
    <n v="3"/>
    <n v="283.33333333333331"/>
    <n v="0.40476190476190471"/>
  </r>
  <r>
    <x v="0"/>
    <x v="10"/>
    <x v="0"/>
    <n v="910"/>
    <x v="5"/>
    <s v="Diurno"/>
    <n v="825"/>
    <n v="275"/>
    <n v="700"/>
    <n v="1.0955714285714286E-3"/>
    <n v="0.90384642857142872"/>
    <n v="3"/>
    <n v="275"/>
    <n v="0.39285714285714285"/>
  </r>
  <r>
    <x v="8"/>
    <x v="10"/>
    <x v="9"/>
    <n v="911"/>
    <x v="14"/>
    <s v="Diurno"/>
    <n v="825"/>
    <n v="412.5"/>
    <n v="400"/>
    <n v="1.9172499999999999E-3"/>
    <n v="1.5817312499999998"/>
    <n v="2"/>
    <n v="412.5"/>
    <n v="1.03125"/>
  </r>
  <r>
    <x v="8"/>
    <x v="10"/>
    <x v="9"/>
    <n v="912"/>
    <x v="9"/>
    <s v="Nocturno"/>
    <n v="3800"/>
    <n v="380"/>
    <n v="400"/>
    <n v="1.9172499999999999E-3"/>
    <n v="7.2855499999999997"/>
    <n v="10"/>
    <n v="380"/>
    <n v="0.95"/>
  </r>
  <r>
    <x v="9"/>
    <x v="10"/>
    <x v="0"/>
    <s v="913/914/915/916"/>
    <x v="14"/>
    <s v="Diurno"/>
    <n v="4425"/>
    <n v="442.5"/>
    <n v="700"/>
    <n v="1.0955714285714286E-3"/>
    <n v="4.8479035714285716"/>
    <n v="10"/>
    <n v="442.5"/>
    <n v="0.63214285714285712"/>
  </r>
  <r>
    <x v="9"/>
    <x v="10"/>
    <x v="0"/>
    <s v="917/918/919/920"/>
    <x v="9"/>
    <s v="Nocturno"/>
    <n v="4250"/>
    <n v="425"/>
    <n v="700"/>
    <n v="1.0955714285714286E-3"/>
    <n v="4.6561785714285717"/>
    <n v="10"/>
    <n v="425"/>
    <n v="0.6071428571428571"/>
  </r>
  <r>
    <x v="10"/>
    <x v="10"/>
    <x v="0"/>
    <n v="921"/>
    <x v="14"/>
    <s v="Diurno"/>
    <n v="3475"/>
    <n v="347.5"/>
    <n v="700"/>
    <n v="1.0955714285714286E-3"/>
    <n v="3.8071107142857148"/>
    <n v="10"/>
    <n v="347.5"/>
    <n v="0.49642857142857144"/>
  </r>
  <r>
    <x v="14"/>
    <x v="10"/>
    <x v="0"/>
    <n v="923"/>
    <x v="9"/>
    <s v="Diurno"/>
    <n v="3425"/>
    <n v="342.5"/>
    <n v="700"/>
    <n v="1.0955714285714286E-3"/>
    <n v="3.752332142857143"/>
    <n v="10"/>
    <n v="342.5"/>
    <n v="0.48928571428571427"/>
  </r>
  <r>
    <x v="14"/>
    <x v="10"/>
    <x v="0"/>
    <s v="924/925"/>
    <x v="14"/>
    <s v="Nocturno"/>
    <n v="3325"/>
    <n v="475"/>
    <n v="700"/>
    <n v="1.0955714285714286E-3"/>
    <n v="3.6427749999999999"/>
    <n v="7"/>
    <n v="475"/>
    <n v="0.6785714285714286"/>
  </r>
  <r>
    <x v="15"/>
    <x v="10"/>
    <x v="0"/>
    <s v="926/927/928"/>
    <x v="9"/>
    <s v="Diurno"/>
    <n v="3325"/>
    <n v="554.16666666666663"/>
    <n v="700"/>
    <n v="1.0955714285714286E-3"/>
    <n v="3.6427749999999994"/>
    <n v="6"/>
    <n v="554.16666666666663"/>
    <n v="0.79166666666666663"/>
  </r>
  <r>
    <x v="15"/>
    <x v="10"/>
    <x v="0"/>
    <s v="929/931/933"/>
    <x v="14"/>
    <s v="Nocturno"/>
    <n v="5825"/>
    <n v="529.5454545454545"/>
    <n v="700"/>
    <n v="1.0955714285714286E-3"/>
    <n v="6.381703571428571"/>
    <n v="11"/>
    <n v="529.5454545454545"/>
    <n v="0.75649350649350644"/>
  </r>
  <r>
    <x v="16"/>
    <x v="10"/>
    <x v="0"/>
    <s v="934/935/936/"/>
    <x v="9"/>
    <s v="Diurno"/>
    <n v="5775"/>
    <n v="577.5"/>
    <n v="700"/>
    <n v="1.0955714285714286E-3"/>
    <n v="6.3269250000000001"/>
    <n v="10"/>
    <n v="577.5"/>
    <n v="0.82499999999999996"/>
  </r>
  <r>
    <x v="16"/>
    <x v="10"/>
    <x v="0"/>
    <s v="937/938/939"/>
    <x v="14"/>
    <s v="Nocturno"/>
    <n v="6150"/>
    <n v="559.09090909090912"/>
    <n v="700"/>
    <n v="1.0955714285714286E-3"/>
    <n v="6.7377642857142863"/>
    <n v="11"/>
    <n v="559.09090909090912"/>
    <n v="0.7987012987012988"/>
  </r>
  <r>
    <x v="17"/>
    <x v="10"/>
    <x v="0"/>
    <s v="940/941"/>
    <x v="9"/>
    <s v="Diurno"/>
    <n v="6300"/>
    <n v="630"/>
    <n v="700"/>
    <n v="1.0955714285714286E-3"/>
    <n v="6.9020999999999999"/>
    <n v="10"/>
    <n v="630"/>
    <n v="0.9"/>
  </r>
  <r>
    <x v="25"/>
    <x v="10"/>
    <x v="10"/>
    <n v="943"/>
    <x v="14"/>
    <s v="Diurno"/>
    <n v="875"/>
    <n v="145.83333333333334"/>
    <n v="400"/>
    <n v="1.9172499999999999E-3"/>
    <n v="1.6775937499999998"/>
    <n v="6"/>
    <n v="145.83333333333334"/>
    <n v="0.36458333333333337"/>
  </r>
  <r>
    <x v="25"/>
    <x v="10"/>
    <x v="0"/>
    <n v="942"/>
    <x v="14"/>
    <s v="Diurno"/>
    <n v="225"/>
    <n v="112.5"/>
    <n v="700"/>
    <n v="1.0955714285714286E-3"/>
    <n v="0.24650357142857143"/>
    <n v="2"/>
    <n v="112.5"/>
    <n v="0.16071428571428573"/>
  </r>
  <r>
    <x v="25"/>
    <x v="10"/>
    <x v="10"/>
    <n v="944"/>
    <x v="9"/>
    <s v="Nocturno"/>
    <n v="675"/>
    <n v="337.5"/>
    <n v="400"/>
    <n v="1.9172499999999999E-3"/>
    <n v="1.2941437499999999"/>
    <n v="2"/>
    <n v="337.5"/>
    <n v="0.84375"/>
  </r>
  <r>
    <x v="25"/>
    <x v="10"/>
    <x v="9"/>
    <n v="945"/>
    <x v="9"/>
    <s v="Nocturno"/>
    <n v="1525"/>
    <n v="305"/>
    <n v="400"/>
    <n v="1.9172499999999999E-3"/>
    <n v="2.9238062500000002"/>
    <n v="5"/>
    <n v="305"/>
    <n v="0.76249999999999996"/>
  </r>
  <r>
    <x v="25"/>
    <x v="10"/>
    <x v="0"/>
    <n v="946"/>
    <x v="9"/>
    <s v="Nocturno"/>
    <n v="2200"/>
    <n v="550"/>
    <n v="700"/>
    <n v="1.0955714285714286E-3"/>
    <n v="2.4102571428571431"/>
    <n v="4"/>
    <n v="550"/>
    <n v="0.7857142857142857"/>
  </r>
  <r>
    <x v="24"/>
    <x v="10"/>
    <x v="10"/>
    <n v="947"/>
    <x v="14"/>
    <s v="Diurno"/>
    <n v="575"/>
    <n v="287.5"/>
    <n v="400"/>
    <n v="1.9172499999999999E-3"/>
    <n v="1.10241875"/>
    <n v="2"/>
    <n v="287.5"/>
    <n v="0.71875"/>
  </r>
  <r>
    <x v="24"/>
    <x v="10"/>
    <x v="9"/>
    <n v="948"/>
    <x v="14"/>
    <s v="Diurno"/>
    <n v="1525"/>
    <n v="305"/>
    <n v="400"/>
    <n v="1.9172499999999999E-3"/>
    <n v="2.9238062500000002"/>
    <n v="5"/>
    <n v="305"/>
    <n v="0.76249999999999996"/>
  </r>
  <r>
    <x v="24"/>
    <x v="10"/>
    <x v="0"/>
    <s v="949/950"/>
    <x v="9"/>
    <s v="Nocturno"/>
    <n v="6200"/>
    <n v="563.63636363636363"/>
    <n v="700"/>
    <n v="1.0955714285714286E-3"/>
    <n v="6.7925428571428572"/>
    <n v="11"/>
    <n v="563.63636363636363"/>
    <n v="0.80519480519480513"/>
  </r>
  <r>
    <x v="5"/>
    <x v="12"/>
    <x v="3"/>
    <m/>
    <x v="12"/>
    <m/>
    <n v="74"/>
    <n v="18.5"/>
    <n v="17"/>
    <n v="3.0073529411764707E-2"/>
    <n v="2.2254411764705884"/>
    <n v="4"/>
    <n v="18.5"/>
    <n v="1.088235294117647"/>
  </r>
  <r>
    <x v="14"/>
    <x v="12"/>
    <x v="3"/>
    <m/>
    <x v="12"/>
    <s v="Diurno"/>
    <n v="235"/>
    <n v="29.375"/>
    <n v="17"/>
    <n v="3.0073529411764707E-2"/>
    <n v="7.067279411764706"/>
    <n v="8"/>
    <n v="29.375"/>
    <n v="1.7279411764705883"/>
  </r>
  <r>
    <x v="14"/>
    <x v="4"/>
    <x v="2"/>
    <m/>
    <x v="12"/>
    <s v="Diurno"/>
    <m/>
    <n v="1"/>
    <n v="1"/>
    <n v="0.3483"/>
    <n v="0.6966"/>
    <n v="2"/>
    <n v="0"/>
    <e v="#N/A"/>
  </r>
  <r>
    <x v="20"/>
    <x v="12"/>
    <x v="3"/>
    <m/>
    <x v="16"/>
    <s v="Diurno"/>
    <n v="44"/>
    <n v="22"/>
    <n v="17"/>
    <n v="3.0073529411764707E-2"/>
    <n v="1.3232352941176471"/>
    <n v="2"/>
    <n v="22"/>
    <n v="1.2941176470588236"/>
  </r>
  <r>
    <x v="21"/>
    <x v="12"/>
    <x v="3"/>
    <m/>
    <x v="16"/>
    <s v="Diurno"/>
    <n v="206"/>
    <n v="29.428571428571427"/>
    <n v="17"/>
    <n v="3.0073529411764707E-2"/>
    <n v="6.1951470588235287"/>
    <n v="7"/>
    <n v="29.428571428571427"/>
    <n v="1.7310924369747898"/>
  </r>
  <r>
    <x v="21"/>
    <x v="4"/>
    <x v="2"/>
    <m/>
    <x v="16"/>
    <s v="Diurno"/>
    <m/>
    <n v="1"/>
    <n v="1"/>
    <n v="0.3483"/>
    <n v="1.0448999999999999"/>
    <n v="3"/>
    <n v="0"/>
    <e v="#N/A"/>
  </r>
  <r>
    <x v="26"/>
    <x v="12"/>
    <x v="3"/>
    <m/>
    <x v="12"/>
    <s v="Diurno"/>
    <n v="56.400000000000006"/>
    <n v="18.8"/>
    <n v="17"/>
    <n v="3.0073529411764707E-2"/>
    <n v="1.6961470588235297"/>
    <n v="3"/>
    <n v="18.8"/>
    <n v="1.1058823529411765"/>
  </r>
  <r>
    <x v="26"/>
    <x v="12"/>
    <x v="3"/>
    <m/>
    <x v="19"/>
    <s v="Diurno"/>
    <n v="131.6"/>
    <n v="18.8"/>
    <n v="17"/>
    <n v="3.0073529411764707E-2"/>
    <n v="3.9576764705882361"/>
    <n v="7"/>
    <n v="18.8"/>
    <n v="1.1058823529411765"/>
  </r>
  <r>
    <x v="26"/>
    <x v="8"/>
    <x v="2"/>
    <m/>
    <x v="19"/>
    <s v="Diurno"/>
    <m/>
    <n v="1"/>
    <n v="1"/>
    <n v="0.3483"/>
    <n v="1.0448999999999999"/>
    <n v="3"/>
    <n v="0"/>
    <e v="#N/A"/>
  </r>
  <r>
    <x v="21"/>
    <x v="1"/>
    <x v="0"/>
    <s v="1282/1283/1284"/>
    <x v="1"/>
    <s v="Nocturno"/>
    <n v="6361"/>
    <n v="636.1"/>
    <n v="700"/>
    <n v="1.0955714285714286E-3"/>
    <n v="6.9689298571428582"/>
    <n v="10"/>
    <n v="636.1"/>
    <n v="0.9087142857142857"/>
  </r>
  <r>
    <x v="21"/>
    <x v="2"/>
    <x v="2"/>
    <m/>
    <x v="1"/>
    <s v="Nocturno"/>
    <m/>
    <n v="1"/>
    <n v="1"/>
    <n v="0.3483"/>
    <n v="0.3483"/>
    <n v="1"/>
    <n v="0"/>
    <e v="#N/A"/>
  </r>
  <r>
    <x v="9"/>
    <x v="2"/>
    <x v="2"/>
    <m/>
    <x v="8"/>
    <s v="Diurno"/>
    <m/>
    <n v="1"/>
    <n v="1"/>
    <n v="0.3483"/>
    <n v="3.4830000000000001"/>
    <n v="10"/>
    <n v="0"/>
    <e v="#N/A"/>
  </r>
  <r>
    <x v="20"/>
    <x v="7"/>
    <x v="8"/>
    <n v="157"/>
    <x v="13"/>
    <s v="Diurno"/>
    <n v="820"/>
    <n v="82"/>
    <n v="90"/>
    <n v="8.5211111111111112E-3"/>
    <n v="6.9873111111111106"/>
    <n v="10"/>
    <n v="82"/>
    <n v="0.91111111111111109"/>
  </r>
  <r>
    <x v="20"/>
    <x v="7"/>
    <x v="6"/>
    <n v="158"/>
    <x v="13"/>
    <s v="Diurno"/>
    <n v="50"/>
    <n v="50"/>
    <n v="75"/>
    <n v="1.0225333333333333E-2"/>
    <n v="0.51126666666666665"/>
    <n v="1"/>
    <n v="50"/>
    <n v="0.66666666666666663"/>
  </r>
  <r>
    <x v="22"/>
    <x v="6"/>
    <x v="5"/>
    <n v="208"/>
    <x v="12"/>
    <s v="Diurno"/>
    <n v="540"/>
    <n v="54"/>
    <n v="45"/>
    <n v="1.1361111111111112E-2"/>
    <n v="6.1350000000000007"/>
    <n v="10"/>
    <n v="54"/>
    <n v="1.2"/>
  </r>
  <r>
    <x v="22"/>
    <x v="0"/>
    <x v="0"/>
    <n v="381"/>
    <x v="0"/>
    <s v="Diurno"/>
    <n v="512"/>
    <n v="256"/>
    <n v="500"/>
    <n v="1.0225E-3"/>
    <n v="0.52351999999999999"/>
    <n v="2"/>
    <n v="256"/>
    <n v="0.51200000000000001"/>
  </r>
  <r>
    <x v="22"/>
    <x v="5"/>
    <x v="4"/>
    <s v="797/796"/>
    <x v="0"/>
    <s v="Diurno"/>
    <n v="498.66666666666669"/>
    <n v="62.333333333333336"/>
    <n v="92"/>
    <n v="5.5570652173913045E-3"/>
    <n v="2.7711231884057974"/>
    <n v="8"/>
    <n v="62.333333333333336"/>
    <n v="0.67753623188405798"/>
  </r>
  <r>
    <x v="22"/>
    <x v="5"/>
    <x v="4"/>
    <s v="797/796"/>
    <x v="17"/>
    <s v="Diurno"/>
    <n v="748"/>
    <n v="74.8"/>
    <n v="92"/>
    <n v="5.5570652173913045E-3"/>
    <n v="4.1566847826086954"/>
    <n v="10"/>
    <n v="74.8"/>
    <n v="0.81304347826086953"/>
  </r>
  <r>
    <x v="22"/>
    <x v="5"/>
    <x v="4"/>
    <s v="797/796"/>
    <x v="2"/>
    <s v="Diurno"/>
    <n v="748"/>
    <n v="74.8"/>
    <n v="92"/>
    <n v="5.5570652173913045E-3"/>
    <n v="4.1566847826086954"/>
    <n v="10"/>
    <n v="74.8"/>
    <n v="0.81304347826086953"/>
  </r>
  <r>
    <x v="22"/>
    <x v="5"/>
    <x v="4"/>
    <s v="797/796"/>
    <x v="6"/>
    <s v="Diurno"/>
    <n v="748"/>
    <n v="74.8"/>
    <n v="92"/>
    <n v="5.5570652173913045E-3"/>
    <n v="4.1566847826086954"/>
    <n v="10"/>
    <n v="74.8"/>
    <n v="0.81304347826086953"/>
  </r>
  <r>
    <x v="22"/>
    <x v="5"/>
    <x v="4"/>
    <s v="797/796"/>
    <x v="9"/>
    <s v="Diurno"/>
    <n v="498.66666666666669"/>
    <n v="62.333333333333336"/>
    <n v="92"/>
    <n v="5.5570652173913045E-3"/>
    <n v="2.7711231884057974"/>
    <n v="8"/>
    <n v="62.333333333333336"/>
    <n v="0.67753623188405798"/>
  </r>
  <r>
    <x v="22"/>
    <x v="5"/>
    <x v="4"/>
    <s v="797/796"/>
    <x v="5"/>
    <s v="Diurno"/>
    <n v="498.66666666666669"/>
    <n v="62.333333333333336"/>
    <n v="92"/>
    <n v="5.5570652173913045E-3"/>
    <n v="2.7711231884057974"/>
    <n v="8"/>
    <n v="62.333333333333336"/>
    <n v="0.67753623188405798"/>
  </r>
  <r>
    <x v="23"/>
    <x v="5"/>
    <x v="4"/>
    <n v="798"/>
    <x v="5"/>
    <s v="Diurno"/>
    <n v="711.6"/>
    <n v="71.16"/>
    <n v="92"/>
    <n v="5.5570652173913045E-3"/>
    <n v="3.9544076086956519"/>
    <n v="10"/>
    <n v="71.16"/>
    <n v="0.77347826086956517"/>
  </r>
  <r>
    <x v="23"/>
    <x v="5"/>
    <x v="4"/>
    <n v="798"/>
    <x v="6"/>
    <s v="Diurno"/>
    <n v="711.6"/>
    <n v="71.16"/>
    <n v="92"/>
    <n v="5.5570652173913045E-3"/>
    <n v="3.9544076086956519"/>
    <n v="10"/>
    <n v="71.16"/>
    <n v="0.77347826086956517"/>
  </r>
  <r>
    <x v="23"/>
    <x v="5"/>
    <x v="4"/>
    <n v="798"/>
    <x v="0"/>
    <s v="Diurno"/>
    <n v="355.79999999999995"/>
    <n v="59.29999999999999"/>
    <n v="92"/>
    <n v="5.5570652173913045E-3"/>
    <n v="1.9772038043478259"/>
    <n v="6"/>
    <n v="59.29999999999999"/>
    <n v="0.64456521739130423"/>
  </r>
  <r>
    <x v="24"/>
    <x v="5"/>
    <x v="4"/>
    <n v="800"/>
    <x v="6"/>
    <s v="Diurno"/>
    <n v="731.26666666666677"/>
    <n v="73.126666666666679"/>
    <n v="92"/>
    <n v="5.5570652173913045E-3"/>
    <n v="4.0636965579710154"/>
    <n v="10"/>
    <n v="73.126666666666679"/>
    <n v="0.7948550724637683"/>
  </r>
  <r>
    <x v="24"/>
    <x v="5"/>
    <x v="4"/>
    <n v="800"/>
    <x v="0"/>
    <s v="Diurno"/>
    <n v="731.26666666666677"/>
    <n v="73.126666666666679"/>
    <n v="92"/>
    <n v="5.5570652173913045E-3"/>
    <n v="4.0636965579710154"/>
    <n v="10"/>
    <n v="73.126666666666679"/>
    <n v="0.7948550724637683"/>
  </r>
  <r>
    <x v="24"/>
    <x v="5"/>
    <x v="4"/>
    <n v="800"/>
    <x v="2"/>
    <s v="Diurno"/>
    <n v="731.26666666666677"/>
    <n v="73.126666666666679"/>
    <n v="92"/>
    <n v="5.5570652173913045E-3"/>
    <n v="4.0636965579710154"/>
    <n v="10"/>
    <n v="73.126666666666679"/>
    <n v="0.7948550724637683"/>
  </r>
  <r>
    <x v="24"/>
    <x v="5"/>
    <x v="4"/>
    <n v="800"/>
    <x v="4"/>
    <s v="Diurno"/>
    <n v="438.75999999999993"/>
    <n v="62.679999999999993"/>
    <n v="92"/>
    <n v="5.5570652173913045E-3"/>
    <n v="2.4382179347826085"/>
    <n v="7"/>
    <n v="62.679999999999993"/>
    <n v="0.68130434782608684"/>
  </r>
  <r>
    <x v="24"/>
    <x v="2"/>
    <x v="2"/>
    <m/>
    <x v="4"/>
    <s v="Diurno"/>
    <m/>
    <n v="1"/>
    <n v="1"/>
    <n v="0.3483"/>
    <n v="1.0448999999999999"/>
    <n v="3"/>
    <n v="0"/>
    <e v="#N/A"/>
  </r>
  <r>
    <x v="24"/>
    <x v="5"/>
    <x v="4"/>
    <n v="800"/>
    <x v="5"/>
    <s v="Diurno"/>
    <n v="501.43999999999994"/>
    <n v="62.679999999999993"/>
    <n v="92"/>
    <n v="5.5570652173913045E-3"/>
    <n v="2.7865347826086952"/>
    <n v="8"/>
    <n v="62.679999999999993"/>
    <n v="0.68130434782608684"/>
  </r>
  <r>
    <x v="24"/>
    <x v="4"/>
    <x v="2"/>
    <m/>
    <x v="5"/>
    <s v="Diurno"/>
    <m/>
    <n v="1"/>
    <n v="1"/>
    <n v="0.3483"/>
    <n v="0.6966"/>
    <n v="2"/>
    <n v="0"/>
    <e v="#N/A"/>
  </r>
  <r>
    <x v="24"/>
    <x v="6"/>
    <x v="5"/>
    <m/>
    <x v="8"/>
    <s v="Diurno"/>
    <n v="161.5"/>
    <n v="16.149999999999999"/>
    <n v="45"/>
    <n v="1.1361111111111112E-2"/>
    <n v="1.8348194444444443"/>
    <n v="10"/>
    <n v="16.149999999999999"/>
    <n v="0.35888888888888887"/>
  </r>
  <r>
    <x v="24"/>
    <x v="6"/>
    <x v="5"/>
    <m/>
    <x v="7"/>
    <s v="Diurno"/>
    <n v="161.5"/>
    <n v="16.149999999999999"/>
    <n v="45"/>
    <n v="1.1361111111111112E-2"/>
    <n v="1.8348194444444443"/>
    <n v="10"/>
    <n v="16.149999999999999"/>
    <n v="0.35888888888888887"/>
  </r>
  <r>
    <x v="24"/>
    <x v="9"/>
    <x v="2"/>
    <m/>
    <x v="16"/>
    <s v="Diurno"/>
    <m/>
    <n v="1"/>
    <n v="1"/>
    <n v="0.3483"/>
    <n v="3.4830000000000001"/>
    <n v="10"/>
    <n v="0"/>
    <e v="#N/A"/>
  </r>
  <r>
    <x v="24"/>
    <x v="2"/>
    <x v="11"/>
    <m/>
    <x v="20"/>
    <s v="Diurno"/>
    <m/>
    <n v="1"/>
    <n v="1"/>
    <n v="0.3483"/>
    <n v="3.4830000000000001"/>
    <n v="10"/>
    <n v="0"/>
    <e v="#N/A"/>
  </r>
  <r>
    <x v="24"/>
    <x v="8"/>
    <x v="2"/>
    <m/>
    <x v="18"/>
    <s v="Diurno"/>
    <m/>
    <n v="1"/>
    <n v="1"/>
    <n v="0.3483"/>
    <n v="3.4830000000000001"/>
    <n v="10"/>
    <n v="0"/>
    <e v="#N/A"/>
  </r>
  <r>
    <x v="26"/>
    <x v="5"/>
    <x v="4"/>
    <n v="801"/>
    <x v="3"/>
    <s v="Diurno"/>
    <n v="708"/>
    <n v="94.4"/>
    <n v="92"/>
    <n v="5.5570652173913045E-3"/>
    <n v="3.9344021739130435"/>
    <n v="7.5"/>
    <n v="94.4"/>
    <n v="1.0260869565217392"/>
  </r>
  <r>
    <x v="26"/>
    <x v="4"/>
    <x v="2"/>
    <m/>
    <x v="3"/>
    <s v="Diurno"/>
    <m/>
    <n v="1"/>
    <n v="1"/>
    <n v="0.3483"/>
    <n v="0.3483"/>
    <n v="1"/>
    <n v="0"/>
    <e v="#N/A"/>
  </r>
  <r>
    <x v="26"/>
    <x v="5"/>
    <x v="4"/>
    <n v="801"/>
    <x v="0"/>
    <s v="Diurno"/>
    <n v="708"/>
    <n v="94.4"/>
    <n v="92"/>
    <n v="5.5570652173913045E-3"/>
    <n v="3.9344021739130435"/>
    <n v="7.5"/>
    <n v="94.4"/>
    <n v="1.0260869565217392"/>
  </r>
  <r>
    <x v="26"/>
    <x v="4"/>
    <x v="2"/>
    <m/>
    <x v="0"/>
    <s v="Diurno"/>
    <m/>
    <n v="1"/>
    <n v="1"/>
    <n v="0.3483"/>
    <n v="0.3483"/>
    <n v="1"/>
    <n v="0"/>
    <e v="#N/A"/>
  </r>
  <r>
    <x v="26"/>
    <x v="1"/>
    <x v="0"/>
    <s v="1303/1305"/>
    <x v="8"/>
    <s v="Diurno"/>
    <n v="2242"/>
    <n v="407.63636363636363"/>
    <n v="700"/>
    <n v="1.0955714285714286E-3"/>
    <n v="2.4562711428571427"/>
    <n v="5.5"/>
    <n v="407.63636363636363"/>
    <n v="0.58233766233766238"/>
  </r>
  <r>
    <x v="26"/>
    <x v="2"/>
    <x v="2"/>
    <m/>
    <x v="8"/>
    <s v="Diurno"/>
    <m/>
    <n v="1"/>
    <n v="1"/>
    <n v="0.3483"/>
    <n v="1.0448999999999999"/>
    <n v="3"/>
    <n v="0"/>
    <e v="#N/A"/>
  </r>
  <r>
    <x v="26"/>
    <x v="10"/>
    <x v="0"/>
    <s v="951/952"/>
    <x v="14"/>
    <s v="Diurno"/>
    <n v="4000"/>
    <n v="533.33333333333337"/>
    <n v="700"/>
    <n v="1.0955714285714286E-3"/>
    <n v="4.3822857142857146"/>
    <n v="7.5"/>
    <n v="533.33333333333337"/>
    <n v="0.76190476190476197"/>
  </r>
  <r>
    <x v="26"/>
    <x v="10"/>
    <x v="0"/>
    <s v="953/954/955"/>
    <x v="9"/>
    <s v="Nocturno"/>
    <n v="6900"/>
    <n v="627.27272727272725"/>
    <n v="700"/>
    <n v="1.0955714285714286E-3"/>
    <n v="7.5594428571428569"/>
    <n v="11"/>
    <n v="627.27272727272725"/>
    <n v="0.89610389610389607"/>
  </r>
  <r>
    <x v="26"/>
    <x v="2"/>
    <x v="2"/>
    <m/>
    <x v="5"/>
    <s v="Diurno"/>
    <m/>
    <n v="1"/>
    <n v="1"/>
    <n v="0.3483"/>
    <n v="2.96055"/>
    <n v="8.5"/>
    <n v="0"/>
    <e v="#N/A"/>
  </r>
  <r>
    <x v="26"/>
    <x v="2"/>
    <x v="5"/>
    <m/>
    <x v="7"/>
    <s v="Diurno"/>
    <m/>
    <n v="1"/>
    <n v="1"/>
    <n v="0.3483"/>
    <n v="1.9156500000000001"/>
    <n v="5.5"/>
    <n v="0"/>
    <e v="#N/A"/>
  </r>
  <r>
    <x v="26"/>
    <x v="2"/>
    <x v="5"/>
    <m/>
    <x v="11"/>
    <s v="Diurno"/>
    <m/>
    <n v="1"/>
    <n v="1"/>
    <n v="0.3483"/>
    <n v="1.9156500000000001"/>
    <n v="5.5"/>
    <n v="0"/>
    <e v="#N/A"/>
  </r>
  <r>
    <x v="26"/>
    <x v="2"/>
    <x v="2"/>
    <m/>
    <x v="7"/>
    <s v="Diurno"/>
    <m/>
    <n v="1"/>
    <n v="1"/>
    <n v="0.3483"/>
    <n v="1.0448999999999999"/>
    <n v="3"/>
    <n v="0"/>
    <e v="#N/A"/>
  </r>
  <r>
    <x v="26"/>
    <x v="2"/>
    <x v="2"/>
    <m/>
    <x v="11"/>
    <s v="Diurno"/>
    <m/>
    <n v="1"/>
    <n v="1"/>
    <n v="0.3483"/>
    <n v="1.0448999999999999"/>
    <n v="3"/>
    <n v="0"/>
    <e v="#N/A"/>
  </r>
  <r>
    <x v="26"/>
    <x v="2"/>
    <x v="11"/>
    <m/>
    <x v="15"/>
    <s v="Diurno"/>
    <m/>
    <n v="1"/>
    <n v="1"/>
    <n v="0.3483"/>
    <n v="2.96055"/>
    <n v="8.5"/>
    <n v="0"/>
    <e v="#N/A"/>
  </r>
  <r>
    <x v="0"/>
    <x v="2"/>
    <x v="11"/>
    <m/>
    <x v="10"/>
    <s v="Diurno"/>
    <m/>
    <n v="1"/>
    <n v="1"/>
    <n v="0.3483"/>
    <n v="3.4830000000000001"/>
    <n v="10"/>
    <n v="0"/>
    <e v="#N/A"/>
  </r>
  <r>
    <x v="0"/>
    <x v="2"/>
    <x v="2"/>
    <m/>
    <x v="12"/>
    <s v="Diurno"/>
    <m/>
    <n v="1"/>
    <n v="1"/>
    <n v="0.3483"/>
    <n v="3.4830000000000001"/>
    <n v="10"/>
    <n v="0"/>
    <e v="#N/A"/>
  </r>
  <r>
    <x v="0"/>
    <x v="8"/>
    <x v="2"/>
    <m/>
    <x v="11"/>
    <s v="Diurno"/>
    <m/>
    <n v="1"/>
    <n v="1"/>
    <n v="0.3483"/>
    <n v="3.4830000000000001"/>
    <n v="10"/>
    <n v="0"/>
    <e v="#N/A"/>
  </r>
  <r>
    <x v="0"/>
    <x v="9"/>
    <x v="2"/>
    <m/>
    <x v="16"/>
    <s v="Diurno"/>
    <m/>
    <n v="1"/>
    <n v="1"/>
    <n v="0.3483"/>
    <n v="3.4830000000000001"/>
    <n v="10"/>
    <n v="0"/>
    <e v="#N/A"/>
  </r>
  <r>
    <x v="0"/>
    <x v="8"/>
    <x v="2"/>
    <m/>
    <x v="20"/>
    <s v="Diurno"/>
    <m/>
    <n v="1"/>
    <n v="1"/>
    <n v="0.3483"/>
    <n v="3.4830000000000001"/>
    <n v="10"/>
    <n v="0"/>
    <e v="#N/A"/>
  </r>
  <r>
    <x v="0"/>
    <x v="8"/>
    <x v="2"/>
    <m/>
    <x v="18"/>
    <s v="Diurno"/>
    <m/>
    <n v="1"/>
    <n v="1"/>
    <n v="0.3483"/>
    <n v="3.4830000000000001"/>
    <n v="10"/>
    <n v="0"/>
    <e v="#N/A"/>
  </r>
  <r>
    <x v="8"/>
    <x v="9"/>
    <x v="2"/>
    <m/>
    <x v="16"/>
    <s v="Diurno"/>
    <m/>
    <n v="1"/>
    <n v="1"/>
    <n v="0.3483"/>
    <n v="3.4830000000000001"/>
    <n v="10"/>
    <n v="0"/>
    <e v="#N/A"/>
  </r>
  <r>
    <x v="8"/>
    <x v="2"/>
    <x v="2"/>
    <m/>
    <x v="13"/>
    <s v="Nocturno"/>
    <m/>
    <n v="1"/>
    <n v="1"/>
    <n v="0.3483"/>
    <n v="3.4830000000000001"/>
    <n v="10"/>
    <n v="0"/>
    <e v="#N/A"/>
  </r>
  <r>
    <x v="8"/>
    <x v="8"/>
    <x v="2"/>
    <m/>
    <x v="20"/>
    <s v="Diurno"/>
    <m/>
    <n v="1"/>
    <n v="1"/>
    <n v="0.3483"/>
    <n v="3.4830000000000001"/>
    <n v="10"/>
    <n v="0"/>
    <e v="#N/A"/>
  </r>
  <r>
    <x v="8"/>
    <x v="8"/>
    <x v="2"/>
    <m/>
    <x v="18"/>
    <s v="Diurno"/>
    <m/>
    <n v="1"/>
    <n v="1"/>
    <n v="0.3483"/>
    <n v="3.4830000000000001"/>
    <n v="10"/>
    <n v="0"/>
    <e v="#N/A"/>
  </r>
  <r>
    <x v="8"/>
    <x v="5"/>
    <x v="4"/>
    <s v="769/770"/>
    <x v="6"/>
    <s v="Diurno"/>
    <n v="738.3"/>
    <n v="73.83"/>
    <n v="92"/>
    <n v="5.5570652173913045E-3"/>
    <n v="4.1027812499999996"/>
    <n v="10"/>
    <n v="73.83"/>
    <n v="0.80249999999999999"/>
  </r>
  <r>
    <x v="8"/>
    <x v="5"/>
    <x v="4"/>
    <s v="769/770"/>
    <x v="0"/>
    <s v="Diurno"/>
    <n v="738.3"/>
    <n v="73.83"/>
    <n v="92"/>
    <n v="5.5570652173913045E-3"/>
    <n v="4.1027812499999996"/>
    <n v="10"/>
    <n v="73.83"/>
    <n v="0.80249999999999999"/>
  </r>
  <r>
    <x v="8"/>
    <x v="5"/>
    <x v="4"/>
    <s v="769/770"/>
    <x v="3"/>
    <s v="Diurno"/>
    <n v="738.3"/>
    <n v="73.83"/>
    <n v="92"/>
    <n v="5.5570652173913045E-3"/>
    <n v="4.1027812499999996"/>
    <n v="10"/>
    <n v="73.83"/>
    <n v="0.80249999999999999"/>
  </r>
  <r>
    <x v="8"/>
    <x v="5"/>
    <x v="4"/>
    <s v="769/770"/>
    <x v="2"/>
    <s v="Diurno"/>
    <n v="738.3"/>
    <n v="73.83"/>
    <n v="92"/>
    <n v="5.5570652173913045E-3"/>
    <n v="4.1027812499999996"/>
    <n v="10"/>
    <n v="73.83"/>
    <n v="0.80249999999999999"/>
  </r>
  <r>
    <x v="8"/>
    <x v="5"/>
    <x v="4"/>
    <s v="769/770"/>
    <x v="17"/>
    <s v="Diurno"/>
    <n v="256.8"/>
    <n v="64.2"/>
    <n v="92"/>
    <n v="5.5570652173913045E-3"/>
    <n v="1.4270543478260871"/>
    <n v="4"/>
    <n v="64.2"/>
    <n v="0.69782608695652182"/>
  </r>
  <r>
    <x v="8"/>
    <x v="2"/>
    <x v="2"/>
    <m/>
    <x v="11"/>
    <s v="Diurno"/>
    <m/>
    <n v="1"/>
    <n v="1"/>
    <n v="0.3483"/>
    <n v="3.4830000000000001"/>
    <n v="10"/>
    <n v="0"/>
    <e v="#N/A"/>
  </r>
  <r>
    <x v="9"/>
    <x v="5"/>
    <x v="4"/>
    <s v="771/772"/>
    <x v="0"/>
    <s v="Diurno"/>
    <n v="767.25"/>
    <n v="76.724999999999994"/>
    <n v="92"/>
    <n v="5.5570652173913045E-3"/>
    <n v="4.2636582880434784"/>
    <n v="10"/>
    <n v="76.724999999999994"/>
    <n v="0.83396739130434772"/>
  </r>
  <r>
    <x v="9"/>
    <x v="5"/>
    <x v="4"/>
    <s v="771/772"/>
    <x v="3"/>
    <s v="Diurno"/>
    <n v="767.25"/>
    <n v="76.724999999999994"/>
    <n v="92"/>
    <n v="5.5570652173913045E-3"/>
    <n v="4.2636582880434784"/>
    <n v="10"/>
    <n v="76.724999999999994"/>
    <n v="0.83396739130434772"/>
  </r>
  <r>
    <x v="9"/>
    <x v="5"/>
    <x v="4"/>
    <s v="771/772"/>
    <x v="6"/>
    <s v="Diurno"/>
    <n v="767.25"/>
    <n v="76.724999999999994"/>
    <n v="92"/>
    <n v="5.5570652173913045E-3"/>
    <n v="4.2636582880434784"/>
    <n v="10"/>
    <n v="76.724999999999994"/>
    <n v="0.83396739130434772"/>
  </r>
  <r>
    <x v="9"/>
    <x v="5"/>
    <x v="4"/>
    <s v="771/772"/>
    <x v="2"/>
    <s v="Diurno"/>
    <n v="767.25"/>
    <n v="76.724999999999994"/>
    <n v="92"/>
    <n v="5.5570652173913045E-3"/>
    <n v="4.2636582880434784"/>
    <n v="10"/>
    <n v="76.724999999999994"/>
    <n v="0.83396739130434772"/>
  </r>
  <r>
    <x v="9"/>
    <x v="2"/>
    <x v="11"/>
    <m/>
    <x v="16"/>
    <s v="Diurno"/>
    <m/>
    <n v="1"/>
    <n v="1"/>
    <n v="0.3483"/>
    <n v="3.4830000000000001"/>
    <n v="10"/>
    <n v="0"/>
    <e v="#N/A"/>
  </r>
  <r>
    <x v="9"/>
    <x v="8"/>
    <x v="2"/>
    <m/>
    <x v="20"/>
    <s v="Diurno"/>
    <m/>
    <n v="1"/>
    <n v="1"/>
    <n v="0.3483"/>
    <n v="3.4830000000000001"/>
    <n v="10"/>
    <n v="0"/>
    <e v="#N/A"/>
  </r>
  <r>
    <x v="9"/>
    <x v="8"/>
    <x v="2"/>
    <m/>
    <x v="18"/>
    <s v="Diurno"/>
    <m/>
    <n v="1"/>
    <n v="1"/>
    <n v="0.3483"/>
    <n v="3.4830000000000001"/>
    <n v="10"/>
    <n v="0"/>
    <e v="#N/A"/>
  </r>
  <r>
    <x v="10"/>
    <x v="2"/>
    <x v="11"/>
    <m/>
    <x v="16"/>
    <s v="Diurno"/>
    <m/>
    <n v="1"/>
    <n v="1"/>
    <n v="0.3483"/>
    <n v="3.4830000000000001"/>
    <n v="10"/>
    <n v="0"/>
    <e v="#N/A"/>
  </r>
  <r>
    <x v="10"/>
    <x v="8"/>
    <x v="2"/>
    <m/>
    <x v="20"/>
    <s v="Diurno"/>
    <m/>
    <n v="1"/>
    <n v="1"/>
    <n v="0.3483"/>
    <n v="3.4830000000000001"/>
    <n v="10"/>
    <n v="0"/>
    <e v="#N/A"/>
  </r>
  <r>
    <x v="10"/>
    <x v="8"/>
    <x v="2"/>
    <m/>
    <x v="18"/>
    <s v="Diurno"/>
    <m/>
    <n v="1"/>
    <n v="1"/>
    <n v="0.3483"/>
    <n v="3.4830000000000001"/>
    <n v="10"/>
    <n v="0"/>
    <e v="#N/A"/>
  </r>
  <r>
    <x v="11"/>
    <x v="2"/>
    <x v="2"/>
    <m/>
    <x v="17"/>
    <s v="Diurno"/>
    <m/>
    <n v="1"/>
    <n v="1"/>
    <n v="0.3483"/>
    <n v="3.4830000000000001"/>
    <n v="10"/>
    <n v="0"/>
    <e v="#N/A"/>
  </r>
  <r>
    <x v="11"/>
    <x v="2"/>
    <x v="2"/>
    <m/>
    <x v="6"/>
    <s v="Diurno"/>
    <m/>
    <n v="1"/>
    <n v="1"/>
    <n v="0.3483"/>
    <n v="3.4830000000000001"/>
    <n v="10"/>
    <n v="0"/>
    <e v="#N/A"/>
  </r>
  <r>
    <x v="11"/>
    <x v="9"/>
    <x v="2"/>
    <m/>
    <x v="16"/>
    <s v="Diurno"/>
    <m/>
    <n v="1"/>
    <n v="1"/>
    <n v="0.3483"/>
    <n v="3.4830000000000001"/>
    <n v="10"/>
    <n v="0"/>
    <e v="#N/A"/>
  </r>
  <r>
    <x v="11"/>
    <x v="2"/>
    <x v="2"/>
    <m/>
    <x v="20"/>
    <s v="Diurno"/>
    <m/>
    <n v="1"/>
    <n v="1"/>
    <n v="0.3483"/>
    <n v="3.4830000000000001"/>
    <n v="10"/>
    <n v="0"/>
    <e v="#N/A"/>
  </r>
  <r>
    <x v="12"/>
    <x v="9"/>
    <x v="2"/>
    <m/>
    <x v="16"/>
    <s v="Diurno"/>
    <m/>
    <n v="1"/>
    <n v="1"/>
    <n v="0.3483"/>
    <n v="3.4830000000000001"/>
    <n v="10"/>
    <n v="0"/>
    <e v="#N/A"/>
  </r>
  <r>
    <x v="12"/>
    <x v="8"/>
    <x v="2"/>
    <m/>
    <x v="20"/>
    <s v="Diurno"/>
    <m/>
    <n v="1"/>
    <n v="1"/>
    <n v="0.3483"/>
    <n v="3.4830000000000001"/>
    <n v="10"/>
    <n v="0"/>
    <e v="#N/A"/>
  </r>
  <r>
    <x v="12"/>
    <x v="8"/>
    <x v="2"/>
    <m/>
    <x v="18"/>
    <s v="Diurno"/>
    <m/>
    <n v="1"/>
    <n v="1"/>
    <n v="0.3483"/>
    <n v="3.4830000000000001"/>
    <n v="10"/>
    <n v="0"/>
    <e v="#N/A"/>
  </r>
  <r>
    <x v="13"/>
    <x v="2"/>
    <x v="11"/>
    <m/>
    <x v="16"/>
    <s v="Diurno"/>
    <m/>
    <n v="1"/>
    <n v="1"/>
    <n v="0.3483"/>
    <n v="3.4830000000000001"/>
    <n v="10"/>
    <n v="0"/>
    <e v="#N/A"/>
  </r>
  <r>
    <x v="13"/>
    <x v="8"/>
    <x v="2"/>
    <m/>
    <x v="20"/>
    <s v="Diurno"/>
    <m/>
    <n v="1"/>
    <n v="1"/>
    <n v="0.3483"/>
    <n v="3.4830000000000001"/>
    <n v="10"/>
    <n v="0"/>
    <e v="#N/A"/>
  </r>
  <r>
    <x v="13"/>
    <x v="8"/>
    <x v="2"/>
    <m/>
    <x v="18"/>
    <s v="Diurno"/>
    <m/>
    <n v="1"/>
    <n v="1"/>
    <n v="0.3483"/>
    <n v="3.4830000000000001"/>
    <n v="10"/>
    <n v="0"/>
    <e v="#N/A"/>
  </r>
  <r>
    <x v="14"/>
    <x v="5"/>
    <x v="4"/>
    <n v="778"/>
    <x v="3"/>
    <s v="Diurno"/>
    <n v="586.79999999999995"/>
    <n v="58.679999999999993"/>
    <n v="92"/>
    <n v="5.5570652173913045E-3"/>
    <n v="3.2608858695652172"/>
    <n v="10"/>
    <n v="58.679999999999993"/>
    <n v="0.63782608695652165"/>
  </r>
  <r>
    <x v="14"/>
    <x v="5"/>
    <x v="4"/>
    <n v="778"/>
    <x v="2"/>
    <s v="Diurno"/>
    <n v="586.79999999999995"/>
    <n v="58.679999999999993"/>
    <n v="92"/>
    <n v="5.5570652173913045E-3"/>
    <n v="3.2608858695652172"/>
    <n v="10"/>
    <n v="58.679999999999993"/>
    <n v="0.63782608695652165"/>
  </r>
  <r>
    <x v="14"/>
    <x v="5"/>
    <x v="4"/>
    <n v="778"/>
    <x v="17"/>
    <s v="Diurno"/>
    <n v="426.4"/>
    <n v="53.3"/>
    <n v="92"/>
    <n v="5.5570652173913045E-3"/>
    <n v="2.3695326086956521"/>
    <n v="8"/>
    <n v="53.3"/>
    <n v="0.57934782608695645"/>
  </r>
  <r>
    <x v="14"/>
    <x v="4"/>
    <x v="2"/>
    <m/>
    <x v="17"/>
    <s v="Diurno"/>
    <m/>
    <n v="1"/>
    <n v="1"/>
    <n v="0.3483"/>
    <n v="0.6966"/>
    <n v="2"/>
    <n v="0"/>
    <e v="#N/A"/>
  </r>
  <r>
    <x v="14"/>
    <x v="3"/>
    <x v="3"/>
    <n v="779"/>
    <x v="4"/>
    <s v="Diurno"/>
    <n v="601.5"/>
    <n v="60.15"/>
    <n v="55"/>
    <n v="9.295454545454546E-3"/>
    <n v="5.5912159090909093"/>
    <n v="10"/>
    <n v="60.15"/>
    <n v="1.0936363636363635"/>
  </r>
  <r>
    <x v="14"/>
    <x v="3"/>
    <x v="3"/>
    <n v="779"/>
    <x v="6"/>
    <s v="Diurno"/>
    <n v="601.5"/>
    <n v="60.15"/>
    <n v="55"/>
    <n v="9.295454545454546E-3"/>
    <n v="5.5912159090909093"/>
    <n v="10"/>
    <n v="60.15"/>
    <n v="1.0936363636363635"/>
  </r>
  <r>
    <x v="14"/>
    <x v="2"/>
    <x v="11"/>
    <m/>
    <x v="10"/>
    <s v="Diurno"/>
    <m/>
    <n v="1"/>
    <n v="1"/>
    <n v="0.3483"/>
    <n v="3.4830000000000001"/>
    <n v="10"/>
    <n v="0"/>
    <e v="#N/A"/>
  </r>
  <r>
    <x v="14"/>
    <x v="9"/>
    <x v="2"/>
    <m/>
    <x v="16"/>
    <s v="Diurno"/>
    <m/>
    <n v="1"/>
    <n v="1"/>
    <n v="0.3483"/>
    <n v="3.4830000000000001"/>
    <n v="10"/>
    <n v="0"/>
    <e v="#N/A"/>
  </r>
  <r>
    <x v="14"/>
    <x v="8"/>
    <x v="2"/>
    <m/>
    <x v="18"/>
    <s v="Diurno"/>
    <m/>
    <n v="1"/>
    <n v="1"/>
    <n v="0.3483"/>
    <n v="3.4830000000000001"/>
    <n v="10"/>
    <n v="0"/>
    <e v="#N/A"/>
  </r>
  <r>
    <x v="14"/>
    <x v="8"/>
    <x v="2"/>
    <m/>
    <x v="20"/>
    <s v="Diurno"/>
    <m/>
    <n v="1"/>
    <n v="1"/>
    <n v="0.3483"/>
    <n v="3.4830000000000001"/>
    <n v="10"/>
    <n v="0"/>
    <e v="#N/A"/>
  </r>
  <r>
    <x v="15"/>
    <x v="2"/>
    <x v="11"/>
    <m/>
    <x v="12"/>
    <s v="Diurno"/>
    <m/>
    <n v="1"/>
    <n v="1"/>
    <n v="0.3483"/>
    <n v="3.4830000000000001"/>
    <n v="10"/>
    <n v="0"/>
    <e v="#N/A"/>
  </r>
  <r>
    <x v="15"/>
    <x v="8"/>
    <x v="2"/>
    <m/>
    <x v="18"/>
    <s v="Diurno"/>
    <m/>
    <n v="1"/>
    <n v="1"/>
    <n v="0.3483"/>
    <n v="3.4830000000000001"/>
    <n v="10"/>
    <n v="0"/>
    <e v="#N/A"/>
  </r>
  <r>
    <x v="16"/>
    <x v="8"/>
    <x v="2"/>
    <m/>
    <x v="10"/>
    <s v="Diurno"/>
    <m/>
    <n v="1"/>
    <n v="1"/>
    <n v="0.3483"/>
    <n v="2.7864"/>
    <n v="8"/>
    <n v="0"/>
    <e v="#N/A"/>
  </r>
  <r>
    <x v="16"/>
    <x v="2"/>
    <x v="11"/>
    <m/>
    <x v="12"/>
    <s v="Diurno"/>
    <m/>
    <n v="1"/>
    <n v="1"/>
    <n v="0.3483"/>
    <n v="2.7864"/>
    <n v="8"/>
    <n v="0"/>
    <e v="#N/A"/>
  </r>
  <r>
    <x v="16"/>
    <x v="9"/>
    <x v="2"/>
    <m/>
    <x v="16"/>
    <s v="Diurno"/>
    <m/>
    <n v="1"/>
    <n v="1"/>
    <n v="0.3483"/>
    <n v="2.7864"/>
    <n v="8"/>
    <n v="0"/>
    <e v="#N/A"/>
  </r>
  <r>
    <x v="16"/>
    <x v="8"/>
    <x v="2"/>
    <m/>
    <x v="18"/>
    <s v="Diurno"/>
    <m/>
    <n v="1"/>
    <n v="1"/>
    <n v="0.3483"/>
    <n v="2.7864"/>
    <n v="8"/>
    <n v="0"/>
    <e v="#N/A"/>
  </r>
  <r>
    <x v="16"/>
    <x v="8"/>
    <x v="2"/>
    <m/>
    <x v="20"/>
    <s v="Diurno"/>
    <m/>
    <n v="1"/>
    <n v="1"/>
    <n v="0.3483"/>
    <n v="2.7864"/>
    <n v="8"/>
    <n v="0"/>
    <e v="#N/A"/>
  </r>
  <r>
    <x v="17"/>
    <x v="8"/>
    <x v="2"/>
    <m/>
    <x v="10"/>
    <s v="Diurno"/>
    <m/>
    <n v="1"/>
    <n v="1"/>
    <n v="0.3483"/>
    <n v="3.4830000000000001"/>
    <n v="10"/>
    <n v="0"/>
    <e v="#N/A"/>
  </r>
  <r>
    <x v="17"/>
    <x v="2"/>
    <x v="11"/>
    <m/>
    <x v="15"/>
    <s v="Diurno"/>
    <m/>
    <n v="1"/>
    <n v="1"/>
    <n v="0.3483"/>
    <n v="3.4830000000000001"/>
    <n v="10"/>
    <n v="0"/>
    <e v="#N/A"/>
  </r>
  <r>
    <x v="18"/>
    <x v="8"/>
    <x v="2"/>
    <m/>
    <x v="11"/>
    <s v="Diurno"/>
    <m/>
    <n v="1"/>
    <n v="1"/>
    <n v="0.3483"/>
    <n v="3.4830000000000001"/>
    <n v="10"/>
    <n v="0"/>
    <e v="#N/A"/>
  </r>
  <r>
    <x v="18"/>
    <x v="2"/>
    <x v="11"/>
    <m/>
    <x v="14"/>
    <s v="Diurno"/>
    <m/>
    <n v="1"/>
    <n v="1"/>
    <n v="0.3483"/>
    <n v="3.4830000000000001"/>
    <n v="10"/>
    <n v="0"/>
    <e v="#N/A"/>
  </r>
  <r>
    <x v="18"/>
    <x v="9"/>
    <x v="2"/>
    <m/>
    <x v="16"/>
    <s v="Diurno"/>
    <m/>
    <n v="1"/>
    <n v="1"/>
    <n v="0.3483"/>
    <n v="3.4830000000000001"/>
    <n v="10"/>
    <n v="0"/>
    <e v="#N/A"/>
  </r>
  <r>
    <x v="18"/>
    <x v="8"/>
    <x v="2"/>
    <m/>
    <x v="18"/>
    <s v="Diurno"/>
    <m/>
    <n v="1"/>
    <n v="1"/>
    <n v="0.3483"/>
    <n v="3.4830000000000001"/>
    <n v="10"/>
    <n v="0"/>
    <e v="#N/A"/>
  </r>
  <r>
    <x v="18"/>
    <x v="8"/>
    <x v="2"/>
    <m/>
    <x v="20"/>
    <s v="Diurno"/>
    <m/>
    <n v="1"/>
    <n v="1"/>
    <n v="0.3483"/>
    <n v="3.4830000000000001"/>
    <n v="10"/>
    <n v="0"/>
    <e v="#N/A"/>
  </r>
  <r>
    <x v="19"/>
    <x v="2"/>
    <x v="11"/>
    <m/>
    <x v="14"/>
    <s v="Diurno"/>
    <m/>
    <n v="1"/>
    <n v="1"/>
    <n v="0.3483"/>
    <n v="3.4830000000000001"/>
    <n v="10"/>
    <n v="0"/>
    <e v="#N/A"/>
  </r>
  <r>
    <x v="19"/>
    <x v="8"/>
    <x v="2"/>
    <m/>
    <x v="20"/>
    <s v="Diurno"/>
    <m/>
    <n v="1"/>
    <n v="1"/>
    <n v="0.3483"/>
    <n v="3.4830000000000001"/>
    <n v="10"/>
    <n v="0"/>
    <e v="#N/A"/>
  </r>
  <r>
    <x v="19"/>
    <x v="8"/>
    <x v="2"/>
    <m/>
    <x v="18"/>
    <s v="Diurno"/>
    <m/>
    <n v="1"/>
    <n v="1"/>
    <n v="0.3483"/>
    <n v="3.4830000000000001"/>
    <n v="10"/>
    <n v="0"/>
    <e v="#N/A"/>
  </r>
  <r>
    <x v="20"/>
    <x v="2"/>
    <x v="2"/>
    <m/>
    <x v="1"/>
    <s v="Nocturno"/>
    <m/>
    <n v="1"/>
    <n v="1"/>
    <n v="0.3483"/>
    <n v="3.8313000000000001"/>
    <n v="11"/>
    <n v="0"/>
    <e v="#N/A"/>
  </r>
  <r>
    <x v="20"/>
    <x v="2"/>
    <x v="2"/>
    <m/>
    <x v="7"/>
    <s v="Nocturno"/>
    <m/>
    <n v="1"/>
    <n v="1"/>
    <n v="0.3483"/>
    <n v="3.8313000000000001"/>
    <n v="11"/>
    <n v="0"/>
    <e v="#N/A"/>
  </r>
  <r>
    <x v="20"/>
    <x v="8"/>
    <x v="2"/>
    <m/>
    <x v="20"/>
    <s v="Diurno"/>
    <m/>
    <n v="1"/>
    <n v="1"/>
    <n v="0.3483"/>
    <n v="3.4830000000000001"/>
    <n v="10"/>
    <n v="0"/>
    <e v="#N/A"/>
  </r>
  <r>
    <x v="20"/>
    <x v="8"/>
    <x v="2"/>
    <m/>
    <x v="11"/>
    <s v="Diurno"/>
    <m/>
    <n v="1"/>
    <n v="1"/>
    <n v="0.3483"/>
    <n v="3.4830000000000001"/>
    <n v="10"/>
    <n v="0"/>
    <e v="#N/A"/>
  </r>
  <r>
    <x v="21"/>
    <x v="2"/>
    <x v="2"/>
    <m/>
    <x v="7"/>
    <s v="Nocturno"/>
    <m/>
    <n v="1"/>
    <n v="1"/>
    <n v="0.3483"/>
    <n v="3.4830000000000001"/>
    <n v="10"/>
    <n v="0"/>
    <e v="#N/A"/>
  </r>
  <r>
    <x v="22"/>
    <x v="11"/>
    <x v="2"/>
    <m/>
    <x v="4"/>
    <s v="Diurno"/>
    <m/>
    <n v="1"/>
    <n v="1"/>
    <n v="0.3483"/>
    <n v="3.4830000000000001"/>
    <n v="10"/>
    <n v="0"/>
    <e v="#N/A"/>
  </r>
  <r>
    <x v="22"/>
    <x v="2"/>
    <x v="11"/>
    <m/>
    <x v="15"/>
    <s v="Diurno"/>
    <m/>
    <n v="1"/>
    <n v="1"/>
    <n v="0.3483"/>
    <n v="3.4830000000000001"/>
    <n v="10"/>
    <n v="0"/>
    <e v="#N/A"/>
  </r>
  <r>
    <x v="22"/>
    <x v="8"/>
    <x v="2"/>
    <m/>
    <x v="10"/>
    <s v="Diurno"/>
    <m/>
    <n v="1"/>
    <n v="1"/>
    <n v="0.3483"/>
    <n v="3.4830000000000001"/>
    <n v="10"/>
    <n v="0"/>
    <e v="#N/A"/>
  </r>
  <r>
    <x v="22"/>
    <x v="2"/>
    <x v="2"/>
    <m/>
    <x v="14"/>
    <s v="Diurno"/>
    <m/>
    <n v="1"/>
    <n v="1"/>
    <n v="0.3483"/>
    <n v="3.4830000000000001"/>
    <n v="10"/>
    <n v="0"/>
    <e v="#N/A"/>
  </r>
  <r>
    <x v="22"/>
    <x v="8"/>
    <x v="2"/>
    <m/>
    <x v="20"/>
    <s v="Diurno"/>
    <m/>
    <n v="1"/>
    <n v="1"/>
    <n v="0.3483"/>
    <n v="3.4830000000000001"/>
    <n v="10"/>
    <n v="0"/>
    <e v="#N/A"/>
  </r>
  <r>
    <x v="23"/>
    <x v="2"/>
    <x v="2"/>
    <m/>
    <x v="0"/>
    <s v="Diurno"/>
    <m/>
    <n v="1"/>
    <n v="1"/>
    <n v="0.3483"/>
    <n v="1.3932"/>
    <n v="4"/>
    <n v="0"/>
    <e v="#N/A"/>
  </r>
  <r>
    <x v="23"/>
    <x v="7"/>
    <x v="6"/>
    <n v="162"/>
    <x v="13"/>
    <s v="Nocturno"/>
    <n v="540"/>
    <n v="49.090909090909093"/>
    <n v="75"/>
    <n v="1.0225333333333333E-2"/>
    <n v="5.5216800000000008"/>
    <n v="11"/>
    <n v="49.090909090909093"/>
    <n v="0.65454545454545454"/>
  </r>
  <r>
    <x v="23"/>
    <x v="8"/>
    <x v="2"/>
    <m/>
    <x v="11"/>
    <s v="Diurno"/>
    <m/>
    <n v="1"/>
    <n v="1"/>
    <n v="0.3483"/>
    <n v="3.4830000000000001"/>
    <n v="10"/>
    <n v="0"/>
    <e v="#N/A"/>
  </r>
  <r>
    <x v="23"/>
    <x v="8"/>
    <x v="2"/>
    <m/>
    <x v="20"/>
    <s v="Diurno"/>
    <m/>
    <n v="1"/>
    <n v="1"/>
    <n v="0.3483"/>
    <n v="3.4830000000000001"/>
    <n v="10"/>
    <n v="0"/>
    <e v="#N/A"/>
  </r>
  <r>
    <x v="25"/>
    <x v="2"/>
    <x v="2"/>
    <m/>
    <x v="15"/>
    <s v="Nocturno"/>
    <m/>
    <n v="1"/>
    <n v="1"/>
    <n v="0.3483"/>
    <n v="3.8313000000000001"/>
    <n v="11"/>
    <n v="0"/>
    <e v="#N/A"/>
  </r>
  <r>
    <x v="25"/>
    <x v="2"/>
    <x v="2"/>
    <m/>
    <x v="13"/>
    <s v="Nocturno"/>
    <m/>
    <n v="1"/>
    <n v="1"/>
    <n v="0.3483"/>
    <n v="3.8313000000000001"/>
    <n v="11"/>
    <n v="0"/>
    <e v="#N/A"/>
  </r>
  <r>
    <x v="25"/>
    <x v="8"/>
    <x v="2"/>
    <m/>
    <x v="11"/>
    <s v="Diurno"/>
    <m/>
    <n v="1"/>
    <n v="1"/>
    <n v="0.3483"/>
    <n v="1.7415"/>
    <n v="5"/>
    <n v="0"/>
    <e v="#N/A"/>
  </r>
  <r>
    <x v="25"/>
    <x v="8"/>
    <x v="2"/>
    <m/>
    <x v="12"/>
    <s v="Diurno"/>
    <m/>
    <n v="1"/>
    <n v="1"/>
    <n v="0.3483"/>
    <n v="1.7415"/>
    <n v="5"/>
    <n v="0"/>
    <e v="#N/A"/>
  </r>
  <r>
    <x v="0"/>
    <x v="5"/>
    <x v="4"/>
    <s v="767/768"/>
    <x v="6"/>
    <s v="Diurno"/>
    <n v="839.75"/>
    <n v="83.974999999999994"/>
    <n v="92"/>
    <n v="5.5570652173913045E-3"/>
    <n v="4.6665455163043479"/>
    <n v="10"/>
    <n v="83.974999999999994"/>
    <n v="0.91277173913043474"/>
  </r>
  <r>
    <x v="0"/>
    <x v="5"/>
    <x v="4"/>
    <s v="767/768"/>
    <x v="17"/>
    <s v="Diurno"/>
    <n v="839.75"/>
    <n v="83.974999999999994"/>
    <n v="92"/>
    <n v="5.5570652173913045E-3"/>
    <n v="4.6665455163043479"/>
    <n v="10"/>
    <n v="83.974999999999994"/>
    <n v="0.91277173913043474"/>
  </r>
  <r>
    <x v="0"/>
    <x v="5"/>
    <x v="4"/>
    <s v="767/768"/>
    <x v="3"/>
    <s v="Diurno"/>
    <n v="839.75"/>
    <n v="83.974999999999994"/>
    <n v="92"/>
    <n v="5.5570652173913045E-3"/>
    <n v="4.6665455163043479"/>
    <n v="10"/>
    <n v="83.974999999999994"/>
    <n v="0.91277173913043474"/>
  </r>
  <r>
    <x v="0"/>
    <x v="5"/>
    <x v="4"/>
    <s v="767/768"/>
    <x v="2"/>
    <s v="Diurno"/>
    <n v="839.75"/>
    <n v="83.974999999999994"/>
    <n v="92"/>
    <n v="5.5570652173913045E-3"/>
    <n v="4.6665455163043479"/>
    <n v="10"/>
    <n v="83.974999999999994"/>
    <n v="0.91277173913043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9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A160:C176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h="1" x="12"/>
        <item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6"/>
        <item x="0"/>
        <item h="1" x="3"/>
        <item h="1" x="4"/>
        <item h="1" x="7"/>
        <item h="1" x="2"/>
        <item h="1" x="5"/>
        <item h="1" x="10"/>
        <item h="1" x="1"/>
        <item h="1" x="8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6">
    <i>
      <x v="5"/>
    </i>
    <i>
      <x v="6"/>
    </i>
    <i>
      <x v="7"/>
    </i>
    <i>
      <x v="8"/>
    </i>
    <i>
      <x v="9"/>
    </i>
    <i>
      <x v="11"/>
    </i>
    <i>
      <x v="14"/>
    </i>
    <i>
      <x v="15"/>
    </i>
    <i>
      <x v="16"/>
    </i>
    <i>
      <x v="17"/>
    </i>
    <i>
      <x v="19"/>
    </i>
    <i>
      <x v="22"/>
    </i>
    <i>
      <x v="23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337">
      <pivotArea collapsedLevelsAreSubtotals="1" fieldPosition="0">
        <references count="1">
          <reference field="1" count="1">
            <x v="0"/>
          </reference>
        </references>
      </pivotArea>
    </format>
    <format dxfId="336">
      <pivotArea collapsedLevelsAreSubtotals="1" fieldPosition="0">
        <references count="1">
          <reference field="1" count="1">
            <x v="1"/>
          </reference>
        </references>
      </pivotArea>
    </format>
    <format dxfId="335">
      <pivotArea collapsedLevelsAreSubtotals="1" fieldPosition="0">
        <references count="1">
          <reference field="1" count="1">
            <x v="2"/>
          </reference>
        </references>
      </pivotArea>
    </format>
    <format dxfId="334">
      <pivotArea collapsedLevelsAreSubtotals="1" fieldPosition="0">
        <references count="1">
          <reference field="1" count="1">
            <x v="3"/>
          </reference>
        </references>
      </pivotArea>
    </format>
    <format dxfId="333">
      <pivotArea collapsedLevelsAreSubtotals="1" fieldPosition="0">
        <references count="1">
          <reference field="1" count="1">
            <x v="4"/>
          </reference>
        </references>
      </pivotArea>
    </format>
    <format dxfId="332">
      <pivotArea collapsedLevelsAreSubtotals="1" fieldPosition="0">
        <references count="1">
          <reference field="1" count="1">
            <x v="5"/>
          </reference>
        </references>
      </pivotArea>
    </format>
    <format dxfId="331">
      <pivotArea collapsedLevelsAreSubtotals="1" fieldPosition="0">
        <references count="1">
          <reference field="1" count="1">
            <x v="8"/>
          </reference>
        </references>
      </pivotArea>
    </format>
    <format dxfId="330">
      <pivotArea collapsedLevelsAreSubtotals="1" fieldPosition="0">
        <references count="1">
          <reference field="1" count="1">
            <x v="0"/>
          </reference>
        </references>
      </pivotArea>
    </format>
    <format dxfId="329">
      <pivotArea collapsedLevelsAreSubtotals="1" fieldPosition="0">
        <references count="1">
          <reference field="1" count="1">
            <x v="1"/>
          </reference>
        </references>
      </pivotArea>
    </format>
    <format dxfId="328">
      <pivotArea collapsedLevelsAreSubtotals="1" fieldPosition="0">
        <references count="1">
          <reference field="1" count="1">
            <x v="2"/>
          </reference>
        </references>
      </pivotArea>
    </format>
    <format dxfId="327">
      <pivotArea collapsedLevelsAreSubtotals="1" fieldPosition="0">
        <references count="1">
          <reference field="1" count="1">
            <x v="3"/>
          </reference>
        </references>
      </pivotArea>
    </format>
    <format dxfId="326">
      <pivotArea collapsedLevelsAreSubtotals="1" fieldPosition="0">
        <references count="1">
          <reference field="1" count="1">
            <x v="4"/>
          </reference>
        </references>
      </pivotArea>
    </format>
    <format dxfId="325">
      <pivotArea collapsedLevelsAreSubtotals="1" fieldPosition="0">
        <references count="1">
          <reference field="1" count="1">
            <x v="5"/>
          </reference>
        </references>
      </pivotArea>
    </format>
    <format dxfId="324">
      <pivotArea collapsedLevelsAreSubtotals="1" fieldPosition="0">
        <references count="1">
          <reference field="1" count="1">
            <x v="8"/>
          </reference>
        </references>
      </pivotArea>
    </format>
    <format dxfId="3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7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>
  <location ref="A108:C109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6"/>
        <item h="1" x="0"/>
        <item h="1" x="3"/>
        <item x="4"/>
        <item h="1" x="7"/>
        <item h="1" x="2"/>
        <item h="1" x="5"/>
        <item h="1" x="10"/>
        <item h="1" x="1"/>
        <item h="1" x="8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73">
      <pivotArea collapsedLevelsAreSubtotals="1" fieldPosition="0">
        <references count="1">
          <reference field="1" count="1">
            <x v="0"/>
          </reference>
        </references>
      </pivotArea>
    </format>
    <format dxfId="472">
      <pivotArea collapsedLevelsAreSubtotals="1" fieldPosition="0">
        <references count="1">
          <reference field="1" count="1">
            <x v="1"/>
          </reference>
        </references>
      </pivotArea>
    </format>
    <format dxfId="471">
      <pivotArea collapsedLevelsAreSubtotals="1" fieldPosition="0">
        <references count="1">
          <reference field="1" count="1">
            <x v="2"/>
          </reference>
        </references>
      </pivotArea>
    </format>
    <format dxfId="470">
      <pivotArea collapsedLevelsAreSubtotals="1" fieldPosition="0">
        <references count="1">
          <reference field="1" count="1">
            <x v="3"/>
          </reference>
        </references>
      </pivotArea>
    </format>
    <format dxfId="469">
      <pivotArea collapsedLevelsAreSubtotals="1" fieldPosition="0">
        <references count="1">
          <reference field="1" count="1">
            <x v="4"/>
          </reference>
        </references>
      </pivotArea>
    </format>
    <format dxfId="468">
      <pivotArea collapsedLevelsAreSubtotals="1" fieldPosition="0">
        <references count="1">
          <reference field="1" count="1">
            <x v="5"/>
          </reference>
        </references>
      </pivotArea>
    </format>
    <format dxfId="467">
      <pivotArea collapsedLevelsAreSubtotals="1" fieldPosition="0">
        <references count="1">
          <reference field="1" count="1">
            <x v="8"/>
          </reference>
        </references>
      </pivotArea>
    </format>
    <format dxfId="466">
      <pivotArea collapsedLevelsAreSubtotals="1" fieldPosition="0">
        <references count="1">
          <reference field="1" count="1">
            <x v="0"/>
          </reference>
        </references>
      </pivotArea>
    </format>
    <format dxfId="465">
      <pivotArea collapsedLevelsAreSubtotals="1" fieldPosition="0">
        <references count="1">
          <reference field="1" count="1">
            <x v="1"/>
          </reference>
        </references>
      </pivotArea>
    </format>
    <format dxfId="464">
      <pivotArea collapsedLevelsAreSubtotals="1" fieldPosition="0">
        <references count="1">
          <reference field="1" count="1">
            <x v="2"/>
          </reference>
        </references>
      </pivotArea>
    </format>
    <format dxfId="463">
      <pivotArea collapsedLevelsAreSubtotals="1" fieldPosition="0">
        <references count="1">
          <reference field="1" count="1">
            <x v="3"/>
          </reference>
        </references>
      </pivotArea>
    </format>
    <format dxfId="462">
      <pivotArea collapsedLevelsAreSubtotals="1" fieldPosition="0">
        <references count="1">
          <reference field="1" count="1">
            <x v="4"/>
          </reference>
        </references>
      </pivotArea>
    </format>
    <format dxfId="461">
      <pivotArea collapsedLevelsAreSubtotals="1" fieldPosition="0">
        <references count="1">
          <reference field="1" count="1">
            <x v="5"/>
          </reference>
        </references>
      </pivotArea>
    </format>
    <format dxfId="460">
      <pivotArea collapsedLevelsAreSubtotals="1" fieldPosition="0">
        <references count="1">
          <reference field="1" count="1">
            <x v="8"/>
          </reference>
        </references>
      </pivotArea>
    </format>
    <format dxfId="4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0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215:C222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h="1" x="12"/>
        <item h="1" x="1"/>
        <item h="1" x="4"/>
        <item h="1" x="2"/>
        <item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8"/>
        <item x="10"/>
        <item h="1" x="6"/>
        <item h="1" x="5"/>
        <item h="1" x="0"/>
        <item h="1" x="3"/>
        <item h="1" x="4"/>
        <item h="1" x="7"/>
        <item x="1"/>
        <item h="1" x="2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7">
    <i>
      <x v="8"/>
    </i>
    <i>
      <x v="11"/>
    </i>
    <i>
      <x v="12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88">
      <pivotArea collapsedLevelsAreSubtotals="1" fieldPosition="0">
        <references count="1">
          <reference field="1" count="1">
            <x v="0"/>
          </reference>
        </references>
      </pivotArea>
    </format>
    <format dxfId="487">
      <pivotArea collapsedLevelsAreSubtotals="1" fieldPosition="0">
        <references count="1">
          <reference field="1" count="1">
            <x v="1"/>
          </reference>
        </references>
      </pivotArea>
    </format>
    <format dxfId="486">
      <pivotArea collapsedLevelsAreSubtotals="1" fieldPosition="0">
        <references count="1">
          <reference field="1" count="1">
            <x v="2"/>
          </reference>
        </references>
      </pivotArea>
    </format>
    <format dxfId="485">
      <pivotArea collapsedLevelsAreSubtotals="1" fieldPosition="0">
        <references count="1">
          <reference field="1" count="1">
            <x v="3"/>
          </reference>
        </references>
      </pivotArea>
    </format>
    <format dxfId="484">
      <pivotArea collapsedLevelsAreSubtotals="1" fieldPosition="0">
        <references count="1">
          <reference field="1" count="1">
            <x v="4"/>
          </reference>
        </references>
      </pivotArea>
    </format>
    <format dxfId="483">
      <pivotArea collapsedLevelsAreSubtotals="1" fieldPosition="0">
        <references count="1">
          <reference field="1" count="1">
            <x v="5"/>
          </reference>
        </references>
      </pivotArea>
    </format>
    <format dxfId="482">
      <pivotArea collapsedLevelsAreSubtotals="1" fieldPosition="0">
        <references count="1">
          <reference field="1" count="1">
            <x v="8"/>
          </reference>
        </references>
      </pivotArea>
    </format>
    <format dxfId="481">
      <pivotArea collapsedLevelsAreSubtotals="1" fieldPosition="0">
        <references count="1">
          <reference field="1" count="1">
            <x v="0"/>
          </reference>
        </references>
      </pivotArea>
    </format>
    <format dxfId="480">
      <pivotArea collapsedLevelsAreSubtotals="1" fieldPosition="0">
        <references count="1">
          <reference field="1" count="1">
            <x v="1"/>
          </reference>
        </references>
      </pivotArea>
    </format>
    <format dxfId="479">
      <pivotArea collapsedLevelsAreSubtotals="1" fieldPosition="0">
        <references count="1">
          <reference field="1" count="1">
            <x v="2"/>
          </reference>
        </references>
      </pivotArea>
    </format>
    <format dxfId="478">
      <pivotArea collapsedLevelsAreSubtotals="1" fieldPosition="0">
        <references count="1">
          <reference field="1" count="1">
            <x v="3"/>
          </reference>
        </references>
      </pivotArea>
    </format>
    <format dxfId="477">
      <pivotArea collapsedLevelsAreSubtotals="1" fieldPosition="0">
        <references count="1">
          <reference field="1" count="1">
            <x v="4"/>
          </reference>
        </references>
      </pivotArea>
    </format>
    <format dxfId="476">
      <pivotArea collapsedLevelsAreSubtotals="1" fieldPosition="0">
        <references count="1">
          <reference field="1" count="1">
            <x v="5"/>
          </reference>
        </references>
      </pivotArea>
    </format>
    <format dxfId="475">
      <pivotArea collapsedLevelsAreSubtotals="1" fieldPosition="0">
        <references count="1">
          <reference field="1" count="1">
            <x v="8"/>
          </reference>
        </references>
      </pivotArea>
    </format>
    <format dxfId="4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4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5:C14" firstHeaderRow="0" firstDataRow="1" firstDataCol="1" rowPageCount="2" colPageCount="1"/>
  <pivotFields count="14">
    <pivotField axis="axisRow" showAll="0" sortType="ascending">
      <items count="28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t="default"/>
      </items>
    </pivotField>
    <pivotField axis="axisPage" multipleItemSelectionAllowed="1" showAll="0">
      <items count="15">
        <item x="7"/>
        <item h="1" x="6"/>
        <item h="1" x="5"/>
        <item h="1"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8"/>
        <item h="1" x="10"/>
        <item x="6"/>
        <item h="1" x="5"/>
        <item h="1" x="0"/>
        <item h="1" x="3"/>
        <item h="1" x="4"/>
        <item h="1" x="7"/>
        <item h="1" x="1"/>
        <item h="1" x="2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9">
    <i>
      <x v="1"/>
    </i>
    <i>
      <x v="4"/>
    </i>
    <i>
      <x v="8"/>
    </i>
    <i>
      <x v="12"/>
    </i>
    <i>
      <x v="13"/>
    </i>
    <i>
      <x v="20"/>
    </i>
    <i>
      <x v="21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503">
      <pivotArea collapsedLevelsAreSubtotals="1" fieldPosition="0">
        <references count="1">
          <reference field="1" count="1">
            <x v="0"/>
          </reference>
        </references>
      </pivotArea>
    </format>
    <format dxfId="502">
      <pivotArea collapsedLevelsAreSubtotals="1" fieldPosition="0">
        <references count="1">
          <reference field="1" count="1">
            <x v="1"/>
          </reference>
        </references>
      </pivotArea>
    </format>
    <format dxfId="501">
      <pivotArea collapsedLevelsAreSubtotals="1" fieldPosition="0">
        <references count="1">
          <reference field="1" count="1">
            <x v="2"/>
          </reference>
        </references>
      </pivotArea>
    </format>
    <format dxfId="500">
      <pivotArea collapsedLevelsAreSubtotals="1" fieldPosition="0">
        <references count="1">
          <reference field="1" count="1">
            <x v="3"/>
          </reference>
        </references>
      </pivotArea>
    </format>
    <format dxfId="499">
      <pivotArea collapsedLevelsAreSubtotals="1" fieldPosition="0">
        <references count="1">
          <reference field="1" count="1">
            <x v="4"/>
          </reference>
        </references>
      </pivotArea>
    </format>
    <format dxfId="498">
      <pivotArea collapsedLevelsAreSubtotals="1" fieldPosition="0">
        <references count="1">
          <reference field="1" count="1">
            <x v="5"/>
          </reference>
        </references>
      </pivotArea>
    </format>
    <format dxfId="497">
      <pivotArea collapsedLevelsAreSubtotals="1" fieldPosition="0">
        <references count="1">
          <reference field="1" count="1">
            <x v="8"/>
          </reference>
        </references>
      </pivotArea>
    </format>
    <format dxfId="496">
      <pivotArea collapsedLevelsAreSubtotals="1" fieldPosition="0">
        <references count="1">
          <reference field="1" count="1">
            <x v="0"/>
          </reference>
        </references>
      </pivotArea>
    </format>
    <format dxfId="495">
      <pivotArea collapsedLevelsAreSubtotals="1" fieldPosition="0">
        <references count="1">
          <reference field="1" count="1">
            <x v="1"/>
          </reference>
        </references>
      </pivotArea>
    </format>
    <format dxfId="494">
      <pivotArea collapsedLevelsAreSubtotals="1" fieldPosition="0">
        <references count="1">
          <reference field="1" count="1">
            <x v="2"/>
          </reference>
        </references>
      </pivotArea>
    </format>
    <format dxfId="493">
      <pivotArea collapsedLevelsAreSubtotals="1" fieldPosition="0">
        <references count="1">
          <reference field="1" count="1">
            <x v="3"/>
          </reference>
        </references>
      </pivotArea>
    </format>
    <format dxfId="492">
      <pivotArea collapsedLevelsAreSubtotals="1" fieldPosition="0">
        <references count="1">
          <reference field="1" count="1">
            <x v="4"/>
          </reference>
        </references>
      </pivotArea>
    </format>
    <format dxfId="491">
      <pivotArea collapsedLevelsAreSubtotals="1" fieldPosition="0">
        <references count="1">
          <reference field="1" count="1">
            <x v="5"/>
          </reference>
        </references>
      </pivotArea>
    </format>
    <format dxfId="490">
      <pivotArea collapsedLevelsAreSubtotals="1" fieldPosition="0">
        <references count="1">
          <reference field="1" count="1">
            <x v="8"/>
          </reference>
        </references>
      </pivotArea>
    </format>
    <format dxfId="4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4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3:M119" firstHeaderRow="0" firstDataRow="1" firstDataCol="1"/>
  <pivotFields count="14">
    <pivotField showAll="0"/>
    <pivotField axis="axisRow" showAll="0">
      <items count="15">
        <item x="7"/>
        <item x="6"/>
        <item x="5"/>
        <item x="3"/>
        <item x="12"/>
        <item x="1"/>
        <item x="4"/>
        <item x="2"/>
        <item x="0"/>
        <item x="10"/>
        <item x="11"/>
        <item x="8"/>
        <item x="9"/>
        <item m="1" x="13"/>
        <item t="default"/>
      </items>
    </pivotField>
    <pivotField showAll="0"/>
    <pivotField showAll="0"/>
    <pivotField axis="axisRow" showAll="0">
      <items count="24">
        <item x="10"/>
        <item x="5"/>
        <item x="7"/>
        <item x="0"/>
        <item x="13"/>
        <item x="4"/>
        <item x="9"/>
        <item x="6"/>
        <item x="17"/>
        <item x="12"/>
        <item x="3"/>
        <item x="8"/>
        <item m="1" x="22"/>
        <item x="2"/>
        <item x="1"/>
        <item x="15"/>
        <item x="16"/>
        <item x="14"/>
        <item x="11"/>
        <item x="18"/>
        <item m="1" x="21"/>
        <item x="19"/>
        <item x="20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  <pivotField dataField="1" showAll="0" defaultSubtotal="0"/>
    <pivotField dataField="1" showAll="0"/>
    <pivotField showAll="0"/>
    <pivotField showAll="0"/>
  </pivotFields>
  <rowFields count="2">
    <field x="4"/>
    <field x="1"/>
  </rowFields>
  <rowItems count="116">
    <i>
      <x/>
    </i>
    <i r="1">
      <x v="3"/>
    </i>
    <i r="1">
      <x v="5"/>
    </i>
    <i r="1">
      <x v="6"/>
    </i>
    <i r="1">
      <x v="7"/>
    </i>
    <i r="1">
      <x v="11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2"/>
    </i>
    <i r="1">
      <x v="1"/>
    </i>
    <i r="1">
      <x v="3"/>
    </i>
    <i r="1">
      <x v="5"/>
    </i>
    <i r="1">
      <x v="6"/>
    </i>
    <i r="1">
      <x v="7"/>
    </i>
    <i r="1">
      <x v="8"/>
    </i>
    <i>
      <x v="3"/>
    </i>
    <i r="1">
      <x v="2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5"/>
    </i>
    <i r="1">
      <x v="7"/>
    </i>
    <i>
      <x v="5"/>
    </i>
    <i r="1">
      <x v="1"/>
    </i>
    <i r="1">
      <x v="2"/>
    </i>
    <i r="1">
      <x v="3"/>
    </i>
    <i r="1">
      <x v="5"/>
    </i>
    <i r="1">
      <x v="7"/>
    </i>
    <i r="1">
      <x v="10"/>
    </i>
    <i>
      <x v="6"/>
    </i>
    <i r="1">
      <x v="1"/>
    </i>
    <i r="1">
      <x v="2"/>
    </i>
    <i r="1">
      <x v="5"/>
    </i>
    <i r="1">
      <x v="7"/>
    </i>
    <i r="1">
      <x v="9"/>
    </i>
    <i>
      <x v="7"/>
    </i>
    <i r="1">
      <x v="2"/>
    </i>
    <i r="1">
      <x v="3"/>
    </i>
    <i r="1">
      <x v="5"/>
    </i>
    <i r="1">
      <x v="6"/>
    </i>
    <i r="1">
      <x v="7"/>
    </i>
    <i>
      <x v="8"/>
    </i>
    <i r="1">
      <x v="2"/>
    </i>
    <i r="1">
      <x v="3"/>
    </i>
    <i r="1">
      <x v="5"/>
    </i>
    <i r="1">
      <x v="6"/>
    </i>
    <i r="1">
      <x v="7"/>
    </i>
    <i r="1">
      <x v="11"/>
    </i>
    <i>
      <x v="9"/>
    </i>
    <i r="1">
      <x v="1"/>
    </i>
    <i r="1">
      <x v="4"/>
    </i>
    <i r="1">
      <x v="5"/>
    </i>
    <i r="1">
      <x v="6"/>
    </i>
    <i r="1">
      <x v="7"/>
    </i>
    <i r="1">
      <x v="11"/>
    </i>
    <i>
      <x v="10"/>
    </i>
    <i r="1">
      <x v="2"/>
    </i>
    <i r="1">
      <x v="6"/>
    </i>
    <i>
      <x v="11"/>
    </i>
    <i r="1">
      <x v="1"/>
    </i>
    <i r="1">
      <x v="5"/>
    </i>
    <i r="1">
      <x v="7"/>
    </i>
    <i r="1">
      <x v="8"/>
    </i>
    <i>
      <x v="13"/>
    </i>
    <i r="1">
      <x v="2"/>
    </i>
    <i r="1">
      <x v="3"/>
    </i>
    <i r="1">
      <x v="6"/>
    </i>
    <i r="1">
      <x v="7"/>
    </i>
    <i>
      <x v="14"/>
    </i>
    <i r="1">
      <x v="5"/>
    </i>
    <i r="1">
      <x v="7"/>
    </i>
    <i r="1">
      <x v="11"/>
    </i>
    <i>
      <x v="15"/>
    </i>
    <i r="1">
      <x v="5"/>
    </i>
    <i r="1">
      <x v="6"/>
    </i>
    <i r="1">
      <x v="7"/>
    </i>
    <i r="1">
      <x v="12"/>
    </i>
    <i>
      <x v="16"/>
    </i>
    <i r="1">
      <x v="4"/>
    </i>
    <i r="1">
      <x v="5"/>
    </i>
    <i r="1">
      <x v="6"/>
    </i>
    <i r="1">
      <x v="7"/>
    </i>
    <i r="1">
      <x v="12"/>
    </i>
    <i>
      <x v="17"/>
    </i>
    <i r="1">
      <x v="5"/>
    </i>
    <i r="1">
      <x v="6"/>
    </i>
    <i r="1">
      <x v="7"/>
    </i>
    <i r="1">
      <x v="9"/>
    </i>
    <i>
      <x v="18"/>
    </i>
    <i r="1">
      <x v="1"/>
    </i>
    <i r="1">
      <x v="3"/>
    </i>
    <i r="1">
      <x v="5"/>
    </i>
    <i r="1">
      <x v="6"/>
    </i>
    <i r="1">
      <x v="7"/>
    </i>
    <i r="1">
      <x v="11"/>
    </i>
    <i>
      <x v="19"/>
    </i>
    <i r="1">
      <x v="7"/>
    </i>
    <i r="1">
      <x v="11"/>
    </i>
    <i>
      <x v="21"/>
    </i>
    <i r="1">
      <x v="4"/>
    </i>
    <i r="1">
      <x v="11"/>
    </i>
    <i>
      <x v="22"/>
    </i>
    <i r="1">
      <x v="7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gxpersona" fld="6" baseField="4" baseItem="0" numFmtId="1"/>
    <dataField name="Suma de hh/trabajadas" fld="11" baseField="4" baseItem="0"/>
    <dataField name="Suma de tarifario total" fld="10" baseField="0" baseItem="0" numFmtId="44"/>
  </dataFields>
  <formats count="3">
    <format dxfId="3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3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>
  <location ref="T3:V11" firstHeaderRow="0" firstDataRow="1" firstDataCol="1"/>
  <pivotFields count="14">
    <pivotField showAll="0"/>
    <pivotField axis="axisRow" showAll="0">
      <items count="15">
        <item x="7"/>
        <item x="6"/>
        <item x="5"/>
        <item x="3"/>
        <item x="12"/>
        <item x="1"/>
        <item h="1" x="4"/>
        <item h="1" x="2"/>
        <item x="0"/>
        <item h="1" x="10"/>
        <item h="1" x="11"/>
        <item h="1" x="8"/>
        <item h="1" x="9"/>
        <item h="1" m="1" x="13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kg x hora" fld="7" subtotal="average" baseField="2" baseItem="2"/>
    <dataField name="Promedio de META" fld="8" subtotal="average" baseField="5" baseItem="2"/>
  </dataFields>
  <formats count="2">
    <format dxfId="315">
      <pivotArea collapsedLevelsAreSubtotals="1" fieldPosition="0">
        <references count="1">
          <reference field="1" count="0"/>
        </references>
      </pivotArea>
    </format>
    <format dxfId="314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P2:Q16" firstHeaderRow="1" firstDataRow="1" firstDataCol="1"/>
  <pivotFields count="14">
    <pivotField showAll="0"/>
    <pivotField axis="axisRow" showAll="0">
      <items count="15">
        <item x="7"/>
        <item x="6"/>
        <item x="5"/>
        <item x="3"/>
        <item x="12"/>
        <item x="1"/>
        <item x="4"/>
        <item x="2"/>
        <item x="0"/>
        <item x="10"/>
        <item x="11"/>
        <item x="8"/>
        <item x="9"/>
        <item m="1" x="1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arifario total" fld="10" baseField="0" baseItem="0" numFmtId="44"/>
  </dataFields>
  <formats count="1">
    <format dxfId="3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5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NOMBRES">
  <location ref="Y3:Z23" firstHeaderRow="1" firstDataRow="1" firstDataCol="1"/>
  <pivotFields count="14">
    <pivotField showAll="0"/>
    <pivotField showAll="0"/>
    <pivotField showAll="0"/>
    <pivotField showAll="0"/>
    <pivotField axis="axisRow" showAll="0">
      <items count="24">
        <item x="10"/>
        <item x="5"/>
        <item h="1" x="19"/>
        <item h="1" x="20"/>
        <item x="7"/>
        <item x="0"/>
        <item x="13"/>
        <item x="4"/>
        <item x="9"/>
        <item x="16"/>
        <item x="6"/>
        <item x="18"/>
        <item x="17"/>
        <item x="12"/>
        <item x="3"/>
        <item x="8"/>
        <item m="1" x="22"/>
        <item x="2"/>
        <item x="1"/>
        <item x="15"/>
        <item x="14"/>
        <item x="11"/>
        <item h="1" m="1" x="21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  <pivotField showAll="0"/>
  </pivotFields>
  <rowFields count="1">
    <field x="4"/>
  </rowFields>
  <rowItems count="2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tarifario total" fld="10" baseField="0" baseItem="0" numFmtId="44"/>
  </dataFields>
  <formats count="1">
    <format dxfId="3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2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423" firstHeaderRow="0" firstDataRow="1" firstDataCol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showAll="0"/>
    <pivotField showAll="0"/>
    <pivotField showAll="0"/>
    <pivotField axis="axisRow" showAll="0">
      <items count="24">
        <item x="10"/>
        <item x="5"/>
        <item x="7"/>
        <item x="0"/>
        <item x="13"/>
        <item x="4"/>
        <item x="9"/>
        <item x="6"/>
        <item x="17"/>
        <item x="12"/>
        <item x="3"/>
        <item x="8"/>
        <item m="1" x="22"/>
        <item x="2"/>
        <item x="1"/>
        <item x="15"/>
        <item x="16"/>
        <item x="14"/>
        <item x="11"/>
        <item x="18"/>
        <item m="1" x="21"/>
        <item x="19"/>
        <item x="20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  <pivotField dataField="1" showAll="0" defaultSubtotal="0"/>
    <pivotField dataField="1" showAll="0"/>
    <pivotField showAll="0"/>
    <pivotField showAll="0"/>
  </pivotFields>
  <rowFields count="2">
    <field x="4"/>
    <field x="0"/>
  </rowFields>
  <rowItems count="420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 r="1">
      <x v="20"/>
    </i>
    <i r="1">
      <x v="21"/>
    </i>
    <i r="1">
      <x v="22"/>
    </i>
    <i r="1">
      <x v="23"/>
    </i>
    <i r="1">
      <x v="25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6"/>
    </i>
    <i>
      <x v="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5"/>
    </i>
    <i r="1">
      <x v="26"/>
    </i>
    <i>
      <x v="4"/>
    </i>
    <i r="1">
      <x/>
    </i>
    <i r="1">
      <x v="1"/>
    </i>
    <i r="1">
      <x v="2"/>
    </i>
    <i r="1">
      <x v="3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8"/>
    </i>
    <i r="1">
      <x/>
    </i>
    <i r="1">
      <x v="1"/>
    </i>
    <i r="1">
      <x v="4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8"/>
    </i>
    <i r="1">
      <x v="19"/>
    </i>
    <i r="1">
      <x v="20"/>
    </i>
    <i r="1">
      <x v="21"/>
    </i>
    <i r="1">
      <x v="23"/>
    </i>
    <i r="1">
      <x v="25"/>
    </i>
    <i r="1">
      <x v="26"/>
    </i>
    <i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>
      <x v="11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6"/>
    </i>
    <i>
      <x v="1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1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1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17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>
      <x v="1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>
      <x v="1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5"/>
    </i>
    <i>
      <x v="21"/>
    </i>
    <i r="1">
      <x v="2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gxpersona" fld="6" baseField="4" baseItem="0"/>
    <dataField name="Suma de hh/trabajadas" fld="11" baseField="4" baseItem="0"/>
    <dataField name="Suma de tarifario total" fld="10" baseField="0" baseItem="0" numFmtId="44"/>
  </dataFields>
  <formats count="5">
    <format dxfId="3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1"/>
          </reference>
          <reference field="0" count="1">
            <x v="17"/>
          </reference>
          <reference field="4" count="1" selected="0">
            <x v="8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1"/>
          </reference>
          <reference field="0" count="1">
            <x v="13"/>
          </reference>
          <reference field="4" count="1" selected="0">
            <x v="16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1"/>
          </reference>
          <reference field="0" count="1">
            <x v="21"/>
          </reference>
          <reference field="4" count="1" selected="0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1" cacheId="433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>
  <location ref="A3:G23" firstHeaderRow="1" firstDataRow="3" firstDataCol="1"/>
  <pivotFields count="18">
    <pivotField axis="axisCol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showAll="0" defaultSubtotal="0"/>
    <pivotField showAll="0"/>
    <pivotField showAll="0"/>
    <pivotField showAll="0"/>
    <pivotField axis="axisRow" showAll="0">
      <items count="22">
        <item x="15"/>
        <item x="2"/>
        <item x="4"/>
        <item x="8"/>
        <item x="9"/>
        <item x="14"/>
        <item x="0"/>
        <item x="3"/>
        <item x="6"/>
        <item x="11"/>
        <item x="5"/>
        <item x="1"/>
        <item x="10"/>
        <item x="7"/>
        <item x="12"/>
        <item x="13"/>
        <item x="19"/>
        <item x="16"/>
        <item x="17"/>
        <item x="18"/>
        <item m="1" x="20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dataField="1" showAll="0"/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x="11"/>
        <item h="1" sd="0" x="12"/>
        <item h="1" sd="0" x="13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 t="grand">
      <x/>
    </i>
  </rowItems>
  <colFields count="2">
    <field x="17"/>
    <field x="0"/>
  </colFields>
  <colItems count="6">
    <i>
      <x v="11"/>
      <x v="319"/>
    </i>
    <i r="1">
      <x v="322"/>
    </i>
    <i r="1">
      <x v="323"/>
    </i>
    <i r="1">
      <x v="324"/>
    </i>
    <i t="default">
      <x v="11"/>
    </i>
    <i t="grand">
      <x/>
    </i>
  </colItems>
  <dataFields count="1">
    <dataField name="Suma de HORAS TOTALES TRABAJADA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laDinámica2" cacheId="434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>
  <location ref="A3:F72" firstHeaderRow="1" firstDataRow="3" firstDataCol="1"/>
  <pivotFields count="17">
    <pivotField axis="axisCol"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numFmtId="1" showAll="0"/>
    <pivotField showAll="0"/>
    <pivotField axis="axisRow" showAll="0">
      <items count="7">
        <item x="3"/>
        <item x="1"/>
        <item x="0"/>
        <item x="4"/>
        <item x="2"/>
        <item x="5"/>
        <item t="default"/>
      </items>
    </pivotField>
    <pivotField axis="axisRow" showAll="0">
      <items count="13">
        <item x="7"/>
        <item x="8"/>
        <item x="10"/>
        <item x="0"/>
        <item x="4"/>
        <item x="6"/>
        <item x="3"/>
        <item x="5"/>
        <item x="9"/>
        <item x="1"/>
        <item x="2"/>
        <item x="11"/>
        <item t="default"/>
      </items>
    </pivotField>
    <pivotField axis="axisRow" showAll="0">
      <items count="14">
        <item x="12"/>
        <item x="8"/>
        <item x="7"/>
        <item x="1"/>
        <item x="10"/>
        <item x="5"/>
        <item x="3"/>
        <item x="6"/>
        <item x="11"/>
        <item x="4"/>
        <item x="2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x="11"/>
        <item h="1" sd="0" x="12"/>
        <item h="1" sd="0" x="13"/>
        <item t="default"/>
      </items>
    </pivotField>
  </pivotFields>
  <rowFields count="3">
    <field x="3"/>
    <field x="4"/>
    <field x="5"/>
  </rowFields>
  <rowItems count="67">
    <i>
      <x/>
    </i>
    <i r="1">
      <x v="2"/>
    </i>
    <i r="2">
      <x v="4"/>
    </i>
    <i>
      <x v="1"/>
    </i>
    <i r="1">
      <x v="4"/>
    </i>
    <i r="2">
      <x v="6"/>
    </i>
    <i r="2">
      <x v="12"/>
    </i>
    <i r="1">
      <x v="5"/>
    </i>
    <i r="2">
      <x v="1"/>
    </i>
    <i r="2">
      <x v="2"/>
    </i>
    <i r="2">
      <x v="5"/>
    </i>
    <i r="2">
      <x v="7"/>
    </i>
    <i r="1">
      <x v="7"/>
    </i>
    <i r="2">
      <x v="1"/>
    </i>
    <i r="2">
      <x v="2"/>
    </i>
    <i r="2">
      <x v="5"/>
    </i>
    <i r="2">
      <x v="7"/>
    </i>
    <i r="2">
      <x v="11"/>
    </i>
    <i r="1">
      <x v="9"/>
    </i>
    <i r="2">
      <x v="3"/>
    </i>
    <i>
      <x v="2"/>
    </i>
    <i r="1">
      <x v="1"/>
    </i>
    <i r="2">
      <x v="3"/>
    </i>
    <i r="1">
      <x v="3"/>
    </i>
    <i r="2">
      <x v="12"/>
    </i>
    <i r="1">
      <x v="4"/>
    </i>
    <i r="2">
      <x v="6"/>
    </i>
    <i r="2">
      <x v="12"/>
    </i>
    <i r="1">
      <x v="6"/>
    </i>
    <i r="2">
      <x/>
    </i>
    <i r="2">
      <x v="3"/>
    </i>
    <i r="2">
      <x v="10"/>
    </i>
    <i r="1">
      <x v="7"/>
    </i>
    <i r="2">
      <x v="8"/>
    </i>
    <i r="2">
      <x v="9"/>
    </i>
    <i r="1">
      <x v="9"/>
    </i>
    <i r="2">
      <x v="3"/>
    </i>
    <i r="2">
      <x v="5"/>
    </i>
    <i r="1">
      <x v="10"/>
    </i>
    <i r="2">
      <x v="10"/>
    </i>
    <i r="1">
      <x v="11"/>
    </i>
    <i r="2">
      <x v="3"/>
    </i>
    <i>
      <x v="3"/>
    </i>
    <i r="1">
      <x v="1"/>
    </i>
    <i r="2">
      <x v="5"/>
    </i>
    <i r="1">
      <x v="9"/>
    </i>
    <i r="2">
      <x v="3"/>
    </i>
    <i>
      <x v="4"/>
    </i>
    <i r="1">
      <x v="5"/>
    </i>
    <i r="2">
      <x v="1"/>
    </i>
    <i r="2">
      <x v="2"/>
    </i>
    <i r="2">
      <x v="5"/>
    </i>
    <i r="2">
      <x v="7"/>
    </i>
    <i r="1">
      <x v="7"/>
    </i>
    <i r="2">
      <x v="1"/>
    </i>
    <i r="2">
      <x v="2"/>
    </i>
    <i r="2">
      <x v="5"/>
    </i>
    <i r="2">
      <x v="7"/>
    </i>
    <i r="2">
      <x v="11"/>
    </i>
    <i r="1">
      <x v="8"/>
    </i>
    <i r="2">
      <x v="7"/>
    </i>
    <i r="1">
      <x v="10"/>
    </i>
    <i r="2">
      <x v="10"/>
    </i>
    <i>
      <x v="5"/>
    </i>
    <i r="1">
      <x v="10"/>
    </i>
    <i r="2">
      <x v="10"/>
    </i>
    <i t="grand">
      <x/>
    </i>
  </rowItems>
  <colFields count="2">
    <field x="16"/>
    <field x="0"/>
  </colFields>
  <colItems count="5">
    <i>
      <x v="11"/>
      <x v="352"/>
    </i>
    <i r="1">
      <x v="353"/>
    </i>
    <i r="1">
      <x v="354"/>
    </i>
    <i t="default">
      <x v="11"/>
    </i>
    <i t="grand">
      <x/>
    </i>
  </colItems>
  <dataFields count="1">
    <dataField name="Suma de PRODUCCION TOTAL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54:C78" firstHeaderRow="0" firstDataRow="1" firstDataCol="1" rowPageCount="1" colPageCount="1"/>
  <pivotFields count="14">
    <pivotField axis="axisRow" showAll="0" sortType="ascending">
      <items count="28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t="default"/>
      </items>
    </pivotField>
    <pivotField axis="axisPage" multipleItemSelectionAllowed="1" showAll="0">
      <items count="15">
        <item h="1" x="7"/>
        <item h="1" x="6"/>
        <item x="5"/>
        <item h="1"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24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kg x hora" fld="7" subtotal="average" baseField="0" baseItem="2" numFmtId="3"/>
    <dataField name="Promedio de META" fld="8" subtotal="average" baseField="0" baseItem="2"/>
  </dataFields>
  <formats count="16">
    <format dxfId="353">
      <pivotArea collapsedLevelsAreSubtotals="1" fieldPosition="0">
        <references count="1">
          <reference field="1" count="1">
            <x v="0"/>
          </reference>
        </references>
      </pivotArea>
    </format>
    <format dxfId="352">
      <pivotArea collapsedLevelsAreSubtotals="1" fieldPosition="0">
        <references count="1">
          <reference field="1" count="1">
            <x v="1"/>
          </reference>
        </references>
      </pivotArea>
    </format>
    <format dxfId="351">
      <pivotArea collapsedLevelsAreSubtotals="1" fieldPosition="0">
        <references count="1">
          <reference field="1" count="1">
            <x v="2"/>
          </reference>
        </references>
      </pivotArea>
    </format>
    <format dxfId="350">
      <pivotArea collapsedLevelsAreSubtotals="1" fieldPosition="0">
        <references count="1">
          <reference field="1" count="1">
            <x v="3"/>
          </reference>
        </references>
      </pivotArea>
    </format>
    <format dxfId="349">
      <pivotArea collapsedLevelsAreSubtotals="1" fieldPosition="0">
        <references count="1">
          <reference field="1" count="1">
            <x v="4"/>
          </reference>
        </references>
      </pivotArea>
    </format>
    <format dxfId="348">
      <pivotArea collapsedLevelsAreSubtotals="1" fieldPosition="0">
        <references count="1">
          <reference field="1" count="1">
            <x v="5"/>
          </reference>
        </references>
      </pivotArea>
    </format>
    <format dxfId="347">
      <pivotArea collapsedLevelsAreSubtotals="1" fieldPosition="0">
        <references count="1">
          <reference field="1" count="1">
            <x v="8"/>
          </reference>
        </references>
      </pivotArea>
    </format>
    <format dxfId="346">
      <pivotArea collapsedLevelsAreSubtotals="1" fieldPosition="0">
        <references count="1">
          <reference field="1" count="1">
            <x v="0"/>
          </reference>
        </references>
      </pivotArea>
    </format>
    <format dxfId="345">
      <pivotArea collapsedLevelsAreSubtotals="1" fieldPosition="0">
        <references count="1">
          <reference field="1" count="1">
            <x v="1"/>
          </reference>
        </references>
      </pivotArea>
    </format>
    <format dxfId="344">
      <pivotArea collapsedLevelsAreSubtotals="1" fieldPosition="0">
        <references count="1">
          <reference field="1" count="1">
            <x v="2"/>
          </reference>
        </references>
      </pivotArea>
    </format>
    <format dxfId="343">
      <pivotArea collapsedLevelsAreSubtotals="1" fieldPosition="0">
        <references count="1">
          <reference field="1" count="1">
            <x v="3"/>
          </reference>
        </references>
      </pivotArea>
    </format>
    <format dxfId="342">
      <pivotArea collapsedLevelsAreSubtotals="1" fieldPosition="0">
        <references count="1">
          <reference field="1" count="1">
            <x v="4"/>
          </reference>
        </references>
      </pivotArea>
    </format>
    <format dxfId="341">
      <pivotArea collapsedLevelsAreSubtotals="1" fieldPosition="0">
        <references count="1">
          <reference field="1" count="1">
            <x v="5"/>
          </reference>
        </references>
      </pivotArea>
    </format>
    <format dxfId="340">
      <pivotArea collapsedLevelsAreSubtotals="1" fieldPosition="0">
        <references count="1">
          <reference field="1" count="1">
            <x v="8"/>
          </reference>
        </references>
      </pivotArea>
    </format>
    <format dxfId="339">
      <pivotArea outline="0" fieldPosition="0">
        <references count="1">
          <reference field="4294967294" count="1">
            <x v="0"/>
          </reference>
        </references>
      </pivotArea>
    </format>
    <format dxfId="3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6" cacheId="4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9:B21" firstHeaderRow="1" firstDataRow="1" firstDataCol="1" rowPageCount="2" colPageCount="1"/>
  <pivotFields count="17">
    <pivotField axis="axisPage" multipleItemSelectionAllowed="1" showAll="0">
      <items count="19">
        <item h="1" x="4"/>
        <item h="1" x="6"/>
        <item h="1" x="7"/>
        <item h="1" x="9"/>
        <item h="1" x="8"/>
        <item h="1" x="10"/>
        <item h="1" x="1"/>
        <item h="1" x="11"/>
        <item x="5"/>
        <item x="0"/>
        <item x="2"/>
        <item x="3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16">
        <item h="1" x="4"/>
        <item h="1" x="11"/>
        <item h="1" x="3"/>
        <item h="1" x="1"/>
        <item h="1" x="0"/>
        <item h="1" x="9"/>
        <item x="6"/>
        <item h="1" x="5"/>
        <item h="1" x="8"/>
        <item h="1" x="12"/>
        <item h="1" x="10"/>
        <item h="1" x="13"/>
        <item h="1" x="14"/>
        <item h="1" x="2"/>
        <item h="1" x="7"/>
        <item t="default"/>
      </items>
    </pivotField>
    <pivotField axis="axisRow" showAll="0">
      <items count="12">
        <item x="8"/>
        <item x="3"/>
        <item x="7"/>
        <item x="4"/>
        <item x="1"/>
        <item x="2"/>
        <item x="6"/>
        <item x="10"/>
        <item x="0"/>
        <item x="9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6"/>
    </i>
    <i t="grand">
      <x/>
    </i>
  </rowItems>
  <colItems count="1">
    <i/>
  </colItems>
  <pageFields count="2">
    <pageField fld="0" hier="-1"/>
    <pageField fld="2" hier="-1"/>
  </pageFields>
  <dataFields count="1">
    <dataField name="Suma de kgxpersona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5" cacheId="4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3" firstHeaderRow="1" firstDataRow="1" firstDataCol="1" rowPageCount="1" colPageCount="1"/>
  <pivotFields count="17">
    <pivotField axis="axisPage" multipleItemSelectionAllowed="1" showAll="0">
      <items count="19">
        <item h="1" x="4"/>
        <item h="1" x="6"/>
        <item h="1" x="7"/>
        <item h="1" x="9"/>
        <item h="1" x="8"/>
        <item h="1" x="10"/>
        <item h="1" x="1"/>
        <item h="1" x="11"/>
        <item x="5"/>
        <item x="0"/>
        <item x="2"/>
        <item x="3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16">
        <item h="1" x="4"/>
        <item x="11"/>
        <item x="3"/>
        <item x="1"/>
        <item x="0"/>
        <item h="1" x="9"/>
        <item x="6"/>
        <item x="5"/>
        <item h="1" x="8"/>
        <item x="12"/>
        <item x="10"/>
        <item h="1" x="13"/>
        <item h="1" x="14"/>
        <item x="2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6"/>
    </i>
    <i>
      <x v="7"/>
    </i>
    <i>
      <x v="10"/>
    </i>
    <i>
      <x v="13"/>
    </i>
    <i>
      <x v="14"/>
    </i>
    <i t="grand">
      <x/>
    </i>
  </rowItems>
  <colItems count="1">
    <i/>
  </colItems>
  <pageFields count="1">
    <pageField fld="0" hier="-1"/>
  </pageFields>
  <dataFields count="1">
    <dataField name="Suma de kgxpersona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1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>
  <location ref="A232:C245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h="1" x="12"/>
        <item h="1" x="1"/>
        <item h="1" x="4"/>
        <item h="1" x="2"/>
        <item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x="8"/>
        <item x="10"/>
        <item x="6"/>
        <item x="5"/>
        <item x="0"/>
        <item x="3"/>
        <item x="4"/>
        <item x="7"/>
        <item h="1" x="1"/>
        <item x="2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368">
      <pivotArea collapsedLevelsAreSubtotals="1" fieldPosition="0">
        <references count="1">
          <reference field="1" count="1">
            <x v="0"/>
          </reference>
        </references>
      </pivotArea>
    </format>
    <format dxfId="367">
      <pivotArea collapsedLevelsAreSubtotals="1" fieldPosition="0">
        <references count="1">
          <reference field="1" count="1">
            <x v="1"/>
          </reference>
        </references>
      </pivotArea>
    </format>
    <format dxfId="366">
      <pivotArea collapsedLevelsAreSubtotals="1" fieldPosition="0">
        <references count="1">
          <reference field="1" count="1">
            <x v="2"/>
          </reference>
        </references>
      </pivotArea>
    </format>
    <format dxfId="365">
      <pivotArea collapsedLevelsAreSubtotals="1" fieldPosition="0">
        <references count="1">
          <reference field="1" count="1">
            <x v="3"/>
          </reference>
        </references>
      </pivotArea>
    </format>
    <format dxfId="364">
      <pivotArea collapsedLevelsAreSubtotals="1" fieldPosition="0">
        <references count="1">
          <reference field="1" count="1">
            <x v="4"/>
          </reference>
        </references>
      </pivotArea>
    </format>
    <format dxfId="363">
      <pivotArea collapsedLevelsAreSubtotals="1" fieldPosition="0">
        <references count="1">
          <reference field="1" count="1">
            <x v="5"/>
          </reference>
        </references>
      </pivotArea>
    </format>
    <format dxfId="362">
      <pivotArea collapsedLevelsAreSubtotals="1" fieldPosition="0">
        <references count="1">
          <reference field="1" count="1">
            <x v="8"/>
          </reference>
        </references>
      </pivotArea>
    </format>
    <format dxfId="361">
      <pivotArea collapsedLevelsAreSubtotals="1" fieldPosition="0">
        <references count="1">
          <reference field="1" count="1">
            <x v="0"/>
          </reference>
        </references>
      </pivotArea>
    </format>
    <format dxfId="360">
      <pivotArea collapsedLevelsAreSubtotals="1" fieldPosition="0">
        <references count="1">
          <reference field="1" count="1">
            <x v="1"/>
          </reference>
        </references>
      </pivotArea>
    </format>
    <format dxfId="359">
      <pivotArea collapsedLevelsAreSubtotals="1" fieldPosition="0">
        <references count="1">
          <reference field="1" count="1">
            <x v="2"/>
          </reference>
        </references>
      </pivotArea>
    </format>
    <format dxfId="358">
      <pivotArea collapsedLevelsAreSubtotals="1" fieldPosition="0">
        <references count="1">
          <reference field="1" count="1">
            <x v="3"/>
          </reference>
        </references>
      </pivotArea>
    </format>
    <format dxfId="357">
      <pivotArea collapsedLevelsAreSubtotals="1" fieldPosition="0">
        <references count="1">
          <reference field="1" count="1">
            <x v="4"/>
          </reference>
        </references>
      </pivotArea>
    </format>
    <format dxfId="356">
      <pivotArea collapsedLevelsAreSubtotals="1" fieldPosition="0">
        <references count="1">
          <reference field="1" count="1">
            <x v="5"/>
          </reference>
        </references>
      </pivotArea>
    </format>
    <format dxfId="355">
      <pivotArea collapsedLevelsAreSubtotals="1" fieldPosition="0">
        <references count="1">
          <reference field="1" count="1">
            <x v="8"/>
          </reference>
        </references>
      </pivotArea>
    </format>
    <format dxfId="3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8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134:C140" firstHeaderRow="0" firstDataRow="1" firstDataCol="1" rowPageCount="1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multipleItemSelectionAllowed="1"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6">
    <i>
      <x v="7"/>
    </i>
    <i>
      <x v="13"/>
    </i>
    <i>
      <x v="14"/>
    </i>
    <i>
      <x v="19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383">
      <pivotArea collapsedLevelsAreSubtotals="1" fieldPosition="0">
        <references count="1">
          <reference field="1" count="1">
            <x v="0"/>
          </reference>
        </references>
      </pivotArea>
    </format>
    <format dxfId="382">
      <pivotArea collapsedLevelsAreSubtotals="1" fieldPosition="0">
        <references count="1">
          <reference field="1" count="1">
            <x v="1"/>
          </reference>
        </references>
      </pivotArea>
    </format>
    <format dxfId="381">
      <pivotArea collapsedLevelsAreSubtotals="1" fieldPosition="0">
        <references count="1">
          <reference field="1" count="1">
            <x v="2"/>
          </reference>
        </references>
      </pivotArea>
    </format>
    <format dxfId="380">
      <pivotArea collapsedLevelsAreSubtotals="1" fieldPosition="0">
        <references count="1">
          <reference field="1" count="1">
            <x v="3"/>
          </reference>
        </references>
      </pivotArea>
    </format>
    <format dxfId="379">
      <pivotArea collapsedLevelsAreSubtotals="1" fieldPosition="0">
        <references count="1">
          <reference field="1" count="1">
            <x v="4"/>
          </reference>
        </references>
      </pivotArea>
    </format>
    <format dxfId="378">
      <pivotArea collapsedLevelsAreSubtotals="1" fieldPosition="0">
        <references count="1">
          <reference field="1" count="1">
            <x v="5"/>
          </reference>
        </references>
      </pivotArea>
    </format>
    <format dxfId="377">
      <pivotArea collapsedLevelsAreSubtotals="1" fieldPosition="0">
        <references count="1">
          <reference field="1" count="1">
            <x v="8"/>
          </reference>
        </references>
      </pivotArea>
    </format>
    <format dxfId="376">
      <pivotArea collapsedLevelsAreSubtotals="1" fieldPosition="0">
        <references count="1">
          <reference field="1" count="1">
            <x v="0"/>
          </reference>
        </references>
      </pivotArea>
    </format>
    <format dxfId="375">
      <pivotArea collapsedLevelsAreSubtotals="1" fieldPosition="0">
        <references count="1">
          <reference field="1" count="1">
            <x v="1"/>
          </reference>
        </references>
      </pivotArea>
    </format>
    <format dxfId="374">
      <pivotArea collapsedLevelsAreSubtotals="1" fieldPosition="0">
        <references count="1">
          <reference field="1" count="1">
            <x v="2"/>
          </reference>
        </references>
      </pivotArea>
    </format>
    <format dxfId="373">
      <pivotArea collapsedLevelsAreSubtotals="1" fieldPosition="0">
        <references count="1">
          <reference field="1" count="1">
            <x v="3"/>
          </reference>
        </references>
      </pivotArea>
    </format>
    <format dxfId="372">
      <pivotArea collapsedLevelsAreSubtotals="1" fieldPosition="0">
        <references count="1">
          <reference field="1" count="1">
            <x v="4"/>
          </reference>
        </references>
      </pivotArea>
    </format>
    <format dxfId="371">
      <pivotArea collapsedLevelsAreSubtotals="1" fieldPosition="0">
        <references count="1">
          <reference field="1" count="1">
            <x v="5"/>
          </reference>
        </references>
      </pivotArea>
    </format>
    <format dxfId="370">
      <pivotArea collapsedLevelsAreSubtotals="1" fieldPosition="0">
        <references count="1">
          <reference field="1" count="1">
            <x v="8"/>
          </reference>
        </references>
      </pivotArea>
    </format>
    <format dxfId="3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5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181:C194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h="1" x="12"/>
        <item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6"/>
        <item h="1" x="0"/>
        <item h="1" x="3"/>
        <item h="1" x="4"/>
        <item x="7"/>
        <item h="1" x="2"/>
        <item h="1" x="5"/>
        <item h="1" x="10"/>
        <item h="1" x="1"/>
        <item h="1" x="8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398">
      <pivotArea collapsedLevelsAreSubtotals="1" fieldPosition="0">
        <references count="1">
          <reference field="1" count="1">
            <x v="0"/>
          </reference>
        </references>
      </pivotArea>
    </format>
    <format dxfId="397">
      <pivotArea collapsedLevelsAreSubtotals="1" fieldPosition="0">
        <references count="1">
          <reference field="1" count="1">
            <x v="1"/>
          </reference>
        </references>
      </pivotArea>
    </format>
    <format dxfId="396">
      <pivotArea collapsedLevelsAreSubtotals="1" fieldPosition="0">
        <references count="1">
          <reference field="1" count="1">
            <x v="2"/>
          </reference>
        </references>
      </pivotArea>
    </format>
    <format dxfId="395">
      <pivotArea collapsedLevelsAreSubtotals="1" fieldPosition="0">
        <references count="1">
          <reference field="1" count="1">
            <x v="3"/>
          </reference>
        </references>
      </pivotArea>
    </format>
    <format dxfId="394">
      <pivotArea collapsedLevelsAreSubtotals="1" fieldPosition="0">
        <references count="1">
          <reference field="1" count="1">
            <x v="4"/>
          </reference>
        </references>
      </pivotArea>
    </format>
    <format dxfId="393">
      <pivotArea collapsedLevelsAreSubtotals="1" fieldPosition="0">
        <references count="1">
          <reference field="1" count="1">
            <x v="5"/>
          </reference>
        </references>
      </pivotArea>
    </format>
    <format dxfId="392">
      <pivotArea collapsedLevelsAreSubtotals="1" fieldPosition="0">
        <references count="1">
          <reference field="1" count="1">
            <x v="8"/>
          </reference>
        </references>
      </pivotArea>
    </format>
    <format dxfId="391">
      <pivotArea collapsedLevelsAreSubtotals="1" fieldPosition="0">
        <references count="1">
          <reference field="1" count="1">
            <x v="0"/>
          </reference>
        </references>
      </pivotArea>
    </format>
    <format dxfId="390">
      <pivotArea collapsedLevelsAreSubtotals="1" fieldPosition="0">
        <references count="1">
          <reference field="1" count="1">
            <x v="1"/>
          </reference>
        </references>
      </pivotArea>
    </format>
    <format dxfId="389">
      <pivotArea collapsedLevelsAreSubtotals="1" fieldPosition="0">
        <references count="1">
          <reference field="1" count="1">
            <x v="2"/>
          </reference>
        </references>
      </pivotArea>
    </format>
    <format dxfId="388">
      <pivotArea collapsedLevelsAreSubtotals="1" fieldPosition="0">
        <references count="1">
          <reference field="1" count="1">
            <x v="3"/>
          </reference>
        </references>
      </pivotArea>
    </format>
    <format dxfId="387">
      <pivotArea collapsedLevelsAreSubtotals="1" fieldPosition="0">
        <references count="1">
          <reference field="1" count="1">
            <x v="4"/>
          </reference>
        </references>
      </pivotArea>
    </format>
    <format dxfId="386">
      <pivotArea collapsedLevelsAreSubtotals="1" fieldPosition="0">
        <references count="1">
          <reference field="1" count="1">
            <x v="5"/>
          </reference>
        </references>
      </pivotArea>
    </format>
    <format dxfId="385">
      <pivotArea collapsedLevelsAreSubtotals="1" fieldPosition="0">
        <references count="1">
          <reference field="1" count="1">
            <x v="8"/>
          </reference>
        </references>
      </pivotArea>
    </format>
    <format dxfId="3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82:C95" firstHeaderRow="0" firstDataRow="1" firstDataCol="1" rowPageCount="2" colPageCount="1"/>
  <pivotFields count="14">
    <pivotField axis="axisRow" showAll="0" sortType="ascending">
      <items count="28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6"/>
        <item h="1" x="0"/>
        <item x="3"/>
        <item h="1" x="4"/>
        <item h="1" x="7"/>
        <item h="1" x="2"/>
        <item h="1" x="5"/>
        <item h="1" x="10"/>
        <item h="1" x="1"/>
        <item h="1" x="8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3">
    <i>
      <x/>
    </i>
    <i>
      <x v="1"/>
    </i>
    <i>
      <x v="3"/>
    </i>
    <i>
      <x v="4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13">
      <pivotArea collapsedLevelsAreSubtotals="1" fieldPosition="0">
        <references count="1">
          <reference field="1" count="1">
            <x v="0"/>
          </reference>
        </references>
      </pivotArea>
    </format>
    <format dxfId="412">
      <pivotArea collapsedLevelsAreSubtotals="1" fieldPosition="0">
        <references count="1">
          <reference field="1" count="1">
            <x v="1"/>
          </reference>
        </references>
      </pivotArea>
    </format>
    <format dxfId="411">
      <pivotArea collapsedLevelsAreSubtotals="1" fieldPosition="0">
        <references count="1">
          <reference field="1" count="1">
            <x v="2"/>
          </reference>
        </references>
      </pivotArea>
    </format>
    <format dxfId="410">
      <pivotArea collapsedLevelsAreSubtotals="1" fieldPosition="0">
        <references count="1">
          <reference field="1" count="1">
            <x v="3"/>
          </reference>
        </references>
      </pivotArea>
    </format>
    <format dxfId="409">
      <pivotArea collapsedLevelsAreSubtotals="1" fieldPosition="0">
        <references count="1">
          <reference field="1" count="1">
            <x v="4"/>
          </reference>
        </references>
      </pivotArea>
    </format>
    <format dxfId="408">
      <pivotArea collapsedLevelsAreSubtotals="1" fieldPosition="0">
        <references count="1">
          <reference field="1" count="1">
            <x v="5"/>
          </reference>
        </references>
      </pivotArea>
    </format>
    <format dxfId="407">
      <pivotArea collapsedLevelsAreSubtotals="1" fieldPosition="0">
        <references count="1">
          <reference field="1" count="1">
            <x v="8"/>
          </reference>
        </references>
      </pivotArea>
    </format>
    <format dxfId="406">
      <pivotArea collapsedLevelsAreSubtotals="1" fieldPosition="0">
        <references count="1">
          <reference field="1" count="1">
            <x v="0"/>
          </reference>
        </references>
      </pivotArea>
    </format>
    <format dxfId="405">
      <pivotArea collapsedLevelsAreSubtotals="1" fieldPosition="0">
        <references count="1">
          <reference field="1" count="1">
            <x v="1"/>
          </reference>
        </references>
      </pivotArea>
    </format>
    <format dxfId="404">
      <pivotArea collapsedLevelsAreSubtotals="1" fieldPosition="0">
        <references count="1">
          <reference field="1" count="1">
            <x v="2"/>
          </reference>
        </references>
      </pivotArea>
    </format>
    <format dxfId="403">
      <pivotArea collapsedLevelsAreSubtotals="1" fieldPosition="0">
        <references count="1">
          <reference field="1" count="1">
            <x v="3"/>
          </reference>
        </references>
      </pivotArea>
    </format>
    <format dxfId="402">
      <pivotArea collapsedLevelsAreSubtotals="1" fieldPosition="0">
        <references count="1">
          <reference field="1" count="1">
            <x v="4"/>
          </reference>
        </references>
      </pivotArea>
    </format>
    <format dxfId="401">
      <pivotArea collapsedLevelsAreSubtotals="1" fieldPosition="0">
        <references count="1">
          <reference field="1" count="1">
            <x v="5"/>
          </reference>
        </references>
      </pivotArea>
    </format>
    <format dxfId="400">
      <pivotArea collapsedLevelsAreSubtotals="1" fieldPosition="0">
        <references count="1">
          <reference field="1" count="1">
            <x v="8"/>
          </reference>
        </references>
      </pivotArea>
    </format>
    <format dxfId="3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29:C46" firstHeaderRow="0" firstDataRow="1" firstDataCol="1" rowPageCount="1" colPageCount="1"/>
  <pivotFields count="14">
    <pivotField axis="axisRow" showAll="0" sortType="ascending">
      <items count="28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t="default"/>
      </items>
    </pivotField>
    <pivotField axis="axisPage" multipleItemSelectionAllowed="1" showAll="0">
      <items count="15">
        <item h="1" x="7"/>
        <item x="6"/>
        <item h="1" x="5"/>
        <item h="1"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9"/>
    </i>
    <i>
      <x v="10"/>
    </i>
    <i>
      <x v="12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28">
      <pivotArea collapsedLevelsAreSubtotals="1" fieldPosition="0">
        <references count="1">
          <reference field="1" count="1">
            <x v="0"/>
          </reference>
        </references>
      </pivotArea>
    </format>
    <format dxfId="427">
      <pivotArea collapsedLevelsAreSubtotals="1" fieldPosition="0">
        <references count="1">
          <reference field="1" count="1">
            <x v="1"/>
          </reference>
        </references>
      </pivotArea>
    </format>
    <format dxfId="426">
      <pivotArea collapsedLevelsAreSubtotals="1" fieldPosition="0">
        <references count="1">
          <reference field="1" count="1">
            <x v="2"/>
          </reference>
        </references>
      </pivotArea>
    </format>
    <format dxfId="425">
      <pivotArea collapsedLevelsAreSubtotals="1" fieldPosition="0">
        <references count="1">
          <reference field="1" count="1">
            <x v="3"/>
          </reference>
        </references>
      </pivotArea>
    </format>
    <format dxfId="424">
      <pivotArea collapsedLevelsAreSubtotals="1" fieldPosition="0">
        <references count="1">
          <reference field="1" count="1">
            <x v="4"/>
          </reference>
        </references>
      </pivotArea>
    </format>
    <format dxfId="423">
      <pivotArea collapsedLevelsAreSubtotals="1" fieldPosition="0">
        <references count="1">
          <reference field="1" count="1">
            <x v="5"/>
          </reference>
        </references>
      </pivotArea>
    </format>
    <format dxfId="422">
      <pivotArea collapsedLevelsAreSubtotals="1" fieldPosition="0">
        <references count="1">
          <reference field="1" count="1">
            <x v="8"/>
          </reference>
        </references>
      </pivotArea>
    </format>
    <format dxfId="421">
      <pivotArea collapsedLevelsAreSubtotals="1" fieldPosition="0">
        <references count="1">
          <reference field="1" count="1">
            <x v="0"/>
          </reference>
        </references>
      </pivotArea>
    </format>
    <format dxfId="420">
      <pivotArea collapsedLevelsAreSubtotals="1" fieldPosition="0">
        <references count="1">
          <reference field="1" count="1">
            <x v="1"/>
          </reference>
        </references>
      </pivotArea>
    </format>
    <format dxfId="419">
      <pivotArea collapsedLevelsAreSubtotals="1" fieldPosition="0">
        <references count="1">
          <reference field="1" count="1">
            <x v="2"/>
          </reference>
        </references>
      </pivotArea>
    </format>
    <format dxfId="418">
      <pivotArea collapsedLevelsAreSubtotals="1" fieldPosition="0">
        <references count="1">
          <reference field="1" count="1">
            <x v="3"/>
          </reference>
        </references>
      </pivotArea>
    </format>
    <format dxfId="417">
      <pivotArea collapsedLevelsAreSubtotals="1" fieldPosition="0">
        <references count="1">
          <reference field="1" count="1">
            <x v="4"/>
          </reference>
        </references>
      </pivotArea>
    </format>
    <format dxfId="416">
      <pivotArea collapsedLevelsAreSubtotals="1" fieldPosition="0">
        <references count="1">
          <reference field="1" count="1">
            <x v="5"/>
          </reference>
        </references>
      </pivotArea>
    </format>
    <format dxfId="415">
      <pivotArea collapsedLevelsAreSubtotals="1" fieldPosition="0">
        <references count="1">
          <reference field="1" count="1">
            <x v="8"/>
          </reference>
        </references>
      </pivotArea>
    </format>
    <format dxfId="4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>
  <location ref="A200:C202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h="1" x="7"/>
        <item h="1" x="6"/>
        <item h="1" x="5"/>
        <item h="1" x="3"/>
        <item h="1" x="12"/>
        <item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h="1" x="6"/>
        <item h="1" x="0"/>
        <item h="1" x="3"/>
        <item h="1" x="4"/>
        <item h="1" x="7"/>
        <item h="1" x="2"/>
        <item h="1" x="5"/>
        <item h="1" x="10"/>
        <item x="1"/>
        <item h="1" x="8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43">
      <pivotArea collapsedLevelsAreSubtotals="1" fieldPosition="0">
        <references count="1">
          <reference field="1" count="1">
            <x v="0"/>
          </reference>
        </references>
      </pivotArea>
    </format>
    <format dxfId="442">
      <pivotArea collapsedLevelsAreSubtotals="1" fieldPosition="0">
        <references count="1">
          <reference field="1" count="1">
            <x v="1"/>
          </reference>
        </references>
      </pivotArea>
    </format>
    <format dxfId="441">
      <pivotArea collapsedLevelsAreSubtotals="1" fieldPosition="0">
        <references count="1">
          <reference field="1" count="1">
            <x v="2"/>
          </reference>
        </references>
      </pivotArea>
    </format>
    <format dxfId="440">
      <pivotArea collapsedLevelsAreSubtotals="1" fieldPosition="0">
        <references count="1">
          <reference field="1" count="1">
            <x v="3"/>
          </reference>
        </references>
      </pivotArea>
    </format>
    <format dxfId="439">
      <pivotArea collapsedLevelsAreSubtotals="1" fieldPosition="0">
        <references count="1">
          <reference field="1" count="1">
            <x v="4"/>
          </reference>
        </references>
      </pivotArea>
    </format>
    <format dxfId="438">
      <pivotArea collapsedLevelsAreSubtotals="1" fieldPosition="0">
        <references count="1">
          <reference field="1" count="1">
            <x v="5"/>
          </reference>
        </references>
      </pivotArea>
    </format>
    <format dxfId="437">
      <pivotArea collapsedLevelsAreSubtotals="1" fieldPosition="0">
        <references count="1">
          <reference field="1" count="1">
            <x v="8"/>
          </reference>
        </references>
      </pivotArea>
    </format>
    <format dxfId="436">
      <pivotArea collapsedLevelsAreSubtotals="1" fieldPosition="0">
        <references count="1">
          <reference field="1" count="1">
            <x v="0"/>
          </reference>
        </references>
      </pivotArea>
    </format>
    <format dxfId="435">
      <pivotArea collapsedLevelsAreSubtotals="1" fieldPosition="0">
        <references count="1">
          <reference field="1" count="1">
            <x v="1"/>
          </reference>
        </references>
      </pivotArea>
    </format>
    <format dxfId="434">
      <pivotArea collapsedLevelsAreSubtotals="1" fieldPosition="0">
        <references count="1">
          <reference field="1" count="1">
            <x v="2"/>
          </reference>
        </references>
      </pivotArea>
    </format>
    <format dxfId="433">
      <pivotArea collapsedLevelsAreSubtotals="1" fieldPosition="0">
        <references count="1">
          <reference field="1" count="1">
            <x v="3"/>
          </reference>
        </references>
      </pivotArea>
    </format>
    <format dxfId="432">
      <pivotArea collapsedLevelsAreSubtotals="1" fieldPosition="0">
        <references count="1">
          <reference field="1" count="1">
            <x v="4"/>
          </reference>
        </references>
      </pivotArea>
    </format>
    <format dxfId="431">
      <pivotArea collapsedLevelsAreSubtotals="1" fieldPosition="0">
        <references count="1">
          <reference field="1" count="1">
            <x v="5"/>
          </reference>
        </references>
      </pivotArea>
    </format>
    <format dxfId="430">
      <pivotArea collapsedLevelsAreSubtotals="1" fieldPosition="0">
        <references count="1">
          <reference field="1" count="1">
            <x v="8"/>
          </reference>
        </references>
      </pivotArea>
    </format>
    <format dxfId="4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4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9:C22" firstHeaderRow="0" firstDataRow="1" firstDataCol="1" rowPageCount="2" colPageCount="1"/>
  <pivotFields count="14">
    <pivotField axis="axisRow" showAll="0">
      <items count="28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"/>
        <item x="1"/>
        <item x="2"/>
        <item x="3"/>
        <item x="4"/>
        <item x="6"/>
        <item x="7"/>
        <item x="26"/>
        <item t="default"/>
      </items>
    </pivotField>
    <pivotField axis="axisPage" multipleItemSelectionAllowed="1" showAll="0">
      <items count="15">
        <item x="7"/>
        <item h="1" x="6"/>
        <item h="1" x="5"/>
        <item h="1" x="3"/>
        <item h="1" x="12"/>
        <item h="1" x="1"/>
        <item h="1" x="4"/>
        <item h="1" x="2"/>
        <item h="1" x="0"/>
        <item h="1" x="10"/>
        <item h="1" x="11"/>
        <item h="1" x="8"/>
        <item h="1" x="9"/>
        <item h="1" m="1" x="13"/>
        <item t="default"/>
      </items>
    </pivotField>
    <pivotField axis="axisPage" multipleItemSelectionAllowed="1" showAll="0">
      <items count="13">
        <item x="8"/>
        <item h="1" x="10"/>
        <item h="1" x="6"/>
        <item h="1" x="5"/>
        <item h="1" x="0"/>
        <item h="1" x="3"/>
        <item h="1" x="4"/>
        <item h="1" x="7"/>
        <item h="1" x="1"/>
        <item h="1" x="2"/>
        <item h="1" x="9"/>
        <item h="1" x="11"/>
        <item t="default"/>
      </items>
    </pivotField>
    <pivotField showAll="0"/>
    <pivotField showAll="0"/>
    <pivotField showAll="0"/>
    <pivotField showAll="0"/>
    <pivotField dataField="1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0"/>
  </rowFields>
  <rowItems count="3"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Promedio de kg x hora" fld="7" subtotal="average" baseField="2" baseItem="6" numFmtId="1"/>
    <dataField name="Promedio de META" fld="8" subtotal="average" baseField="0" baseItem="2"/>
  </dataFields>
  <formats count="15">
    <format dxfId="458">
      <pivotArea collapsedLevelsAreSubtotals="1" fieldPosition="0">
        <references count="1">
          <reference field="1" count="1">
            <x v="0"/>
          </reference>
        </references>
      </pivotArea>
    </format>
    <format dxfId="457">
      <pivotArea collapsedLevelsAreSubtotals="1" fieldPosition="0">
        <references count="1">
          <reference field="1" count="1">
            <x v="1"/>
          </reference>
        </references>
      </pivotArea>
    </format>
    <format dxfId="456">
      <pivotArea collapsedLevelsAreSubtotals="1" fieldPosition="0">
        <references count="1">
          <reference field="1" count="1">
            <x v="2"/>
          </reference>
        </references>
      </pivotArea>
    </format>
    <format dxfId="455">
      <pivotArea collapsedLevelsAreSubtotals="1" fieldPosition="0">
        <references count="1">
          <reference field="1" count="1">
            <x v="3"/>
          </reference>
        </references>
      </pivotArea>
    </format>
    <format dxfId="454">
      <pivotArea collapsedLevelsAreSubtotals="1" fieldPosition="0">
        <references count="1">
          <reference field="1" count="1">
            <x v="4"/>
          </reference>
        </references>
      </pivotArea>
    </format>
    <format dxfId="453">
      <pivotArea collapsedLevelsAreSubtotals="1" fieldPosition="0">
        <references count="1">
          <reference field="1" count="1">
            <x v="5"/>
          </reference>
        </references>
      </pivotArea>
    </format>
    <format dxfId="452">
      <pivotArea collapsedLevelsAreSubtotals="1" fieldPosition="0">
        <references count="1">
          <reference field="1" count="1">
            <x v="8"/>
          </reference>
        </references>
      </pivotArea>
    </format>
    <format dxfId="451">
      <pivotArea collapsedLevelsAreSubtotals="1" fieldPosition="0">
        <references count="1">
          <reference field="1" count="1">
            <x v="0"/>
          </reference>
        </references>
      </pivotArea>
    </format>
    <format dxfId="450">
      <pivotArea collapsedLevelsAreSubtotals="1" fieldPosition="0">
        <references count="1">
          <reference field="1" count="1">
            <x v="1"/>
          </reference>
        </references>
      </pivotArea>
    </format>
    <format dxfId="449">
      <pivotArea collapsedLevelsAreSubtotals="1" fieldPosition="0">
        <references count="1">
          <reference field="1" count="1">
            <x v="2"/>
          </reference>
        </references>
      </pivotArea>
    </format>
    <format dxfId="448">
      <pivotArea collapsedLevelsAreSubtotals="1" fieldPosition="0">
        <references count="1">
          <reference field="1" count="1">
            <x v="3"/>
          </reference>
        </references>
      </pivotArea>
    </format>
    <format dxfId="447">
      <pivotArea collapsedLevelsAreSubtotals="1" fieldPosition="0">
        <references count="1">
          <reference field="1" count="1">
            <x v="4"/>
          </reference>
        </references>
      </pivotArea>
    </format>
    <format dxfId="446">
      <pivotArea collapsedLevelsAreSubtotals="1" fieldPosition="0">
        <references count="1">
          <reference field="1" count="1">
            <x v="5"/>
          </reference>
        </references>
      </pivotArea>
    </format>
    <format dxfId="445">
      <pivotArea collapsedLevelsAreSubtotals="1" fieldPosition="0">
        <references count="1">
          <reference field="1" count="1">
            <x v="8"/>
          </reference>
        </references>
      </pivotArea>
    </format>
    <format dxfId="4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P121" totalsRowShown="0" headerRowDxfId="6">
  <autoFilter ref="A1:P121"/>
  <tableColumns count="16">
    <tableColumn id="1" name="Fecha" dataDxfId="5"/>
    <tableColumn id="2" name="No. Personal" dataDxfId="4"/>
    <tableColumn id="3" name="Reporte"/>
    <tableColumn id="4" name="Proceso"/>
    <tableColumn id="5" name="Material"/>
    <tableColumn id="6" name="Color"/>
    <tableColumn id="7" name="PESO"/>
    <tableColumn id="8" name="OFT" dataDxfId="3"/>
    <tableColumn id="9" name="OSM" dataDxfId="2"/>
    <tableColumn id="10" name="IF"/>
    <tableColumn id="11" name="TFB1"/>
    <tableColumn id="12" name="PESO TFB"/>
    <tableColumn id="13" name="TFB2"/>
    <tableColumn id="14" name="Ingreso"/>
    <tableColumn id="15" name="SCRAP" dataDxfId="1" dataCellStyle="Porcentaje"/>
    <tableColumn id="16" name="PRODUCCION TOTAL" dataDxfId="0">
      <calculatedColumnFormula>Tabla2[[#This Row],[PESO]]+Tabla2[[#This Row],[PESO TFB]]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5"/>
  <sheetViews>
    <sheetView workbookViewId="0">
      <selection activeCell="B10" sqref="B10"/>
    </sheetView>
  </sheetViews>
  <sheetFormatPr baseColWidth="10" defaultRowHeight="15" x14ac:dyDescent="0.25"/>
  <cols>
    <col min="1" max="1" width="17.5703125" style="91" customWidth="1"/>
    <col min="2" max="2" width="25.85546875" style="91" customWidth="1"/>
    <col min="3" max="4" width="18.140625" style="91" customWidth="1"/>
    <col min="5" max="16384" width="11.42578125" style="91"/>
  </cols>
  <sheetData>
    <row r="1" spans="1:8" ht="18.75" x14ac:dyDescent="0.3">
      <c r="A1" s="135" t="s">
        <v>195</v>
      </c>
      <c r="B1" s="135"/>
      <c r="C1" s="135"/>
      <c r="D1" s="135"/>
      <c r="E1" s="135"/>
      <c r="F1" s="135"/>
      <c r="G1" s="135"/>
      <c r="H1" s="135"/>
    </row>
    <row r="2" spans="1:8" ht="18.75" x14ac:dyDescent="0.3">
      <c r="A2" s="96" t="s">
        <v>1</v>
      </c>
      <c r="B2" s="91" t="s">
        <v>29</v>
      </c>
      <c r="C2" s="125"/>
      <c r="D2" s="125"/>
      <c r="E2" s="125"/>
      <c r="F2" s="125"/>
      <c r="G2" s="125"/>
      <c r="H2" s="125"/>
    </row>
    <row r="3" spans="1:8" x14ac:dyDescent="0.25">
      <c r="A3" s="96" t="s">
        <v>2</v>
      </c>
      <c r="B3" s="91" t="s">
        <v>193</v>
      </c>
    </row>
    <row r="4" spans="1:8" x14ac:dyDescent="0.25">
      <c r="A4" s="134" t="s">
        <v>29</v>
      </c>
      <c r="B4" s="134"/>
      <c r="C4" s="134"/>
      <c r="D4" s="111"/>
    </row>
    <row r="5" spans="1:8" x14ac:dyDescent="0.25">
      <c r="A5" s="96" t="s">
        <v>105</v>
      </c>
      <c r="B5" s="91" t="s">
        <v>183</v>
      </c>
      <c r="C5" s="91" t="s">
        <v>182</v>
      </c>
      <c r="D5"/>
    </row>
    <row r="6" spans="1:8" x14ac:dyDescent="0.25">
      <c r="A6" s="109">
        <v>44159</v>
      </c>
      <c r="B6" s="20">
        <v>67.625</v>
      </c>
      <c r="C6" s="98">
        <v>75</v>
      </c>
      <c r="D6"/>
    </row>
    <row r="7" spans="1:8" x14ac:dyDescent="0.25">
      <c r="A7" s="109">
        <v>44162</v>
      </c>
      <c r="B7" s="20">
        <v>68.545454545454547</v>
      </c>
      <c r="C7" s="98">
        <v>75</v>
      </c>
      <c r="D7"/>
    </row>
    <row r="8" spans="1:8" x14ac:dyDescent="0.25">
      <c r="A8" s="109">
        <v>44167</v>
      </c>
      <c r="B8" s="20">
        <v>100.4</v>
      </c>
      <c r="C8" s="98">
        <v>75</v>
      </c>
      <c r="D8"/>
    </row>
    <row r="9" spans="1:8" x14ac:dyDescent="0.25">
      <c r="A9" s="109">
        <v>44172</v>
      </c>
      <c r="B9" s="20">
        <v>69.818181818181813</v>
      </c>
      <c r="C9" s="98">
        <v>75</v>
      </c>
      <c r="D9"/>
    </row>
    <row r="10" spans="1:8" x14ac:dyDescent="0.25">
      <c r="A10" s="109">
        <v>44173</v>
      </c>
      <c r="B10" s="20">
        <v>64</v>
      </c>
      <c r="C10" s="98">
        <v>75</v>
      </c>
      <c r="D10"/>
    </row>
    <row r="11" spans="1:8" x14ac:dyDescent="0.25">
      <c r="A11" s="109">
        <v>44181</v>
      </c>
      <c r="B11" s="20">
        <v>54.25</v>
      </c>
      <c r="C11" s="98">
        <v>75</v>
      </c>
    </row>
    <row r="12" spans="1:8" x14ac:dyDescent="0.25">
      <c r="A12" s="109">
        <v>44182</v>
      </c>
      <c r="B12" s="20">
        <v>63.666666666666664</v>
      </c>
      <c r="C12" s="98">
        <v>75</v>
      </c>
    </row>
    <row r="13" spans="1:8" x14ac:dyDescent="0.25">
      <c r="A13" s="109">
        <v>44184</v>
      </c>
      <c r="B13" s="20">
        <v>49.090909090909093</v>
      </c>
      <c r="C13" s="98">
        <v>75</v>
      </c>
    </row>
    <row r="14" spans="1:8" x14ac:dyDescent="0.25">
      <c r="A14" s="97" t="s">
        <v>107</v>
      </c>
      <c r="B14" s="20">
        <v>65.738468013468008</v>
      </c>
      <c r="C14" s="98">
        <v>75</v>
      </c>
    </row>
    <row r="16" spans="1:8" ht="18.75" x14ac:dyDescent="0.3">
      <c r="A16" s="96" t="s">
        <v>1</v>
      </c>
      <c r="B16" s="91" t="s">
        <v>29</v>
      </c>
      <c r="C16" s="125"/>
    </row>
    <row r="17" spans="1:4" x14ac:dyDescent="0.25">
      <c r="A17" s="96" t="s">
        <v>2</v>
      </c>
      <c r="B17" s="91" t="s">
        <v>85</v>
      </c>
    </row>
    <row r="18" spans="1:4" x14ac:dyDescent="0.25">
      <c r="A18" s="134" t="s">
        <v>29</v>
      </c>
      <c r="B18" s="134"/>
      <c r="C18" s="134"/>
    </row>
    <row r="19" spans="1:4" x14ac:dyDescent="0.25">
      <c r="A19" s="96" t="s">
        <v>105</v>
      </c>
      <c r="B19" s="91" t="s">
        <v>183</v>
      </c>
      <c r="C19" s="91" t="s">
        <v>182</v>
      </c>
    </row>
    <row r="20" spans="1:4" x14ac:dyDescent="0.25">
      <c r="A20" s="109">
        <v>44181</v>
      </c>
      <c r="B20" s="20">
        <v>82</v>
      </c>
      <c r="C20" s="98">
        <v>90</v>
      </c>
    </row>
    <row r="21" spans="1:4" x14ac:dyDescent="0.25">
      <c r="A21" s="109">
        <v>44182</v>
      </c>
      <c r="B21" s="20">
        <v>65.75</v>
      </c>
      <c r="C21" s="98">
        <v>90</v>
      </c>
    </row>
    <row r="22" spans="1:4" x14ac:dyDescent="0.25">
      <c r="A22" s="97" t="s">
        <v>107</v>
      </c>
      <c r="B22" s="20">
        <v>73.875</v>
      </c>
      <c r="C22" s="98">
        <v>90</v>
      </c>
    </row>
    <row r="23" spans="1:4" x14ac:dyDescent="0.25">
      <c r="A23"/>
      <c r="B23"/>
      <c r="C23"/>
    </row>
    <row r="24" spans="1:4" x14ac:dyDescent="0.25">
      <c r="A24"/>
      <c r="B24"/>
      <c r="C24"/>
    </row>
    <row r="26" spans="1:4" x14ac:dyDescent="0.25">
      <c r="A26"/>
      <c r="B26"/>
      <c r="C26"/>
      <c r="D26"/>
    </row>
    <row r="27" spans="1:4" x14ac:dyDescent="0.25">
      <c r="A27" s="96" t="s">
        <v>1</v>
      </c>
      <c r="B27" s="91" t="s">
        <v>113</v>
      </c>
      <c r="C27"/>
      <c r="D27"/>
    </row>
    <row r="28" spans="1:4" x14ac:dyDescent="0.25">
      <c r="A28" s="134" t="s">
        <v>187</v>
      </c>
      <c r="B28" s="134"/>
      <c r="C28" s="134"/>
      <c r="D28"/>
    </row>
    <row r="29" spans="1:4" x14ac:dyDescent="0.25">
      <c r="A29" s="96" t="s">
        <v>105</v>
      </c>
      <c r="B29" s="91" t="s">
        <v>183</v>
      </c>
      <c r="C29" s="91" t="s">
        <v>182</v>
      </c>
      <c r="D29"/>
    </row>
    <row r="30" spans="1:4" x14ac:dyDescent="0.25">
      <c r="A30" s="109">
        <v>44158</v>
      </c>
      <c r="B30" s="20">
        <v>35.299999999999997</v>
      </c>
      <c r="C30" s="98">
        <v>45</v>
      </c>
      <c r="D30"/>
    </row>
    <row r="31" spans="1:4" x14ac:dyDescent="0.25">
      <c r="A31" s="109">
        <v>44159</v>
      </c>
      <c r="B31" s="20">
        <v>35.31666666666667</v>
      </c>
      <c r="C31" s="98">
        <v>45</v>
      </c>
      <c r="D31"/>
    </row>
    <row r="32" spans="1:4" x14ac:dyDescent="0.25">
      <c r="A32" s="109">
        <v>44160</v>
      </c>
      <c r="B32" s="20">
        <v>37.1</v>
      </c>
      <c r="C32" s="98">
        <v>45</v>
      </c>
      <c r="D32"/>
    </row>
    <row r="33" spans="1:4" x14ac:dyDescent="0.25">
      <c r="A33" s="109">
        <v>44161</v>
      </c>
      <c r="B33" s="20">
        <v>30.35</v>
      </c>
      <c r="C33" s="98">
        <v>45</v>
      </c>
      <c r="D33"/>
    </row>
    <row r="34" spans="1:4" x14ac:dyDescent="0.25">
      <c r="A34" s="109">
        <v>44168</v>
      </c>
      <c r="B34" s="20">
        <v>42</v>
      </c>
      <c r="C34" s="98">
        <v>45</v>
      </c>
      <c r="D34"/>
    </row>
    <row r="35" spans="1:4" x14ac:dyDescent="0.25">
      <c r="A35" s="109">
        <v>44169</v>
      </c>
      <c r="B35" s="20">
        <v>43.75</v>
      </c>
      <c r="C35" s="98">
        <v>45</v>
      </c>
      <c r="D35"/>
    </row>
    <row r="36" spans="1:4" x14ac:dyDescent="0.25">
      <c r="A36" s="109">
        <v>44172</v>
      </c>
      <c r="B36" s="20">
        <v>40.799999999999997</v>
      </c>
      <c r="C36" s="98">
        <v>45</v>
      </c>
      <c r="D36"/>
    </row>
    <row r="37" spans="1:4" x14ac:dyDescent="0.25">
      <c r="A37" s="109">
        <v>44173</v>
      </c>
      <c r="B37" s="20">
        <v>34.774999999999999</v>
      </c>
      <c r="C37" s="98">
        <v>45</v>
      </c>
      <c r="D37"/>
    </row>
    <row r="38" spans="1:4" x14ac:dyDescent="0.25">
      <c r="A38" s="109">
        <v>44174</v>
      </c>
      <c r="B38" s="20">
        <v>37.825000000000003</v>
      </c>
      <c r="C38" s="98">
        <v>45</v>
      </c>
      <c r="D38"/>
    </row>
    <row r="39" spans="1:4" x14ac:dyDescent="0.25">
      <c r="A39" s="109">
        <v>44176</v>
      </c>
      <c r="B39" s="20">
        <v>35.9375</v>
      </c>
      <c r="C39" s="98">
        <v>45</v>
      </c>
    </row>
    <row r="40" spans="1:4" x14ac:dyDescent="0.25">
      <c r="A40" s="109">
        <v>44179</v>
      </c>
      <c r="B40" s="20">
        <v>34.25</v>
      </c>
      <c r="C40" s="98">
        <v>45</v>
      </c>
    </row>
    <row r="41" spans="1:4" x14ac:dyDescent="0.25">
      <c r="A41" s="109">
        <v>44180</v>
      </c>
      <c r="B41" s="20">
        <v>36.265151515151516</v>
      </c>
      <c r="C41" s="98">
        <v>45</v>
      </c>
    </row>
    <row r="42" spans="1:4" x14ac:dyDescent="0.25">
      <c r="A42" s="109">
        <v>44181</v>
      </c>
      <c r="B42" s="20">
        <v>63.375</v>
      </c>
      <c r="C42" s="98">
        <v>45</v>
      </c>
    </row>
    <row r="43" spans="1:4" x14ac:dyDescent="0.25">
      <c r="A43" s="109">
        <v>44182</v>
      </c>
      <c r="B43" s="20">
        <v>40.5</v>
      </c>
      <c r="C43" s="98">
        <v>45</v>
      </c>
      <c r="D43"/>
    </row>
    <row r="44" spans="1:4" x14ac:dyDescent="0.25">
      <c r="A44" s="109">
        <v>44183</v>
      </c>
      <c r="B44" s="20">
        <v>54</v>
      </c>
      <c r="C44" s="98">
        <v>45</v>
      </c>
    </row>
    <row r="45" spans="1:4" x14ac:dyDescent="0.25">
      <c r="A45" s="109">
        <v>44186</v>
      </c>
      <c r="B45" s="20">
        <v>16.149999999999999</v>
      </c>
      <c r="C45" s="98">
        <v>45</v>
      </c>
    </row>
    <row r="46" spans="1:4" x14ac:dyDescent="0.25">
      <c r="A46" s="97" t="s">
        <v>107</v>
      </c>
      <c r="B46" s="20">
        <v>36.972130394857672</v>
      </c>
      <c r="C46" s="98">
        <v>45</v>
      </c>
    </row>
    <row r="47" spans="1:4" x14ac:dyDescent="0.25">
      <c r="A47"/>
      <c r="B47"/>
      <c r="C47"/>
    </row>
    <row r="48" spans="1:4" x14ac:dyDescent="0.25">
      <c r="A48" s="97"/>
      <c r="B48" s="20"/>
      <c r="C48" s="98"/>
    </row>
    <row r="49" spans="1:3" x14ac:dyDescent="0.25">
      <c r="A49" s="97"/>
      <c r="B49" s="20"/>
      <c r="C49" s="98"/>
    </row>
    <row r="50" spans="1:3" x14ac:dyDescent="0.25">
      <c r="A50" s="97"/>
      <c r="B50" s="20"/>
      <c r="C50" s="98"/>
    </row>
    <row r="51" spans="1:3" x14ac:dyDescent="0.25">
      <c r="A51"/>
      <c r="B51"/>
      <c r="C51"/>
    </row>
    <row r="52" spans="1:3" x14ac:dyDescent="0.25">
      <c r="A52" s="96" t="s">
        <v>1</v>
      </c>
      <c r="B52" s="91" t="s">
        <v>111</v>
      </c>
    </row>
    <row r="53" spans="1:3" x14ac:dyDescent="0.25">
      <c r="A53" s="134" t="s">
        <v>188</v>
      </c>
      <c r="B53" s="134"/>
      <c r="C53" s="134"/>
    </row>
    <row r="54" spans="1:3" x14ac:dyDescent="0.25">
      <c r="A54" s="96" t="s">
        <v>105</v>
      </c>
      <c r="B54" s="91" t="s">
        <v>183</v>
      </c>
      <c r="C54" s="91" t="s">
        <v>182</v>
      </c>
    </row>
    <row r="55" spans="1:3" x14ac:dyDescent="0.25">
      <c r="A55" s="109">
        <v>44158</v>
      </c>
      <c r="B55" s="110">
        <v>80.900000000000006</v>
      </c>
      <c r="C55" s="98">
        <v>92</v>
      </c>
    </row>
    <row r="56" spans="1:3" x14ac:dyDescent="0.25">
      <c r="A56" s="109">
        <v>44159</v>
      </c>
      <c r="B56" s="110">
        <v>82.2</v>
      </c>
      <c r="C56" s="98">
        <v>92</v>
      </c>
    </row>
    <row r="57" spans="1:3" x14ac:dyDescent="0.25">
      <c r="A57" s="109">
        <v>44161</v>
      </c>
      <c r="B57" s="110">
        <v>90.2</v>
      </c>
      <c r="C57" s="98">
        <v>92</v>
      </c>
    </row>
    <row r="58" spans="1:3" x14ac:dyDescent="0.25">
      <c r="A58" s="109">
        <v>44162</v>
      </c>
      <c r="B58" s="110">
        <v>66.7</v>
      </c>
      <c r="C58" s="98">
        <v>92</v>
      </c>
    </row>
    <row r="59" spans="1:3" x14ac:dyDescent="0.25">
      <c r="A59" s="109">
        <v>44165</v>
      </c>
      <c r="B59" s="110">
        <v>80.84</v>
      </c>
      <c r="C59" s="98">
        <v>92</v>
      </c>
    </row>
    <row r="60" spans="1:3" x14ac:dyDescent="0.25">
      <c r="A60" s="109">
        <v>44166</v>
      </c>
      <c r="B60" s="110">
        <v>83.974999999999994</v>
      </c>
      <c r="C60" s="98">
        <v>92</v>
      </c>
    </row>
    <row r="61" spans="1:3" x14ac:dyDescent="0.25">
      <c r="A61" s="109">
        <v>44167</v>
      </c>
      <c r="B61" s="110">
        <v>71.903999999999996</v>
      </c>
      <c r="C61" s="98">
        <v>92</v>
      </c>
    </row>
    <row r="62" spans="1:3" x14ac:dyDescent="0.25">
      <c r="A62" s="109">
        <v>44168</v>
      </c>
      <c r="B62" s="110">
        <v>76.724999999999994</v>
      </c>
      <c r="C62" s="98">
        <v>92</v>
      </c>
    </row>
    <row r="63" spans="1:3" x14ac:dyDescent="0.25">
      <c r="A63" s="109">
        <v>44169</v>
      </c>
      <c r="B63" s="110">
        <v>65.194999999999993</v>
      </c>
      <c r="C63" s="98">
        <v>92</v>
      </c>
    </row>
    <row r="64" spans="1:3" x14ac:dyDescent="0.25">
      <c r="A64" s="109">
        <v>44172</v>
      </c>
      <c r="B64" s="110">
        <v>90.65</v>
      </c>
      <c r="C64" s="98">
        <v>92</v>
      </c>
    </row>
    <row r="65" spans="1:3" x14ac:dyDescent="0.25">
      <c r="A65" s="109">
        <v>44173</v>
      </c>
      <c r="B65" s="110">
        <v>78.733333333333334</v>
      </c>
      <c r="C65" s="98">
        <v>92</v>
      </c>
    </row>
    <row r="66" spans="1:3" x14ac:dyDescent="0.25">
      <c r="A66" s="109">
        <v>44174</v>
      </c>
      <c r="B66" s="110">
        <v>56.886666666666656</v>
      </c>
      <c r="C66" s="98">
        <v>92</v>
      </c>
    </row>
    <row r="67" spans="1:3" x14ac:dyDescent="0.25">
      <c r="A67" s="109">
        <v>44175</v>
      </c>
      <c r="B67" s="110">
        <v>110.93866666666668</v>
      </c>
      <c r="C67" s="98">
        <v>92</v>
      </c>
    </row>
    <row r="68" spans="1:3" x14ac:dyDescent="0.25">
      <c r="A68" s="109">
        <v>44176</v>
      </c>
      <c r="B68" s="110">
        <v>70.84375</v>
      </c>
      <c r="C68" s="98">
        <v>92</v>
      </c>
    </row>
    <row r="69" spans="1:3" x14ac:dyDescent="0.25">
      <c r="A69" s="109">
        <v>44177</v>
      </c>
      <c r="B69" s="110">
        <v>83.7</v>
      </c>
      <c r="C69" s="98">
        <v>92</v>
      </c>
    </row>
    <row r="70" spans="1:3" x14ac:dyDescent="0.25">
      <c r="A70" s="109">
        <v>44179</v>
      </c>
      <c r="B70" s="110">
        <v>68.3</v>
      </c>
      <c r="C70" s="98">
        <v>92</v>
      </c>
    </row>
    <row r="71" spans="1:3" x14ac:dyDescent="0.25">
      <c r="A71" s="109">
        <v>44180</v>
      </c>
      <c r="B71" s="110">
        <v>82.2</v>
      </c>
      <c r="C71" s="98">
        <v>92</v>
      </c>
    </row>
    <row r="72" spans="1:3" x14ac:dyDescent="0.25">
      <c r="A72" s="109">
        <v>44181</v>
      </c>
      <c r="B72" s="110">
        <v>122.4</v>
      </c>
      <c r="C72" s="98">
        <v>92</v>
      </c>
    </row>
    <row r="73" spans="1:3" x14ac:dyDescent="0.25">
      <c r="A73" s="109">
        <v>44182</v>
      </c>
      <c r="B73" s="110">
        <v>78.849999999999994</v>
      </c>
      <c r="C73" s="98">
        <v>92</v>
      </c>
    </row>
    <row r="74" spans="1:3" x14ac:dyDescent="0.25">
      <c r="A74" s="109">
        <v>44183</v>
      </c>
      <c r="B74" s="110">
        <v>68.566666666666663</v>
      </c>
      <c r="C74" s="98">
        <v>92</v>
      </c>
    </row>
    <row r="75" spans="1:3" x14ac:dyDescent="0.25">
      <c r="A75" s="109">
        <v>44184</v>
      </c>
      <c r="B75" s="110">
        <v>67.206666666666663</v>
      </c>
      <c r="C75" s="98">
        <v>92</v>
      </c>
    </row>
    <row r="76" spans="1:3" x14ac:dyDescent="0.25">
      <c r="A76" s="109">
        <v>44186</v>
      </c>
      <c r="B76" s="110">
        <v>68.948000000000008</v>
      </c>
      <c r="C76" s="98">
        <v>92</v>
      </c>
    </row>
    <row r="77" spans="1:3" x14ac:dyDescent="0.25">
      <c r="A77" s="109">
        <v>44187</v>
      </c>
      <c r="B77" s="110">
        <v>94.4</v>
      </c>
      <c r="C77" s="98">
        <v>92</v>
      </c>
    </row>
    <row r="78" spans="1:3" x14ac:dyDescent="0.25">
      <c r="A78" s="97" t="s">
        <v>107</v>
      </c>
      <c r="B78" s="110">
        <v>78.017893518518505</v>
      </c>
      <c r="C78" s="98">
        <v>92</v>
      </c>
    </row>
    <row r="79" spans="1:3" x14ac:dyDescent="0.25">
      <c r="A79" s="96" t="s">
        <v>1</v>
      </c>
      <c r="B79" s="91" t="s">
        <v>112</v>
      </c>
    </row>
    <row r="80" spans="1:3" x14ac:dyDescent="0.25">
      <c r="A80" s="96" t="s">
        <v>2</v>
      </c>
      <c r="B80" s="91" t="s">
        <v>55</v>
      </c>
    </row>
    <row r="81" spans="1:3" x14ac:dyDescent="0.25">
      <c r="A81" s="134" t="s">
        <v>189</v>
      </c>
      <c r="B81" s="134"/>
      <c r="C81" s="134"/>
    </row>
    <row r="82" spans="1:3" x14ac:dyDescent="0.25">
      <c r="A82" s="96" t="s">
        <v>105</v>
      </c>
      <c r="B82" s="91" t="s">
        <v>183</v>
      </c>
      <c r="C82" s="91" t="s">
        <v>182</v>
      </c>
    </row>
    <row r="83" spans="1:3" x14ac:dyDescent="0.25">
      <c r="A83" s="109">
        <v>44158</v>
      </c>
      <c r="B83" s="20">
        <v>46.999522222222218</v>
      </c>
      <c r="C83" s="98">
        <v>55</v>
      </c>
    </row>
    <row r="84" spans="1:3" x14ac:dyDescent="0.25">
      <c r="A84" s="109">
        <v>44159</v>
      </c>
      <c r="B84" s="20">
        <v>49.878555555555558</v>
      </c>
      <c r="C84" s="98">
        <v>55</v>
      </c>
    </row>
    <row r="85" spans="1:3" x14ac:dyDescent="0.25">
      <c r="A85" s="109">
        <v>44161</v>
      </c>
      <c r="B85" s="20">
        <v>52.037499999999994</v>
      </c>
      <c r="C85" s="98">
        <v>55</v>
      </c>
    </row>
    <row r="86" spans="1:3" x14ac:dyDescent="0.25">
      <c r="A86" s="109">
        <v>44162</v>
      </c>
      <c r="B86" s="20">
        <v>49.146666666666668</v>
      </c>
      <c r="C86" s="98">
        <v>55</v>
      </c>
    </row>
    <row r="87" spans="1:3" x14ac:dyDescent="0.25">
      <c r="A87" s="109">
        <v>44172</v>
      </c>
      <c r="B87" s="20">
        <v>62.05</v>
      </c>
      <c r="C87" s="98">
        <v>55</v>
      </c>
    </row>
    <row r="88" spans="1:3" x14ac:dyDescent="0.25">
      <c r="A88" s="109">
        <v>44173</v>
      </c>
      <c r="B88" s="20">
        <v>62</v>
      </c>
      <c r="C88" s="98">
        <v>55</v>
      </c>
    </row>
    <row r="89" spans="1:3" x14ac:dyDescent="0.25">
      <c r="A89" s="109">
        <v>44174</v>
      </c>
      <c r="B89" s="20">
        <v>60.15</v>
      </c>
      <c r="C89" s="98">
        <v>55</v>
      </c>
    </row>
    <row r="90" spans="1:3" x14ac:dyDescent="0.25">
      <c r="A90" s="109">
        <v>44175</v>
      </c>
      <c r="B90" s="20">
        <v>61.65</v>
      </c>
      <c r="C90" s="98">
        <v>55</v>
      </c>
    </row>
    <row r="91" spans="1:3" x14ac:dyDescent="0.25">
      <c r="A91" s="109">
        <v>44176</v>
      </c>
      <c r="B91" s="20">
        <v>44.6875</v>
      </c>
      <c r="C91" s="98">
        <v>55</v>
      </c>
    </row>
    <row r="92" spans="1:3" x14ac:dyDescent="0.25">
      <c r="A92" s="109">
        <v>44179</v>
      </c>
      <c r="B92" s="20">
        <v>60.5</v>
      </c>
      <c r="C92" s="98">
        <v>55</v>
      </c>
    </row>
    <row r="93" spans="1:3" x14ac:dyDescent="0.25">
      <c r="A93" s="109">
        <v>44180</v>
      </c>
      <c r="B93" s="20">
        <v>51.1175</v>
      </c>
      <c r="C93" s="98">
        <v>55</v>
      </c>
    </row>
    <row r="94" spans="1:3" x14ac:dyDescent="0.25">
      <c r="A94" s="109">
        <v>44181</v>
      </c>
      <c r="B94" s="20">
        <v>65.875</v>
      </c>
      <c r="C94" s="98">
        <v>55</v>
      </c>
    </row>
    <row r="95" spans="1:3" x14ac:dyDescent="0.25">
      <c r="A95" s="97" t="s">
        <v>107</v>
      </c>
      <c r="B95" s="20">
        <v>53.189962418300667</v>
      </c>
      <c r="C95" s="98">
        <v>55</v>
      </c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 s="97"/>
      <c r="B103" s="20"/>
      <c r="C103" s="98"/>
    </row>
    <row r="104" spans="1:3" x14ac:dyDescent="0.25">
      <c r="A104" s="97"/>
      <c r="B104" s="20"/>
      <c r="C104" s="98"/>
    </row>
    <row r="105" spans="1:3" x14ac:dyDescent="0.25">
      <c r="A105" s="96" t="s">
        <v>1</v>
      </c>
      <c r="B105" s="91" t="s">
        <v>112</v>
      </c>
    </row>
    <row r="106" spans="1:3" x14ac:dyDescent="0.25">
      <c r="A106" s="96" t="s">
        <v>2</v>
      </c>
      <c r="B106" s="91" t="s">
        <v>62</v>
      </c>
    </row>
    <row r="107" spans="1:3" x14ac:dyDescent="0.25">
      <c r="A107" s="134" t="s">
        <v>190</v>
      </c>
      <c r="B107" s="134"/>
      <c r="C107" s="134"/>
    </row>
    <row r="108" spans="1:3" x14ac:dyDescent="0.25">
      <c r="A108" s="96" t="s">
        <v>105</v>
      </c>
      <c r="B108" s="91" t="s">
        <v>183</v>
      </c>
      <c r="C108" s="91" t="s">
        <v>182</v>
      </c>
    </row>
    <row r="109" spans="1:3" x14ac:dyDescent="0.25">
      <c r="A109" s="97" t="s">
        <v>107</v>
      </c>
      <c r="B109" s="20"/>
      <c r="C109" s="98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31" spans="1:3" x14ac:dyDescent="0.25">
      <c r="A131"/>
      <c r="B131"/>
    </row>
    <row r="132" spans="1:3" x14ac:dyDescent="0.25">
      <c r="A132" s="96" t="s">
        <v>1</v>
      </c>
      <c r="B132" s="91" t="s">
        <v>32</v>
      </c>
    </row>
    <row r="133" spans="1:3" x14ac:dyDescent="0.25">
      <c r="A133" s="134" t="s">
        <v>32</v>
      </c>
      <c r="B133" s="134"/>
      <c r="C133" s="134"/>
    </row>
    <row r="134" spans="1:3" x14ac:dyDescent="0.25">
      <c r="A134" s="96" t="s">
        <v>105</v>
      </c>
      <c r="B134" s="91" t="s">
        <v>183</v>
      </c>
      <c r="C134" s="91" t="s">
        <v>182</v>
      </c>
    </row>
    <row r="135" spans="1:3" x14ac:dyDescent="0.25">
      <c r="A135" s="109">
        <v>44174</v>
      </c>
      <c r="B135" s="20">
        <v>29.375</v>
      </c>
      <c r="C135" s="98">
        <v>17</v>
      </c>
    </row>
    <row r="136" spans="1:3" x14ac:dyDescent="0.25">
      <c r="A136" s="109">
        <v>44181</v>
      </c>
      <c r="B136" s="20">
        <v>22</v>
      </c>
      <c r="C136" s="98">
        <v>17</v>
      </c>
    </row>
    <row r="137" spans="1:3" x14ac:dyDescent="0.25">
      <c r="A137" s="109">
        <v>44182</v>
      </c>
      <c r="B137" s="20">
        <v>29.428571428571427</v>
      </c>
      <c r="C137" s="98">
        <v>17</v>
      </c>
    </row>
    <row r="138" spans="1:3" x14ac:dyDescent="0.25">
      <c r="A138" s="109">
        <v>44162</v>
      </c>
      <c r="B138" s="20">
        <v>18.5</v>
      </c>
      <c r="C138" s="98">
        <v>17</v>
      </c>
    </row>
    <row r="139" spans="1:3" x14ac:dyDescent="0.25">
      <c r="A139" s="109">
        <v>44187</v>
      </c>
      <c r="B139" s="20">
        <v>18.8</v>
      </c>
      <c r="C139" s="98">
        <v>17</v>
      </c>
    </row>
    <row r="140" spans="1:3" x14ac:dyDescent="0.25">
      <c r="A140" s="97" t="s">
        <v>107</v>
      </c>
      <c r="B140" s="20">
        <v>22.817261904761907</v>
      </c>
      <c r="C140" s="98">
        <v>17</v>
      </c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7" spans="1:3" x14ac:dyDescent="0.25">
      <c r="A157" s="96" t="s">
        <v>1</v>
      </c>
      <c r="B157" s="91" t="s">
        <v>33</v>
      </c>
      <c r="C157"/>
    </row>
    <row r="158" spans="1:3" x14ac:dyDescent="0.25">
      <c r="A158" s="96" t="s">
        <v>2</v>
      </c>
      <c r="B158" s="91" t="s">
        <v>45</v>
      </c>
    </row>
    <row r="159" spans="1:3" x14ac:dyDescent="0.25">
      <c r="A159" s="134"/>
      <c r="B159" s="134"/>
      <c r="C159" s="134"/>
    </row>
    <row r="160" spans="1:3" x14ac:dyDescent="0.25">
      <c r="A160" s="96" t="s">
        <v>105</v>
      </c>
      <c r="B160" s="91" t="s">
        <v>183</v>
      </c>
      <c r="C160" s="91" t="s">
        <v>182</v>
      </c>
    </row>
    <row r="161" spans="1:3" x14ac:dyDescent="0.25">
      <c r="A161" s="109">
        <v>44172</v>
      </c>
      <c r="B161" s="20">
        <v>182.54545454545453</v>
      </c>
      <c r="C161" s="98">
        <v>700</v>
      </c>
    </row>
    <row r="162" spans="1:3" x14ac:dyDescent="0.25">
      <c r="A162" s="109">
        <v>44173</v>
      </c>
      <c r="B162" s="20">
        <v>475.83333333333331</v>
      </c>
      <c r="C162" s="98">
        <v>700</v>
      </c>
    </row>
    <row r="163" spans="1:3" x14ac:dyDescent="0.25">
      <c r="A163" s="109">
        <v>44174</v>
      </c>
      <c r="B163" s="20">
        <v>540.52272727272725</v>
      </c>
      <c r="C163" s="98">
        <v>700</v>
      </c>
    </row>
    <row r="164" spans="1:3" x14ac:dyDescent="0.25">
      <c r="A164" s="109">
        <v>44175</v>
      </c>
      <c r="B164" s="20">
        <v>492.0090909090909</v>
      </c>
      <c r="C164" s="98">
        <v>700</v>
      </c>
    </row>
    <row r="165" spans="1:3" x14ac:dyDescent="0.25">
      <c r="A165" s="109">
        <v>44176</v>
      </c>
      <c r="B165" s="20">
        <v>529.375</v>
      </c>
      <c r="C165" s="98">
        <v>700</v>
      </c>
    </row>
    <row r="166" spans="1:3" x14ac:dyDescent="0.25">
      <c r="A166" s="109">
        <v>44179</v>
      </c>
      <c r="B166" s="20">
        <v>654.25</v>
      </c>
      <c r="C166" s="98">
        <v>700</v>
      </c>
    </row>
    <row r="167" spans="1:3" x14ac:dyDescent="0.25">
      <c r="A167" s="109">
        <v>44182</v>
      </c>
      <c r="B167" s="20">
        <v>636.1</v>
      </c>
      <c r="C167" s="98">
        <v>700</v>
      </c>
    </row>
    <row r="168" spans="1:3" x14ac:dyDescent="0.25">
      <c r="A168" s="109">
        <v>44183</v>
      </c>
      <c r="B168" s="20">
        <v>633.81818181818187</v>
      </c>
      <c r="C168" s="98">
        <v>700</v>
      </c>
    </row>
    <row r="169" spans="1:3" x14ac:dyDescent="0.25">
      <c r="A169" s="109">
        <v>44184</v>
      </c>
      <c r="B169" s="20">
        <v>247.26666666666665</v>
      </c>
      <c r="C169" s="98">
        <v>700</v>
      </c>
    </row>
    <row r="170" spans="1:3" x14ac:dyDescent="0.25">
      <c r="A170" s="109">
        <v>44186</v>
      </c>
      <c r="B170" s="20">
        <v>268.95</v>
      </c>
      <c r="C170" s="98">
        <v>700</v>
      </c>
    </row>
    <row r="171" spans="1:3" x14ac:dyDescent="0.25">
      <c r="A171" s="109">
        <v>44162</v>
      </c>
      <c r="B171" s="20">
        <v>545.42727272727279</v>
      </c>
      <c r="C171" s="98">
        <v>700</v>
      </c>
    </row>
    <row r="172" spans="1:3" x14ac:dyDescent="0.25">
      <c r="A172" s="109">
        <v>44160</v>
      </c>
      <c r="B172" s="20">
        <v>487.53787878787875</v>
      </c>
      <c r="C172" s="98">
        <v>700</v>
      </c>
    </row>
    <row r="173" spans="1:3" x14ac:dyDescent="0.25">
      <c r="A173" s="109">
        <v>44161</v>
      </c>
      <c r="B173" s="20">
        <v>518.08749999999998</v>
      </c>
      <c r="C173" s="98">
        <v>700</v>
      </c>
    </row>
    <row r="174" spans="1:3" x14ac:dyDescent="0.25">
      <c r="A174" s="109">
        <v>44165</v>
      </c>
      <c r="B174" s="20">
        <v>373.71428571428572</v>
      </c>
      <c r="C174" s="98">
        <v>700</v>
      </c>
    </row>
    <row r="175" spans="1:3" x14ac:dyDescent="0.25">
      <c r="A175" s="109">
        <v>44187</v>
      </c>
      <c r="B175" s="20">
        <v>407.63636363636363</v>
      </c>
      <c r="C175" s="98">
        <v>700</v>
      </c>
    </row>
    <row r="176" spans="1:3" x14ac:dyDescent="0.25">
      <c r="A176" s="97" t="s">
        <v>107</v>
      </c>
      <c r="B176" s="20">
        <v>452.8965232683982</v>
      </c>
      <c r="C176" s="98">
        <v>700</v>
      </c>
    </row>
    <row r="177" spans="1:3" x14ac:dyDescent="0.25">
      <c r="A177"/>
      <c r="B177"/>
      <c r="C177"/>
    </row>
    <row r="178" spans="1:3" x14ac:dyDescent="0.25">
      <c r="A178" s="96" t="s">
        <v>1</v>
      </c>
      <c r="B178" s="91" t="s">
        <v>33</v>
      </c>
    </row>
    <row r="179" spans="1:3" x14ac:dyDescent="0.25">
      <c r="A179" s="96" t="s">
        <v>2</v>
      </c>
      <c r="B179" s="91" t="s">
        <v>47</v>
      </c>
    </row>
    <row r="180" spans="1:3" x14ac:dyDescent="0.25">
      <c r="A180" s="134" t="s">
        <v>191</v>
      </c>
      <c r="B180" s="134"/>
      <c r="C180" s="134"/>
    </row>
    <row r="181" spans="1:3" x14ac:dyDescent="0.25">
      <c r="A181" s="96" t="s">
        <v>105</v>
      </c>
      <c r="B181" s="91" t="s">
        <v>183</v>
      </c>
      <c r="C181" s="91" t="s">
        <v>182</v>
      </c>
    </row>
    <row r="182" spans="1:3" x14ac:dyDescent="0.25">
      <c r="A182" s="109">
        <v>44166</v>
      </c>
      <c r="B182" s="20">
        <v>88.222222222222229</v>
      </c>
      <c r="C182" s="98">
        <v>70</v>
      </c>
    </row>
    <row r="183" spans="1:3" x14ac:dyDescent="0.25">
      <c r="A183" s="109">
        <v>44167</v>
      </c>
      <c r="B183" s="20">
        <v>71.466666666666669</v>
      </c>
      <c r="C183" s="98">
        <v>70</v>
      </c>
    </row>
    <row r="184" spans="1:3" x14ac:dyDescent="0.25">
      <c r="A184" s="109">
        <v>44168</v>
      </c>
      <c r="B184" s="20">
        <v>71.45</v>
      </c>
      <c r="C184" s="98">
        <v>70</v>
      </c>
    </row>
    <row r="185" spans="1:3" x14ac:dyDescent="0.25">
      <c r="A185" s="109">
        <v>44169</v>
      </c>
      <c r="B185" s="20">
        <v>94.983333333333348</v>
      </c>
      <c r="C185" s="98">
        <v>70</v>
      </c>
    </row>
    <row r="186" spans="1:3" x14ac:dyDescent="0.25">
      <c r="A186" s="109">
        <v>44170</v>
      </c>
      <c r="B186" s="20">
        <v>99.388636363636365</v>
      </c>
      <c r="C186" s="98">
        <v>70</v>
      </c>
    </row>
    <row r="187" spans="1:3" x14ac:dyDescent="0.25">
      <c r="A187" s="109">
        <v>44172</v>
      </c>
      <c r="B187" s="20">
        <v>30.444444444444443</v>
      </c>
      <c r="C187" s="98">
        <v>70</v>
      </c>
    </row>
    <row r="188" spans="1:3" x14ac:dyDescent="0.25">
      <c r="A188" s="109">
        <v>44173</v>
      </c>
      <c r="B188" s="20">
        <v>68.5</v>
      </c>
      <c r="C188" s="98">
        <v>70</v>
      </c>
    </row>
    <row r="189" spans="1:3" x14ac:dyDescent="0.25">
      <c r="A189" s="109">
        <v>44179</v>
      </c>
      <c r="B189" s="20">
        <v>70.5</v>
      </c>
      <c r="C189" s="98">
        <v>70</v>
      </c>
    </row>
    <row r="190" spans="1:3" x14ac:dyDescent="0.25">
      <c r="A190" s="109">
        <v>44180</v>
      </c>
      <c r="B190" s="20">
        <v>74.237500000000011</v>
      </c>
      <c r="C190" s="98">
        <v>70</v>
      </c>
    </row>
    <row r="191" spans="1:3" x14ac:dyDescent="0.25">
      <c r="A191" s="109">
        <v>44181</v>
      </c>
      <c r="B191" s="20">
        <v>74.771464646464636</v>
      </c>
      <c r="C191" s="98">
        <v>70</v>
      </c>
    </row>
    <row r="192" spans="1:3" x14ac:dyDescent="0.25">
      <c r="A192" s="109">
        <v>44182</v>
      </c>
      <c r="B192" s="20">
        <v>44.8125</v>
      </c>
      <c r="C192" s="98">
        <v>70</v>
      </c>
    </row>
    <row r="193" spans="1:3" x14ac:dyDescent="0.25">
      <c r="A193" s="109">
        <v>44184</v>
      </c>
      <c r="B193" s="20">
        <v>153</v>
      </c>
      <c r="C193" s="98">
        <v>70</v>
      </c>
    </row>
    <row r="194" spans="1:3" x14ac:dyDescent="0.25">
      <c r="A194" s="97" t="s">
        <v>107</v>
      </c>
      <c r="B194" s="20">
        <v>75.331391501219073</v>
      </c>
      <c r="C194" s="98">
        <v>70</v>
      </c>
    </row>
    <row r="195" spans="1:3" x14ac:dyDescent="0.25">
      <c r="A195" s="97"/>
      <c r="B195" s="20"/>
      <c r="C195" s="98"/>
    </row>
    <row r="196" spans="1:3" x14ac:dyDescent="0.25">
      <c r="A196" s="97"/>
      <c r="B196" s="20"/>
      <c r="C196" s="98"/>
    </row>
    <row r="197" spans="1:3" x14ac:dyDescent="0.25">
      <c r="A197" s="96" t="s">
        <v>1</v>
      </c>
      <c r="B197" s="91" t="s">
        <v>33</v>
      </c>
    </row>
    <row r="198" spans="1:3" x14ac:dyDescent="0.25">
      <c r="A198" s="96" t="s">
        <v>2</v>
      </c>
      <c r="B198" s="91" t="s">
        <v>234</v>
      </c>
    </row>
    <row r="199" spans="1:3" x14ac:dyDescent="0.25">
      <c r="A199" s="134" t="s">
        <v>275</v>
      </c>
      <c r="B199" s="134"/>
      <c r="C199" s="134"/>
    </row>
    <row r="200" spans="1:3" x14ac:dyDescent="0.25">
      <c r="A200" s="96" t="s">
        <v>105</v>
      </c>
      <c r="B200" s="91" t="s">
        <v>183</v>
      </c>
      <c r="C200" s="91" t="s">
        <v>182</v>
      </c>
    </row>
    <row r="201" spans="1:3" x14ac:dyDescent="0.25">
      <c r="A201" s="109">
        <v>44166</v>
      </c>
      <c r="B201" s="20">
        <v>262.66666666666669</v>
      </c>
      <c r="C201" s="98">
        <v>350</v>
      </c>
    </row>
    <row r="202" spans="1:3" x14ac:dyDescent="0.25">
      <c r="A202" s="97" t="s">
        <v>107</v>
      </c>
      <c r="B202" s="20">
        <v>262.66666666666669</v>
      </c>
      <c r="C202" s="98">
        <v>350</v>
      </c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12" spans="1:3" x14ac:dyDescent="0.25">
      <c r="A212" s="96" t="s">
        <v>1</v>
      </c>
      <c r="B212" s="91" t="s">
        <v>36</v>
      </c>
      <c r="C212"/>
    </row>
    <row r="213" spans="1:3" x14ac:dyDescent="0.25">
      <c r="A213" s="96" t="s">
        <v>2</v>
      </c>
      <c r="B213" s="91" t="s">
        <v>196</v>
      </c>
    </row>
    <row r="214" spans="1:3" x14ac:dyDescent="0.25">
      <c r="A214" s="133" t="s">
        <v>276</v>
      </c>
      <c r="B214" s="133"/>
      <c r="C214" s="133"/>
    </row>
    <row r="215" spans="1:3" x14ac:dyDescent="0.25">
      <c r="A215" s="96" t="s">
        <v>105</v>
      </c>
      <c r="B215" s="91" t="s">
        <v>183</v>
      </c>
      <c r="C215" s="91" t="s">
        <v>182</v>
      </c>
    </row>
    <row r="216" spans="1:3" x14ac:dyDescent="0.25">
      <c r="A216" s="109">
        <v>44175</v>
      </c>
      <c r="B216" s="20">
        <v>55</v>
      </c>
      <c r="C216" s="98">
        <v>300</v>
      </c>
    </row>
    <row r="217" spans="1:3" x14ac:dyDescent="0.25">
      <c r="A217" s="109">
        <v>44179</v>
      </c>
      <c r="B217" s="20">
        <v>108.31363636363636</v>
      </c>
      <c r="C217" s="98">
        <v>300</v>
      </c>
    </row>
    <row r="218" spans="1:3" x14ac:dyDescent="0.25">
      <c r="A218" s="109">
        <v>44180</v>
      </c>
      <c r="B218" s="20">
        <v>123.42857142857143</v>
      </c>
      <c r="C218" s="98">
        <v>300</v>
      </c>
    </row>
    <row r="219" spans="1:3" x14ac:dyDescent="0.25">
      <c r="A219" s="109">
        <v>44158</v>
      </c>
      <c r="B219" s="20">
        <v>192.83333333333334</v>
      </c>
      <c r="C219" s="98">
        <v>300</v>
      </c>
    </row>
    <row r="220" spans="1:3" x14ac:dyDescent="0.25">
      <c r="A220" s="109">
        <v>44159</v>
      </c>
      <c r="B220" s="20">
        <v>168.6</v>
      </c>
      <c r="C220" s="98">
        <v>300</v>
      </c>
    </row>
    <row r="221" spans="1:3" x14ac:dyDescent="0.25">
      <c r="A221" s="109">
        <v>44160</v>
      </c>
      <c r="B221" s="20">
        <v>207.3</v>
      </c>
      <c r="C221" s="98">
        <v>300</v>
      </c>
    </row>
    <row r="222" spans="1:3" x14ac:dyDescent="0.25">
      <c r="A222" s="97" t="s">
        <v>107</v>
      </c>
      <c r="B222" s="20">
        <v>137.68416821273965</v>
      </c>
      <c r="C222" s="98">
        <v>300</v>
      </c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 s="96" t="s">
        <v>1</v>
      </c>
      <c r="B229" s="91" t="s">
        <v>36</v>
      </c>
      <c r="C229"/>
    </row>
    <row r="230" spans="1:3" x14ac:dyDescent="0.25">
      <c r="A230" s="96" t="s">
        <v>2</v>
      </c>
      <c r="B230" s="91" t="s">
        <v>196</v>
      </c>
    </row>
    <row r="231" spans="1:3" x14ac:dyDescent="0.25">
      <c r="A231" s="133" t="s">
        <v>36</v>
      </c>
      <c r="B231" s="133"/>
      <c r="C231" s="133"/>
    </row>
    <row r="232" spans="1:3" x14ac:dyDescent="0.25">
      <c r="A232" s="96" t="s">
        <v>105</v>
      </c>
      <c r="B232" s="91" t="s">
        <v>183</v>
      </c>
      <c r="C232" s="91" t="s">
        <v>182</v>
      </c>
    </row>
    <row r="233" spans="1:3" x14ac:dyDescent="0.25">
      <c r="A233" s="109">
        <v>44166</v>
      </c>
      <c r="B233" s="20">
        <v>356.2</v>
      </c>
      <c r="C233" s="98">
        <v>500</v>
      </c>
    </row>
    <row r="234" spans="1:3" x14ac:dyDescent="0.25">
      <c r="A234" s="109">
        <v>44167</v>
      </c>
      <c r="B234" s="20">
        <v>383</v>
      </c>
      <c r="C234" s="98">
        <v>500</v>
      </c>
    </row>
    <row r="235" spans="1:3" x14ac:dyDescent="0.25">
      <c r="A235" s="109">
        <v>44169</v>
      </c>
      <c r="B235" s="20">
        <v>286.8</v>
      </c>
      <c r="C235" s="98">
        <v>500</v>
      </c>
    </row>
    <row r="236" spans="1:3" x14ac:dyDescent="0.25">
      <c r="A236" s="109">
        <v>44170</v>
      </c>
      <c r="B236" s="20">
        <v>181.3</v>
      </c>
      <c r="C236" s="98">
        <v>500</v>
      </c>
    </row>
    <row r="237" spans="1:3" x14ac:dyDescent="0.25">
      <c r="A237" s="109">
        <v>44172</v>
      </c>
      <c r="B237" s="20">
        <v>213</v>
      </c>
      <c r="C237" s="98">
        <v>500</v>
      </c>
    </row>
    <row r="238" spans="1:3" x14ac:dyDescent="0.25">
      <c r="A238" s="109">
        <v>44173</v>
      </c>
      <c r="B238" s="20">
        <v>272.60000000000002</v>
      </c>
      <c r="C238" s="98">
        <v>500</v>
      </c>
    </row>
    <row r="239" spans="1:3" x14ac:dyDescent="0.25">
      <c r="A239" s="109">
        <v>44174</v>
      </c>
      <c r="B239" s="20">
        <v>108.3</v>
      </c>
      <c r="C239" s="98">
        <v>500</v>
      </c>
    </row>
    <row r="240" spans="1:3" x14ac:dyDescent="0.25">
      <c r="A240" s="109">
        <v>44175</v>
      </c>
      <c r="B240" s="20">
        <v>386.55</v>
      </c>
      <c r="C240" s="98">
        <v>500</v>
      </c>
    </row>
    <row r="241" spans="1:3" x14ac:dyDescent="0.25">
      <c r="A241" s="109">
        <v>44176</v>
      </c>
      <c r="B241" s="20">
        <v>310.74545454545455</v>
      </c>
      <c r="C241" s="98">
        <v>500</v>
      </c>
    </row>
    <row r="242" spans="1:3" x14ac:dyDescent="0.25">
      <c r="A242" s="109">
        <v>44177</v>
      </c>
      <c r="B242" s="20">
        <v>290.88888888888891</v>
      </c>
      <c r="C242" s="98">
        <v>500</v>
      </c>
    </row>
    <row r="243" spans="1:3" x14ac:dyDescent="0.25">
      <c r="A243" s="109">
        <v>44183</v>
      </c>
      <c r="B243" s="20">
        <v>256</v>
      </c>
      <c r="C243" s="98">
        <v>500</v>
      </c>
    </row>
    <row r="244" spans="1:3" x14ac:dyDescent="0.25">
      <c r="A244" s="109">
        <v>44161</v>
      </c>
      <c r="B244" s="20">
        <v>430.85714285714283</v>
      </c>
      <c r="C244" s="98">
        <v>500</v>
      </c>
    </row>
    <row r="245" spans="1:3" x14ac:dyDescent="0.25">
      <c r="A245" s="97" t="s">
        <v>107</v>
      </c>
      <c r="B245" s="20">
        <v>298.10978148835295</v>
      </c>
      <c r="C245" s="98">
        <v>500</v>
      </c>
    </row>
  </sheetData>
  <mergeCells count="13">
    <mergeCell ref="A214:C214"/>
    <mergeCell ref="A231:C231"/>
    <mergeCell ref="A199:C199"/>
    <mergeCell ref="A1:H1"/>
    <mergeCell ref="A81:C81"/>
    <mergeCell ref="A107:C107"/>
    <mergeCell ref="A133:C133"/>
    <mergeCell ref="A159:C159"/>
    <mergeCell ref="A180:C180"/>
    <mergeCell ref="A4:C4"/>
    <mergeCell ref="A28:C28"/>
    <mergeCell ref="A53:C53"/>
    <mergeCell ref="A18:C18"/>
  </mergeCells>
  <pageMargins left="0.7" right="0.7" top="0.75" bottom="0.75" header="0.3" footer="0.3"/>
  <pageSetup scale="68" fitToHeight="0" orientation="portrait" horizontalDpi="4294967295" verticalDpi="4294967295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4" sqref="E4"/>
    </sheetView>
  </sheetViews>
  <sheetFormatPr baseColWidth="10" defaultRowHeight="15" x14ac:dyDescent="0.25"/>
  <cols>
    <col min="1" max="1" width="24.28515625" bestFit="1" customWidth="1"/>
    <col min="2" max="2" width="20.42578125" customWidth="1"/>
    <col min="4" max="4" width="14.7109375" bestFit="1" customWidth="1"/>
    <col min="6" max="6" width="18" bestFit="1" customWidth="1"/>
  </cols>
  <sheetData>
    <row r="1" spans="1:8" x14ac:dyDescent="0.25">
      <c r="A1" s="96" t="s">
        <v>0</v>
      </c>
      <c r="B1" s="91" t="s">
        <v>196</v>
      </c>
    </row>
    <row r="2" spans="1:8" x14ac:dyDescent="0.25">
      <c r="D2" s="141" t="s">
        <v>203</v>
      </c>
      <c r="E2" s="141"/>
      <c r="F2" s="141"/>
    </row>
    <row r="3" spans="1:8" x14ac:dyDescent="0.25">
      <c r="A3" s="96" t="s">
        <v>105</v>
      </c>
      <c r="B3" t="s">
        <v>165</v>
      </c>
      <c r="D3" t="s">
        <v>197</v>
      </c>
      <c r="E3" t="s">
        <v>107</v>
      </c>
      <c r="F3" s="114" t="s">
        <v>204</v>
      </c>
    </row>
    <row r="4" spans="1:8" x14ac:dyDescent="0.25">
      <c r="A4" s="97" t="s">
        <v>29</v>
      </c>
      <c r="B4" s="98">
        <v>2250</v>
      </c>
      <c r="D4" t="s">
        <v>198</v>
      </c>
      <c r="E4">
        <v>4207</v>
      </c>
      <c r="F4" s="115">
        <f>+E4-B5</f>
        <v>0</v>
      </c>
    </row>
    <row r="5" spans="1:8" x14ac:dyDescent="0.25">
      <c r="A5" s="97" t="s">
        <v>113</v>
      </c>
      <c r="B5" s="98">
        <v>4207</v>
      </c>
      <c r="D5" t="s">
        <v>199</v>
      </c>
      <c r="E5">
        <v>11013</v>
      </c>
      <c r="F5" s="115">
        <f>+E5-B6</f>
        <v>-570</v>
      </c>
      <c r="H5" s="91"/>
    </row>
    <row r="6" spans="1:8" x14ac:dyDescent="0.25">
      <c r="A6" s="97" t="s">
        <v>111</v>
      </c>
      <c r="B6" s="98">
        <v>11583</v>
      </c>
      <c r="D6" t="s">
        <v>200</v>
      </c>
      <c r="E6">
        <v>23364</v>
      </c>
      <c r="F6" s="115">
        <f>+E6-B7</f>
        <v>-1872.0000000000073</v>
      </c>
      <c r="H6" s="91"/>
    </row>
    <row r="7" spans="1:8" x14ac:dyDescent="0.25">
      <c r="A7" s="97" t="s">
        <v>112</v>
      </c>
      <c r="B7" s="98">
        <v>25236.000000000007</v>
      </c>
      <c r="D7" t="s">
        <v>201</v>
      </c>
      <c r="E7">
        <v>1535</v>
      </c>
      <c r="F7" s="115">
        <f>+E7-B8</f>
        <v>-3834</v>
      </c>
      <c r="H7" s="91"/>
    </row>
    <row r="8" spans="1:8" x14ac:dyDescent="0.25">
      <c r="A8" s="97" t="s">
        <v>33</v>
      </c>
      <c r="B8" s="98">
        <v>5369</v>
      </c>
      <c r="D8" t="s">
        <v>36</v>
      </c>
      <c r="E8">
        <v>16695</v>
      </c>
      <c r="F8" s="115">
        <f>+B11+B12-E8</f>
        <v>0</v>
      </c>
      <c r="H8" s="91"/>
    </row>
    <row r="9" spans="1:8" x14ac:dyDescent="0.25">
      <c r="A9" s="97" t="s">
        <v>38</v>
      </c>
      <c r="B9" s="98">
        <v>7</v>
      </c>
      <c r="D9" t="s">
        <v>29</v>
      </c>
      <c r="E9">
        <v>2732</v>
      </c>
      <c r="F9" s="115">
        <f>+B4-E9</f>
        <v>-482</v>
      </c>
      <c r="H9" s="91"/>
    </row>
    <row r="10" spans="1:8" x14ac:dyDescent="0.25">
      <c r="A10" s="97" t="s">
        <v>40</v>
      </c>
      <c r="B10" s="98"/>
      <c r="D10" t="s">
        <v>202</v>
      </c>
      <c r="E10">
        <v>1450</v>
      </c>
      <c r="F10" s="115">
        <f>-E10</f>
        <v>-1450</v>
      </c>
      <c r="H10" s="91"/>
    </row>
    <row r="11" spans="1:8" x14ac:dyDescent="0.25">
      <c r="A11" s="97" t="s">
        <v>36</v>
      </c>
      <c r="B11" s="98">
        <v>11667</v>
      </c>
      <c r="E11">
        <f>SUM(E4:E10)</f>
        <v>60996</v>
      </c>
      <c r="F11" s="115"/>
    </row>
    <row r="12" spans="1:8" x14ac:dyDescent="0.25">
      <c r="A12" s="97" t="s">
        <v>79</v>
      </c>
      <c r="B12" s="98">
        <v>5028</v>
      </c>
    </row>
    <row r="13" spans="1:8" x14ac:dyDescent="0.25">
      <c r="A13" s="97" t="s">
        <v>107</v>
      </c>
      <c r="B13" s="98">
        <v>65347.000000000007</v>
      </c>
    </row>
    <row r="16" spans="1:8" x14ac:dyDescent="0.25">
      <c r="A16" s="96" t="s">
        <v>0</v>
      </c>
      <c r="B16" s="91" t="s">
        <v>196</v>
      </c>
    </row>
    <row r="17" spans="1:2" x14ac:dyDescent="0.25">
      <c r="A17" s="96" t="s">
        <v>1</v>
      </c>
      <c r="B17" s="91" t="s">
        <v>33</v>
      </c>
    </row>
    <row r="18" spans="1:2" x14ac:dyDescent="0.25">
      <c r="A18" s="91"/>
      <c r="B18" s="91"/>
    </row>
    <row r="19" spans="1:2" x14ac:dyDescent="0.25">
      <c r="A19" s="96" t="s">
        <v>105</v>
      </c>
      <c r="B19" t="s">
        <v>165</v>
      </c>
    </row>
    <row r="20" spans="1:2" x14ac:dyDescent="0.25">
      <c r="A20" s="97" t="s">
        <v>47</v>
      </c>
      <c r="B20" s="98">
        <v>5369</v>
      </c>
    </row>
    <row r="21" spans="1:2" x14ac:dyDescent="0.25">
      <c r="A21" s="97" t="s">
        <v>107</v>
      </c>
      <c r="B21" s="98">
        <v>5369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3"/>
  <sheetViews>
    <sheetView topLeftCell="W1" workbookViewId="0">
      <selection activeCell="Y30" sqref="Y30"/>
    </sheetView>
  </sheetViews>
  <sheetFormatPr baseColWidth="10" defaultRowHeight="15" x14ac:dyDescent="0.25"/>
  <cols>
    <col min="1" max="1" width="17.5703125" customWidth="1"/>
    <col min="2" max="2" width="21.5703125" customWidth="1"/>
    <col min="3" max="3" width="23.85546875" customWidth="1"/>
    <col min="4" max="4" width="23.140625" customWidth="1"/>
    <col min="5" max="5" width="8" style="91" customWidth="1"/>
    <col min="6" max="7" width="12" style="91" customWidth="1"/>
    <col min="8" max="8" width="12.7109375" style="91" customWidth="1"/>
    <col min="10" max="10" width="28" style="91" customWidth="1"/>
    <col min="11" max="11" width="19.28515625" style="91" customWidth="1"/>
    <col min="12" max="12" width="21.5703125" style="91" customWidth="1"/>
    <col min="13" max="13" width="20.85546875" style="91" customWidth="1"/>
    <col min="14" max="15" width="11.42578125" style="91"/>
    <col min="16" max="16" width="24.28515625" customWidth="1"/>
    <col min="17" max="17" width="20.85546875" customWidth="1"/>
    <col min="18" max="18" width="18.140625" customWidth="1"/>
    <col min="20" max="20" width="23.5703125" bestFit="1" customWidth="1"/>
    <col min="21" max="21" width="20.85546875" bestFit="1" customWidth="1"/>
    <col min="22" max="22" width="18.140625" bestFit="1" customWidth="1"/>
    <col min="24" max="24" width="16.5703125" customWidth="1"/>
    <col min="25" max="25" width="26.42578125" customWidth="1"/>
    <col min="26" max="26" width="20.85546875" bestFit="1" customWidth="1"/>
    <col min="27" max="27" width="5.42578125" style="91" customWidth="1"/>
    <col min="28" max="28" width="31.7109375" bestFit="1" customWidth="1"/>
    <col min="29" max="30" width="12.42578125" bestFit="1" customWidth="1"/>
    <col min="32" max="32" width="19.7109375" customWidth="1"/>
  </cols>
  <sheetData>
    <row r="1" spans="1:32" ht="15.75" x14ac:dyDescent="0.25">
      <c r="P1" s="136" t="s">
        <v>185</v>
      </c>
      <c r="Q1" s="136"/>
      <c r="R1" s="136"/>
      <c r="S1" s="136" t="s">
        <v>184</v>
      </c>
      <c r="T1" s="136"/>
      <c r="U1" s="136"/>
      <c r="V1" s="136"/>
      <c r="W1" s="136"/>
      <c r="X1" s="136" t="s">
        <v>289</v>
      </c>
      <c r="Y1" s="136"/>
      <c r="Z1" s="136"/>
      <c r="AA1" s="136"/>
      <c r="AB1" s="136"/>
      <c r="AC1" s="136"/>
      <c r="AD1" s="136"/>
      <c r="AE1" s="136"/>
    </row>
    <row r="2" spans="1:32" ht="15.75" x14ac:dyDescent="0.25">
      <c r="A2" s="134" t="s">
        <v>186</v>
      </c>
      <c r="B2" s="134"/>
      <c r="C2" s="134"/>
      <c r="D2" s="134"/>
      <c r="J2" s="134" t="s">
        <v>186</v>
      </c>
      <c r="K2" s="134"/>
      <c r="L2" s="134"/>
      <c r="M2" s="134"/>
      <c r="P2" s="96" t="s">
        <v>105</v>
      </c>
      <c r="Q2" t="s">
        <v>164</v>
      </c>
      <c r="U2" s="112"/>
      <c r="V2" s="112"/>
      <c r="Y2" s="134" t="s">
        <v>229</v>
      </c>
      <c r="Z2" s="134"/>
      <c r="AA2" s="116"/>
      <c r="AB2" s="134" t="s">
        <v>141</v>
      </c>
      <c r="AC2" s="134"/>
      <c r="AD2" s="138" t="s">
        <v>204</v>
      </c>
      <c r="AE2" s="138"/>
    </row>
    <row r="3" spans="1:32" x14ac:dyDescent="0.25">
      <c r="A3" s="96" t="s">
        <v>105</v>
      </c>
      <c r="B3" s="91" t="s">
        <v>165</v>
      </c>
      <c r="C3" s="91" t="s">
        <v>166</v>
      </c>
      <c r="D3" s="91" t="s">
        <v>164</v>
      </c>
      <c r="E3" s="91" t="s">
        <v>286</v>
      </c>
      <c r="F3" s="91" t="s">
        <v>286</v>
      </c>
      <c r="J3" s="96" t="s">
        <v>105</v>
      </c>
      <c r="K3" s="91" t="s">
        <v>165</v>
      </c>
      <c r="L3" s="91" t="s">
        <v>166</v>
      </c>
      <c r="M3" s="91" t="s">
        <v>164</v>
      </c>
      <c r="P3" s="97" t="s">
        <v>29</v>
      </c>
      <c r="Q3" s="89">
        <v>61.755900666666662</v>
      </c>
      <c r="T3" s="96" t="s">
        <v>105</v>
      </c>
      <c r="U3" s="91" t="s">
        <v>183</v>
      </c>
      <c r="V3" s="91" t="s">
        <v>182</v>
      </c>
      <c r="Y3" s="96" t="s">
        <v>209</v>
      </c>
      <c r="Z3" t="s">
        <v>164</v>
      </c>
      <c r="AB3" s="121" t="s">
        <v>209</v>
      </c>
      <c r="AC3" s="121" t="s">
        <v>230</v>
      </c>
      <c r="AD3" s="118" t="s">
        <v>231</v>
      </c>
      <c r="AE3" s="118" t="s">
        <v>232</v>
      </c>
    </row>
    <row r="4" spans="1:32" x14ac:dyDescent="0.25">
      <c r="A4" s="97" t="s">
        <v>97</v>
      </c>
      <c r="B4" s="101">
        <v>8854.41</v>
      </c>
      <c r="C4" s="101">
        <v>200</v>
      </c>
      <c r="D4" s="89">
        <v>60.094392381558421</v>
      </c>
      <c r="E4" s="98"/>
      <c r="J4" s="97" t="s">
        <v>97</v>
      </c>
      <c r="K4" s="78">
        <v>8854.41</v>
      </c>
      <c r="L4" s="101">
        <v>200</v>
      </c>
      <c r="M4" s="89">
        <v>60.094392381558443</v>
      </c>
      <c r="P4" s="97" t="s">
        <v>113</v>
      </c>
      <c r="Q4" s="89">
        <v>118.81563611111112</v>
      </c>
      <c r="T4" s="97" t="s">
        <v>29</v>
      </c>
      <c r="U4" s="78">
        <v>67.217837465564742</v>
      </c>
      <c r="V4" s="78">
        <v>77.727272727272734</v>
      </c>
      <c r="X4" s="137" t="s">
        <v>296</v>
      </c>
      <c r="Y4" s="97" t="s">
        <v>97</v>
      </c>
      <c r="Z4" s="89">
        <v>60.094392381558428</v>
      </c>
      <c r="AA4" s="89"/>
      <c r="AB4" t="s">
        <v>210</v>
      </c>
      <c r="AC4" s="117">
        <v>93.02</v>
      </c>
      <c r="AE4" s="117">
        <f>+Z4-AC4</f>
        <v>-32.925607618441568</v>
      </c>
    </row>
    <row r="5" spans="1:32" x14ac:dyDescent="0.25">
      <c r="A5" s="107">
        <v>44166</v>
      </c>
      <c r="B5" s="101"/>
      <c r="C5" s="101">
        <v>10</v>
      </c>
      <c r="D5" s="89">
        <v>3.4830000000000001</v>
      </c>
      <c r="E5" s="98"/>
      <c r="H5" s="89"/>
      <c r="J5" s="99" t="s">
        <v>112</v>
      </c>
      <c r="K5" s="78">
        <v>616.5</v>
      </c>
      <c r="L5" s="101">
        <v>10</v>
      </c>
      <c r="M5" s="89">
        <v>5.7306477272727276</v>
      </c>
      <c r="P5" s="97" t="s">
        <v>111</v>
      </c>
      <c r="Q5" s="89">
        <v>278.5590081521737</v>
      </c>
      <c r="T5" s="97" t="s">
        <v>113</v>
      </c>
      <c r="U5" s="78">
        <v>36.972130394857665</v>
      </c>
      <c r="V5" s="78">
        <v>45</v>
      </c>
      <c r="X5" s="137"/>
      <c r="Y5" s="97" t="s">
        <v>56</v>
      </c>
      <c r="Z5" s="89">
        <v>87.368947458498027</v>
      </c>
      <c r="AA5" s="89"/>
      <c r="AB5" t="s">
        <v>211</v>
      </c>
      <c r="AC5" s="117">
        <v>60.16</v>
      </c>
      <c r="AD5" s="117">
        <f>+Z5-AC5</f>
        <v>27.208947458498031</v>
      </c>
      <c r="AE5" s="117"/>
    </row>
    <row r="6" spans="1:32" x14ac:dyDescent="0.25">
      <c r="A6" s="107">
        <v>44167</v>
      </c>
      <c r="B6" s="101">
        <v>558.66</v>
      </c>
      <c r="C6" s="101">
        <v>10</v>
      </c>
      <c r="D6" s="89">
        <v>1.9207038685714286</v>
      </c>
      <c r="E6" s="98"/>
      <c r="H6" s="89"/>
      <c r="J6" s="99" t="s">
        <v>33</v>
      </c>
      <c r="K6" s="78">
        <v>8237.91</v>
      </c>
      <c r="L6" s="101">
        <v>77</v>
      </c>
      <c r="M6" s="89">
        <v>15.005844654285713</v>
      </c>
      <c r="P6" s="97" t="s">
        <v>112</v>
      </c>
      <c r="Q6" s="89">
        <v>147.89997727272731</v>
      </c>
      <c r="T6" s="97" t="s">
        <v>111</v>
      </c>
      <c r="U6" s="78">
        <v>78.017893518518562</v>
      </c>
      <c r="V6" s="78">
        <v>92</v>
      </c>
      <c r="X6" s="137"/>
      <c r="Y6" s="97" t="s">
        <v>58</v>
      </c>
      <c r="Z6" s="89">
        <v>58.565734823953811</v>
      </c>
      <c r="AA6" s="89"/>
      <c r="AB6" t="s">
        <v>212</v>
      </c>
      <c r="AC6" s="117">
        <v>89.61</v>
      </c>
      <c r="AD6" s="117"/>
      <c r="AE6" s="117">
        <f t="shared" ref="AE6:AE22" si="0">+Z6-AC6</f>
        <v>-31.044265176046189</v>
      </c>
    </row>
    <row r="7" spans="1:32" x14ac:dyDescent="0.25">
      <c r="A7" s="107">
        <v>44169</v>
      </c>
      <c r="B7" s="101">
        <v>827</v>
      </c>
      <c r="C7" s="101">
        <v>10</v>
      </c>
      <c r="D7" s="89">
        <v>1.8120751428571431</v>
      </c>
      <c r="E7" s="98"/>
      <c r="H7" s="89"/>
      <c r="J7" s="99" t="s">
        <v>38</v>
      </c>
      <c r="K7" s="78"/>
      <c r="L7" s="101">
        <v>10</v>
      </c>
      <c r="M7" s="89">
        <v>3.4830000000000001</v>
      </c>
      <c r="P7" s="97" t="s">
        <v>32</v>
      </c>
      <c r="Q7" s="89">
        <v>22.464926470588239</v>
      </c>
      <c r="T7" s="97" t="s">
        <v>112</v>
      </c>
      <c r="U7" s="78">
        <v>53.189962418300652</v>
      </c>
      <c r="V7" s="78">
        <v>55</v>
      </c>
      <c r="X7" s="137"/>
      <c r="Y7" s="97" t="s">
        <v>69</v>
      </c>
      <c r="Z7" s="89">
        <v>72.392089026138692</v>
      </c>
      <c r="AA7" s="89"/>
      <c r="AB7" t="s">
        <v>213</v>
      </c>
      <c r="AC7" s="117">
        <v>122.89</v>
      </c>
      <c r="AD7" s="117"/>
      <c r="AE7" s="117">
        <f t="shared" si="0"/>
        <v>-50.497910973861309</v>
      </c>
    </row>
    <row r="8" spans="1:32" x14ac:dyDescent="0.25">
      <c r="A8" s="107">
        <v>44170</v>
      </c>
      <c r="B8" s="101">
        <v>745</v>
      </c>
      <c r="C8" s="101">
        <v>11</v>
      </c>
      <c r="D8" s="89">
        <v>1.6324014285714286</v>
      </c>
      <c r="E8" s="98"/>
      <c r="H8" s="89"/>
      <c r="J8" s="99" t="s">
        <v>115</v>
      </c>
      <c r="K8" s="78"/>
      <c r="L8" s="101">
        <v>75</v>
      </c>
      <c r="M8" s="89">
        <v>26.122499999999999</v>
      </c>
      <c r="P8" s="97" t="s">
        <v>33</v>
      </c>
      <c r="Q8" s="89">
        <v>198.26008357142862</v>
      </c>
      <c r="T8" s="97" t="s">
        <v>32</v>
      </c>
      <c r="U8" s="78">
        <v>22.817261904761903</v>
      </c>
      <c r="V8" s="78">
        <v>17</v>
      </c>
      <c r="X8" s="137"/>
      <c r="Y8" s="97" t="s">
        <v>72</v>
      </c>
      <c r="Z8" s="89">
        <v>63.565478587301591</v>
      </c>
      <c r="AA8" s="89"/>
      <c r="AB8" t="s">
        <v>214</v>
      </c>
      <c r="AC8" s="117">
        <v>96.43</v>
      </c>
      <c r="AD8" s="117"/>
      <c r="AE8" s="117">
        <f t="shared" si="0"/>
        <v>-32.864521412698416</v>
      </c>
    </row>
    <row r="9" spans="1:32" x14ac:dyDescent="0.25">
      <c r="A9" s="107">
        <v>44173</v>
      </c>
      <c r="B9" s="101">
        <v>548</v>
      </c>
      <c r="C9" s="101">
        <v>8</v>
      </c>
      <c r="D9" s="89">
        <v>1.2007462857142857</v>
      </c>
      <c r="E9" s="98"/>
      <c r="H9" s="89"/>
      <c r="J9" s="99" t="s">
        <v>41</v>
      </c>
      <c r="K9" s="78"/>
      <c r="L9" s="101">
        <v>28</v>
      </c>
      <c r="M9" s="89">
        <v>9.7523999999999997</v>
      </c>
      <c r="P9" s="97" t="s">
        <v>38</v>
      </c>
      <c r="Q9" s="89">
        <v>44.582399999999978</v>
      </c>
      <c r="T9" s="97" t="s">
        <v>33</v>
      </c>
      <c r="U9" s="78">
        <v>187.66750712911434</v>
      </c>
      <c r="V9" s="78">
        <v>256.66666666666669</v>
      </c>
      <c r="X9" s="137"/>
      <c r="Y9" s="97" t="s">
        <v>96</v>
      </c>
      <c r="Z9" s="89">
        <v>73.866009538678711</v>
      </c>
      <c r="AA9" s="89"/>
      <c r="AB9" t="s">
        <v>225</v>
      </c>
      <c r="AC9" s="117">
        <v>102.41</v>
      </c>
      <c r="AD9" s="117"/>
      <c r="AE9" s="117">
        <f t="shared" si="0"/>
        <v>-28.543990461321286</v>
      </c>
    </row>
    <row r="10" spans="1:32" x14ac:dyDescent="0.25">
      <c r="A10" s="107">
        <v>44174</v>
      </c>
      <c r="B10" s="101"/>
      <c r="C10" s="101">
        <v>10</v>
      </c>
      <c r="D10" s="89">
        <v>3.4830000000000001</v>
      </c>
      <c r="E10" s="98"/>
      <c r="H10" s="89"/>
      <c r="J10" s="97" t="s">
        <v>56</v>
      </c>
      <c r="K10" s="78">
        <v>15330.810000000001</v>
      </c>
      <c r="L10" s="101">
        <v>192.5</v>
      </c>
      <c r="M10" s="89">
        <v>87.368947458498013</v>
      </c>
      <c r="P10" s="97" t="s">
        <v>115</v>
      </c>
      <c r="Q10" s="89">
        <v>215.24940000000012</v>
      </c>
      <c r="T10" s="97" t="s">
        <v>36</v>
      </c>
      <c r="U10" s="78">
        <v>244.6345770631485</v>
      </c>
      <c r="V10" s="78">
        <v>433.33333333333331</v>
      </c>
      <c r="X10" s="137"/>
      <c r="Y10" s="97" t="s">
        <v>43</v>
      </c>
      <c r="Z10" s="89">
        <v>98.158182982056616</v>
      </c>
      <c r="AA10" s="89"/>
      <c r="AB10" t="s">
        <v>226</v>
      </c>
      <c r="AC10" s="117">
        <v>187.75</v>
      </c>
      <c r="AE10" s="117">
        <f t="shared" si="0"/>
        <v>-89.591817017943384</v>
      </c>
    </row>
    <row r="11" spans="1:32" x14ac:dyDescent="0.25">
      <c r="A11" s="107">
        <v>44175</v>
      </c>
      <c r="B11" s="101">
        <v>616.5</v>
      </c>
      <c r="C11" s="101">
        <v>10</v>
      </c>
      <c r="D11" s="89">
        <v>5.7306477272727276</v>
      </c>
      <c r="E11" s="98"/>
      <c r="H11" s="89"/>
      <c r="J11" s="99" t="s">
        <v>29</v>
      </c>
      <c r="K11" s="78">
        <v>3515</v>
      </c>
      <c r="L11" s="101">
        <v>49</v>
      </c>
      <c r="M11" s="89">
        <v>35.493836222222221</v>
      </c>
      <c r="P11" s="97" t="s">
        <v>36</v>
      </c>
      <c r="Q11" s="89">
        <v>47.948092500000001</v>
      </c>
      <c r="T11" s="97" t="s">
        <v>107</v>
      </c>
      <c r="U11" s="98">
        <v>116.56522551458757</v>
      </c>
      <c r="V11" s="98">
        <v>159.37164750957854</v>
      </c>
      <c r="X11" s="137"/>
      <c r="Y11" s="97" t="s">
        <v>169</v>
      </c>
      <c r="Z11" s="89">
        <v>69.481913852941148</v>
      </c>
      <c r="AA11" s="89"/>
      <c r="AB11" t="s">
        <v>217</v>
      </c>
      <c r="AC11" s="117">
        <v>53.76</v>
      </c>
      <c r="AD11" s="117">
        <f>+Z11-AC11</f>
        <v>15.72191385294115</v>
      </c>
      <c r="AF11" s="122" t="s">
        <v>297</v>
      </c>
    </row>
    <row r="12" spans="1:32" x14ac:dyDescent="0.25">
      <c r="A12" s="107">
        <v>44176</v>
      </c>
      <c r="B12" s="101"/>
      <c r="C12" s="101">
        <v>8</v>
      </c>
      <c r="D12" s="89">
        <v>2.7864</v>
      </c>
      <c r="E12" s="98"/>
      <c r="H12" s="89"/>
      <c r="J12" s="99" t="s">
        <v>113</v>
      </c>
      <c r="K12" s="78">
        <v>514</v>
      </c>
      <c r="L12" s="101">
        <v>14</v>
      </c>
      <c r="M12" s="89">
        <v>5.8396111111111111</v>
      </c>
      <c r="P12" s="97" t="s">
        <v>34</v>
      </c>
      <c r="Q12" s="89">
        <v>134.04316428571431</v>
      </c>
      <c r="X12" s="137"/>
      <c r="Y12" s="97" t="s">
        <v>57</v>
      </c>
      <c r="Z12" s="89">
        <v>99.202908697675511</v>
      </c>
      <c r="AA12" s="89"/>
      <c r="AB12" t="s">
        <v>218</v>
      </c>
      <c r="AC12" s="117">
        <v>128.01</v>
      </c>
      <c r="AD12" s="117"/>
      <c r="AE12" s="117">
        <f t="shared" si="0"/>
        <v>-28.80709130232448</v>
      </c>
    </row>
    <row r="13" spans="1:32" x14ac:dyDescent="0.25">
      <c r="A13" s="107">
        <v>44177</v>
      </c>
      <c r="B13" s="101"/>
      <c r="C13" s="101">
        <v>10</v>
      </c>
      <c r="D13" s="89">
        <v>3.4830000000000001</v>
      </c>
      <c r="E13" s="98"/>
      <c r="H13" s="89"/>
      <c r="J13" s="99" t="s">
        <v>111</v>
      </c>
      <c r="K13" s="78">
        <v>1711.7066666666665</v>
      </c>
      <c r="L13" s="101">
        <v>26</v>
      </c>
      <c r="M13" s="89">
        <v>9.5120655797101445</v>
      </c>
      <c r="P13" s="97" t="s">
        <v>37</v>
      </c>
      <c r="Q13" s="89">
        <v>4.5278999999999998</v>
      </c>
      <c r="X13" s="137"/>
      <c r="Y13" s="97" t="s">
        <v>168</v>
      </c>
      <c r="Z13" s="89">
        <v>61.997399999999978</v>
      </c>
      <c r="AA13" s="89"/>
      <c r="AB13" t="s">
        <v>219</v>
      </c>
      <c r="AC13" s="117">
        <v>81.93</v>
      </c>
      <c r="AE13" s="117">
        <f t="shared" si="0"/>
        <v>-19.932600000000029</v>
      </c>
    </row>
    <row r="14" spans="1:32" x14ac:dyDescent="0.25">
      <c r="A14" s="107">
        <v>44179</v>
      </c>
      <c r="B14" s="101">
        <v>775.5</v>
      </c>
      <c r="C14" s="101">
        <v>11</v>
      </c>
      <c r="D14" s="89">
        <v>1.6992312857142857</v>
      </c>
      <c r="E14" s="98"/>
      <c r="H14" s="89"/>
      <c r="J14" s="99" t="s">
        <v>112</v>
      </c>
      <c r="K14" s="78">
        <v>1624.1033333333332</v>
      </c>
      <c r="L14" s="101">
        <v>33</v>
      </c>
      <c r="M14" s="89">
        <v>15.09677871212121</v>
      </c>
      <c r="P14" s="97" t="s">
        <v>41</v>
      </c>
      <c r="Q14" s="89">
        <v>149.42070000000007</v>
      </c>
      <c r="X14" s="137"/>
      <c r="Y14" s="97" t="s">
        <v>63</v>
      </c>
      <c r="Z14" s="89">
        <v>64.346738106695838</v>
      </c>
      <c r="AA14" s="89"/>
      <c r="AB14" t="s">
        <v>220</v>
      </c>
      <c r="AC14" s="117">
        <v>40.96</v>
      </c>
      <c r="AD14" s="117">
        <f>+Z14-AC14</f>
        <v>23.386738106695837</v>
      </c>
    </row>
    <row r="15" spans="1:32" x14ac:dyDescent="0.25">
      <c r="A15" s="107">
        <v>44180</v>
      </c>
      <c r="B15" s="101">
        <v>863.5</v>
      </c>
      <c r="C15" s="101">
        <v>11</v>
      </c>
      <c r="D15" s="89">
        <v>1.8920518571428571</v>
      </c>
      <c r="E15" s="98"/>
      <c r="H15" s="89"/>
      <c r="J15" s="99" t="s">
        <v>38</v>
      </c>
      <c r="K15" s="78"/>
      <c r="L15" s="101">
        <v>17</v>
      </c>
      <c r="M15" s="89">
        <v>5.9211</v>
      </c>
      <c r="P15" s="97" t="s">
        <v>40</v>
      </c>
      <c r="Q15" s="89">
        <v>44.582399999999993</v>
      </c>
      <c r="T15" s="91"/>
      <c r="U15" s="91"/>
      <c r="V15" s="91"/>
      <c r="X15" s="137"/>
      <c r="Y15" s="97" t="s">
        <v>102</v>
      </c>
      <c r="Z15" s="89">
        <v>62.411415927058819</v>
      </c>
      <c r="AA15" s="89"/>
      <c r="AB15" t="s">
        <v>221</v>
      </c>
      <c r="AC15" s="117">
        <v>87.05</v>
      </c>
      <c r="AD15" s="124"/>
      <c r="AE15" s="117">
        <f t="shared" si="0"/>
        <v>-24.638584072941178</v>
      </c>
    </row>
    <row r="16" spans="1:32" x14ac:dyDescent="0.25">
      <c r="A16" s="107">
        <v>44181</v>
      </c>
      <c r="B16" s="101">
        <v>835.25</v>
      </c>
      <c r="C16" s="101">
        <v>11</v>
      </c>
      <c r="D16" s="89">
        <v>1.8301520714285717</v>
      </c>
      <c r="E16" s="98"/>
      <c r="H16" s="89"/>
      <c r="J16" s="99" t="s">
        <v>115</v>
      </c>
      <c r="K16" s="78"/>
      <c r="L16" s="101">
        <v>19.5</v>
      </c>
      <c r="M16" s="89">
        <v>6.7918500000000002</v>
      </c>
      <c r="P16" s="97" t="s">
        <v>107</v>
      </c>
      <c r="Q16" s="89">
        <v>1468.1095890304102</v>
      </c>
      <c r="T16" s="91"/>
      <c r="U16" s="91"/>
      <c r="V16" s="91"/>
      <c r="X16" s="137"/>
      <c r="Y16" s="97" t="s">
        <v>12</v>
      </c>
      <c r="Z16" s="89">
        <v>71.354551132246371</v>
      </c>
      <c r="AA16" s="89"/>
      <c r="AB16" t="s">
        <v>222</v>
      </c>
      <c r="AC16" s="117">
        <v>87.31</v>
      </c>
      <c r="AD16" s="117"/>
      <c r="AE16" s="117">
        <f t="shared" si="0"/>
        <v>-15.955448867753631</v>
      </c>
    </row>
    <row r="17" spans="1:31" x14ac:dyDescent="0.25">
      <c r="A17" s="107">
        <v>44183</v>
      </c>
      <c r="B17" s="101"/>
      <c r="C17" s="101">
        <v>10</v>
      </c>
      <c r="D17" s="89">
        <v>3.4830000000000001</v>
      </c>
      <c r="E17" s="98"/>
      <c r="H17" s="89"/>
      <c r="J17" s="99" t="s">
        <v>36</v>
      </c>
      <c r="K17" s="78">
        <v>4291</v>
      </c>
      <c r="L17" s="101">
        <v>20</v>
      </c>
      <c r="M17" s="89">
        <v>4.6874808333333329</v>
      </c>
      <c r="T17" s="91"/>
      <c r="U17" s="91"/>
      <c r="V17" s="91"/>
      <c r="X17" s="137"/>
      <c r="Y17" s="97" t="s">
        <v>44</v>
      </c>
      <c r="Z17" s="89">
        <v>68.475313492063492</v>
      </c>
      <c r="AA17" s="89"/>
      <c r="AB17" t="s">
        <v>223</v>
      </c>
      <c r="AC17" s="117">
        <v>84.91</v>
      </c>
      <c r="AD17" s="117"/>
      <c r="AE17" s="117">
        <f t="shared" si="0"/>
        <v>-16.434686507936505</v>
      </c>
    </row>
    <row r="18" spans="1:31" x14ac:dyDescent="0.25">
      <c r="A18" s="107">
        <v>44184</v>
      </c>
      <c r="B18" s="101">
        <v>3085</v>
      </c>
      <c r="C18" s="101">
        <v>10</v>
      </c>
      <c r="D18" s="89">
        <v>4.7599827142857141</v>
      </c>
      <c r="E18" s="98"/>
      <c r="H18" s="89"/>
      <c r="I18" s="91"/>
      <c r="J18" s="99" t="s">
        <v>34</v>
      </c>
      <c r="K18" s="78">
        <v>3675</v>
      </c>
      <c r="L18" s="101">
        <v>14</v>
      </c>
      <c r="M18" s="89">
        <v>4.0262250000000002</v>
      </c>
      <c r="R18" s="91"/>
      <c r="S18" s="91"/>
      <c r="T18" s="91"/>
      <c r="U18" s="91"/>
      <c r="V18" s="91"/>
      <c r="X18" s="137"/>
      <c r="Y18" s="97" t="s">
        <v>263</v>
      </c>
      <c r="Z18" s="89">
        <v>92.470085363142289</v>
      </c>
      <c r="AA18" s="89"/>
      <c r="AB18" t="s">
        <v>224</v>
      </c>
      <c r="AC18" s="117">
        <v>74.25</v>
      </c>
      <c r="AD18" s="117">
        <f>+Z18-AC18</f>
        <v>18.220085363142289</v>
      </c>
    </row>
    <row r="19" spans="1:31" x14ac:dyDescent="0.25">
      <c r="A19" s="107">
        <v>44162</v>
      </c>
      <c r="B19" s="101"/>
      <c r="C19" s="101">
        <v>10</v>
      </c>
      <c r="D19" s="89">
        <v>3.4830000000000001</v>
      </c>
      <c r="E19" s="98"/>
      <c r="H19" s="89"/>
      <c r="I19" s="91"/>
      <c r="J19" s="97" t="s">
        <v>58</v>
      </c>
      <c r="K19" s="78">
        <v>14669.376666666667</v>
      </c>
      <c r="L19" s="101">
        <v>187.5</v>
      </c>
      <c r="M19" s="89">
        <v>58.565734823953825</v>
      </c>
      <c r="R19" s="91"/>
      <c r="S19" s="91"/>
      <c r="T19" s="91"/>
      <c r="U19" s="91"/>
      <c r="V19" s="91"/>
      <c r="X19" s="137"/>
      <c r="Y19" s="97" t="s">
        <v>75</v>
      </c>
      <c r="Z19" s="89">
        <v>87.147398351428549</v>
      </c>
      <c r="AA19" s="89"/>
      <c r="AB19" t="s">
        <v>227</v>
      </c>
      <c r="AC19" s="117">
        <v>102.41</v>
      </c>
      <c r="AD19" s="124"/>
      <c r="AE19" s="117">
        <f t="shared" si="0"/>
        <v>-15.262601648571447</v>
      </c>
    </row>
    <row r="20" spans="1:31" x14ac:dyDescent="0.25">
      <c r="A20" s="107">
        <v>44158</v>
      </c>
      <c r="B20" s="101"/>
      <c r="C20" s="101">
        <v>10</v>
      </c>
      <c r="D20" s="89">
        <v>3.4830000000000001</v>
      </c>
      <c r="E20" s="98"/>
      <c r="H20" s="89"/>
      <c r="J20" s="99" t="s">
        <v>113</v>
      </c>
      <c r="K20" s="78">
        <v>851.75</v>
      </c>
      <c r="L20" s="101">
        <v>31</v>
      </c>
      <c r="M20" s="89">
        <v>9.676826388888891</v>
      </c>
      <c r="T20" s="91"/>
      <c r="U20" s="91"/>
      <c r="V20" s="91"/>
      <c r="X20" s="137"/>
      <c r="Y20" s="97" t="s">
        <v>77</v>
      </c>
      <c r="Z20" s="89">
        <v>59.840671738095232</v>
      </c>
      <c r="AA20" s="89"/>
      <c r="AB20" t="s">
        <v>228</v>
      </c>
      <c r="AC20" s="117">
        <v>111.37</v>
      </c>
      <c r="AE20" s="117">
        <f t="shared" si="0"/>
        <v>-51.529328261904773</v>
      </c>
    </row>
    <row r="21" spans="1:31" x14ac:dyDescent="0.25">
      <c r="A21" s="107">
        <v>44159</v>
      </c>
      <c r="B21" s="101"/>
      <c r="C21" s="101">
        <v>10</v>
      </c>
      <c r="D21" s="89">
        <v>3.4830000000000001</v>
      </c>
      <c r="E21" s="98"/>
      <c r="H21" s="89"/>
      <c r="J21" s="99" t="s">
        <v>112</v>
      </c>
      <c r="K21" s="78">
        <v>1873.2933333333333</v>
      </c>
      <c r="L21" s="101">
        <v>38</v>
      </c>
      <c r="M21" s="89">
        <v>17.41311303030303</v>
      </c>
      <c r="T21" s="91"/>
      <c r="U21" s="91"/>
      <c r="V21" s="91"/>
      <c r="X21" s="137"/>
      <c r="Y21" s="97" t="s">
        <v>194</v>
      </c>
      <c r="Z21" s="89">
        <v>89.043454166666677</v>
      </c>
      <c r="AA21" s="89"/>
      <c r="AB21" t="s">
        <v>216</v>
      </c>
      <c r="AC21" s="117">
        <v>133.13</v>
      </c>
      <c r="AE21" s="117">
        <f t="shared" si="0"/>
        <v>-44.086545833333318</v>
      </c>
    </row>
    <row r="22" spans="1:31" x14ac:dyDescent="0.25">
      <c r="A22" s="107">
        <v>44160</v>
      </c>
      <c r="B22" s="101"/>
      <c r="C22" s="101">
        <v>10</v>
      </c>
      <c r="D22" s="89">
        <v>3.4830000000000001</v>
      </c>
      <c r="E22" s="98"/>
      <c r="H22" s="89"/>
      <c r="J22" s="99" t="s">
        <v>33</v>
      </c>
      <c r="K22" s="78">
        <v>1497.3333333333335</v>
      </c>
      <c r="L22" s="101">
        <v>19</v>
      </c>
      <c r="M22" s="89">
        <v>3.2808712380952381</v>
      </c>
      <c r="T22" s="91"/>
      <c r="U22" s="91"/>
      <c r="V22" s="91"/>
      <c r="X22" s="137"/>
      <c r="Y22" s="97" t="s">
        <v>236</v>
      </c>
      <c r="Z22" s="89">
        <v>71.775926933621946</v>
      </c>
      <c r="AA22" s="89"/>
      <c r="AB22" t="s">
        <v>215</v>
      </c>
      <c r="AC22" s="117">
        <v>171.28</v>
      </c>
      <c r="AE22" s="117">
        <f t="shared" si="0"/>
        <v>-99.504073066378055</v>
      </c>
    </row>
    <row r="23" spans="1:31" x14ac:dyDescent="0.25">
      <c r="A23" s="107">
        <v>44161</v>
      </c>
      <c r="B23" s="101"/>
      <c r="C23" s="101">
        <v>10</v>
      </c>
      <c r="D23" s="89">
        <v>3.4830000000000001</v>
      </c>
      <c r="E23" s="98"/>
      <c r="H23" s="89"/>
      <c r="J23" s="99" t="s">
        <v>38</v>
      </c>
      <c r="K23" s="78"/>
      <c r="L23" s="101">
        <v>12</v>
      </c>
      <c r="M23" s="89">
        <v>4.1795999999999998</v>
      </c>
      <c r="T23" s="91"/>
      <c r="U23" s="91"/>
      <c r="V23" s="91"/>
      <c r="Y23" s="97" t="s">
        <v>107</v>
      </c>
      <c r="Z23" s="89">
        <v>1411.5586125598218</v>
      </c>
      <c r="AA23" s="89"/>
      <c r="AC23" s="129">
        <f>SUM(AC4:AC22)</f>
        <v>1908.64</v>
      </c>
      <c r="AD23" s="120">
        <f>SUM(AD4:AD22)</f>
        <v>84.537684781277306</v>
      </c>
      <c r="AE23" s="120">
        <f>SUM(AE4:AE22)</f>
        <v>-581.61907222145555</v>
      </c>
    </row>
    <row r="24" spans="1:31" x14ac:dyDescent="0.25">
      <c r="A24" s="107">
        <v>44165</v>
      </c>
      <c r="B24" s="101"/>
      <c r="C24" s="101">
        <v>10</v>
      </c>
      <c r="D24" s="89">
        <v>3.4830000000000001</v>
      </c>
      <c r="E24" s="98"/>
      <c r="H24" s="89"/>
      <c r="J24" s="99" t="s">
        <v>115</v>
      </c>
      <c r="K24" s="78"/>
      <c r="L24" s="101">
        <v>36.5</v>
      </c>
      <c r="M24" s="89">
        <v>12.712950000000001</v>
      </c>
      <c r="T24" s="91"/>
      <c r="U24" s="91"/>
      <c r="V24" s="91"/>
    </row>
    <row r="25" spans="1:31" x14ac:dyDescent="0.25">
      <c r="A25" s="97" t="s">
        <v>56</v>
      </c>
      <c r="B25" s="101">
        <v>15330.810000000001</v>
      </c>
      <c r="C25" s="101">
        <v>192.5</v>
      </c>
      <c r="D25" s="89">
        <v>87.368947458498027</v>
      </c>
      <c r="E25" s="98"/>
      <c r="H25" s="89"/>
      <c r="J25" s="99" t="s">
        <v>36</v>
      </c>
      <c r="K25" s="78">
        <v>10447</v>
      </c>
      <c r="L25" s="101">
        <v>51</v>
      </c>
      <c r="M25" s="89">
        <v>11.302374166666667</v>
      </c>
      <c r="T25" s="91"/>
      <c r="U25" s="91"/>
      <c r="V25" s="91"/>
      <c r="X25" s="137" t="s">
        <v>295</v>
      </c>
      <c r="Y25" t="s">
        <v>290</v>
      </c>
      <c r="Z25" s="89">
        <v>105.46875</v>
      </c>
      <c r="AB25" s="91" t="s">
        <v>290</v>
      </c>
      <c r="AC25" s="89">
        <v>105.46875</v>
      </c>
    </row>
    <row r="26" spans="1:31" x14ac:dyDescent="0.25">
      <c r="A26" s="107">
        <v>44166</v>
      </c>
      <c r="B26" s="101">
        <v>1675</v>
      </c>
      <c r="C26" s="101">
        <v>6</v>
      </c>
      <c r="D26" s="89">
        <v>1.8350821428571431</v>
      </c>
      <c r="E26" s="98"/>
      <c r="H26" s="89"/>
      <c r="J26" s="97" t="s">
        <v>69</v>
      </c>
      <c r="K26" s="78">
        <v>25111.75</v>
      </c>
      <c r="L26" s="101">
        <v>214.5</v>
      </c>
      <c r="M26" s="89">
        <v>72.39208902613872</v>
      </c>
      <c r="T26" s="91"/>
      <c r="U26" s="91"/>
      <c r="V26" s="91"/>
      <c r="X26" s="137"/>
      <c r="Y26" t="s">
        <v>291</v>
      </c>
      <c r="Z26" s="89">
        <v>95.625</v>
      </c>
      <c r="AB26" s="91" t="s">
        <v>291</v>
      </c>
      <c r="AC26" s="89">
        <v>95.625</v>
      </c>
    </row>
    <row r="27" spans="1:31" x14ac:dyDescent="0.25">
      <c r="A27" s="107">
        <v>44167</v>
      </c>
      <c r="B27" s="101">
        <v>1004</v>
      </c>
      <c r="C27" s="101">
        <v>10</v>
      </c>
      <c r="D27" s="89">
        <v>10.266234666666668</v>
      </c>
      <c r="E27" s="98"/>
      <c r="H27" s="89"/>
      <c r="J27" s="99" t="s">
        <v>111</v>
      </c>
      <c r="K27" s="78">
        <v>7651.916666666667</v>
      </c>
      <c r="L27" s="101">
        <v>104.5</v>
      </c>
      <c r="M27" s="89">
        <v>42.522199954710146</v>
      </c>
      <c r="T27" s="91"/>
      <c r="U27" s="91"/>
      <c r="V27" s="91"/>
      <c r="X27" s="137"/>
      <c r="Y27" t="s">
        <v>292</v>
      </c>
      <c r="Z27" s="89">
        <v>71.606250000000003</v>
      </c>
      <c r="AB27" s="91" t="s">
        <v>292</v>
      </c>
      <c r="AC27" s="89">
        <v>71.606250000000003</v>
      </c>
    </row>
    <row r="28" spans="1:31" x14ac:dyDescent="0.25">
      <c r="A28" s="107">
        <v>44168</v>
      </c>
      <c r="B28" s="101">
        <v>120</v>
      </c>
      <c r="C28" s="101">
        <v>10</v>
      </c>
      <c r="D28" s="89">
        <v>3.8014333333333337</v>
      </c>
      <c r="E28" s="98"/>
      <c r="H28" s="89"/>
      <c r="J28" s="99" t="s">
        <v>33</v>
      </c>
      <c r="K28" s="78">
        <v>1752.8333333333335</v>
      </c>
      <c r="L28" s="101">
        <v>27</v>
      </c>
      <c r="M28" s="89">
        <v>3.840708238095238</v>
      </c>
      <c r="T28" s="91"/>
      <c r="U28" s="91"/>
      <c r="V28" s="91"/>
      <c r="X28" s="137"/>
      <c r="Y28" t="s">
        <v>294</v>
      </c>
      <c r="Z28" s="89">
        <v>125.38662499999997</v>
      </c>
      <c r="AB28" s="91" t="s">
        <v>294</v>
      </c>
      <c r="AC28" s="89">
        <v>125.38662499999997</v>
      </c>
    </row>
    <row r="29" spans="1:31" x14ac:dyDescent="0.25">
      <c r="A29" s="107">
        <v>44169</v>
      </c>
      <c r="B29" s="101">
        <v>120</v>
      </c>
      <c r="C29" s="101">
        <v>3</v>
      </c>
      <c r="D29" s="89">
        <v>1.3633333333333335</v>
      </c>
      <c r="E29" s="98"/>
      <c r="H29" s="89"/>
      <c r="J29" s="99" t="s">
        <v>38</v>
      </c>
      <c r="K29" s="78"/>
      <c r="L29" s="101">
        <v>1</v>
      </c>
      <c r="M29" s="89">
        <v>0.3483</v>
      </c>
      <c r="T29" s="91"/>
      <c r="U29" s="91"/>
      <c r="V29" s="91"/>
      <c r="Y29" s="130" t="s">
        <v>293</v>
      </c>
      <c r="Z29" s="131">
        <f>SUM(Z23:Z28)</f>
        <v>1809.6452375598217</v>
      </c>
      <c r="AB29" s="130" t="s">
        <v>293</v>
      </c>
      <c r="AC29" s="131">
        <f>SUM(AC23:AC28)</f>
        <v>2306.7266250000002</v>
      </c>
      <c r="AD29" s="131">
        <v>0</v>
      </c>
      <c r="AE29" s="132">
        <f>+Z29-AC29</f>
        <v>-497.08138744017856</v>
      </c>
    </row>
    <row r="30" spans="1:31" x14ac:dyDescent="0.25">
      <c r="A30" s="107">
        <v>44172</v>
      </c>
      <c r="B30" s="101">
        <v>768</v>
      </c>
      <c r="C30" s="101">
        <v>11</v>
      </c>
      <c r="D30" s="89">
        <v>7.8530559999999996</v>
      </c>
      <c r="E30" s="98"/>
      <c r="H30" s="89"/>
      <c r="J30" s="99" t="s">
        <v>115</v>
      </c>
      <c r="K30" s="78"/>
      <c r="L30" s="101">
        <v>18</v>
      </c>
      <c r="M30" s="89">
        <v>6.2694000000000001</v>
      </c>
      <c r="T30" s="91"/>
      <c r="U30" s="91"/>
      <c r="V30" s="91"/>
    </row>
    <row r="31" spans="1:31" x14ac:dyDescent="0.25">
      <c r="A31" s="107">
        <v>44173</v>
      </c>
      <c r="B31" s="101">
        <v>704</v>
      </c>
      <c r="C31" s="101">
        <v>11</v>
      </c>
      <c r="D31" s="89">
        <v>7.1986346666666661</v>
      </c>
      <c r="E31" s="98"/>
      <c r="H31" s="89"/>
      <c r="J31" s="99" t="s">
        <v>36</v>
      </c>
      <c r="K31" s="78">
        <v>15707</v>
      </c>
      <c r="L31" s="101">
        <v>64</v>
      </c>
      <c r="M31" s="89">
        <v>19.411480833333336</v>
      </c>
      <c r="T31" s="91"/>
      <c r="U31" s="91"/>
      <c r="V31" s="91"/>
    </row>
    <row r="32" spans="1:31" x14ac:dyDescent="0.25">
      <c r="A32" s="107">
        <v>44175</v>
      </c>
      <c r="B32" s="101">
        <v>1277</v>
      </c>
      <c r="C32" s="101">
        <v>10</v>
      </c>
      <c r="D32" s="89">
        <v>1.6056658333333333</v>
      </c>
      <c r="E32" s="98"/>
      <c r="H32" s="89"/>
      <c r="J32" s="97" t="s">
        <v>72</v>
      </c>
      <c r="K32" s="78">
        <v>7870.833333333333</v>
      </c>
      <c r="L32" s="101">
        <v>168</v>
      </c>
      <c r="M32" s="89">
        <v>63.565478587301584</v>
      </c>
      <c r="T32" s="91"/>
      <c r="U32" s="91"/>
      <c r="V32" s="91"/>
    </row>
    <row r="33" spans="1:22" x14ac:dyDescent="0.25">
      <c r="A33" s="107">
        <v>44176</v>
      </c>
      <c r="B33" s="101">
        <v>3014</v>
      </c>
      <c r="C33" s="101">
        <v>10</v>
      </c>
      <c r="D33" s="89">
        <v>3.0818149999999993</v>
      </c>
      <c r="E33" s="98"/>
      <c r="H33" s="89"/>
      <c r="J33" s="99" t="s">
        <v>29</v>
      </c>
      <c r="K33" s="78">
        <v>2705</v>
      </c>
      <c r="L33" s="101">
        <v>41</v>
      </c>
      <c r="M33" s="89">
        <v>26.262064444444444</v>
      </c>
      <c r="T33" s="91"/>
      <c r="U33" s="91"/>
      <c r="V33" s="91"/>
    </row>
    <row r="34" spans="1:22" x14ac:dyDescent="0.25">
      <c r="A34" s="107">
        <v>44179</v>
      </c>
      <c r="B34" s="101">
        <v>274</v>
      </c>
      <c r="C34" s="101">
        <v>10</v>
      </c>
      <c r="D34" s="89">
        <v>3.8095444444444446</v>
      </c>
      <c r="E34" s="98"/>
      <c r="H34" s="89"/>
      <c r="J34" s="99" t="s">
        <v>113</v>
      </c>
      <c r="K34" s="78">
        <v>934.5</v>
      </c>
      <c r="L34" s="101">
        <v>26</v>
      </c>
      <c r="M34" s="89">
        <v>10.616958333333335</v>
      </c>
      <c r="T34" s="91"/>
      <c r="U34" s="91"/>
      <c r="V34" s="91"/>
    </row>
    <row r="35" spans="1:22" x14ac:dyDescent="0.25">
      <c r="A35" s="107">
        <v>44181</v>
      </c>
      <c r="B35" s="101">
        <v>585</v>
      </c>
      <c r="C35" s="101">
        <v>10</v>
      </c>
      <c r="D35" s="89">
        <v>5.9818199999999999</v>
      </c>
      <c r="E35" s="98"/>
      <c r="H35" s="89"/>
      <c r="J35" s="99" t="s">
        <v>33</v>
      </c>
      <c r="K35" s="78">
        <v>4231.333333333333</v>
      </c>
      <c r="L35" s="101">
        <v>51</v>
      </c>
      <c r="M35" s="89">
        <v>9.2714558095238093</v>
      </c>
      <c r="T35" s="91"/>
      <c r="U35" s="91"/>
      <c r="V35" s="91"/>
    </row>
    <row r="36" spans="1:22" x14ac:dyDescent="0.25">
      <c r="A36" s="107">
        <v>44182</v>
      </c>
      <c r="B36" s="101">
        <v>454</v>
      </c>
      <c r="C36" s="101">
        <v>7</v>
      </c>
      <c r="D36" s="89">
        <v>4.1940908888888888</v>
      </c>
      <c r="E36" s="98"/>
      <c r="H36" s="89"/>
      <c r="J36" s="99" t="s">
        <v>115</v>
      </c>
      <c r="K36" s="78"/>
      <c r="L36" s="101">
        <v>50</v>
      </c>
      <c r="M36" s="89">
        <v>17.414999999999999</v>
      </c>
      <c r="T36" s="91"/>
      <c r="U36" s="91"/>
      <c r="V36" s="91"/>
    </row>
    <row r="37" spans="1:22" x14ac:dyDescent="0.25">
      <c r="A37" s="107">
        <v>44183</v>
      </c>
      <c r="B37" s="101">
        <v>498.66666666666669</v>
      </c>
      <c r="C37" s="101">
        <v>8</v>
      </c>
      <c r="D37" s="89">
        <v>2.7711231884057974</v>
      </c>
      <c r="E37" s="98"/>
      <c r="H37" s="89"/>
      <c r="J37" s="97" t="s">
        <v>96</v>
      </c>
      <c r="K37" s="78">
        <v>9532.41</v>
      </c>
      <c r="L37" s="101">
        <v>186</v>
      </c>
      <c r="M37" s="89">
        <v>73.866009538678725</v>
      </c>
      <c r="T37" s="91"/>
      <c r="U37" s="91"/>
      <c r="V37" s="91"/>
    </row>
    <row r="38" spans="1:22" x14ac:dyDescent="0.25">
      <c r="A38" s="107">
        <v>44184</v>
      </c>
      <c r="B38" s="101">
        <v>711.6</v>
      </c>
      <c r="C38" s="101">
        <v>10</v>
      </c>
      <c r="D38" s="89">
        <v>3.9544076086956519</v>
      </c>
      <c r="E38" s="98"/>
      <c r="H38" s="89"/>
      <c r="J38" s="99" t="s">
        <v>113</v>
      </c>
      <c r="K38" s="78">
        <v>1318.5</v>
      </c>
      <c r="L38" s="101">
        <v>40</v>
      </c>
      <c r="M38" s="89">
        <v>14.979625000000002</v>
      </c>
      <c r="T38" s="91"/>
      <c r="U38" s="91"/>
      <c r="V38" s="91"/>
    </row>
    <row r="39" spans="1:22" x14ac:dyDescent="0.25">
      <c r="A39" s="107">
        <v>44186</v>
      </c>
      <c r="B39" s="101">
        <v>501.43999999999994</v>
      </c>
      <c r="C39" s="101">
        <v>10</v>
      </c>
      <c r="D39" s="89">
        <v>3.4831347826086954</v>
      </c>
      <c r="E39" s="98"/>
      <c r="H39" s="89"/>
      <c r="J39" s="99" t="s">
        <v>111</v>
      </c>
      <c r="K39" s="78">
        <v>438.75999999999993</v>
      </c>
      <c r="L39" s="101">
        <v>7</v>
      </c>
      <c r="M39" s="89">
        <v>2.4382179347826085</v>
      </c>
      <c r="T39" s="91"/>
      <c r="U39" s="91"/>
      <c r="V39" s="91"/>
    </row>
    <row r="40" spans="1:22" x14ac:dyDescent="0.25">
      <c r="A40" s="107">
        <v>44162</v>
      </c>
      <c r="B40" s="101">
        <v>165.33333333333334</v>
      </c>
      <c r="C40" s="101">
        <v>10</v>
      </c>
      <c r="D40" s="89">
        <v>3.9749484848484848</v>
      </c>
      <c r="E40" s="98"/>
      <c r="H40" s="89"/>
      <c r="J40" s="99" t="s">
        <v>112</v>
      </c>
      <c r="K40" s="78">
        <v>4763.1499999999996</v>
      </c>
      <c r="L40" s="101">
        <v>85</v>
      </c>
      <c r="M40" s="89">
        <v>44.275644318181818</v>
      </c>
      <c r="T40" s="91"/>
      <c r="U40" s="91"/>
      <c r="V40" s="91"/>
    </row>
    <row r="41" spans="1:22" x14ac:dyDescent="0.25">
      <c r="A41" s="107">
        <v>44158</v>
      </c>
      <c r="B41" s="101">
        <v>395.27</v>
      </c>
      <c r="C41" s="101">
        <v>10</v>
      </c>
      <c r="D41" s="89">
        <v>3.6742143181818188</v>
      </c>
      <c r="E41" s="98"/>
      <c r="H41" s="89"/>
      <c r="J41" s="99" t="s">
        <v>33</v>
      </c>
      <c r="K41" s="78">
        <v>3012</v>
      </c>
      <c r="L41" s="101">
        <v>38</v>
      </c>
      <c r="M41" s="89">
        <v>6.5997222857142859</v>
      </c>
      <c r="T41" s="91"/>
      <c r="U41" s="91"/>
      <c r="V41" s="91"/>
    </row>
    <row r="42" spans="1:22" x14ac:dyDescent="0.25">
      <c r="A42" s="107">
        <v>44159</v>
      </c>
      <c r="B42" s="101">
        <v>520.5</v>
      </c>
      <c r="C42" s="101">
        <v>10</v>
      </c>
      <c r="D42" s="89">
        <v>4.8382840909090907</v>
      </c>
      <c r="E42" s="98"/>
      <c r="H42" s="89"/>
      <c r="J42" s="99" t="s">
        <v>115</v>
      </c>
      <c r="K42" s="78"/>
      <c r="L42" s="101">
        <v>3</v>
      </c>
      <c r="M42" s="89">
        <v>1.0448999999999999</v>
      </c>
      <c r="T42" s="91"/>
      <c r="U42" s="91"/>
      <c r="V42" s="91"/>
    </row>
    <row r="43" spans="1:22" x14ac:dyDescent="0.25">
      <c r="A43" s="107">
        <v>44160</v>
      </c>
      <c r="B43" s="101"/>
      <c r="C43" s="101">
        <v>10</v>
      </c>
      <c r="D43" s="89">
        <v>3.4830000000000001</v>
      </c>
      <c r="E43" s="98"/>
      <c r="H43" s="89"/>
      <c r="J43" s="99" t="s">
        <v>37</v>
      </c>
      <c r="K43" s="78"/>
      <c r="L43" s="101">
        <v>13</v>
      </c>
      <c r="M43" s="89">
        <v>4.5278999999999998</v>
      </c>
      <c r="T43" s="91"/>
      <c r="U43" s="91"/>
      <c r="V43" s="91"/>
    </row>
    <row r="44" spans="1:22" x14ac:dyDescent="0.25">
      <c r="A44" s="107">
        <v>44161</v>
      </c>
      <c r="B44" s="101">
        <v>543</v>
      </c>
      <c r="C44" s="101">
        <v>10</v>
      </c>
      <c r="D44" s="89">
        <v>5.0474318181818179</v>
      </c>
      <c r="E44" s="98"/>
      <c r="H44" s="89"/>
      <c r="J44" s="97" t="s">
        <v>43</v>
      </c>
      <c r="K44" s="78">
        <v>66381</v>
      </c>
      <c r="L44" s="101">
        <v>217</v>
      </c>
      <c r="M44" s="89">
        <v>98.158182982056587</v>
      </c>
      <c r="T44" s="91"/>
      <c r="U44" s="91"/>
      <c r="V44" s="91"/>
    </row>
    <row r="45" spans="1:22" x14ac:dyDescent="0.25">
      <c r="A45" s="107">
        <v>44165</v>
      </c>
      <c r="B45" s="101">
        <v>2000</v>
      </c>
      <c r="C45" s="101">
        <v>8</v>
      </c>
      <c r="D45" s="89">
        <v>2.1911428571428573</v>
      </c>
      <c r="E45" s="98"/>
      <c r="H45" s="89"/>
      <c r="J45" s="99" t="s">
        <v>113</v>
      </c>
      <c r="K45" s="78">
        <v>923</v>
      </c>
      <c r="L45" s="101">
        <v>25</v>
      </c>
      <c r="M45" s="89">
        <v>10.486305555555555</v>
      </c>
      <c r="T45" s="91"/>
      <c r="U45" s="91"/>
      <c r="V45" s="91"/>
    </row>
    <row r="46" spans="1:22" x14ac:dyDescent="0.25">
      <c r="A46" s="107">
        <v>44187</v>
      </c>
      <c r="B46" s="101"/>
      <c r="C46" s="101">
        <v>8.5</v>
      </c>
      <c r="D46" s="89">
        <v>2.96055</v>
      </c>
      <c r="E46" s="98"/>
      <c r="H46" s="89"/>
      <c r="J46" s="99" t="s">
        <v>111</v>
      </c>
      <c r="K46" s="78">
        <v>498.66666666666669</v>
      </c>
      <c r="L46" s="101">
        <v>8</v>
      </c>
      <c r="M46" s="89">
        <v>2.7711231884057974</v>
      </c>
      <c r="T46" s="91"/>
      <c r="U46" s="91"/>
      <c r="V46" s="91"/>
    </row>
    <row r="47" spans="1:22" x14ac:dyDescent="0.25">
      <c r="A47" s="97" t="s">
        <v>58</v>
      </c>
      <c r="B47" s="101">
        <v>14669.376666666667</v>
      </c>
      <c r="C47" s="101">
        <v>187.5</v>
      </c>
      <c r="D47" s="89">
        <v>58.565734823953825</v>
      </c>
      <c r="E47" s="98"/>
      <c r="H47" s="89"/>
      <c r="J47" s="99" t="s">
        <v>33</v>
      </c>
      <c r="K47" s="78">
        <v>3584.3333333333335</v>
      </c>
      <c r="L47" s="101">
        <v>46</v>
      </c>
      <c r="M47" s="89">
        <v>7.853786380952382</v>
      </c>
      <c r="T47" s="91"/>
      <c r="U47" s="91"/>
      <c r="V47" s="91"/>
    </row>
    <row r="48" spans="1:22" x14ac:dyDescent="0.25">
      <c r="A48" s="107">
        <v>44166</v>
      </c>
      <c r="B48" s="101">
        <v>794</v>
      </c>
      <c r="C48" s="101">
        <v>9</v>
      </c>
      <c r="D48" s="89">
        <v>1.7397674285714286</v>
      </c>
      <c r="E48" s="98"/>
      <c r="H48" s="89"/>
      <c r="J48" s="99" t="s">
        <v>115</v>
      </c>
      <c r="K48" s="78"/>
      <c r="L48" s="101">
        <v>14</v>
      </c>
      <c r="M48" s="89">
        <v>4.8761999999999999</v>
      </c>
      <c r="T48" s="91"/>
      <c r="U48" s="91"/>
      <c r="V48" s="91"/>
    </row>
    <row r="49" spans="1:22" x14ac:dyDescent="0.25">
      <c r="A49" s="107">
        <v>44168</v>
      </c>
      <c r="B49" s="101">
        <v>703.33333333333337</v>
      </c>
      <c r="C49" s="101">
        <v>10</v>
      </c>
      <c r="D49" s="89">
        <v>1.5411038095238097</v>
      </c>
      <c r="E49" s="98"/>
      <c r="H49" s="89"/>
      <c r="J49" s="99" t="s">
        <v>34</v>
      </c>
      <c r="K49" s="78">
        <v>61375</v>
      </c>
      <c r="L49" s="101">
        <v>124</v>
      </c>
      <c r="M49" s="89">
        <v>72.170767857142849</v>
      </c>
      <c r="T49" s="91"/>
      <c r="U49" s="91"/>
      <c r="V49" s="91"/>
    </row>
    <row r="50" spans="1:22" x14ac:dyDescent="0.25">
      <c r="A50" s="107">
        <v>44169</v>
      </c>
      <c r="B50" s="101">
        <v>2868</v>
      </c>
      <c r="C50" s="101">
        <v>10</v>
      </c>
      <c r="D50" s="89">
        <v>2.9325299999999999</v>
      </c>
      <c r="E50" s="98"/>
      <c r="H50" s="89"/>
      <c r="J50" s="97" t="s">
        <v>57</v>
      </c>
      <c r="K50" s="78">
        <v>12296.369999999999</v>
      </c>
      <c r="L50" s="101">
        <v>226</v>
      </c>
      <c r="M50" s="89">
        <v>99.202908697675511</v>
      </c>
      <c r="T50" s="91"/>
      <c r="U50" s="91"/>
      <c r="V50" s="91"/>
    </row>
    <row r="51" spans="1:22" x14ac:dyDescent="0.25">
      <c r="A51" s="107">
        <v>44170</v>
      </c>
      <c r="B51" s="101">
        <v>1813</v>
      </c>
      <c r="C51" s="101">
        <v>10</v>
      </c>
      <c r="D51" s="89">
        <v>1.8537925</v>
      </c>
      <c r="E51" s="98"/>
      <c r="H51" s="89"/>
      <c r="J51" s="99" t="s">
        <v>111</v>
      </c>
      <c r="K51" s="78">
        <v>6818.166666666667</v>
      </c>
      <c r="L51" s="101">
        <v>91</v>
      </c>
      <c r="M51" s="89">
        <v>37.888996829710145</v>
      </c>
      <c r="T51" s="91"/>
      <c r="U51" s="91"/>
      <c r="V51" s="91"/>
    </row>
    <row r="52" spans="1:22" x14ac:dyDescent="0.25">
      <c r="A52" s="107">
        <v>44172</v>
      </c>
      <c r="B52" s="101">
        <v>2130</v>
      </c>
      <c r="C52" s="101">
        <v>10</v>
      </c>
      <c r="D52" s="89">
        <v>2.1779250000000001</v>
      </c>
      <c r="E52" s="98"/>
      <c r="H52" s="89"/>
      <c r="J52" s="99" t="s">
        <v>112</v>
      </c>
      <c r="K52" s="78">
        <v>5175.9533333333329</v>
      </c>
      <c r="L52" s="101">
        <v>91</v>
      </c>
      <c r="M52" s="89">
        <v>48.112838939393939</v>
      </c>
      <c r="T52" s="91"/>
      <c r="U52" s="91"/>
      <c r="V52" s="91"/>
    </row>
    <row r="53" spans="1:22" x14ac:dyDescent="0.25">
      <c r="A53" s="107">
        <v>44173</v>
      </c>
      <c r="B53" s="101">
        <v>2726</v>
      </c>
      <c r="C53" s="101">
        <v>10</v>
      </c>
      <c r="D53" s="89">
        <v>2.7873350000000001</v>
      </c>
      <c r="E53" s="98"/>
      <c r="H53" s="89"/>
      <c r="J53" s="99" t="s">
        <v>33</v>
      </c>
      <c r="K53" s="78">
        <v>302.25</v>
      </c>
      <c r="L53" s="101">
        <v>8</v>
      </c>
      <c r="M53" s="89">
        <v>0.66227292857142861</v>
      </c>
      <c r="T53" s="91"/>
      <c r="U53" s="91"/>
      <c r="V53" s="91"/>
    </row>
    <row r="54" spans="1:22" x14ac:dyDescent="0.25">
      <c r="A54" s="107">
        <v>44174</v>
      </c>
      <c r="B54" s="101">
        <v>378.25</v>
      </c>
      <c r="C54" s="101">
        <v>10</v>
      </c>
      <c r="D54" s="89">
        <v>4.2973402777777787</v>
      </c>
      <c r="E54" s="98"/>
      <c r="H54" s="89"/>
      <c r="J54" s="99" t="s">
        <v>38</v>
      </c>
      <c r="K54" s="78"/>
      <c r="L54" s="101">
        <v>10</v>
      </c>
      <c r="M54" s="89">
        <v>3.4830000000000001</v>
      </c>
      <c r="T54" s="91"/>
      <c r="U54" s="91"/>
      <c r="V54" s="91"/>
    </row>
    <row r="55" spans="1:22" x14ac:dyDescent="0.25">
      <c r="A55" s="107">
        <v>44176</v>
      </c>
      <c r="B55" s="101">
        <v>357.5</v>
      </c>
      <c r="C55" s="101">
        <v>8</v>
      </c>
      <c r="D55" s="89">
        <v>3.3231250000000001</v>
      </c>
      <c r="E55" s="98"/>
      <c r="H55" s="89"/>
      <c r="J55" s="99" t="s">
        <v>115</v>
      </c>
      <c r="K55" s="78"/>
      <c r="L55" s="101">
        <v>26</v>
      </c>
      <c r="M55" s="89">
        <v>9.0557999999999996</v>
      </c>
      <c r="T55" s="91"/>
      <c r="U55" s="91"/>
      <c r="V55" s="91"/>
    </row>
    <row r="56" spans="1:22" x14ac:dyDescent="0.25">
      <c r="A56" s="107">
        <v>44179</v>
      </c>
      <c r="B56" s="101">
        <v>910</v>
      </c>
      <c r="C56" s="101">
        <v>11</v>
      </c>
      <c r="D56" s="89">
        <v>1.550791666666667</v>
      </c>
      <c r="E56" s="98"/>
      <c r="H56" s="89"/>
      <c r="J56" s="97" t="s">
        <v>63</v>
      </c>
      <c r="K56" s="78">
        <v>10727.766666666666</v>
      </c>
      <c r="L56" s="101">
        <v>162</v>
      </c>
      <c r="M56" s="89">
        <v>64.346738106695838</v>
      </c>
      <c r="T56" s="91"/>
      <c r="U56" s="91"/>
      <c r="V56" s="91"/>
    </row>
    <row r="57" spans="1:22" x14ac:dyDescent="0.25">
      <c r="A57" s="107">
        <v>44180</v>
      </c>
      <c r="B57" s="101">
        <v>312</v>
      </c>
      <c r="C57" s="101">
        <v>11</v>
      </c>
      <c r="D57" s="89">
        <v>3.5446666666666671</v>
      </c>
      <c r="E57" s="98"/>
      <c r="H57" s="89"/>
      <c r="J57" s="99" t="s">
        <v>111</v>
      </c>
      <c r="K57" s="78">
        <v>7408.25</v>
      </c>
      <c r="L57" s="101">
        <v>90</v>
      </c>
      <c r="M57" s="89">
        <v>41.168128396739128</v>
      </c>
      <c r="T57" s="91"/>
      <c r="U57" s="91"/>
      <c r="V57" s="91"/>
    </row>
    <row r="58" spans="1:22" x14ac:dyDescent="0.25">
      <c r="A58" s="107">
        <v>44181</v>
      </c>
      <c r="B58" s="101"/>
      <c r="C58" s="101">
        <v>11</v>
      </c>
      <c r="D58" s="89">
        <v>3.8313000000000001</v>
      </c>
      <c r="E58" s="98"/>
      <c r="H58" s="89"/>
      <c r="J58" s="99" t="s">
        <v>112</v>
      </c>
      <c r="K58" s="78">
        <v>447.35</v>
      </c>
      <c r="L58" s="101">
        <v>11</v>
      </c>
      <c r="M58" s="89">
        <v>4.1583215909090914</v>
      </c>
      <c r="T58" s="91"/>
      <c r="U58" s="91"/>
      <c r="V58" s="91"/>
    </row>
    <row r="59" spans="1:22" x14ac:dyDescent="0.25">
      <c r="A59" s="107">
        <v>44182</v>
      </c>
      <c r="B59" s="101"/>
      <c r="C59" s="101">
        <v>10</v>
      </c>
      <c r="D59" s="89">
        <v>3.4830000000000001</v>
      </c>
      <c r="E59" s="98"/>
      <c r="H59" s="89"/>
      <c r="J59" s="99" t="s">
        <v>33</v>
      </c>
      <c r="K59" s="78">
        <v>2872.1666666666665</v>
      </c>
      <c r="L59" s="101">
        <v>16</v>
      </c>
      <c r="M59" s="89">
        <v>3.346788119047619</v>
      </c>
      <c r="T59" s="91"/>
      <c r="U59" s="91"/>
      <c r="V59" s="91"/>
    </row>
    <row r="60" spans="1:22" x14ac:dyDescent="0.25">
      <c r="A60" s="107">
        <v>44186</v>
      </c>
      <c r="B60" s="101">
        <v>161.5</v>
      </c>
      <c r="C60" s="101">
        <v>10</v>
      </c>
      <c r="D60" s="89">
        <v>1.8348194444444443</v>
      </c>
      <c r="E60" s="98"/>
      <c r="H60" s="89"/>
      <c r="J60" s="99" t="s">
        <v>38</v>
      </c>
      <c r="K60" s="78"/>
      <c r="L60" s="101">
        <v>5</v>
      </c>
      <c r="M60" s="89">
        <v>1.7414999999999998</v>
      </c>
      <c r="T60" s="91"/>
      <c r="U60" s="91"/>
      <c r="V60" s="91"/>
    </row>
    <row r="61" spans="1:22" x14ac:dyDescent="0.25">
      <c r="A61" s="107">
        <v>44162</v>
      </c>
      <c r="B61" s="101">
        <v>165.33333333333334</v>
      </c>
      <c r="C61" s="101">
        <v>10</v>
      </c>
      <c r="D61" s="89">
        <v>3.9749484848484848</v>
      </c>
      <c r="E61" s="98"/>
      <c r="H61" s="89"/>
      <c r="J61" s="99" t="s">
        <v>115</v>
      </c>
      <c r="K61" s="78"/>
      <c r="L61" s="101">
        <v>24</v>
      </c>
      <c r="M61" s="89">
        <v>8.3591999999999995</v>
      </c>
      <c r="T61" s="91"/>
      <c r="U61" s="91"/>
      <c r="V61" s="91"/>
    </row>
    <row r="62" spans="1:22" x14ac:dyDescent="0.25">
      <c r="A62" s="107">
        <v>44158</v>
      </c>
      <c r="B62" s="101">
        <v>287.45999999999998</v>
      </c>
      <c r="C62" s="101">
        <v>10</v>
      </c>
      <c r="D62" s="89">
        <v>3.3686713636363637</v>
      </c>
      <c r="E62" s="98"/>
      <c r="H62" s="89"/>
      <c r="J62" s="99" t="s">
        <v>41</v>
      </c>
      <c r="K62" s="78"/>
      <c r="L62" s="101">
        <v>16</v>
      </c>
      <c r="M62" s="89">
        <v>5.5728</v>
      </c>
      <c r="T62" s="91"/>
      <c r="U62" s="91"/>
      <c r="V62" s="91"/>
    </row>
    <row r="63" spans="1:22" x14ac:dyDescent="0.25">
      <c r="A63" s="107">
        <v>44159</v>
      </c>
      <c r="B63" s="101">
        <v>520</v>
      </c>
      <c r="C63" s="101">
        <v>9</v>
      </c>
      <c r="D63" s="89">
        <v>4.833636363636364</v>
      </c>
      <c r="E63" s="98"/>
      <c r="H63" s="89"/>
      <c r="J63" s="97" t="s">
        <v>102</v>
      </c>
      <c r="K63" s="78">
        <v>6214.1533333333336</v>
      </c>
      <c r="L63" s="101">
        <v>182</v>
      </c>
      <c r="M63" s="89">
        <v>62.411415927058826</v>
      </c>
      <c r="T63" s="91"/>
      <c r="U63" s="91"/>
      <c r="V63" s="91"/>
    </row>
    <row r="64" spans="1:22" x14ac:dyDescent="0.25">
      <c r="A64" s="107">
        <v>44160</v>
      </c>
      <c r="B64" s="101"/>
      <c r="C64" s="101">
        <v>10</v>
      </c>
      <c r="D64" s="89">
        <v>3.4830000000000001</v>
      </c>
      <c r="E64" s="98"/>
      <c r="H64" s="89"/>
      <c r="J64" s="99" t="s">
        <v>113</v>
      </c>
      <c r="K64" s="78">
        <v>1285.5</v>
      </c>
      <c r="L64" s="101">
        <v>29</v>
      </c>
      <c r="M64" s="89">
        <v>14.604708333333335</v>
      </c>
      <c r="T64" s="91"/>
      <c r="U64" s="91"/>
      <c r="V64" s="91"/>
    </row>
    <row r="65" spans="1:22" x14ac:dyDescent="0.25">
      <c r="A65" s="107">
        <v>44161</v>
      </c>
      <c r="B65" s="101">
        <v>543</v>
      </c>
      <c r="C65" s="101">
        <v>10</v>
      </c>
      <c r="D65" s="89">
        <v>5.0474318181818179</v>
      </c>
      <c r="E65" s="98"/>
      <c r="H65" s="89"/>
      <c r="J65" s="99" t="s">
        <v>32</v>
      </c>
      <c r="K65" s="78">
        <v>365.4</v>
      </c>
      <c r="L65" s="101">
        <v>15</v>
      </c>
      <c r="M65" s="89">
        <v>10.988867647058823</v>
      </c>
      <c r="T65" s="91"/>
      <c r="U65" s="91"/>
      <c r="V65" s="91"/>
    </row>
    <row r="66" spans="1:22" x14ac:dyDescent="0.25">
      <c r="A66" s="107">
        <v>44187</v>
      </c>
      <c r="B66" s="101"/>
      <c r="C66" s="101">
        <v>8.5</v>
      </c>
      <c r="D66" s="89">
        <v>2.96055</v>
      </c>
      <c r="E66" s="98"/>
      <c r="H66" s="89"/>
      <c r="J66" s="99" t="s">
        <v>33</v>
      </c>
      <c r="K66" s="78">
        <v>4563.2533333333331</v>
      </c>
      <c r="L66" s="101">
        <v>61</v>
      </c>
      <c r="M66" s="89">
        <v>9.9987399466666673</v>
      </c>
      <c r="T66" s="91"/>
      <c r="U66" s="91"/>
      <c r="V66" s="91"/>
    </row>
    <row r="67" spans="1:22" x14ac:dyDescent="0.25">
      <c r="A67" s="97" t="s">
        <v>69</v>
      </c>
      <c r="B67" s="101">
        <v>25111.75</v>
      </c>
      <c r="C67" s="101">
        <v>214.5</v>
      </c>
      <c r="D67" s="89">
        <v>72.39208902613872</v>
      </c>
      <c r="E67" s="98"/>
      <c r="H67" s="89"/>
      <c r="J67" s="99" t="s">
        <v>38</v>
      </c>
      <c r="K67" s="78"/>
      <c r="L67" s="101">
        <v>12</v>
      </c>
      <c r="M67" s="89">
        <v>4.1795999999999998</v>
      </c>
      <c r="T67" s="91"/>
      <c r="U67" s="91"/>
      <c r="V67" s="91"/>
    </row>
    <row r="68" spans="1:22" x14ac:dyDescent="0.25">
      <c r="A68" s="107">
        <v>44166</v>
      </c>
      <c r="B68" s="101">
        <v>3562</v>
      </c>
      <c r="C68" s="101">
        <v>10</v>
      </c>
      <c r="D68" s="89">
        <v>3.6421450000000002</v>
      </c>
      <c r="E68" s="98"/>
      <c r="H68" s="89"/>
      <c r="J68" s="99" t="s">
        <v>115</v>
      </c>
      <c r="K68" s="78"/>
      <c r="L68" s="101">
        <v>50</v>
      </c>
      <c r="M68" s="89">
        <v>17.414999999999999</v>
      </c>
      <c r="T68" s="91"/>
      <c r="U68" s="91"/>
      <c r="V68" s="91"/>
    </row>
    <row r="69" spans="1:22" x14ac:dyDescent="0.25">
      <c r="A69" s="107">
        <v>44167</v>
      </c>
      <c r="B69" s="101">
        <v>738.3</v>
      </c>
      <c r="C69" s="101">
        <v>10</v>
      </c>
      <c r="D69" s="89">
        <v>4.1027812499999996</v>
      </c>
      <c r="E69" s="98"/>
      <c r="H69" s="89"/>
      <c r="J69" s="99" t="s">
        <v>41</v>
      </c>
      <c r="K69" s="78"/>
      <c r="L69" s="101">
        <v>15</v>
      </c>
      <c r="M69" s="89">
        <v>5.2244999999999999</v>
      </c>
      <c r="T69" s="91"/>
      <c r="U69" s="91"/>
      <c r="V69" s="91"/>
    </row>
    <row r="70" spans="1:22" x14ac:dyDescent="0.25">
      <c r="A70" s="107">
        <v>44168</v>
      </c>
      <c r="B70" s="101">
        <v>767.25</v>
      </c>
      <c r="C70" s="101">
        <v>10</v>
      </c>
      <c r="D70" s="89">
        <v>4.2636582880434784</v>
      </c>
      <c r="E70" s="98"/>
      <c r="H70" s="89"/>
      <c r="J70" s="97" t="s">
        <v>12</v>
      </c>
      <c r="K70" s="78">
        <v>12150.883333333331</v>
      </c>
      <c r="L70" s="101">
        <v>166.5</v>
      </c>
      <c r="M70" s="89">
        <v>71.354551132246385</v>
      </c>
      <c r="T70" s="91"/>
      <c r="U70" s="91"/>
      <c r="V70" s="91"/>
    </row>
    <row r="71" spans="1:22" x14ac:dyDescent="0.25">
      <c r="A71" s="107">
        <v>44169</v>
      </c>
      <c r="B71" s="101">
        <v>250.75</v>
      </c>
      <c r="C71" s="101">
        <v>10</v>
      </c>
      <c r="D71" s="89">
        <v>3.1349341032608695</v>
      </c>
      <c r="E71" s="98"/>
      <c r="H71" s="89"/>
      <c r="J71" s="99" t="s">
        <v>111</v>
      </c>
      <c r="K71" s="78">
        <v>12150.883333333331</v>
      </c>
      <c r="L71" s="101">
        <v>155.5</v>
      </c>
      <c r="M71" s="89">
        <v>67.523251132246386</v>
      </c>
      <c r="T71" s="91"/>
      <c r="U71" s="91"/>
      <c r="V71" s="91"/>
    </row>
    <row r="72" spans="1:22" x14ac:dyDescent="0.25">
      <c r="A72" s="107">
        <v>44173</v>
      </c>
      <c r="B72" s="101">
        <v>787.33333333333337</v>
      </c>
      <c r="C72" s="101">
        <v>10</v>
      </c>
      <c r="D72" s="89">
        <v>4.3752626811594206</v>
      </c>
      <c r="E72" s="98"/>
      <c r="H72" s="89"/>
      <c r="J72" s="99" t="s">
        <v>38</v>
      </c>
      <c r="K72" s="78"/>
      <c r="L72" s="101">
        <v>11</v>
      </c>
      <c r="M72" s="89">
        <v>3.8313000000000001</v>
      </c>
      <c r="T72" s="91"/>
      <c r="U72" s="91"/>
      <c r="V72" s="91"/>
    </row>
    <row r="73" spans="1:22" x14ac:dyDescent="0.25">
      <c r="A73" s="107">
        <v>44174</v>
      </c>
      <c r="B73" s="101">
        <v>1083</v>
      </c>
      <c r="C73" s="101">
        <v>10</v>
      </c>
      <c r="D73" s="89">
        <v>1.1073675000000001</v>
      </c>
      <c r="E73" s="98"/>
      <c r="H73" s="89"/>
      <c r="J73" s="97" t="s">
        <v>44</v>
      </c>
      <c r="K73" s="78">
        <v>29566.5</v>
      </c>
      <c r="L73" s="101">
        <v>192.5</v>
      </c>
      <c r="M73" s="89">
        <v>68.475313492063492</v>
      </c>
      <c r="T73" s="91"/>
      <c r="U73" s="91"/>
      <c r="V73" s="91"/>
    </row>
    <row r="74" spans="1:22" x14ac:dyDescent="0.25">
      <c r="A74" s="107">
        <v>44175</v>
      </c>
      <c r="B74" s="101">
        <v>756.4</v>
      </c>
      <c r="C74" s="101">
        <v>10</v>
      </c>
      <c r="D74" s="89">
        <v>4.2033641304347826</v>
      </c>
      <c r="E74" s="98"/>
      <c r="H74" s="89"/>
      <c r="J74" s="99" t="s">
        <v>113</v>
      </c>
      <c r="K74" s="78">
        <v>2050.75</v>
      </c>
      <c r="L74" s="101">
        <v>53</v>
      </c>
      <c r="M74" s="89">
        <v>23.298798611111113</v>
      </c>
      <c r="T74" s="91"/>
      <c r="U74" s="91"/>
      <c r="V74" s="91"/>
    </row>
    <row r="75" spans="1:22" x14ac:dyDescent="0.25">
      <c r="A75" s="107">
        <v>44176</v>
      </c>
      <c r="B75" s="101">
        <v>566.75</v>
      </c>
      <c r="C75" s="101">
        <v>8</v>
      </c>
      <c r="D75" s="89">
        <v>3.1494667119565221</v>
      </c>
      <c r="E75" s="98"/>
      <c r="H75" s="89"/>
      <c r="J75" s="99" t="s">
        <v>33</v>
      </c>
      <c r="K75" s="78">
        <v>16713.75</v>
      </c>
      <c r="L75" s="101">
        <v>71.5</v>
      </c>
      <c r="M75" s="89">
        <v>23.573958214285717</v>
      </c>
      <c r="T75" s="91"/>
      <c r="U75" s="91"/>
      <c r="V75" s="91"/>
    </row>
    <row r="76" spans="1:22" x14ac:dyDescent="0.25">
      <c r="A76" s="107">
        <v>44177</v>
      </c>
      <c r="B76" s="101">
        <v>2618</v>
      </c>
      <c r="C76" s="101">
        <v>9</v>
      </c>
      <c r="D76" s="89">
        <v>2.6769050000000001</v>
      </c>
      <c r="E76" s="98"/>
      <c r="H76" s="89"/>
      <c r="J76" s="99" t="s">
        <v>115</v>
      </c>
      <c r="K76" s="78"/>
      <c r="L76" s="101">
        <v>26</v>
      </c>
      <c r="M76" s="89">
        <v>9.0557999999999996</v>
      </c>
      <c r="T76" s="91"/>
      <c r="U76" s="91"/>
      <c r="V76" s="91"/>
    </row>
    <row r="77" spans="1:22" x14ac:dyDescent="0.25">
      <c r="A77" s="107">
        <v>44179</v>
      </c>
      <c r="B77" s="101">
        <v>683</v>
      </c>
      <c r="C77" s="101">
        <v>10</v>
      </c>
      <c r="D77" s="89">
        <v>3.7954755434782612</v>
      </c>
      <c r="E77" s="98"/>
      <c r="H77" s="89"/>
      <c r="J77" s="99" t="s">
        <v>36</v>
      </c>
      <c r="K77" s="78">
        <v>10802</v>
      </c>
      <c r="L77" s="101">
        <v>42</v>
      </c>
      <c r="M77" s="89">
        <v>12.546756666666667</v>
      </c>
      <c r="T77" s="91"/>
      <c r="U77" s="91"/>
      <c r="V77" s="91"/>
    </row>
    <row r="78" spans="1:22" x14ac:dyDescent="0.25">
      <c r="A78" s="107">
        <v>44180</v>
      </c>
      <c r="B78" s="101">
        <v>699.75</v>
      </c>
      <c r="C78" s="101">
        <v>10</v>
      </c>
      <c r="D78" s="89">
        <v>1.5332522142857141</v>
      </c>
      <c r="E78" s="98"/>
      <c r="H78" s="89"/>
      <c r="J78" s="97" t="s">
        <v>263</v>
      </c>
      <c r="K78" s="78">
        <v>14457.299999999997</v>
      </c>
      <c r="L78" s="101">
        <v>216</v>
      </c>
      <c r="M78" s="89">
        <v>92.470085363142289</v>
      </c>
      <c r="T78" s="91"/>
      <c r="U78" s="91"/>
      <c r="V78" s="91"/>
    </row>
    <row r="79" spans="1:22" x14ac:dyDescent="0.25">
      <c r="A79" s="107">
        <v>44181</v>
      </c>
      <c r="B79" s="101">
        <v>750.83333333333337</v>
      </c>
      <c r="C79" s="101">
        <v>9</v>
      </c>
      <c r="D79" s="89">
        <v>1.6451830952380955</v>
      </c>
      <c r="E79" s="98"/>
      <c r="H79" s="89"/>
      <c r="J79" s="99" t="s">
        <v>111</v>
      </c>
      <c r="K79" s="78">
        <v>13448.649999999998</v>
      </c>
      <c r="L79" s="101">
        <v>173</v>
      </c>
      <c r="M79" s="89">
        <v>74.735025135869563</v>
      </c>
      <c r="T79" s="91"/>
      <c r="U79" s="91"/>
      <c r="V79" s="91"/>
    </row>
    <row r="80" spans="1:22" x14ac:dyDescent="0.25">
      <c r="A80" s="107">
        <v>44182</v>
      </c>
      <c r="B80" s="101">
        <v>302.25</v>
      </c>
      <c r="C80" s="101">
        <v>10</v>
      </c>
      <c r="D80" s="89">
        <v>1.3588729285714285</v>
      </c>
      <c r="E80" s="98"/>
      <c r="H80" s="89"/>
      <c r="J80" s="99" t="s">
        <v>112</v>
      </c>
      <c r="K80" s="78">
        <v>1008.65</v>
      </c>
      <c r="L80" s="101">
        <v>19</v>
      </c>
      <c r="M80" s="89">
        <v>9.3758602272727281</v>
      </c>
      <c r="T80" s="91"/>
      <c r="U80" s="91"/>
      <c r="V80" s="91"/>
    </row>
    <row r="81" spans="1:22" x14ac:dyDescent="0.25">
      <c r="A81" s="107">
        <v>44183</v>
      </c>
      <c r="B81" s="101">
        <v>1010.6666666666667</v>
      </c>
      <c r="C81" s="101">
        <v>10</v>
      </c>
      <c r="D81" s="89">
        <v>3.2946431884057974</v>
      </c>
      <c r="E81" s="98"/>
      <c r="H81" s="89"/>
      <c r="J81" s="99" t="s">
        <v>38</v>
      </c>
      <c r="K81" s="78"/>
      <c r="L81" s="101">
        <v>14</v>
      </c>
      <c r="M81" s="89">
        <v>4.8761999999999999</v>
      </c>
      <c r="T81" s="91"/>
      <c r="U81" s="91"/>
      <c r="V81" s="91"/>
    </row>
    <row r="82" spans="1:22" x14ac:dyDescent="0.25">
      <c r="A82" s="107">
        <v>44184</v>
      </c>
      <c r="B82" s="101">
        <v>355.79999999999995</v>
      </c>
      <c r="C82" s="101">
        <v>10</v>
      </c>
      <c r="D82" s="89">
        <v>3.3704038043478262</v>
      </c>
      <c r="E82" s="98"/>
      <c r="H82" s="89"/>
      <c r="J82" s="99" t="s">
        <v>115</v>
      </c>
      <c r="K82" s="78"/>
      <c r="L82" s="101">
        <v>10</v>
      </c>
      <c r="M82" s="89">
        <v>3.4830000000000001</v>
      </c>
      <c r="T82" s="91"/>
      <c r="U82" s="91"/>
      <c r="V82" s="91"/>
    </row>
    <row r="83" spans="1:22" x14ac:dyDescent="0.25">
      <c r="A83" s="107">
        <v>44186</v>
      </c>
      <c r="B83" s="101">
        <v>731.26666666666677</v>
      </c>
      <c r="C83" s="101">
        <v>10</v>
      </c>
      <c r="D83" s="89">
        <v>4.0636965579710154</v>
      </c>
      <c r="E83" s="98"/>
      <c r="H83" s="89"/>
      <c r="J83" s="97" t="s">
        <v>75</v>
      </c>
      <c r="K83" s="78">
        <v>57282.42</v>
      </c>
      <c r="L83" s="101">
        <v>217</v>
      </c>
      <c r="M83" s="89">
        <v>87.147398351428592</v>
      </c>
      <c r="T83" s="91"/>
      <c r="U83" s="91"/>
      <c r="V83" s="91"/>
    </row>
    <row r="84" spans="1:22" x14ac:dyDescent="0.25">
      <c r="A84" s="107">
        <v>44158</v>
      </c>
      <c r="B84" s="101">
        <v>1157</v>
      </c>
      <c r="C84" s="101">
        <v>10</v>
      </c>
      <c r="D84" s="89">
        <v>3.3649208333333336</v>
      </c>
      <c r="E84" s="98"/>
      <c r="H84" s="89"/>
      <c r="J84" s="99" t="s">
        <v>33</v>
      </c>
      <c r="K84" s="78">
        <v>57282.42</v>
      </c>
      <c r="L84" s="101">
        <v>167</v>
      </c>
      <c r="M84" s="89">
        <v>69.732398351428586</v>
      </c>
      <c r="T84" s="91"/>
      <c r="U84" s="91"/>
      <c r="V84" s="91"/>
    </row>
    <row r="85" spans="1:22" x14ac:dyDescent="0.25">
      <c r="A85" s="107">
        <v>44159</v>
      </c>
      <c r="B85" s="101">
        <v>1686</v>
      </c>
      <c r="C85" s="101">
        <v>10</v>
      </c>
      <c r="D85" s="89">
        <v>2.8732249999999997</v>
      </c>
      <c r="E85" s="98"/>
      <c r="H85" s="89"/>
      <c r="J85" s="99" t="s">
        <v>115</v>
      </c>
      <c r="K85" s="78"/>
      <c r="L85" s="101">
        <v>40</v>
      </c>
      <c r="M85" s="89">
        <v>13.932</v>
      </c>
      <c r="T85" s="91"/>
      <c r="U85" s="91"/>
      <c r="V85" s="91"/>
    </row>
    <row r="86" spans="1:22" x14ac:dyDescent="0.25">
      <c r="A86" s="107">
        <v>44160</v>
      </c>
      <c r="B86" s="101">
        <v>2073</v>
      </c>
      <c r="C86" s="101">
        <v>10</v>
      </c>
      <c r="D86" s="89">
        <v>3.5327375000000005</v>
      </c>
      <c r="E86" s="98"/>
      <c r="H86" s="89"/>
      <c r="J86" s="99" t="s">
        <v>41</v>
      </c>
      <c r="K86" s="78"/>
      <c r="L86" s="101">
        <v>10</v>
      </c>
      <c r="M86" s="89">
        <v>3.4830000000000001</v>
      </c>
      <c r="T86" s="91"/>
      <c r="U86" s="91"/>
      <c r="V86" s="91"/>
    </row>
    <row r="87" spans="1:22" x14ac:dyDescent="0.25">
      <c r="A87" s="107">
        <v>44161</v>
      </c>
      <c r="B87" s="101">
        <v>3016</v>
      </c>
      <c r="C87" s="101">
        <v>10</v>
      </c>
      <c r="D87" s="89">
        <v>4.1287599999999998</v>
      </c>
      <c r="E87" s="98"/>
      <c r="H87" s="89"/>
      <c r="J87" s="97" t="s">
        <v>77</v>
      </c>
      <c r="K87" s="78">
        <v>22990.083333333336</v>
      </c>
      <c r="L87" s="101">
        <v>193.5</v>
      </c>
      <c r="M87" s="89">
        <v>59.840671738095239</v>
      </c>
      <c r="T87" s="91"/>
      <c r="U87" s="91"/>
      <c r="V87" s="91"/>
    </row>
    <row r="88" spans="1:22" x14ac:dyDescent="0.25">
      <c r="A88" s="107">
        <v>44165</v>
      </c>
      <c r="B88" s="101">
        <v>808.4</v>
      </c>
      <c r="C88" s="101">
        <v>10</v>
      </c>
      <c r="D88" s="89">
        <v>4.4923315217391311</v>
      </c>
      <c r="E88" s="98"/>
      <c r="H88" s="89"/>
      <c r="J88" s="99" t="s">
        <v>33</v>
      </c>
      <c r="K88" s="78">
        <v>22990.083333333336</v>
      </c>
      <c r="L88" s="101">
        <v>114</v>
      </c>
      <c r="M88" s="89">
        <v>32.150821738095239</v>
      </c>
      <c r="T88" s="91"/>
      <c r="U88" s="91"/>
      <c r="V88" s="91"/>
    </row>
    <row r="89" spans="1:22" x14ac:dyDescent="0.25">
      <c r="A89" s="107">
        <v>44187</v>
      </c>
      <c r="B89" s="101">
        <v>708</v>
      </c>
      <c r="C89" s="101">
        <v>8.5</v>
      </c>
      <c r="D89" s="89">
        <v>4.2827021739130435</v>
      </c>
      <c r="E89" s="98"/>
      <c r="H89" s="89"/>
      <c r="J89" s="99" t="s">
        <v>38</v>
      </c>
      <c r="K89" s="78"/>
      <c r="L89" s="101">
        <v>20</v>
      </c>
      <c r="M89" s="89">
        <v>6.9660000000000002</v>
      </c>
      <c r="T89" s="91"/>
      <c r="U89" s="91"/>
      <c r="V89" s="91"/>
    </row>
    <row r="90" spans="1:22" x14ac:dyDescent="0.25">
      <c r="A90" s="97" t="s">
        <v>72</v>
      </c>
      <c r="B90" s="101">
        <v>7870.833333333333</v>
      </c>
      <c r="C90" s="101">
        <v>168</v>
      </c>
      <c r="D90" s="89">
        <v>63.565478587301591</v>
      </c>
      <c r="E90" s="98"/>
      <c r="H90" s="89"/>
      <c r="J90" s="99" t="s">
        <v>115</v>
      </c>
      <c r="K90" s="78"/>
      <c r="L90" s="101">
        <v>49.5</v>
      </c>
      <c r="M90" s="89">
        <v>17.240850000000002</v>
      </c>
      <c r="T90" s="91"/>
      <c r="U90" s="91"/>
      <c r="V90" s="91"/>
    </row>
    <row r="91" spans="1:22" x14ac:dyDescent="0.25">
      <c r="A91" s="107">
        <v>44166</v>
      </c>
      <c r="B91" s="101">
        <v>794</v>
      </c>
      <c r="C91" s="101">
        <v>9</v>
      </c>
      <c r="D91" s="89">
        <v>1.7397674285714286</v>
      </c>
      <c r="E91" s="98"/>
      <c r="H91" s="89"/>
      <c r="J91" s="99" t="s">
        <v>40</v>
      </c>
      <c r="K91" s="78"/>
      <c r="L91" s="101">
        <v>10</v>
      </c>
      <c r="M91" s="89">
        <v>3.4830000000000001</v>
      </c>
      <c r="T91" s="91"/>
      <c r="U91" s="91"/>
      <c r="V91" s="91"/>
    </row>
    <row r="92" spans="1:22" x14ac:dyDescent="0.25">
      <c r="A92" s="107">
        <v>44167</v>
      </c>
      <c r="B92" s="101"/>
      <c r="C92" s="101">
        <v>10</v>
      </c>
      <c r="D92" s="89">
        <v>3.4830000000000001</v>
      </c>
      <c r="E92" s="98"/>
      <c r="H92" s="89"/>
      <c r="J92" s="97" t="s">
        <v>169</v>
      </c>
      <c r="K92" s="78">
        <v>1347.25</v>
      </c>
      <c r="L92" s="101">
        <v>199</v>
      </c>
      <c r="M92" s="89">
        <v>69.481913852941176</v>
      </c>
      <c r="T92" s="91"/>
      <c r="U92" s="91"/>
      <c r="V92" s="91"/>
    </row>
    <row r="93" spans="1:22" x14ac:dyDescent="0.25">
      <c r="A93" s="107">
        <v>44168</v>
      </c>
      <c r="B93" s="101">
        <v>725.66666666666663</v>
      </c>
      <c r="C93" s="101">
        <v>10</v>
      </c>
      <c r="D93" s="89">
        <v>1.5900393333333331</v>
      </c>
      <c r="E93" s="98"/>
      <c r="H93" s="89"/>
      <c r="J93" s="99" t="s">
        <v>32</v>
      </c>
      <c r="K93" s="78">
        <v>250</v>
      </c>
      <c r="L93" s="101">
        <v>9</v>
      </c>
      <c r="M93" s="89">
        <v>7.5183823529411757</v>
      </c>
      <c r="T93" s="91"/>
      <c r="U93" s="91"/>
      <c r="V93" s="91"/>
    </row>
    <row r="94" spans="1:22" x14ac:dyDescent="0.25">
      <c r="A94" s="107">
        <v>44169</v>
      </c>
      <c r="B94" s="101">
        <v>1072.6666666666667</v>
      </c>
      <c r="C94" s="101">
        <v>10</v>
      </c>
      <c r="D94" s="89">
        <v>2.3503659047619054</v>
      </c>
      <c r="E94" s="98"/>
      <c r="H94" s="89"/>
      <c r="J94" s="99" t="s">
        <v>33</v>
      </c>
      <c r="K94" s="78">
        <v>1097.25</v>
      </c>
      <c r="L94" s="101">
        <v>19</v>
      </c>
      <c r="M94" s="89">
        <v>2.4042314999999999</v>
      </c>
      <c r="T94" s="91"/>
      <c r="U94" s="91"/>
      <c r="V94" s="91"/>
    </row>
    <row r="95" spans="1:22" x14ac:dyDescent="0.25">
      <c r="A95" s="107">
        <v>44173</v>
      </c>
      <c r="B95" s="101">
        <v>337.5</v>
      </c>
      <c r="C95" s="101">
        <v>9</v>
      </c>
      <c r="D95" s="89">
        <v>3.8343750000000005</v>
      </c>
      <c r="E95" s="98"/>
      <c r="H95" s="89"/>
      <c r="J95" s="99" t="s">
        <v>38</v>
      </c>
      <c r="K95" s="78"/>
      <c r="L95" s="101">
        <v>3</v>
      </c>
      <c r="M95" s="89">
        <v>1.0448999999999999</v>
      </c>
      <c r="T95" s="91"/>
      <c r="U95" s="91"/>
      <c r="V95" s="91"/>
    </row>
    <row r="96" spans="1:22" x14ac:dyDescent="0.25">
      <c r="A96" s="107">
        <v>44174</v>
      </c>
      <c r="B96" s="101">
        <v>378.25</v>
      </c>
      <c r="C96" s="101">
        <v>10</v>
      </c>
      <c r="D96" s="89">
        <v>4.2973402777777787</v>
      </c>
      <c r="E96" s="98"/>
      <c r="H96" s="89"/>
      <c r="J96" s="99" t="s">
        <v>115</v>
      </c>
      <c r="K96" s="78"/>
      <c r="L96" s="101">
        <v>50</v>
      </c>
      <c r="M96" s="89">
        <v>17.414999999999999</v>
      </c>
      <c r="T96" s="91"/>
      <c r="U96" s="91"/>
      <c r="V96" s="91"/>
    </row>
    <row r="97" spans="1:22" x14ac:dyDescent="0.25">
      <c r="A97" s="107">
        <v>44176</v>
      </c>
      <c r="B97" s="101">
        <v>218.75</v>
      </c>
      <c r="C97" s="101">
        <v>10</v>
      </c>
      <c r="D97" s="89">
        <v>3.5301430555555555</v>
      </c>
      <c r="E97" s="98"/>
      <c r="H97" s="89"/>
      <c r="J97" s="99" t="s">
        <v>40</v>
      </c>
      <c r="K97" s="78"/>
      <c r="L97" s="101">
        <v>118</v>
      </c>
      <c r="M97" s="89">
        <v>41.099399999999996</v>
      </c>
      <c r="T97" s="91"/>
      <c r="U97" s="91"/>
      <c r="V97" s="91"/>
    </row>
    <row r="98" spans="1:22" x14ac:dyDescent="0.25">
      <c r="A98" s="107">
        <v>44179</v>
      </c>
      <c r="B98" s="101">
        <v>775.5</v>
      </c>
      <c r="C98" s="101">
        <v>11</v>
      </c>
      <c r="D98" s="89">
        <v>1.6992312857142857</v>
      </c>
      <c r="E98" s="98"/>
      <c r="H98" s="89"/>
      <c r="J98" s="97" t="s">
        <v>194</v>
      </c>
      <c r="K98" s="78">
        <v>56446.083333333336</v>
      </c>
      <c r="L98" s="101">
        <v>214.5</v>
      </c>
      <c r="M98" s="89">
        <v>89.043454166666663</v>
      </c>
      <c r="T98" s="91"/>
      <c r="U98" s="91"/>
      <c r="V98" s="91"/>
    </row>
    <row r="99" spans="1:22" x14ac:dyDescent="0.25">
      <c r="A99" s="107">
        <v>44180</v>
      </c>
      <c r="B99" s="101">
        <v>863.5</v>
      </c>
      <c r="C99" s="101">
        <v>11</v>
      </c>
      <c r="D99" s="89">
        <v>1.8920518571428571</v>
      </c>
      <c r="E99" s="98"/>
      <c r="H99" s="89"/>
      <c r="J99" s="99" t="s">
        <v>33</v>
      </c>
      <c r="K99" s="78">
        <v>6496.083333333333</v>
      </c>
      <c r="L99" s="101">
        <v>39</v>
      </c>
      <c r="M99" s="89">
        <v>8.9060827380952379</v>
      </c>
      <c r="T99" s="91"/>
      <c r="U99" s="91"/>
      <c r="V99" s="91"/>
    </row>
    <row r="100" spans="1:22" x14ac:dyDescent="0.25">
      <c r="A100" s="107">
        <v>44181</v>
      </c>
      <c r="B100" s="101">
        <v>870</v>
      </c>
      <c r="C100" s="101">
        <v>11</v>
      </c>
      <c r="D100" s="89">
        <v>7.4985777777777773</v>
      </c>
      <c r="E100" s="98"/>
      <c r="H100" s="89"/>
      <c r="J100" s="99" t="s">
        <v>38</v>
      </c>
      <c r="K100" s="78"/>
      <c r="L100" s="101">
        <v>10</v>
      </c>
      <c r="M100" s="89">
        <v>3.4830000000000001</v>
      </c>
      <c r="T100" s="91"/>
      <c r="U100" s="91"/>
      <c r="V100" s="91"/>
    </row>
    <row r="101" spans="1:22" x14ac:dyDescent="0.25">
      <c r="A101" s="107">
        <v>44184</v>
      </c>
      <c r="B101" s="101">
        <v>540</v>
      </c>
      <c r="C101" s="101">
        <v>11</v>
      </c>
      <c r="D101" s="89">
        <v>5.5216800000000008</v>
      </c>
      <c r="E101" s="98"/>
      <c r="H101" s="89"/>
      <c r="J101" s="99" t="s">
        <v>115</v>
      </c>
      <c r="K101" s="78"/>
      <c r="L101" s="101">
        <v>54</v>
      </c>
      <c r="M101" s="89">
        <v>18.808199999999999</v>
      </c>
      <c r="T101" s="91"/>
      <c r="U101" s="91"/>
      <c r="V101" s="91"/>
    </row>
    <row r="102" spans="1:22" x14ac:dyDescent="0.25">
      <c r="A102" s="107">
        <v>44185</v>
      </c>
      <c r="B102" s="101"/>
      <c r="C102" s="101">
        <v>11</v>
      </c>
      <c r="D102" s="89">
        <v>3.8313000000000001</v>
      </c>
      <c r="E102" s="98"/>
      <c r="H102" s="89"/>
      <c r="J102" s="99" t="s">
        <v>34</v>
      </c>
      <c r="K102" s="78">
        <v>49950</v>
      </c>
      <c r="L102" s="101">
        <v>111.5</v>
      </c>
      <c r="M102" s="89">
        <v>57.846171428571424</v>
      </c>
      <c r="T102" s="91"/>
      <c r="U102" s="91"/>
      <c r="V102" s="91"/>
    </row>
    <row r="103" spans="1:22" x14ac:dyDescent="0.25">
      <c r="A103" s="107">
        <v>44162</v>
      </c>
      <c r="B103" s="101">
        <v>754</v>
      </c>
      <c r="C103" s="101">
        <v>11</v>
      </c>
      <c r="D103" s="89">
        <v>7.7099013333333328</v>
      </c>
      <c r="E103" s="98"/>
      <c r="H103" s="89"/>
      <c r="J103" s="97" t="s">
        <v>236</v>
      </c>
      <c r="K103" s="78">
        <v>3727.1</v>
      </c>
      <c r="L103" s="101">
        <v>194.5</v>
      </c>
      <c r="M103" s="89">
        <v>71.775926933621918</v>
      </c>
      <c r="T103" s="91"/>
      <c r="U103" s="91"/>
      <c r="V103" s="91"/>
    </row>
    <row r="104" spans="1:22" x14ac:dyDescent="0.25">
      <c r="A104" s="107">
        <v>44158</v>
      </c>
      <c r="B104" s="101"/>
      <c r="C104" s="101">
        <v>10</v>
      </c>
      <c r="D104" s="89">
        <v>3.4830000000000001</v>
      </c>
      <c r="E104" s="98"/>
      <c r="H104" s="89"/>
      <c r="J104" s="99" t="s">
        <v>113</v>
      </c>
      <c r="K104" s="78">
        <v>2580.1</v>
      </c>
      <c r="L104" s="101">
        <v>67</v>
      </c>
      <c r="M104" s="89">
        <v>29.312802777777776</v>
      </c>
      <c r="T104" s="91"/>
      <c r="U104" s="91"/>
      <c r="V104" s="91"/>
    </row>
    <row r="105" spans="1:22" x14ac:dyDescent="0.25">
      <c r="A105" s="107">
        <v>44159</v>
      </c>
      <c r="B105" s="101">
        <v>541</v>
      </c>
      <c r="C105" s="101">
        <v>8</v>
      </c>
      <c r="D105" s="89">
        <v>5.5319053333333335</v>
      </c>
      <c r="E105" s="98"/>
      <c r="H105" s="89"/>
      <c r="J105" s="99" t="s">
        <v>112</v>
      </c>
      <c r="K105" s="78">
        <v>402</v>
      </c>
      <c r="L105" s="101">
        <v>10</v>
      </c>
      <c r="M105" s="89">
        <v>3.736772727272728</v>
      </c>
      <c r="T105" s="91"/>
      <c r="U105" s="91"/>
      <c r="V105" s="91"/>
    </row>
    <row r="106" spans="1:22" x14ac:dyDescent="0.25">
      <c r="A106" s="107">
        <v>44160</v>
      </c>
      <c r="B106" s="101"/>
      <c r="C106" s="101">
        <v>11</v>
      </c>
      <c r="D106" s="89">
        <v>3.8313000000000001</v>
      </c>
      <c r="E106" s="98"/>
      <c r="H106" s="89"/>
      <c r="J106" s="99" t="s">
        <v>33</v>
      </c>
      <c r="K106" s="78">
        <v>745</v>
      </c>
      <c r="L106" s="101">
        <v>11</v>
      </c>
      <c r="M106" s="89">
        <v>1.6324014285714286</v>
      </c>
      <c r="T106" s="91"/>
      <c r="U106" s="91"/>
      <c r="V106" s="91"/>
    </row>
    <row r="107" spans="1:22" x14ac:dyDescent="0.25">
      <c r="A107" s="107">
        <v>44161</v>
      </c>
      <c r="B107" s="101"/>
      <c r="C107" s="101">
        <v>5</v>
      </c>
      <c r="D107" s="89">
        <v>1.7415</v>
      </c>
      <c r="E107" s="98"/>
      <c r="H107" s="89"/>
      <c r="J107" s="99" t="s">
        <v>38</v>
      </c>
      <c r="K107" s="78"/>
      <c r="L107" s="101">
        <v>3</v>
      </c>
      <c r="M107" s="89">
        <v>1.0448999999999999</v>
      </c>
      <c r="T107" s="91"/>
      <c r="U107" s="91"/>
      <c r="V107" s="91"/>
    </row>
    <row r="108" spans="1:22" x14ac:dyDescent="0.25">
      <c r="A108" s="97" t="s">
        <v>96</v>
      </c>
      <c r="B108" s="101">
        <v>9532.41</v>
      </c>
      <c r="C108" s="101">
        <v>186</v>
      </c>
      <c r="D108" s="89">
        <v>73.866009538678711</v>
      </c>
      <c r="E108" s="98"/>
      <c r="H108" s="89"/>
      <c r="J108" s="99" t="s">
        <v>115</v>
      </c>
      <c r="K108" s="78"/>
      <c r="L108" s="101">
        <v>42.5</v>
      </c>
      <c r="M108" s="89">
        <v>14.80275</v>
      </c>
      <c r="T108" s="91"/>
      <c r="U108" s="91"/>
      <c r="V108" s="91"/>
    </row>
    <row r="109" spans="1:22" x14ac:dyDescent="0.25">
      <c r="A109" s="107">
        <v>44166</v>
      </c>
      <c r="B109" s="101">
        <v>794</v>
      </c>
      <c r="C109" s="101">
        <v>9</v>
      </c>
      <c r="D109" s="89">
        <v>1.7397674285714286</v>
      </c>
      <c r="E109" s="98"/>
      <c r="H109" s="89"/>
      <c r="J109" s="99" t="s">
        <v>41</v>
      </c>
      <c r="K109" s="78"/>
      <c r="L109" s="101">
        <v>61</v>
      </c>
      <c r="M109" s="89">
        <v>21.246299999999998</v>
      </c>
      <c r="T109" s="91"/>
      <c r="U109" s="91"/>
      <c r="V109" s="91"/>
    </row>
    <row r="110" spans="1:22" x14ac:dyDescent="0.25">
      <c r="A110" s="107">
        <v>44167</v>
      </c>
      <c r="B110" s="101">
        <v>741.5</v>
      </c>
      <c r="C110" s="101">
        <v>10</v>
      </c>
      <c r="D110" s="89">
        <v>1.6247324285714289</v>
      </c>
      <c r="E110" s="98"/>
      <c r="H110" s="89"/>
      <c r="J110" s="97" t="s">
        <v>168</v>
      </c>
      <c r="K110" s="78"/>
      <c r="L110" s="101">
        <v>178</v>
      </c>
      <c r="M110" s="89">
        <v>61.997399999999978</v>
      </c>
      <c r="T110" s="91"/>
      <c r="U110" s="91"/>
      <c r="V110" s="91"/>
    </row>
    <row r="111" spans="1:22" x14ac:dyDescent="0.25">
      <c r="A111" s="107">
        <v>44168</v>
      </c>
      <c r="B111" s="101">
        <v>725.66666666666663</v>
      </c>
      <c r="C111" s="101">
        <v>10</v>
      </c>
      <c r="D111" s="89">
        <v>1.5900393333333331</v>
      </c>
      <c r="E111" s="98"/>
      <c r="H111" s="89"/>
      <c r="J111" s="99" t="s">
        <v>115</v>
      </c>
      <c r="K111" s="78"/>
      <c r="L111" s="101">
        <v>10</v>
      </c>
      <c r="M111" s="89">
        <v>3.4830000000000001</v>
      </c>
      <c r="T111" s="91"/>
      <c r="U111" s="91"/>
      <c r="V111" s="91"/>
    </row>
    <row r="112" spans="1:22" x14ac:dyDescent="0.25">
      <c r="A112" s="107">
        <v>44172</v>
      </c>
      <c r="B112" s="101">
        <v>620.5</v>
      </c>
      <c r="C112" s="101">
        <v>10</v>
      </c>
      <c r="D112" s="89">
        <v>5.7678295454545463</v>
      </c>
      <c r="E112" s="98"/>
      <c r="H112" s="89"/>
      <c r="J112" s="99" t="s">
        <v>41</v>
      </c>
      <c r="K112" s="78"/>
      <c r="L112" s="101">
        <v>168</v>
      </c>
      <c r="M112" s="89">
        <v>58.514399999999981</v>
      </c>
      <c r="T112" s="91"/>
      <c r="U112" s="91"/>
      <c r="V112" s="91"/>
    </row>
    <row r="113" spans="1:13" x14ac:dyDescent="0.25">
      <c r="A113" s="107">
        <v>44173</v>
      </c>
      <c r="B113" s="101">
        <v>620</v>
      </c>
      <c r="C113" s="101">
        <v>10</v>
      </c>
      <c r="D113" s="89">
        <v>5.7631818181818186</v>
      </c>
      <c r="E113" s="98"/>
      <c r="H113" s="89"/>
      <c r="J113" s="97" t="s">
        <v>277</v>
      </c>
      <c r="K113" s="78">
        <v>131.6</v>
      </c>
      <c r="L113" s="101">
        <v>10</v>
      </c>
      <c r="M113" s="89">
        <v>5.0025764705882363</v>
      </c>
    </row>
    <row r="114" spans="1:13" x14ac:dyDescent="0.25">
      <c r="A114" s="107">
        <v>44174</v>
      </c>
      <c r="B114" s="101">
        <v>601.5</v>
      </c>
      <c r="C114" s="101">
        <v>10</v>
      </c>
      <c r="D114" s="89">
        <v>5.5912159090909093</v>
      </c>
      <c r="E114" s="98"/>
      <c r="H114" s="89"/>
      <c r="J114" s="99" t="s">
        <v>32</v>
      </c>
      <c r="K114" s="78">
        <v>131.6</v>
      </c>
      <c r="L114" s="101">
        <v>7</v>
      </c>
      <c r="M114" s="89">
        <v>3.9576764705882361</v>
      </c>
    </row>
    <row r="115" spans="1:13" x14ac:dyDescent="0.25">
      <c r="A115" s="107">
        <v>44175</v>
      </c>
      <c r="B115" s="101">
        <v>616.5</v>
      </c>
      <c r="C115" s="101">
        <v>10</v>
      </c>
      <c r="D115" s="89">
        <v>5.7306477272727276</v>
      </c>
      <c r="E115" s="98"/>
      <c r="H115" s="89"/>
      <c r="J115" s="99" t="s">
        <v>41</v>
      </c>
      <c r="K115" s="78"/>
      <c r="L115" s="101">
        <v>3</v>
      </c>
      <c r="M115" s="89">
        <v>1.0448999999999999</v>
      </c>
    </row>
    <row r="116" spans="1:13" x14ac:dyDescent="0.25">
      <c r="A116" s="107">
        <v>44176</v>
      </c>
      <c r="B116" s="101">
        <v>357.5</v>
      </c>
      <c r="C116" s="101">
        <v>8</v>
      </c>
      <c r="D116" s="89">
        <v>3.3231250000000001</v>
      </c>
      <c r="E116" s="98"/>
      <c r="H116" s="89"/>
      <c r="J116" s="97" t="s">
        <v>281</v>
      </c>
      <c r="K116" s="78"/>
      <c r="L116" s="101">
        <v>148</v>
      </c>
      <c r="M116" s="89">
        <v>51.548399999999994</v>
      </c>
    </row>
    <row r="117" spans="1:13" x14ac:dyDescent="0.25">
      <c r="A117" s="107">
        <v>44179</v>
      </c>
      <c r="B117" s="101">
        <v>605</v>
      </c>
      <c r="C117" s="101">
        <v>10</v>
      </c>
      <c r="D117" s="89">
        <v>5.6237500000000011</v>
      </c>
      <c r="E117" s="98"/>
      <c r="H117" s="89"/>
      <c r="J117" s="99" t="s">
        <v>115</v>
      </c>
      <c r="K117" s="78"/>
      <c r="L117" s="101">
        <v>20</v>
      </c>
      <c r="M117" s="89">
        <v>6.9660000000000002</v>
      </c>
    </row>
    <row r="118" spans="1:13" x14ac:dyDescent="0.25">
      <c r="A118" s="107">
        <v>44180</v>
      </c>
      <c r="B118" s="101">
        <v>311.14999999999998</v>
      </c>
      <c r="C118" s="101">
        <v>10</v>
      </c>
      <c r="D118" s="89">
        <v>3.9371806818181811</v>
      </c>
      <c r="E118" s="98"/>
      <c r="H118" s="89"/>
      <c r="J118" s="99" t="s">
        <v>41</v>
      </c>
      <c r="K118" s="78"/>
      <c r="L118" s="101">
        <v>128</v>
      </c>
      <c r="M118" s="89">
        <v>44.582399999999993</v>
      </c>
    </row>
    <row r="119" spans="1:13" x14ac:dyDescent="0.25">
      <c r="A119" s="107">
        <v>44181</v>
      </c>
      <c r="B119" s="101">
        <v>750.83333333333337</v>
      </c>
      <c r="C119" s="101">
        <v>9</v>
      </c>
      <c r="D119" s="89">
        <v>1.6451830952380955</v>
      </c>
      <c r="E119" s="98"/>
      <c r="H119" s="89"/>
      <c r="J119" s="97" t="s">
        <v>107</v>
      </c>
      <c r="K119" s="78">
        <v>375088.09999999986</v>
      </c>
      <c r="L119" s="101">
        <v>3865</v>
      </c>
      <c r="M119" s="89">
        <v>1468.1095890304091</v>
      </c>
    </row>
    <row r="120" spans="1:13" x14ac:dyDescent="0.25">
      <c r="A120" s="107">
        <v>44182</v>
      </c>
      <c r="B120" s="101">
        <v>405</v>
      </c>
      <c r="C120" s="101">
        <v>10</v>
      </c>
      <c r="D120" s="89">
        <v>4.6012500000000003</v>
      </c>
      <c r="E120" s="98"/>
      <c r="H120" s="89"/>
      <c r="J120"/>
      <c r="K120"/>
      <c r="L120"/>
      <c r="M120"/>
    </row>
    <row r="121" spans="1:13" x14ac:dyDescent="0.25">
      <c r="A121" s="107">
        <v>44183</v>
      </c>
      <c r="B121" s="101"/>
      <c r="C121" s="101">
        <v>10</v>
      </c>
      <c r="D121" s="89">
        <v>3.4830000000000001</v>
      </c>
      <c r="E121" s="98"/>
      <c r="H121" s="89"/>
      <c r="J121"/>
      <c r="K121"/>
      <c r="L121"/>
      <c r="M121"/>
    </row>
    <row r="122" spans="1:13" x14ac:dyDescent="0.25">
      <c r="A122" s="107">
        <v>44186</v>
      </c>
      <c r="B122" s="101">
        <v>438.75999999999993</v>
      </c>
      <c r="C122" s="101">
        <v>10</v>
      </c>
      <c r="D122" s="89">
        <v>3.4831179347826087</v>
      </c>
      <c r="E122" s="98"/>
      <c r="H122" s="89"/>
      <c r="J122"/>
      <c r="K122"/>
      <c r="L122"/>
      <c r="M122"/>
    </row>
    <row r="123" spans="1:13" x14ac:dyDescent="0.25">
      <c r="A123" s="107">
        <v>44162</v>
      </c>
      <c r="B123" s="101">
        <v>402</v>
      </c>
      <c r="C123" s="101">
        <v>10</v>
      </c>
      <c r="D123" s="89">
        <v>3.736772727272728</v>
      </c>
      <c r="E123" s="98"/>
      <c r="H123" s="89"/>
      <c r="J123"/>
      <c r="K123"/>
      <c r="L123"/>
      <c r="M123"/>
    </row>
    <row r="124" spans="1:13" x14ac:dyDescent="0.25">
      <c r="A124" s="107">
        <v>44158</v>
      </c>
      <c r="B124" s="101">
        <v>629</v>
      </c>
      <c r="C124" s="101">
        <v>10</v>
      </c>
      <c r="D124" s="89">
        <v>5.8468409090909095</v>
      </c>
      <c r="E124" s="98"/>
      <c r="H124" s="89"/>
      <c r="J124"/>
      <c r="K124"/>
      <c r="L124"/>
      <c r="M124"/>
    </row>
    <row r="125" spans="1:13" x14ac:dyDescent="0.25">
      <c r="A125" s="107">
        <v>44159</v>
      </c>
      <c r="B125" s="101">
        <v>208</v>
      </c>
      <c r="C125" s="101">
        <v>10</v>
      </c>
      <c r="D125" s="89">
        <v>2.3631111111111114</v>
      </c>
      <c r="E125" s="98"/>
      <c r="H125" s="89"/>
      <c r="J125"/>
      <c r="K125"/>
      <c r="L125"/>
      <c r="M125"/>
    </row>
    <row r="126" spans="1:13" x14ac:dyDescent="0.25">
      <c r="A126" s="107">
        <v>44160</v>
      </c>
      <c r="B126" s="101">
        <v>402</v>
      </c>
      <c r="C126" s="101">
        <v>10</v>
      </c>
      <c r="D126" s="89">
        <v>4.567166666666667</v>
      </c>
      <c r="E126" s="98"/>
      <c r="H126" s="89"/>
      <c r="J126"/>
      <c r="K126"/>
      <c r="L126"/>
      <c r="M126"/>
    </row>
    <row r="127" spans="1:13" x14ac:dyDescent="0.25">
      <c r="A127" s="107">
        <v>44161</v>
      </c>
      <c r="B127" s="101">
        <v>303.5</v>
      </c>
      <c r="C127" s="101">
        <v>10</v>
      </c>
      <c r="D127" s="89">
        <v>3.4480972222222226</v>
      </c>
      <c r="E127" s="98"/>
      <c r="H127" s="89"/>
      <c r="J127"/>
      <c r="K127"/>
      <c r="L127"/>
      <c r="M127"/>
    </row>
    <row r="128" spans="1:13" x14ac:dyDescent="0.25">
      <c r="A128" s="97" t="s">
        <v>43</v>
      </c>
      <c r="B128" s="101">
        <v>66381</v>
      </c>
      <c r="C128" s="101">
        <v>217</v>
      </c>
      <c r="D128" s="89">
        <v>98.158182982056587</v>
      </c>
      <c r="E128" s="98"/>
      <c r="H128" s="89"/>
      <c r="J128"/>
      <c r="K128"/>
      <c r="L128"/>
      <c r="M128"/>
    </row>
    <row r="129" spans="1:13" x14ac:dyDescent="0.25">
      <c r="A129" s="107">
        <v>44166</v>
      </c>
      <c r="B129" s="101">
        <v>794</v>
      </c>
      <c r="C129" s="101">
        <v>9</v>
      </c>
      <c r="D129" s="89">
        <v>1.7397674285714286</v>
      </c>
      <c r="E129" s="98"/>
      <c r="H129" s="89"/>
      <c r="J129"/>
      <c r="K129"/>
      <c r="L129"/>
      <c r="M129"/>
    </row>
    <row r="130" spans="1:13" x14ac:dyDescent="0.25">
      <c r="A130" s="107">
        <v>44167</v>
      </c>
      <c r="B130" s="101">
        <v>3800</v>
      </c>
      <c r="C130" s="101">
        <v>10</v>
      </c>
      <c r="D130" s="89">
        <v>7.2855499999999997</v>
      </c>
      <c r="E130" s="98"/>
      <c r="H130" s="89"/>
      <c r="J130"/>
      <c r="K130"/>
      <c r="L130"/>
      <c r="M130"/>
    </row>
    <row r="131" spans="1:13" x14ac:dyDescent="0.25">
      <c r="A131" s="107">
        <v>44168</v>
      </c>
      <c r="B131" s="101">
        <v>4250</v>
      </c>
      <c r="C131" s="101">
        <v>10</v>
      </c>
      <c r="D131" s="89">
        <v>4.6561785714285717</v>
      </c>
      <c r="E131" s="98"/>
      <c r="H131" s="89"/>
      <c r="J131"/>
      <c r="K131"/>
      <c r="L131"/>
      <c r="M131"/>
    </row>
    <row r="132" spans="1:13" x14ac:dyDescent="0.25">
      <c r="A132" s="107">
        <v>44169</v>
      </c>
      <c r="B132" s="101">
        <v>1072.6666666666667</v>
      </c>
      <c r="C132" s="101">
        <v>10</v>
      </c>
      <c r="D132" s="89">
        <v>2.3503659047619054</v>
      </c>
      <c r="E132" s="98"/>
      <c r="H132" s="89"/>
      <c r="J132"/>
      <c r="K132"/>
      <c r="L132"/>
      <c r="M132"/>
    </row>
    <row r="133" spans="1:13" x14ac:dyDescent="0.25">
      <c r="A133" s="107">
        <v>44172</v>
      </c>
      <c r="B133" s="101">
        <v>182.66666666666666</v>
      </c>
      <c r="C133" s="101">
        <v>10</v>
      </c>
      <c r="D133" s="89">
        <v>1.7934487619047619</v>
      </c>
      <c r="E133" s="98"/>
      <c r="H133" s="89"/>
      <c r="J133"/>
      <c r="K133"/>
      <c r="L133"/>
      <c r="M133"/>
    </row>
    <row r="134" spans="1:13" x14ac:dyDescent="0.25">
      <c r="A134" s="107">
        <v>44173</v>
      </c>
      <c r="B134" s="101">
        <v>320.5</v>
      </c>
      <c r="C134" s="101">
        <v>10</v>
      </c>
      <c r="D134" s="89">
        <v>3.6412361111111107</v>
      </c>
      <c r="E134" s="98"/>
      <c r="H134" s="89"/>
      <c r="J134"/>
      <c r="K134"/>
      <c r="L134"/>
      <c r="M134"/>
    </row>
    <row r="135" spans="1:13" x14ac:dyDescent="0.25">
      <c r="A135" s="107">
        <v>44174</v>
      </c>
      <c r="B135" s="101">
        <v>3425</v>
      </c>
      <c r="C135" s="101">
        <v>10</v>
      </c>
      <c r="D135" s="89">
        <v>3.752332142857143</v>
      </c>
      <c r="E135" s="98"/>
      <c r="H135" s="89"/>
      <c r="J135"/>
      <c r="K135"/>
      <c r="L135"/>
      <c r="M135"/>
    </row>
    <row r="136" spans="1:13" x14ac:dyDescent="0.25">
      <c r="A136" s="107">
        <v>44175</v>
      </c>
      <c r="B136" s="101">
        <v>3325</v>
      </c>
      <c r="C136" s="101">
        <v>6</v>
      </c>
      <c r="D136" s="89">
        <v>3.6427749999999994</v>
      </c>
      <c r="E136" s="98"/>
      <c r="H136" s="89"/>
      <c r="J136"/>
      <c r="K136"/>
      <c r="L136"/>
      <c r="M136"/>
    </row>
    <row r="137" spans="1:13" x14ac:dyDescent="0.25">
      <c r="A137" s="107">
        <v>44176</v>
      </c>
      <c r="B137" s="101">
        <v>5775</v>
      </c>
      <c r="C137" s="101">
        <v>10</v>
      </c>
      <c r="D137" s="89">
        <v>6.3269250000000001</v>
      </c>
      <c r="E137" s="98"/>
      <c r="H137" s="89"/>
      <c r="J137"/>
      <c r="K137"/>
      <c r="L137"/>
      <c r="M137"/>
    </row>
    <row r="138" spans="1:13" x14ac:dyDescent="0.25">
      <c r="A138" s="107">
        <v>44177</v>
      </c>
      <c r="B138" s="101">
        <v>6300</v>
      </c>
      <c r="C138" s="101">
        <v>10</v>
      </c>
      <c r="D138" s="89">
        <v>6.9020999999999999</v>
      </c>
      <c r="E138" s="98"/>
      <c r="H138" s="89"/>
      <c r="J138"/>
      <c r="K138"/>
      <c r="L138"/>
      <c r="M138"/>
    </row>
    <row r="139" spans="1:13" x14ac:dyDescent="0.25">
      <c r="A139" s="107">
        <v>44180</v>
      </c>
      <c r="B139" s="101">
        <v>699.75</v>
      </c>
      <c r="C139" s="101">
        <v>10</v>
      </c>
      <c r="D139" s="89">
        <v>1.5332522142857141</v>
      </c>
      <c r="E139" s="98"/>
      <c r="H139" s="89"/>
      <c r="J139"/>
      <c r="K139"/>
      <c r="L139"/>
      <c r="M139"/>
    </row>
    <row r="140" spans="1:13" x14ac:dyDescent="0.25">
      <c r="A140" s="107">
        <v>44181</v>
      </c>
      <c r="B140" s="101">
        <v>835.25</v>
      </c>
      <c r="C140" s="101">
        <v>11</v>
      </c>
      <c r="D140" s="89">
        <v>1.8301520714285717</v>
      </c>
      <c r="E140" s="98"/>
      <c r="H140" s="89"/>
      <c r="J140"/>
      <c r="K140"/>
      <c r="L140"/>
      <c r="M140"/>
    </row>
    <row r="141" spans="1:13" x14ac:dyDescent="0.25">
      <c r="A141" s="107">
        <v>44183</v>
      </c>
      <c r="B141" s="101">
        <v>498.66666666666669</v>
      </c>
      <c r="C141" s="101">
        <v>8</v>
      </c>
      <c r="D141" s="89">
        <v>2.7711231884057974</v>
      </c>
      <c r="E141" s="98"/>
      <c r="H141" s="89"/>
      <c r="J141"/>
      <c r="K141"/>
      <c r="L141"/>
      <c r="M141"/>
    </row>
    <row r="142" spans="1:13" x14ac:dyDescent="0.25">
      <c r="A142" s="107">
        <v>44186</v>
      </c>
      <c r="B142" s="101">
        <v>6200</v>
      </c>
      <c r="C142" s="101">
        <v>11</v>
      </c>
      <c r="D142" s="89">
        <v>6.7925428571428572</v>
      </c>
      <c r="E142" s="98"/>
      <c r="H142" s="89"/>
      <c r="J142"/>
      <c r="K142"/>
      <c r="L142"/>
      <c r="M142"/>
    </row>
    <row r="143" spans="1:13" x14ac:dyDescent="0.25">
      <c r="A143" s="107">
        <v>44185</v>
      </c>
      <c r="B143" s="101">
        <v>4400</v>
      </c>
      <c r="C143" s="101">
        <v>11</v>
      </c>
      <c r="D143" s="89">
        <v>6.6282071428571427</v>
      </c>
      <c r="E143" s="98"/>
      <c r="H143" s="89"/>
      <c r="J143"/>
      <c r="K143"/>
      <c r="L143"/>
      <c r="M143"/>
    </row>
    <row r="144" spans="1:13" x14ac:dyDescent="0.25">
      <c r="A144" s="107">
        <v>44162</v>
      </c>
      <c r="B144" s="101">
        <v>4625</v>
      </c>
      <c r="C144" s="101">
        <v>10</v>
      </c>
      <c r="D144" s="89">
        <v>5.067017857142857</v>
      </c>
      <c r="E144" s="98"/>
      <c r="H144" s="89"/>
      <c r="J144"/>
      <c r="K144"/>
      <c r="L144"/>
      <c r="M144"/>
    </row>
    <row r="145" spans="1:13" x14ac:dyDescent="0.25">
      <c r="A145" s="107">
        <v>44158</v>
      </c>
      <c r="B145" s="101">
        <v>176.5</v>
      </c>
      <c r="C145" s="101">
        <v>10</v>
      </c>
      <c r="D145" s="89">
        <v>3.7467361111111108</v>
      </c>
      <c r="E145" s="98"/>
      <c r="H145" s="89"/>
      <c r="J145"/>
      <c r="K145"/>
      <c r="L145"/>
      <c r="M145"/>
    </row>
    <row r="146" spans="1:13" x14ac:dyDescent="0.25">
      <c r="A146" s="107">
        <v>44159</v>
      </c>
      <c r="B146" s="101">
        <v>426</v>
      </c>
      <c r="C146" s="101">
        <v>10</v>
      </c>
      <c r="D146" s="89">
        <v>4.8398333333333339</v>
      </c>
      <c r="E146" s="98"/>
      <c r="H146" s="89"/>
      <c r="J146"/>
      <c r="K146"/>
      <c r="L146"/>
      <c r="M146"/>
    </row>
    <row r="147" spans="1:13" x14ac:dyDescent="0.25">
      <c r="A147" s="107">
        <v>44160</v>
      </c>
      <c r="B147" s="101">
        <v>2750</v>
      </c>
      <c r="C147" s="101">
        <v>10</v>
      </c>
      <c r="D147" s="89">
        <v>4.754321428571429</v>
      </c>
      <c r="E147" s="98"/>
      <c r="H147" s="89"/>
      <c r="J147"/>
      <c r="K147"/>
      <c r="L147"/>
      <c r="M147"/>
    </row>
    <row r="148" spans="1:13" x14ac:dyDescent="0.25">
      <c r="A148" s="107">
        <v>44161</v>
      </c>
      <c r="B148" s="101">
        <v>4000</v>
      </c>
      <c r="C148" s="101">
        <v>10</v>
      </c>
      <c r="D148" s="89">
        <v>4.3822857142857146</v>
      </c>
      <c r="E148" s="98"/>
      <c r="H148" s="89"/>
      <c r="J148"/>
      <c r="K148"/>
      <c r="L148"/>
      <c r="M148"/>
    </row>
    <row r="149" spans="1:13" x14ac:dyDescent="0.25">
      <c r="A149" s="107">
        <v>44163</v>
      </c>
      <c r="B149" s="101">
        <v>5625</v>
      </c>
      <c r="C149" s="101">
        <v>10</v>
      </c>
      <c r="D149" s="89">
        <v>6.1625892857142865</v>
      </c>
      <c r="E149" s="98"/>
      <c r="H149" s="89"/>
      <c r="J149"/>
      <c r="K149"/>
      <c r="L149"/>
      <c r="M149"/>
    </row>
    <row r="150" spans="1:13" x14ac:dyDescent="0.25">
      <c r="A150" s="107">
        <v>44187</v>
      </c>
      <c r="B150" s="101">
        <v>6900</v>
      </c>
      <c r="C150" s="101">
        <v>11</v>
      </c>
      <c r="D150" s="89">
        <v>7.5594428571428569</v>
      </c>
      <c r="E150" s="98"/>
      <c r="H150" s="89"/>
      <c r="J150"/>
      <c r="K150"/>
      <c r="L150"/>
      <c r="M150"/>
    </row>
    <row r="151" spans="1:13" x14ac:dyDescent="0.25">
      <c r="A151" s="97" t="s">
        <v>57</v>
      </c>
      <c r="B151" s="101">
        <v>12296.37</v>
      </c>
      <c r="C151" s="101">
        <v>226</v>
      </c>
      <c r="D151" s="89">
        <v>99.202908697675511</v>
      </c>
      <c r="E151" s="98"/>
      <c r="H151" s="89"/>
      <c r="J151"/>
      <c r="K151"/>
      <c r="L151"/>
      <c r="M151"/>
    </row>
    <row r="152" spans="1:13" x14ac:dyDescent="0.25">
      <c r="A152" s="107">
        <v>44166</v>
      </c>
      <c r="B152" s="101">
        <v>839.75</v>
      </c>
      <c r="C152" s="101">
        <v>10</v>
      </c>
      <c r="D152" s="89">
        <v>4.6665455163043479</v>
      </c>
      <c r="E152" s="98"/>
      <c r="H152" s="89"/>
      <c r="J152"/>
      <c r="K152"/>
      <c r="L152"/>
      <c r="M152"/>
    </row>
    <row r="153" spans="1:13" x14ac:dyDescent="0.25">
      <c r="A153" s="107">
        <v>44167</v>
      </c>
      <c r="B153" s="101">
        <v>738.3</v>
      </c>
      <c r="C153" s="101">
        <v>10</v>
      </c>
      <c r="D153" s="89">
        <v>4.1027812499999996</v>
      </c>
      <c r="E153" s="98"/>
      <c r="H153" s="89"/>
      <c r="J153"/>
      <c r="K153"/>
      <c r="L153"/>
      <c r="M153"/>
    </row>
    <row r="154" spans="1:13" x14ac:dyDescent="0.25">
      <c r="A154" s="107">
        <v>44168</v>
      </c>
      <c r="B154" s="101">
        <v>767.25</v>
      </c>
      <c r="C154" s="101">
        <v>10</v>
      </c>
      <c r="D154" s="89">
        <v>4.2636582880434784</v>
      </c>
      <c r="E154" s="98"/>
      <c r="H154" s="89"/>
      <c r="J154"/>
      <c r="K154"/>
      <c r="L154"/>
      <c r="M154"/>
    </row>
    <row r="155" spans="1:13" x14ac:dyDescent="0.25">
      <c r="A155" s="107">
        <v>44169</v>
      </c>
      <c r="B155" s="101">
        <v>150.44999999999999</v>
      </c>
      <c r="C155" s="101">
        <v>10</v>
      </c>
      <c r="D155" s="89">
        <v>3.2741604619565217</v>
      </c>
      <c r="E155" s="98"/>
      <c r="H155" s="89"/>
      <c r="J155"/>
      <c r="K155"/>
      <c r="L155"/>
      <c r="M155"/>
    </row>
    <row r="156" spans="1:13" x14ac:dyDescent="0.25">
      <c r="A156" s="107">
        <v>44170</v>
      </c>
      <c r="B156" s="101"/>
      <c r="C156" s="101">
        <v>10</v>
      </c>
      <c r="D156" s="89">
        <v>3.4830000000000001</v>
      </c>
      <c r="E156" s="98"/>
      <c r="H156" s="89"/>
      <c r="J156"/>
      <c r="K156"/>
      <c r="L156"/>
      <c r="M156"/>
    </row>
    <row r="157" spans="1:13" x14ac:dyDescent="0.25">
      <c r="A157" s="107">
        <v>44172</v>
      </c>
      <c r="B157" s="101">
        <v>620.5</v>
      </c>
      <c r="C157" s="101">
        <v>10</v>
      </c>
      <c r="D157" s="89">
        <v>5.7678295454545463</v>
      </c>
      <c r="E157" s="98"/>
      <c r="H157" s="89"/>
      <c r="J157"/>
      <c r="K157"/>
      <c r="L157"/>
      <c r="M157"/>
    </row>
    <row r="158" spans="1:13" x14ac:dyDescent="0.25">
      <c r="A158" s="107">
        <v>44173</v>
      </c>
      <c r="B158" s="101">
        <v>620</v>
      </c>
      <c r="C158" s="101">
        <v>10</v>
      </c>
      <c r="D158" s="89">
        <v>5.7631818181818186</v>
      </c>
      <c r="E158" s="98"/>
      <c r="F158" s="98"/>
      <c r="G158" s="98"/>
      <c r="H158" s="89"/>
      <c r="J158"/>
      <c r="K158"/>
      <c r="L158"/>
      <c r="M158"/>
    </row>
    <row r="159" spans="1:13" x14ac:dyDescent="0.25">
      <c r="A159" s="107">
        <v>44174</v>
      </c>
      <c r="B159" s="101">
        <v>601.5</v>
      </c>
      <c r="C159" s="101">
        <v>10</v>
      </c>
      <c r="D159" s="89">
        <v>5.5912159090909093</v>
      </c>
    </row>
    <row r="160" spans="1:13" x14ac:dyDescent="0.25">
      <c r="A160" s="107">
        <v>44175</v>
      </c>
      <c r="B160" s="101">
        <v>756.4</v>
      </c>
      <c r="C160" s="101">
        <v>10</v>
      </c>
      <c r="D160" s="89">
        <v>4.2033641304347826</v>
      </c>
    </row>
    <row r="161" spans="1:4" x14ac:dyDescent="0.25">
      <c r="A161" s="107">
        <v>44176</v>
      </c>
      <c r="B161" s="101">
        <v>566.75</v>
      </c>
      <c r="C161" s="101">
        <v>8</v>
      </c>
      <c r="D161" s="89">
        <v>3.1494667119565221</v>
      </c>
    </row>
    <row r="162" spans="1:4" x14ac:dyDescent="0.25">
      <c r="A162" s="107">
        <v>44179</v>
      </c>
      <c r="B162" s="101">
        <v>605</v>
      </c>
      <c r="C162" s="101">
        <v>10</v>
      </c>
      <c r="D162" s="89">
        <v>5.6237500000000011</v>
      </c>
    </row>
    <row r="163" spans="1:4" x14ac:dyDescent="0.25">
      <c r="A163" s="107">
        <v>44180</v>
      </c>
      <c r="B163" s="101">
        <v>577.85</v>
      </c>
      <c r="C163" s="101">
        <v>10</v>
      </c>
      <c r="D163" s="89">
        <v>5.3713784090909105</v>
      </c>
    </row>
    <row r="164" spans="1:4" x14ac:dyDescent="0.25">
      <c r="A164" s="107">
        <v>44181</v>
      </c>
      <c r="B164" s="101">
        <v>527</v>
      </c>
      <c r="C164" s="101">
        <v>8</v>
      </c>
      <c r="D164" s="89">
        <v>4.8987045454545459</v>
      </c>
    </row>
    <row r="165" spans="1:4" x14ac:dyDescent="0.25">
      <c r="A165" s="107">
        <v>44182</v>
      </c>
      <c r="B165" s="101">
        <v>302.25</v>
      </c>
      <c r="C165" s="101">
        <v>10</v>
      </c>
      <c r="D165" s="89">
        <v>1.3588729285714285</v>
      </c>
    </row>
    <row r="166" spans="1:4" x14ac:dyDescent="0.25">
      <c r="A166" s="107">
        <v>44183</v>
      </c>
      <c r="B166" s="101">
        <v>748</v>
      </c>
      <c r="C166" s="101">
        <v>10</v>
      </c>
      <c r="D166" s="89">
        <v>4.1566847826086954</v>
      </c>
    </row>
    <row r="167" spans="1:4" x14ac:dyDescent="0.25">
      <c r="A167" s="107">
        <v>44184</v>
      </c>
      <c r="B167" s="101">
        <v>711.6</v>
      </c>
      <c r="C167" s="101">
        <v>10</v>
      </c>
      <c r="D167" s="89">
        <v>3.9544076086956519</v>
      </c>
    </row>
    <row r="168" spans="1:4" x14ac:dyDescent="0.25">
      <c r="A168" s="107">
        <v>44186</v>
      </c>
      <c r="B168" s="101">
        <v>731.26666666666677</v>
      </c>
      <c r="C168" s="101">
        <v>10</v>
      </c>
      <c r="D168" s="89">
        <v>4.0636965579710154</v>
      </c>
    </row>
    <row r="169" spans="1:4" x14ac:dyDescent="0.25">
      <c r="A169" s="107">
        <v>44162</v>
      </c>
      <c r="B169" s="101">
        <v>165.33333333333334</v>
      </c>
      <c r="C169" s="101">
        <v>10</v>
      </c>
      <c r="D169" s="89">
        <v>3.9749484848484848</v>
      </c>
    </row>
    <row r="170" spans="1:4" x14ac:dyDescent="0.25">
      <c r="A170" s="107">
        <v>44158</v>
      </c>
      <c r="B170" s="101">
        <v>395.27</v>
      </c>
      <c r="C170" s="101">
        <v>10</v>
      </c>
      <c r="D170" s="89">
        <v>3.6742143181818188</v>
      </c>
    </row>
    <row r="171" spans="1:4" x14ac:dyDescent="0.25">
      <c r="A171" s="107">
        <v>44159</v>
      </c>
      <c r="B171" s="101">
        <v>520.5</v>
      </c>
      <c r="C171" s="101">
        <v>10</v>
      </c>
      <c r="D171" s="89">
        <v>4.8382840909090907</v>
      </c>
    </row>
    <row r="172" spans="1:4" x14ac:dyDescent="0.25">
      <c r="A172" s="107">
        <v>44160</v>
      </c>
      <c r="B172" s="101"/>
      <c r="C172" s="101">
        <v>10</v>
      </c>
      <c r="D172" s="89">
        <v>3.4830000000000001</v>
      </c>
    </row>
    <row r="173" spans="1:4" x14ac:dyDescent="0.25">
      <c r="A173" s="107">
        <v>44161</v>
      </c>
      <c r="B173" s="101">
        <v>543</v>
      </c>
      <c r="C173" s="101">
        <v>10</v>
      </c>
      <c r="D173" s="89">
        <v>5.0474318181818179</v>
      </c>
    </row>
    <row r="174" spans="1:4" x14ac:dyDescent="0.25">
      <c r="A174" s="107">
        <v>44165</v>
      </c>
      <c r="B174" s="101">
        <v>808.4</v>
      </c>
      <c r="C174" s="101">
        <v>10</v>
      </c>
      <c r="D174" s="89">
        <v>4.4923315217391311</v>
      </c>
    </row>
    <row r="175" spans="1:4" x14ac:dyDescent="0.25">
      <c r="A175" s="97" t="s">
        <v>63</v>
      </c>
      <c r="B175" s="101">
        <v>10727.766666666666</v>
      </c>
      <c r="C175" s="101">
        <v>162</v>
      </c>
      <c r="D175" s="89">
        <v>64.346738106695838</v>
      </c>
    </row>
    <row r="176" spans="1:4" x14ac:dyDescent="0.25">
      <c r="A176" s="107">
        <v>44166</v>
      </c>
      <c r="B176" s="101">
        <v>839.75</v>
      </c>
      <c r="C176" s="101">
        <v>10</v>
      </c>
      <c r="D176" s="89">
        <v>4.6665455163043479</v>
      </c>
    </row>
    <row r="177" spans="1:4" x14ac:dyDescent="0.25">
      <c r="A177" s="107">
        <v>44167</v>
      </c>
      <c r="B177" s="101">
        <v>256.8</v>
      </c>
      <c r="C177" s="101">
        <v>4</v>
      </c>
      <c r="D177" s="89">
        <v>1.4270543478260871</v>
      </c>
    </row>
    <row r="178" spans="1:4" x14ac:dyDescent="0.25">
      <c r="A178" s="107">
        <v>44170</v>
      </c>
      <c r="B178" s="101"/>
      <c r="C178" s="101">
        <v>10</v>
      </c>
      <c r="D178" s="89">
        <v>3.4830000000000001</v>
      </c>
    </row>
    <row r="179" spans="1:4" x14ac:dyDescent="0.25">
      <c r="A179" s="107">
        <v>44172</v>
      </c>
      <c r="B179" s="101">
        <v>182.66666666666666</v>
      </c>
      <c r="C179" s="101">
        <v>10</v>
      </c>
      <c r="D179" s="89">
        <v>1.7934487619047619</v>
      </c>
    </row>
    <row r="180" spans="1:4" x14ac:dyDescent="0.25">
      <c r="A180" s="107">
        <v>44174</v>
      </c>
      <c r="B180" s="101">
        <v>426.4</v>
      </c>
      <c r="C180" s="101">
        <v>10</v>
      </c>
      <c r="D180" s="89">
        <v>3.0661326086956522</v>
      </c>
    </row>
    <row r="181" spans="1:4" x14ac:dyDescent="0.25">
      <c r="A181" s="107">
        <v>44175</v>
      </c>
      <c r="B181" s="101">
        <v>756.4</v>
      </c>
      <c r="C181" s="101">
        <v>3</v>
      </c>
      <c r="D181" s="89">
        <v>4.2033641304347826</v>
      </c>
    </row>
    <row r="182" spans="1:4" x14ac:dyDescent="0.25">
      <c r="A182" s="107">
        <v>44179</v>
      </c>
      <c r="B182" s="101">
        <v>683</v>
      </c>
      <c r="C182" s="101">
        <v>10</v>
      </c>
      <c r="D182" s="89">
        <v>3.7954755434782612</v>
      </c>
    </row>
    <row r="183" spans="1:4" x14ac:dyDescent="0.25">
      <c r="A183" s="107">
        <v>44180</v>
      </c>
      <c r="B183" s="101">
        <v>822</v>
      </c>
      <c r="C183" s="101">
        <v>10</v>
      </c>
      <c r="D183" s="89">
        <v>4.5679076086956529</v>
      </c>
    </row>
    <row r="184" spans="1:4" x14ac:dyDescent="0.25">
      <c r="A184" s="107">
        <v>44181</v>
      </c>
      <c r="B184" s="101">
        <v>612</v>
      </c>
      <c r="C184" s="101">
        <v>8</v>
      </c>
      <c r="D184" s="89">
        <v>4.4458239130434789</v>
      </c>
    </row>
    <row r="185" spans="1:4" x14ac:dyDescent="0.25">
      <c r="A185" s="107">
        <v>44182</v>
      </c>
      <c r="B185" s="101">
        <v>788.5</v>
      </c>
      <c r="C185" s="101">
        <v>10</v>
      </c>
      <c r="D185" s="89">
        <v>4.3817459239130434</v>
      </c>
    </row>
    <row r="186" spans="1:4" x14ac:dyDescent="0.25">
      <c r="A186" s="107">
        <v>44183</v>
      </c>
      <c r="B186" s="101">
        <v>748</v>
      </c>
      <c r="C186" s="101">
        <v>10</v>
      </c>
      <c r="D186" s="89">
        <v>4.1566847826086954</v>
      </c>
    </row>
    <row r="187" spans="1:4" x14ac:dyDescent="0.25">
      <c r="A187" s="107">
        <v>44186</v>
      </c>
      <c r="B187" s="101">
        <v>2689.5</v>
      </c>
      <c r="C187" s="128">
        <v>10</v>
      </c>
      <c r="D187" s="89">
        <v>2.9465393571428571</v>
      </c>
    </row>
    <row r="188" spans="1:4" x14ac:dyDescent="0.25">
      <c r="A188" s="107">
        <v>44162</v>
      </c>
      <c r="B188" s="101">
        <v>667</v>
      </c>
      <c r="C188" s="101">
        <v>10</v>
      </c>
      <c r="D188" s="89">
        <v>3.7065625000000004</v>
      </c>
    </row>
    <row r="189" spans="1:4" x14ac:dyDescent="0.25">
      <c r="A189" s="107">
        <v>44158</v>
      </c>
      <c r="B189" s="101"/>
      <c r="C189" s="101">
        <v>10</v>
      </c>
      <c r="D189" s="89">
        <v>3.4830000000000001</v>
      </c>
    </row>
    <row r="190" spans="1:4" x14ac:dyDescent="0.25">
      <c r="A190" s="107">
        <v>44159</v>
      </c>
      <c r="B190" s="101">
        <v>266.35000000000002</v>
      </c>
      <c r="C190" s="101">
        <v>7</v>
      </c>
      <c r="D190" s="89">
        <v>2.4758443181818186</v>
      </c>
    </row>
    <row r="191" spans="1:4" x14ac:dyDescent="0.25">
      <c r="A191" s="107">
        <v>44160</v>
      </c>
      <c r="B191" s="101"/>
      <c r="C191" s="101">
        <v>10</v>
      </c>
      <c r="D191" s="89">
        <v>3.4830000000000001</v>
      </c>
    </row>
    <row r="192" spans="1:4" x14ac:dyDescent="0.25">
      <c r="A192" s="107">
        <v>44161</v>
      </c>
      <c r="B192" s="101">
        <v>181</v>
      </c>
      <c r="C192" s="101">
        <v>10</v>
      </c>
      <c r="D192" s="89">
        <v>3.7722772727272726</v>
      </c>
    </row>
    <row r="193" spans="1:4" x14ac:dyDescent="0.25">
      <c r="A193" s="107">
        <v>44165</v>
      </c>
      <c r="B193" s="101">
        <v>808.4</v>
      </c>
      <c r="C193" s="101">
        <v>10</v>
      </c>
      <c r="D193" s="89">
        <v>4.4923315217391311</v>
      </c>
    </row>
    <row r="194" spans="1:4" x14ac:dyDescent="0.25">
      <c r="A194" s="97" t="s">
        <v>102</v>
      </c>
      <c r="B194" s="101">
        <v>6214.1533333333327</v>
      </c>
      <c r="C194" s="101">
        <v>182</v>
      </c>
      <c r="D194" s="89">
        <v>62.411415927058812</v>
      </c>
    </row>
    <row r="195" spans="1:4" x14ac:dyDescent="0.25">
      <c r="A195" s="107">
        <v>44166</v>
      </c>
      <c r="B195" s="101"/>
      <c r="C195" s="101">
        <v>10</v>
      </c>
      <c r="D195" s="89">
        <v>3.4830000000000001</v>
      </c>
    </row>
    <row r="196" spans="1:4" x14ac:dyDescent="0.25">
      <c r="A196" s="107">
        <v>44167</v>
      </c>
      <c r="B196" s="101">
        <v>558.66999999999996</v>
      </c>
      <c r="C196" s="101">
        <v>10</v>
      </c>
      <c r="D196" s="89">
        <v>1.9207257800000002</v>
      </c>
    </row>
    <row r="197" spans="1:4" x14ac:dyDescent="0.25">
      <c r="A197" s="107">
        <v>44168</v>
      </c>
      <c r="B197" s="101">
        <v>703.33333333333337</v>
      </c>
      <c r="C197" s="101">
        <v>10</v>
      </c>
      <c r="D197" s="89">
        <v>1.5411038095238097</v>
      </c>
    </row>
    <row r="198" spans="1:4" x14ac:dyDescent="0.25">
      <c r="A198" s="107">
        <v>44169</v>
      </c>
      <c r="B198" s="101">
        <v>827</v>
      </c>
      <c r="C198" s="101">
        <v>10</v>
      </c>
      <c r="D198" s="89">
        <v>1.8120751428571431</v>
      </c>
    </row>
    <row r="199" spans="1:4" x14ac:dyDescent="0.25">
      <c r="A199" s="107">
        <v>44172</v>
      </c>
      <c r="B199" s="101">
        <v>408</v>
      </c>
      <c r="C199" s="101">
        <v>10</v>
      </c>
      <c r="D199" s="89">
        <v>4.6353333333333335</v>
      </c>
    </row>
    <row r="200" spans="1:4" x14ac:dyDescent="0.25">
      <c r="A200" s="107">
        <v>44173</v>
      </c>
      <c r="B200" s="101">
        <v>337.5</v>
      </c>
      <c r="C200" s="101">
        <v>9</v>
      </c>
      <c r="D200" s="89">
        <v>3.8343750000000005</v>
      </c>
    </row>
    <row r="201" spans="1:4" x14ac:dyDescent="0.25">
      <c r="A201" s="107">
        <v>44174</v>
      </c>
      <c r="B201" s="101">
        <v>235</v>
      </c>
      <c r="C201" s="101">
        <v>10</v>
      </c>
      <c r="D201" s="89">
        <v>7.7638794117647061</v>
      </c>
    </row>
    <row r="202" spans="1:4" x14ac:dyDescent="0.25">
      <c r="A202" s="107">
        <v>44175</v>
      </c>
      <c r="B202" s="101"/>
      <c r="C202" s="101">
        <v>10</v>
      </c>
      <c r="D202" s="89">
        <v>3.4830000000000001</v>
      </c>
    </row>
    <row r="203" spans="1:4" x14ac:dyDescent="0.25">
      <c r="A203" s="107">
        <v>44176</v>
      </c>
      <c r="B203" s="101"/>
      <c r="C203" s="101">
        <v>8</v>
      </c>
      <c r="D203" s="89">
        <v>2.7864</v>
      </c>
    </row>
    <row r="204" spans="1:4" x14ac:dyDescent="0.25">
      <c r="A204" s="107">
        <v>44179</v>
      </c>
      <c r="B204" s="101">
        <v>775.5</v>
      </c>
      <c r="C204" s="101">
        <v>11</v>
      </c>
      <c r="D204" s="89">
        <v>1.6992312857142857</v>
      </c>
    </row>
    <row r="205" spans="1:4" x14ac:dyDescent="0.25">
      <c r="A205" s="107">
        <v>44180</v>
      </c>
      <c r="B205" s="101">
        <v>863.5</v>
      </c>
      <c r="C205" s="101">
        <v>11</v>
      </c>
      <c r="D205" s="89">
        <v>1.8920518571428571</v>
      </c>
    </row>
    <row r="206" spans="1:4" x14ac:dyDescent="0.25">
      <c r="A206" s="107">
        <v>44181</v>
      </c>
      <c r="B206" s="101">
        <v>835.25</v>
      </c>
      <c r="C206" s="101">
        <v>11</v>
      </c>
      <c r="D206" s="89">
        <v>1.8301520714285717</v>
      </c>
    </row>
    <row r="207" spans="1:4" x14ac:dyDescent="0.25">
      <c r="A207" s="107">
        <v>44183</v>
      </c>
      <c r="B207" s="101">
        <v>540</v>
      </c>
      <c r="C207" s="101">
        <v>10</v>
      </c>
      <c r="D207" s="89">
        <v>6.1350000000000007</v>
      </c>
    </row>
    <row r="208" spans="1:4" x14ac:dyDescent="0.25">
      <c r="A208" s="107">
        <v>44185</v>
      </c>
      <c r="B208" s="101"/>
      <c r="C208" s="101">
        <v>5</v>
      </c>
      <c r="D208" s="89">
        <v>1.7415</v>
      </c>
    </row>
    <row r="209" spans="1:4" x14ac:dyDescent="0.25">
      <c r="A209" s="107">
        <v>44162</v>
      </c>
      <c r="B209" s="101">
        <v>74</v>
      </c>
      <c r="C209" s="101">
        <v>4</v>
      </c>
      <c r="D209" s="89">
        <v>2.2254411764705884</v>
      </c>
    </row>
    <row r="210" spans="1:4" x14ac:dyDescent="0.25">
      <c r="A210" s="107">
        <v>44158</v>
      </c>
      <c r="B210" s="101"/>
      <c r="C210" s="101">
        <v>10</v>
      </c>
      <c r="D210" s="89">
        <v>3.4830000000000001</v>
      </c>
    </row>
    <row r="211" spans="1:4" x14ac:dyDescent="0.25">
      <c r="A211" s="107">
        <v>44159</v>
      </c>
      <c r="B211" s="101"/>
      <c r="C211" s="101">
        <v>10</v>
      </c>
      <c r="D211" s="89">
        <v>3.4830000000000001</v>
      </c>
    </row>
    <row r="212" spans="1:4" x14ac:dyDescent="0.25">
      <c r="A212" s="107">
        <v>44161</v>
      </c>
      <c r="B212" s="101"/>
      <c r="C212" s="101">
        <v>10</v>
      </c>
      <c r="D212" s="89">
        <v>3.4830000000000001</v>
      </c>
    </row>
    <row r="213" spans="1:4" x14ac:dyDescent="0.25">
      <c r="A213" s="107">
        <v>44165</v>
      </c>
      <c r="B213" s="101"/>
      <c r="C213" s="101">
        <v>10</v>
      </c>
      <c r="D213" s="89">
        <v>3.4830000000000001</v>
      </c>
    </row>
    <row r="214" spans="1:4" x14ac:dyDescent="0.25">
      <c r="A214" s="107">
        <v>44187</v>
      </c>
      <c r="B214" s="101">
        <v>56.400000000000006</v>
      </c>
      <c r="C214" s="101">
        <v>3</v>
      </c>
      <c r="D214" s="89">
        <v>1.6961470588235297</v>
      </c>
    </row>
    <row r="215" spans="1:4" x14ac:dyDescent="0.25">
      <c r="A215" s="97" t="s">
        <v>12</v>
      </c>
      <c r="B215" s="101">
        <v>12150.883333333333</v>
      </c>
      <c r="C215" s="101">
        <v>166.5</v>
      </c>
      <c r="D215" s="89">
        <v>71.354551132246371</v>
      </c>
    </row>
    <row r="216" spans="1:4" x14ac:dyDescent="0.25">
      <c r="A216" s="107">
        <v>44166</v>
      </c>
      <c r="B216" s="101">
        <v>839.75</v>
      </c>
      <c r="C216" s="101">
        <v>10</v>
      </c>
      <c r="D216" s="89">
        <v>4.6665455163043479</v>
      </c>
    </row>
    <row r="217" spans="1:4" x14ac:dyDescent="0.25">
      <c r="A217" s="107">
        <v>44167</v>
      </c>
      <c r="B217" s="101">
        <v>738.3</v>
      </c>
      <c r="C217" s="101">
        <v>10</v>
      </c>
      <c r="D217" s="89">
        <v>4.1027812499999996</v>
      </c>
    </row>
    <row r="218" spans="1:4" x14ac:dyDescent="0.25">
      <c r="A218" s="107">
        <v>44168</v>
      </c>
      <c r="B218" s="101">
        <v>767.25</v>
      </c>
      <c r="C218" s="101">
        <v>10</v>
      </c>
      <c r="D218" s="89">
        <v>4.2636582880434784</v>
      </c>
    </row>
    <row r="219" spans="1:4" x14ac:dyDescent="0.25">
      <c r="A219" s="107">
        <v>44169</v>
      </c>
      <c r="B219" s="101">
        <v>802.4</v>
      </c>
      <c r="C219" s="101">
        <v>10</v>
      </c>
      <c r="D219" s="89">
        <v>4.458989130434782</v>
      </c>
    </row>
    <row r="220" spans="1:4" x14ac:dyDescent="0.25">
      <c r="A220" s="107">
        <v>44172</v>
      </c>
      <c r="B220" s="101">
        <v>906.5</v>
      </c>
      <c r="C220" s="101">
        <v>10</v>
      </c>
      <c r="D220" s="89">
        <v>5.0374796195652181</v>
      </c>
    </row>
    <row r="221" spans="1:4" x14ac:dyDescent="0.25">
      <c r="A221" s="107">
        <v>44173</v>
      </c>
      <c r="B221" s="101">
        <v>787.33333333333337</v>
      </c>
      <c r="C221" s="101">
        <v>10</v>
      </c>
      <c r="D221" s="89">
        <v>4.3752626811594206</v>
      </c>
    </row>
    <row r="222" spans="1:4" x14ac:dyDescent="0.25">
      <c r="A222" s="107">
        <v>44174</v>
      </c>
      <c r="B222" s="101">
        <v>586.79999999999995</v>
      </c>
      <c r="C222" s="101">
        <v>10</v>
      </c>
      <c r="D222" s="89">
        <v>3.2608858695652172</v>
      </c>
    </row>
    <row r="223" spans="1:4" x14ac:dyDescent="0.25">
      <c r="A223" s="107">
        <v>44175</v>
      </c>
      <c r="B223" s="101">
        <v>756.4</v>
      </c>
      <c r="C223" s="101">
        <v>10</v>
      </c>
      <c r="D223" s="89">
        <v>4.2033641304347826</v>
      </c>
    </row>
    <row r="224" spans="1:4" x14ac:dyDescent="0.25">
      <c r="A224" s="107">
        <v>44176</v>
      </c>
      <c r="B224" s="101">
        <v>566.75</v>
      </c>
      <c r="C224" s="101">
        <v>8</v>
      </c>
      <c r="D224" s="89">
        <v>3.1494667119565221</v>
      </c>
    </row>
    <row r="225" spans="1:4" x14ac:dyDescent="0.25">
      <c r="A225" s="107">
        <v>44179</v>
      </c>
      <c r="B225" s="101">
        <v>683</v>
      </c>
      <c r="C225" s="101">
        <v>10</v>
      </c>
      <c r="D225" s="89">
        <v>3.7954755434782612</v>
      </c>
    </row>
    <row r="226" spans="1:4" x14ac:dyDescent="0.25">
      <c r="A226" s="107">
        <v>44162</v>
      </c>
      <c r="B226" s="101">
        <v>667</v>
      </c>
      <c r="C226" s="101">
        <v>10</v>
      </c>
      <c r="D226" s="89">
        <v>3.7065625000000004</v>
      </c>
    </row>
    <row r="227" spans="1:4" x14ac:dyDescent="0.25">
      <c r="A227" s="107">
        <v>44158</v>
      </c>
      <c r="B227" s="101">
        <v>809</v>
      </c>
      <c r="C227" s="101">
        <v>10</v>
      </c>
      <c r="D227" s="89">
        <v>4.4956657608695654</v>
      </c>
    </row>
    <row r="228" spans="1:4" x14ac:dyDescent="0.25">
      <c r="A228" s="107">
        <v>44159</v>
      </c>
      <c r="B228" s="101">
        <v>822</v>
      </c>
      <c r="C228" s="101">
        <v>10</v>
      </c>
      <c r="D228" s="89">
        <v>4.5679076086956529</v>
      </c>
    </row>
    <row r="229" spans="1:4" x14ac:dyDescent="0.25">
      <c r="A229" s="107">
        <v>44160</v>
      </c>
      <c r="B229" s="101"/>
      <c r="C229" s="101">
        <v>10</v>
      </c>
      <c r="D229" s="89">
        <v>3.4830000000000001</v>
      </c>
    </row>
    <row r="230" spans="1:4" x14ac:dyDescent="0.25">
      <c r="A230" s="107">
        <v>44161</v>
      </c>
      <c r="B230" s="101">
        <v>902</v>
      </c>
      <c r="C230" s="101">
        <v>10</v>
      </c>
      <c r="D230" s="89">
        <v>5.0124728260869569</v>
      </c>
    </row>
    <row r="231" spans="1:4" x14ac:dyDescent="0.25">
      <c r="A231" s="107">
        <v>44165</v>
      </c>
      <c r="B231" s="101">
        <v>808.4</v>
      </c>
      <c r="C231" s="101">
        <v>10</v>
      </c>
      <c r="D231" s="89">
        <v>4.4923315217391311</v>
      </c>
    </row>
    <row r="232" spans="1:4" x14ac:dyDescent="0.25">
      <c r="A232" s="107">
        <v>44187</v>
      </c>
      <c r="B232" s="101">
        <v>708</v>
      </c>
      <c r="C232" s="101">
        <v>8.5</v>
      </c>
      <c r="D232" s="89">
        <v>4.2827021739130435</v>
      </c>
    </row>
    <row r="233" spans="1:4" x14ac:dyDescent="0.25">
      <c r="A233" s="97" t="s">
        <v>44</v>
      </c>
      <c r="B233" s="101">
        <v>29566.5</v>
      </c>
      <c r="C233" s="101">
        <v>192.5</v>
      </c>
      <c r="D233" s="89">
        <v>68.475313492063492</v>
      </c>
    </row>
    <row r="234" spans="1:4" x14ac:dyDescent="0.25">
      <c r="A234" s="107">
        <v>44166</v>
      </c>
      <c r="B234" s="101">
        <v>2364</v>
      </c>
      <c r="C234" s="101">
        <v>9</v>
      </c>
      <c r="D234" s="89">
        <v>5.1798617142857148</v>
      </c>
    </row>
    <row r="235" spans="1:4" x14ac:dyDescent="0.25">
      <c r="A235" s="107">
        <v>44167</v>
      </c>
      <c r="B235" s="101">
        <v>1532</v>
      </c>
      <c r="C235" s="101">
        <v>10</v>
      </c>
      <c r="D235" s="89">
        <v>3.6562700000000001</v>
      </c>
    </row>
    <row r="236" spans="1:4" x14ac:dyDescent="0.25">
      <c r="A236" s="107">
        <v>44168</v>
      </c>
      <c r="B236" s="101"/>
      <c r="C236" s="101">
        <v>10</v>
      </c>
      <c r="D236" s="89">
        <v>3.4830000000000001</v>
      </c>
    </row>
    <row r="237" spans="1:4" x14ac:dyDescent="0.25">
      <c r="A237" s="107">
        <v>44169</v>
      </c>
      <c r="B237" s="101">
        <v>827</v>
      </c>
      <c r="C237" s="101">
        <v>10</v>
      </c>
      <c r="D237" s="89">
        <v>1.8120751428571431</v>
      </c>
    </row>
    <row r="238" spans="1:4" x14ac:dyDescent="0.25">
      <c r="A238" s="107">
        <v>44170</v>
      </c>
      <c r="B238" s="101">
        <v>1310.5</v>
      </c>
      <c r="C238" s="101">
        <v>10</v>
      </c>
      <c r="D238" s="89">
        <v>2.8714927142857145</v>
      </c>
    </row>
    <row r="239" spans="1:4" x14ac:dyDescent="0.25">
      <c r="A239" s="107">
        <v>44174</v>
      </c>
      <c r="B239" s="101">
        <v>378.25</v>
      </c>
      <c r="C239" s="101">
        <v>10</v>
      </c>
      <c r="D239" s="89">
        <v>4.2973402777777787</v>
      </c>
    </row>
    <row r="240" spans="1:4" x14ac:dyDescent="0.25">
      <c r="A240" s="107">
        <v>44175</v>
      </c>
      <c r="B240" s="101">
        <v>3546</v>
      </c>
      <c r="C240" s="101">
        <v>10</v>
      </c>
      <c r="D240" s="89">
        <v>3.6257850000000005</v>
      </c>
    </row>
    <row r="241" spans="1:4" x14ac:dyDescent="0.25">
      <c r="A241" s="107">
        <v>44176</v>
      </c>
      <c r="B241" s="101">
        <v>3521</v>
      </c>
      <c r="C241" s="101">
        <v>11</v>
      </c>
      <c r="D241" s="89">
        <v>3.6002224999999992</v>
      </c>
    </row>
    <row r="242" spans="1:4" x14ac:dyDescent="0.25">
      <c r="A242" s="107">
        <v>44179</v>
      </c>
      <c r="B242" s="101">
        <v>1339</v>
      </c>
      <c r="C242" s="101">
        <v>10</v>
      </c>
      <c r="D242" s="89">
        <v>2.2818791666666667</v>
      </c>
    </row>
    <row r="243" spans="1:4" x14ac:dyDescent="0.25">
      <c r="A243" s="107">
        <v>44180</v>
      </c>
      <c r="B243" s="101">
        <v>864</v>
      </c>
      <c r="C243" s="101">
        <v>7</v>
      </c>
      <c r="D243" s="89">
        <v>1.4724000000000002</v>
      </c>
    </row>
    <row r="244" spans="1:4" x14ac:dyDescent="0.25">
      <c r="A244" s="107">
        <v>44181</v>
      </c>
      <c r="B244" s="101">
        <v>507</v>
      </c>
      <c r="C244" s="101">
        <v>8</v>
      </c>
      <c r="D244" s="89">
        <v>5.7600833333333332</v>
      </c>
    </row>
    <row r="245" spans="1:4" x14ac:dyDescent="0.25">
      <c r="A245" s="107">
        <v>44182</v>
      </c>
      <c r="B245" s="101">
        <v>302.25</v>
      </c>
      <c r="C245" s="101">
        <v>10</v>
      </c>
      <c r="D245" s="89">
        <v>1.3588729285714285</v>
      </c>
    </row>
    <row r="246" spans="1:4" x14ac:dyDescent="0.25">
      <c r="A246" s="107">
        <v>44184</v>
      </c>
      <c r="B246" s="101">
        <v>1023</v>
      </c>
      <c r="C246" s="101">
        <v>11</v>
      </c>
      <c r="D246" s="89">
        <v>1.1207695714285715</v>
      </c>
    </row>
    <row r="247" spans="1:4" x14ac:dyDescent="0.25">
      <c r="A247" s="107">
        <v>44186</v>
      </c>
      <c r="B247" s="101">
        <v>161.5</v>
      </c>
      <c r="C247" s="101">
        <v>10</v>
      </c>
      <c r="D247" s="89">
        <v>1.8348194444444443</v>
      </c>
    </row>
    <row r="248" spans="1:4" x14ac:dyDescent="0.25">
      <c r="A248" s="107">
        <v>44162</v>
      </c>
      <c r="B248" s="101">
        <v>5154</v>
      </c>
      <c r="C248" s="101">
        <v>10</v>
      </c>
      <c r="D248" s="89">
        <v>5.6465751428571433</v>
      </c>
    </row>
    <row r="249" spans="1:4" x14ac:dyDescent="0.25">
      <c r="A249" s="107">
        <v>44158</v>
      </c>
      <c r="B249" s="101">
        <v>176.5</v>
      </c>
      <c r="C249" s="101">
        <v>10</v>
      </c>
      <c r="D249" s="89">
        <v>3.7467361111111108</v>
      </c>
    </row>
    <row r="250" spans="1:4" x14ac:dyDescent="0.25">
      <c r="A250" s="107">
        <v>44159</v>
      </c>
      <c r="B250" s="101">
        <v>425.5</v>
      </c>
      <c r="C250" s="101">
        <v>10</v>
      </c>
      <c r="D250" s="89">
        <v>4.8341527777777777</v>
      </c>
    </row>
    <row r="251" spans="1:4" x14ac:dyDescent="0.25">
      <c r="A251" s="107">
        <v>44160</v>
      </c>
      <c r="B251" s="101">
        <v>402</v>
      </c>
      <c r="C251" s="101">
        <v>10</v>
      </c>
      <c r="D251" s="89">
        <v>4.567166666666667</v>
      </c>
    </row>
    <row r="252" spans="1:4" x14ac:dyDescent="0.25">
      <c r="A252" s="107">
        <v>44161</v>
      </c>
      <c r="B252" s="101">
        <v>3491</v>
      </c>
      <c r="C252" s="101">
        <v>8</v>
      </c>
      <c r="D252" s="89">
        <v>3.8246398571428575</v>
      </c>
    </row>
    <row r="253" spans="1:4" x14ac:dyDescent="0.25">
      <c r="A253" s="107">
        <v>44187</v>
      </c>
      <c r="B253" s="101">
        <v>2242</v>
      </c>
      <c r="C253" s="101">
        <v>8.5</v>
      </c>
      <c r="D253" s="89">
        <v>3.5011711428571424</v>
      </c>
    </row>
    <row r="254" spans="1:4" x14ac:dyDescent="0.25">
      <c r="A254" s="97" t="s">
        <v>263</v>
      </c>
      <c r="B254" s="101">
        <v>14457.3</v>
      </c>
      <c r="C254" s="101">
        <v>216</v>
      </c>
      <c r="D254" s="89">
        <v>92.470085363142317</v>
      </c>
    </row>
    <row r="255" spans="1:4" x14ac:dyDescent="0.25">
      <c r="A255" s="107">
        <v>44166</v>
      </c>
      <c r="B255" s="101">
        <v>839.75</v>
      </c>
      <c r="C255" s="101">
        <v>10</v>
      </c>
      <c r="D255" s="89">
        <v>4.6665455163043479</v>
      </c>
    </row>
    <row r="256" spans="1:4" x14ac:dyDescent="0.25">
      <c r="A256" s="107">
        <v>44167</v>
      </c>
      <c r="B256" s="101">
        <v>738.3</v>
      </c>
      <c r="C256" s="101">
        <v>10</v>
      </c>
      <c r="D256" s="89">
        <v>4.1027812499999996</v>
      </c>
    </row>
    <row r="257" spans="1:4" x14ac:dyDescent="0.25">
      <c r="A257" s="107">
        <v>44168</v>
      </c>
      <c r="B257" s="101">
        <v>767.25</v>
      </c>
      <c r="C257" s="101">
        <v>10</v>
      </c>
      <c r="D257" s="89">
        <v>4.2636582880434784</v>
      </c>
    </row>
    <row r="258" spans="1:4" x14ac:dyDescent="0.25">
      <c r="A258" s="107">
        <v>44169</v>
      </c>
      <c r="B258" s="101">
        <v>802.4</v>
      </c>
      <c r="C258" s="101">
        <v>10</v>
      </c>
      <c r="D258" s="89">
        <v>4.458989130434782</v>
      </c>
    </row>
    <row r="259" spans="1:4" x14ac:dyDescent="0.25">
      <c r="A259" s="107">
        <v>44172</v>
      </c>
      <c r="B259" s="101">
        <v>906.5</v>
      </c>
      <c r="C259" s="101">
        <v>10</v>
      </c>
      <c r="D259" s="89">
        <v>5.0374796195652181</v>
      </c>
    </row>
    <row r="260" spans="1:4" x14ac:dyDescent="0.25">
      <c r="A260" s="107">
        <v>44173</v>
      </c>
      <c r="B260" s="101">
        <v>787.33333333333337</v>
      </c>
      <c r="C260" s="101">
        <v>10</v>
      </c>
      <c r="D260" s="89">
        <v>4.3752626811594206</v>
      </c>
    </row>
    <row r="261" spans="1:4" x14ac:dyDescent="0.25">
      <c r="A261" s="107">
        <v>44174</v>
      </c>
      <c r="B261" s="101">
        <v>586.79999999999995</v>
      </c>
      <c r="C261" s="101">
        <v>10</v>
      </c>
      <c r="D261" s="89">
        <v>3.2608858695652172</v>
      </c>
    </row>
    <row r="262" spans="1:4" x14ac:dyDescent="0.25">
      <c r="A262" s="107">
        <v>44175</v>
      </c>
      <c r="B262" s="101">
        <v>756.4</v>
      </c>
      <c r="C262" s="101">
        <v>10</v>
      </c>
      <c r="D262" s="89">
        <v>4.2033641304347826</v>
      </c>
    </row>
    <row r="263" spans="1:4" x14ac:dyDescent="0.25">
      <c r="A263" s="107">
        <v>44176</v>
      </c>
      <c r="B263" s="101">
        <v>566.75</v>
      </c>
      <c r="C263" s="101">
        <v>8</v>
      </c>
      <c r="D263" s="89">
        <v>3.1494667119565221</v>
      </c>
    </row>
    <row r="264" spans="1:4" x14ac:dyDescent="0.25">
      <c r="A264" s="107">
        <v>44177</v>
      </c>
      <c r="B264" s="101">
        <v>837</v>
      </c>
      <c r="C264" s="101">
        <v>10</v>
      </c>
      <c r="D264" s="89">
        <v>4.6512635869565226</v>
      </c>
    </row>
    <row r="265" spans="1:4" x14ac:dyDescent="0.25">
      <c r="A265" s="107">
        <v>44179</v>
      </c>
      <c r="B265" s="101">
        <v>683</v>
      </c>
      <c r="C265" s="101">
        <v>10</v>
      </c>
      <c r="D265" s="89">
        <v>3.7954755434782612</v>
      </c>
    </row>
    <row r="266" spans="1:4" x14ac:dyDescent="0.25">
      <c r="A266" s="107">
        <v>44180</v>
      </c>
      <c r="B266" s="101">
        <v>822</v>
      </c>
      <c r="C266" s="101">
        <v>10</v>
      </c>
      <c r="D266" s="89">
        <v>4.5679076086956529</v>
      </c>
    </row>
    <row r="267" spans="1:4" x14ac:dyDescent="0.25">
      <c r="A267" s="107">
        <v>44181</v>
      </c>
      <c r="B267" s="101">
        <v>612</v>
      </c>
      <c r="C267" s="101">
        <v>8</v>
      </c>
      <c r="D267" s="89">
        <v>4.4458239130434789</v>
      </c>
    </row>
    <row r="268" spans="1:4" x14ac:dyDescent="0.25">
      <c r="A268" s="107">
        <v>44182</v>
      </c>
      <c r="B268" s="101">
        <v>788.5</v>
      </c>
      <c r="C268" s="101">
        <v>10</v>
      </c>
      <c r="D268" s="89">
        <v>4.3817459239130434</v>
      </c>
    </row>
    <row r="269" spans="1:4" x14ac:dyDescent="0.25">
      <c r="A269" s="107">
        <v>44183</v>
      </c>
      <c r="B269" s="101">
        <v>748</v>
      </c>
      <c r="C269" s="101">
        <v>10</v>
      </c>
      <c r="D269" s="89">
        <v>4.1566847826086954</v>
      </c>
    </row>
    <row r="270" spans="1:4" x14ac:dyDescent="0.25">
      <c r="A270" s="107">
        <v>44186</v>
      </c>
      <c r="B270" s="101">
        <v>731.26666666666677</v>
      </c>
      <c r="C270" s="101">
        <v>10</v>
      </c>
      <c r="D270" s="89">
        <v>4.0636965579710154</v>
      </c>
    </row>
    <row r="271" spans="1:4" x14ac:dyDescent="0.25">
      <c r="A271" s="107">
        <v>44162</v>
      </c>
      <c r="B271" s="101">
        <v>667</v>
      </c>
      <c r="C271" s="101">
        <v>10</v>
      </c>
      <c r="D271" s="89">
        <v>3.7065625000000004</v>
      </c>
    </row>
    <row r="272" spans="1:4" x14ac:dyDescent="0.25">
      <c r="A272" s="107">
        <v>44158</v>
      </c>
      <c r="B272" s="101">
        <v>514</v>
      </c>
      <c r="C272" s="101">
        <v>10</v>
      </c>
      <c r="D272" s="89">
        <v>5.1261636363636374</v>
      </c>
    </row>
    <row r="273" spans="1:4" x14ac:dyDescent="0.25">
      <c r="A273" s="107">
        <v>44159</v>
      </c>
      <c r="B273" s="101">
        <v>494.65</v>
      </c>
      <c r="C273" s="101">
        <v>10</v>
      </c>
      <c r="D273" s="89">
        <v>4.5979965909090907</v>
      </c>
    </row>
    <row r="274" spans="1:4" x14ac:dyDescent="0.25">
      <c r="A274" s="107">
        <v>44160</v>
      </c>
      <c r="B274" s="101"/>
      <c r="C274" s="101">
        <v>10</v>
      </c>
      <c r="D274" s="89">
        <v>3.4830000000000001</v>
      </c>
    </row>
    <row r="275" spans="1:4" x14ac:dyDescent="0.25">
      <c r="A275" s="107">
        <v>44161</v>
      </c>
      <c r="B275" s="101"/>
      <c r="C275" s="101">
        <v>10</v>
      </c>
      <c r="D275" s="89">
        <v>3.4830000000000001</v>
      </c>
    </row>
    <row r="276" spans="1:4" x14ac:dyDescent="0.25">
      <c r="A276" s="107">
        <v>44165</v>
      </c>
      <c r="B276" s="101">
        <v>808.4</v>
      </c>
      <c r="C276" s="101">
        <v>10</v>
      </c>
      <c r="D276" s="89">
        <v>4.4923315217391311</v>
      </c>
    </row>
    <row r="277" spans="1:4" x14ac:dyDescent="0.25">
      <c r="A277" s="97" t="s">
        <v>75</v>
      </c>
      <c r="B277" s="101">
        <v>57282.42</v>
      </c>
      <c r="C277" s="101">
        <v>217</v>
      </c>
      <c r="D277" s="89">
        <v>87.147398351428592</v>
      </c>
    </row>
    <row r="278" spans="1:4" x14ac:dyDescent="0.25">
      <c r="A278" s="107">
        <v>44166</v>
      </c>
      <c r="B278" s="101">
        <v>2364</v>
      </c>
      <c r="C278" s="101">
        <v>9</v>
      </c>
      <c r="D278" s="89">
        <v>5.1798617142857148</v>
      </c>
    </row>
    <row r="279" spans="1:4" x14ac:dyDescent="0.25">
      <c r="A279" s="107">
        <v>44167</v>
      </c>
      <c r="B279" s="101">
        <v>558.66999999999996</v>
      </c>
      <c r="C279" s="101">
        <v>10</v>
      </c>
      <c r="D279" s="89">
        <v>1.9207257800000002</v>
      </c>
    </row>
    <row r="280" spans="1:4" x14ac:dyDescent="0.25">
      <c r="A280" s="107">
        <v>44168</v>
      </c>
      <c r="B280" s="101">
        <v>703.33333333333337</v>
      </c>
      <c r="C280" s="101">
        <v>10</v>
      </c>
      <c r="D280" s="89">
        <v>1.5411038095238097</v>
      </c>
    </row>
    <row r="281" spans="1:4" x14ac:dyDescent="0.25">
      <c r="A281" s="107">
        <v>44170</v>
      </c>
      <c r="B281" s="101">
        <v>1310.5</v>
      </c>
      <c r="C281" s="101">
        <v>10</v>
      </c>
      <c r="D281" s="89">
        <v>2.8714927142857145</v>
      </c>
    </row>
    <row r="282" spans="1:4" x14ac:dyDescent="0.25">
      <c r="A282" s="107">
        <v>44172</v>
      </c>
      <c r="B282" s="101">
        <v>182.66666666666666</v>
      </c>
      <c r="C282" s="101">
        <v>10</v>
      </c>
      <c r="D282" s="89">
        <v>1.7934487619047619</v>
      </c>
    </row>
    <row r="283" spans="1:4" x14ac:dyDescent="0.25">
      <c r="A283" s="107">
        <v>44173</v>
      </c>
      <c r="B283" s="101">
        <v>548</v>
      </c>
      <c r="C283" s="101">
        <v>8</v>
      </c>
      <c r="D283" s="89">
        <v>1.2007462857142857</v>
      </c>
    </row>
    <row r="284" spans="1:4" x14ac:dyDescent="0.25">
      <c r="A284" s="107">
        <v>44174</v>
      </c>
      <c r="B284" s="101">
        <v>5880</v>
      </c>
      <c r="C284" s="101">
        <v>11</v>
      </c>
      <c r="D284" s="89">
        <v>6.441959999999999</v>
      </c>
    </row>
    <row r="285" spans="1:4" x14ac:dyDescent="0.25">
      <c r="A285" s="107">
        <v>44175</v>
      </c>
      <c r="B285" s="101">
        <v>4761</v>
      </c>
      <c r="C285" s="101">
        <v>11</v>
      </c>
      <c r="D285" s="89">
        <v>5.2160155714285716</v>
      </c>
    </row>
    <row r="286" spans="1:4" x14ac:dyDescent="0.25">
      <c r="A286" s="107">
        <v>44176</v>
      </c>
      <c r="B286" s="101">
        <v>2706</v>
      </c>
      <c r="C286" s="101">
        <v>10</v>
      </c>
      <c r="D286" s="89">
        <v>5.0544162857142858</v>
      </c>
    </row>
    <row r="287" spans="1:4" x14ac:dyDescent="0.25">
      <c r="A287" s="107">
        <v>44179</v>
      </c>
      <c r="B287" s="101">
        <v>2617</v>
      </c>
      <c r="C287" s="101">
        <v>10</v>
      </c>
      <c r="D287" s="89">
        <v>4.9569104285714287</v>
      </c>
    </row>
    <row r="288" spans="1:4" x14ac:dyDescent="0.25">
      <c r="A288" s="107">
        <v>44180</v>
      </c>
      <c r="B288" s="101">
        <v>699.75</v>
      </c>
      <c r="C288" s="101">
        <v>10</v>
      </c>
      <c r="D288" s="89">
        <v>1.5332522142857141</v>
      </c>
    </row>
    <row r="289" spans="1:4" x14ac:dyDescent="0.25">
      <c r="A289" s="107">
        <v>44181</v>
      </c>
      <c r="B289" s="101"/>
      <c r="C289" s="101">
        <v>11</v>
      </c>
      <c r="D289" s="89">
        <v>3.8313000000000001</v>
      </c>
    </row>
    <row r="290" spans="1:4" x14ac:dyDescent="0.25">
      <c r="A290" s="107">
        <v>44182</v>
      </c>
      <c r="B290" s="101">
        <v>6361</v>
      </c>
      <c r="C290" s="101">
        <v>11</v>
      </c>
      <c r="D290" s="89">
        <v>7.3172298571428582</v>
      </c>
    </row>
    <row r="291" spans="1:4" x14ac:dyDescent="0.25">
      <c r="A291" s="107">
        <v>44183</v>
      </c>
      <c r="B291" s="101">
        <v>6972</v>
      </c>
      <c r="C291" s="101">
        <v>11</v>
      </c>
      <c r="D291" s="89">
        <v>7.6383240000000008</v>
      </c>
    </row>
    <row r="292" spans="1:4" x14ac:dyDescent="0.25">
      <c r="A292" s="107">
        <v>44184</v>
      </c>
      <c r="B292" s="101">
        <v>1023</v>
      </c>
      <c r="C292" s="101">
        <v>11</v>
      </c>
      <c r="D292" s="89">
        <v>1.1207695714285715</v>
      </c>
    </row>
    <row r="293" spans="1:4" x14ac:dyDescent="0.25">
      <c r="A293" s="107">
        <v>44186</v>
      </c>
      <c r="B293" s="101">
        <v>2689.5</v>
      </c>
      <c r="C293" s="101">
        <v>10</v>
      </c>
      <c r="D293" s="89">
        <v>2.9465393571428571</v>
      </c>
    </row>
    <row r="294" spans="1:4" x14ac:dyDescent="0.25">
      <c r="A294" s="107">
        <v>44162</v>
      </c>
      <c r="B294" s="101">
        <v>6330</v>
      </c>
      <c r="C294" s="101">
        <v>11</v>
      </c>
      <c r="D294" s="89">
        <v>6.9349671428571442</v>
      </c>
    </row>
    <row r="295" spans="1:4" x14ac:dyDescent="0.25">
      <c r="A295" s="107">
        <v>44158</v>
      </c>
      <c r="B295" s="101"/>
      <c r="C295" s="101">
        <v>10</v>
      </c>
      <c r="D295" s="89">
        <v>3.4830000000000001</v>
      </c>
    </row>
    <row r="296" spans="1:4" x14ac:dyDescent="0.25">
      <c r="A296" s="107">
        <v>44159</v>
      </c>
      <c r="B296" s="101"/>
      <c r="C296" s="101">
        <v>10</v>
      </c>
      <c r="D296" s="89">
        <v>3.4830000000000001</v>
      </c>
    </row>
    <row r="297" spans="1:4" x14ac:dyDescent="0.25">
      <c r="A297" s="107">
        <v>44160</v>
      </c>
      <c r="B297" s="101">
        <v>5961</v>
      </c>
      <c r="C297" s="101">
        <v>11</v>
      </c>
      <c r="D297" s="89">
        <v>6.5307012857142857</v>
      </c>
    </row>
    <row r="298" spans="1:4" x14ac:dyDescent="0.25">
      <c r="A298" s="107">
        <v>44161</v>
      </c>
      <c r="B298" s="101">
        <v>2999</v>
      </c>
      <c r="C298" s="101">
        <v>5</v>
      </c>
      <c r="D298" s="89">
        <v>3.2856187142857141</v>
      </c>
    </row>
    <row r="299" spans="1:4" x14ac:dyDescent="0.25">
      <c r="A299" s="107">
        <v>44165</v>
      </c>
      <c r="B299" s="101">
        <v>2616</v>
      </c>
      <c r="C299" s="101">
        <v>7</v>
      </c>
      <c r="D299" s="89">
        <v>2.8660148571428574</v>
      </c>
    </row>
    <row r="300" spans="1:4" x14ac:dyDescent="0.25">
      <c r="A300" s="97" t="s">
        <v>77</v>
      </c>
      <c r="B300" s="101">
        <v>22990.083333333332</v>
      </c>
      <c r="C300" s="101">
        <v>193.5</v>
      </c>
      <c r="D300" s="89">
        <v>59.840671738095224</v>
      </c>
    </row>
    <row r="301" spans="1:4" x14ac:dyDescent="0.25">
      <c r="A301" s="107">
        <v>44166</v>
      </c>
      <c r="B301" s="101">
        <v>794</v>
      </c>
      <c r="C301" s="101">
        <v>9</v>
      </c>
      <c r="D301" s="89">
        <v>1.7397674285714286</v>
      </c>
    </row>
    <row r="302" spans="1:4" x14ac:dyDescent="0.25">
      <c r="A302" s="107">
        <v>44167</v>
      </c>
      <c r="B302" s="101">
        <v>741.5</v>
      </c>
      <c r="C302" s="101">
        <v>10</v>
      </c>
      <c r="D302" s="89">
        <v>1.6247324285714289</v>
      </c>
    </row>
    <row r="303" spans="1:4" x14ac:dyDescent="0.25">
      <c r="A303" s="107">
        <v>44168</v>
      </c>
      <c r="B303" s="101">
        <v>725.66666666666663</v>
      </c>
      <c r="C303" s="101">
        <v>10</v>
      </c>
      <c r="D303" s="89">
        <v>1.5900393333333331</v>
      </c>
    </row>
    <row r="304" spans="1:4" x14ac:dyDescent="0.25">
      <c r="A304" s="107">
        <v>44169</v>
      </c>
      <c r="B304" s="101">
        <v>1072.6666666666667</v>
      </c>
      <c r="C304" s="101">
        <v>10</v>
      </c>
      <c r="D304" s="89">
        <v>2.3503659047619054</v>
      </c>
    </row>
    <row r="305" spans="1:4" x14ac:dyDescent="0.25">
      <c r="A305" s="107">
        <v>44173</v>
      </c>
      <c r="B305" s="101">
        <v>548</v>
      </c>
      <c r="C305" s="101">
        <v>8</v>
      </c>
      <c r="D305" s="89">
        <v>1.2007462857142857</v>
      </c>
    </row>
    <row r="306" spans="1:4" x14ac:dyDescent="0.25">
      <c r="A306" s="107">
        <v>44174</v>
      </c>
      <c r="B306" s="101">
        <v>5465</v>
      </c>
      <c r="C306" s="101">
        <v>10</v>
      </c>
      <c r="D306" s="89">
        <v>5.987297857142857</v>
      </c>
    </row>
    <row r="307" spans="1:4" x14ac:dyDescent="0.25">
      <c r="A307" s="107">
        <v>44175</v>
      </c>
      <c r="B307" s="101">
        <v>5512</v>
      </c>
      <c r="C307" s="101">
        <v>10</v>
      </c>
      <c r="D307" s="89">
        <v>6.0387897142857145</v>
      </c>
    </row>
    <row r="308" spans="1:4" x14ac:dyDescent="0.25">
      <c r="A308" s="107">
        <v>44176</v>
      </c>
      <c r="B308" s="101">
        <v>3058</v>
      </c>
      <c r="C308" s="101">
        <v>8</v>
      </c>
      <c r="D308" s="89">
        <v>3.3502574285714286</v>
      </c>
    </row>
    <row r="309" spans="1:4" x14ac:dyDescent="0.25">
      <c r="A309" s="107">
        <v>44177</v>
      </c>
      <c r="B309" s="101"/>
      <c r="C309" s="101">
        <v>10</v>
      </c>
      <c r="D309" s="89">
        <v>3.4830000000000001</v>
      </c>
    </row>
    <row r="310" spans="1:4" x14ac:dyDescent="0.25">
      <c r="A310" s="107">
        <v>44179</v>
      </c>
      <c r="B310" s="101">
        <v>775.5</v>
      </c>
      <c r="C310" s="101">
        <v>11</v>
      </c>
      <c r="D310" s="89">
        <v>1.6992312857142857</v>
      </c>
    </row>
    <row r="311" spans="1:4" x14ac:dyDescent="0.25">
      <c r="A311" s="107">
        <v>44180</v>
      </c>
      <c r="B311" s="101">
        <v>863.5</v>
      </c>
      <c r="C311" s="101">
        <v>11</v>
      </c>
      <c r="D311" s="89">
        <v>1.8920518571428571</v>
      </c>
    </row>
    <row r="312" spans="1:4" x14ac:dyDescent="0.25">
      <c r="A312" s="107">
        <v>44181</v>
      </c>
      <c r="B312" s="101">
        <v>835.25</v>
      </c>
      <c r="C312" s="101">
        <v>11</v>
      </c>
      <c r="D312" s="89">
        <v>1.8301520714285717</v>
      </c>
    </row>
    <row r="313" spans="1:4" x14ac:dyDescent="0.25">
      <c r="A313" s="107">
        <v>44183</v>
      </c>
      <c r="B313" s="101"/>
      <c r="C313" s="101">
        <v>10</v>
      </c>
      <c r="D313" s="89">
        <v>3.4830000000000001</v>
      </c>
    </row>
    <row r="314" spans="1:4" x14ac:dyDescent="0.25">
      <c r="A314" s="107">
        <v>44185</v>
      </c>
      <c r="B314" s="101"/>
      <c r="C314" s="101">
        <v>11</v>
      </c>
      <c r="D314" s="89">
        <v>3.8313000000000001</v>
      </c>
    </row>
    <row r="315" spans="1:4" x14ac:dyDescent="0.25">
      <c r="A315" s="107">
        <v>44162</v>
      </c>
      <c r="B315" s="101"/>
      <c r="C315" s="101">
        <v>10</v>
      </c>
      <c r="D315" s="89">
        <v>3.4830000000000001</v>
      </c>
    </row>
    <row r="316" spans="1:4" x14ac:dyDescent="0.25">
      <c r="A316" s="107">
        <v>44158</v>
      </c>
      <c r="B316" s="101"/>
      <c r="C316" s="101">
        <v>10</v>
      </c>
      <c r="D316" s="89">
        <v>3.4830000000000001</v>
      </c>
    </row>
    <row r="317" spans="1:4" x14ac:dyDescent="0.25">
      <c r="A317" s="107">
        <v>44159</v>
      </c>
      <c r="B317" s="101"/>
      <c r="C317" s="101">
        <v>10</v>
      </c>
      <c r="D317" s="89">
        <v>3.4830000000000001</v>
      </c>
    </row>
    <row r="318" spans="1:4" x14ac:dyDescent="0.25">
      <c r="A318" s="107">
        <v>44160</v>
      </c>
      <c r="B318" s="101">
        <v>2599</v>
      </c>
      <c r="C318" s="101">
        <v>6</v>
      </c>
      <c r="D318" s="89">
        <v>2.8473901428571433</v>
      </c>
    </row>
    <row r="319" spans="1:4" x14ac:dyDescent="0.25">
      <c r="A319" s="107">
        <v>44161</v>
      </c>
      <c r="B319" s="101"/>
      <c r="C319" s="101">
        <v>10</v>
      </c>
      <c r="D319" s="89">
        <v>3.4830000000000001</v>
      </c>
    </row>
    <row r="320" spans="1:4" x14ac:dyDescent="0.25">
      <c r="A320" s="107">
        <v>44187</v>
      </c>
      <c r="B320" s="101"/>
      <c r="C320" s="101">
        <v>8.5</v>
      </c>
      <c r="D320" s="89">
        <v>2.96055</v>
      </c>
    </row>
    <row r="321" spans="1:4" x14ac:dyDescent="0.25">
      <c r="A321" s="97" t="s">
        <v>169</v>
      </c>
      <c r="B321" s="101">
        <v>1347.25</v>
      </c>
      <c r="C321" s="101">
        <v>199</v>
      </c>
      <c r="D321" s="89">
        <v>69.481913852941176</v>
      </c>
    </row>
    <row r="322" spans="1:4" x14ac:dyDescent="0.25">
      <c r="A322" s="107">
        <v>44166</v>
      </c>
      <c r="B322" s="101"/>
      <c r="C322" s="101">
        <v>10</v>
      </c>
      <c r="D322" s="89">
        <v>3.4830000000000001</v>
      </c>
    </row>
    <row r="323" spans="1:4" x14ac:dyDescent="0.25">
      <c r="A323" s="107">
        <v>44167</v>
      </c>
      <c r="B323" s="101"/>
      <c r="C323" s="101">
        <v>10</v>
      </c>
      <c r="D323" s="89">
        <v>3.4830000000000001</v>
      </c>
    </row>
    <row r="324" spans="1:4" x14ac:dyDescent="0.25">
      <c r="A324" s="107">
        <v>44168</v>
      </c>
      <c r="B324" s="101"/>
      <c r="C324" s="101">
        <v>10</v>
      </c>
      <c r="D324" s="89">
        <v>3.4830000000000001</v>
      </c>
    </row>
    <row r="325" spans="1:4" x14ac:dyDescent="0.25">
      <c r="A325" s="107">
        <v>44169</v>
      </c>
      <c r="B325" s="101"/>
      <c r="C325" s="101">
        <v>10</v>
      </c>
      <c r="D325" s="89">
        <v>3.4830000000000001</v>
      </c>
    </row>
    <row r="326" spans="1:4" x14ac:dyDescent="0.25">
      <c r="A326" s="107">
        <v>44170</v>
      </c>
      <c r="B326" s="101"/>
      <c r="C326" s="101">
        <v>10</v>
      </c>
      <c r="D326" s="89">
        <v>3.4830000000000001</v>
      </c>
    </row>
    <row r="327" spans="1:4" x14ac:dyDescent="0.25">
      <c r="A327" s="107">
        <v>44172</v>
      </c>
      <c r="B327" s="101"/>
      <c r="C327" s="101">
        <v>10</v>
      </c>
      <c r="D327" s="89">
        <v>3.4830000000000001</v>
      </c>
    </row>
    <row r="328" spans="1:4" x14ac:dyDescent="0.25">
      <c r="A328" s="107">
        <v>44173</v>
      </c>
      <c r="B328" s="101"/>
      <c r="C328" s="101">
        <v>10</v>
      </c>
      <c r="D328" s="89">
        <v>3.4830000000000001</v>
      </c>
    </row>
    <row r="329" spans="1:4" x14ac:dyDescent="0.25">
      <c r="A329" s="107">
        <v>44174</v>
      </c>
      <c r="B329" s="101"/>
      <c r="C329" s="101">
        <v>10</v>
      </c>
      <c r="D329" s="89">
        <v>3.4830000000000001</v>
      </c>
    </row>
    <row r="330" spans="1:4" x14ac:dyDescent="0.25">
      <c r="A330" s="107">
        <v>44176</v>
      </c>
      <c r="B330" s="101"/>
      <c r="C330" s="101">
        <v>8</v>
      </c>
      <c r="D330" s="89">
        <v>2.7864</v>
      </c>
    </row>
    <row r="331" spans="1:4" x14ac:dyDescent="0.25">
      <c r="A331" s="107">
        <v>44179</v>
      </c>
      <c r="B331" s="101"/>
      <c r="C331" s="101">
        <v>10</v>
      </c>
      <c r="D331" s="89">
        <v>3.4830000000000001</v>
      </c>
    </row>
    <row r="332" spans="1:4" x14ac:dyDescent="0.25">
      <c r="A332" s="107">
        <v>44180</v>
      </c>
      <c r="B332" s="101">
        <v>699.75</v>
      </c>
      <c r="C332" s="101">
        <v>10</v>
      </c>
      <c r="D332" s="89">
        <v>1.5332522142857141</v>
      </c>
    </row>
    <row r="333" spans="1:4" x14ac:dyDescent="0.25">
      <c r="A333" s="107">
        <v>44181</v>
      </c>
      <c r="B333" s="101">
        <v>441.5</v>
      </c>
      <c r="C333" s="128">
        <v>11</v>
      </c>
      <c r="D333" s="89">
        <v>2.1942145798319328</v>
      </c>
    </row>
    <row r="334" spans="1:4" x14ac:dyDescent="0.25">
      <c r="A334" s="107">
        <v>44182</v>
      </c>
      <c r="B334" s="101">
        <v>206</v>
      </c>
      <c r="C334" s="101">
        <v>10</v>
      </c>
      <c r="D334" s="89">
        <v>7.2400470588235288</v>
      </c>
    </row>
    <row r="335" spans="1:4" x14ac:dyDescent="0.25">
      <c r="A335" s="107">
        <v>44186</v>
      </c>
      <c r="B335" s="101"/>
      <c r="C335" s="101">
        <v>10</v>
      </c>
      <c r="D335" s="89">
        <v>3.4830000000000001</v>
      </c>
    </row>
    <row r="336" spans="1:4" x14ac:dyDescent="0.25">
      <c r="A336" s="107">
        <v>44162</v>
      </c>
      <c r="B336" s="101"/>
      <c r="C336" s="101">
        <v>10</v>
      </c>
      <c r="D336" s="89">
        <v>3.4830000000000001</v>
      </c>
    </row>
    <row r="337" spans="1:4" x14ac:dyDescent="0.25">
      <c r="A337" s="107">
        <v>44158</v>
      </c>
      <c r="B337" s="101"/>
      <c r="C337" s="101">
        <v>10</v>
      </c>
      <c r="D337" s="89">
        <v>3.4830000000000001</v>
      </c>
    </row>
    <row r="338" spans="1:4" x14ac:dyDescent="0.25">
      <c r="A338" s="107">
        <v>44159</v>
      </c>
      <c r="B338" s="101"/>
      <c r="C338" s="128">
        <v>10</v>
      </c>
      <c r="D338" s="89">
        <v>3.4830000000000001</v>
      </c>
    </row>
    <row r="339" spans="1:4" x14ac:dyDescent="0.25">
      <c r="A339" s="107">
        <v>44160</v>
      </c>
      <c r="B339" s="101"/>
      <c r="C339" s="101">
        <v>10</v>
      </c>
      <c r="D339" s="89">
        <v>3.4830000000000001</v>
      </c>
    </row>
    <row r="340" spans="1:4" x14ac:dyDescent="0.25">
      <c r="A340" s="107">
        <v>44161</v>
      </c>
      <c r="B340" s="101"/>
      <c r="C340" s="101">
        <v>10</v>
      </c>
      <c r="D340" s="89">
        <v>3.4830000000000001</v>
      </c>
    </row>
    <row r="341" spans="1:4" x14ac:dyDescent="0.25">
      <c r="A341" s="107">
        <v>44165</v>
      </c>
      <c r="B341" s="101"/>
      <c r="C341" s="101">
        <v>10</v>
      </c>
      <c r="D341" s="89">
        <v>3.4830000000000001</v>
      </c>
    </row>
    <row r="342" spans="1:4" x14ac:dyDescent="0.25">
      <c r="A342" s="97" t="s">
        <v>194</v>
      </c>
      <c r="B342" s="101">
        <v>56446.083333333328</v>
      </c>
      <c r="C342" s="101">
        <v>214.5</v>
      </c>
      <c r="D342" s="89">
        <v>89.043454166666663</v>
      </c>
    </row>
    <row r="343" spans="1:4" x14ac:dyDescent="0.25">
      <c r="A343" s="107">
        <v>44167</v>
      </c>
      <c r="B343" s="101">
        <v>1180</v>
      </c>
      <c r="C343" s="101">
        <v>9</v>
      </c>
      <c r="D343" s="89">
        <v>3.0561869642857142</v>
      </c>
    </row>
    <row r="344" spans="1:4" x14ac:dyDescent="0.25">
      <c r="A344" s="107">
        <v>44168</v>
      </c>
      <c r="B344" s="101">
        <v>4425</v>
      </c>
      <c r="C344" s="101">
        <v>10</v>
      </c>
      <c r="D344" s="89">
        <v>4.8479035714285716</v>
      </c>
    </row>
    <row r="345" spans="1:4" x14ac:dyDescent="0.25">
      <c r="A345" s="107">
        <v>44169</v>
      </c>
      <c r="B345" s="101">
        <v>3475</v>
      </c>
      <c r="C345" s="101">
        <v>10</v>
      </c>
      <c r="D345" s="89">
        <v>3.8071107142857148</v>
      </c>
    </row>
    <row r="346" spans="1:4" x14ac:dyDescent="0.25">
      <c r="A346" s="107">
        <v>44172</v>
      </c>
      <c r="B346" s="101">
        <v>2008</v>
      </c>
      <c r="C346" s="101">
        <v>11</v>
      </c>
      <c r="D346" s="89">
        <v>2.1999074285714286</v>
      </c>
    </row>
    <row r="347" spans="1:4" x14ac:dyDescent="0.25">
      <c r="A347" s="107">
        <v>44173</v>
      </c>
      <c r="B347" s="101">
        <v>2855</v>
      </c>
      <c r="C347" s="101">
        <v>11</v>
      </c>
      <c r="D347" s="89">
        <v>4.8693564285714288</v>
      </c>
    </row>
    <row r="348" spans="1:4" x14ac:dyDescent="0.25">
      <c r="A348" s="107">
        <v>44174</v>
      </c>
      <c r="B348" s="101">
        <v>3325</v>
      </c>
      <c r="C348" s="101">
        <v>7</v>
      </c>
      <c r="D348" s="89">
        <v>3.6427749999999999</v>
      </c>
    </row>
    <row r="349" spans="1:4" x14ac:dyDescent="0.25">
      <c r="A349" s="107">
        <v>44175</v>
      </c>
      <c r="B349" s="101">
        <v>5825</v>
      </c>
      <c r="C349" s="101">
        <v>11</v>
      </c>
      <c r="D349" s="89">
        <v>6.381703571428571</v>
      </c>
    </row>
    <row r="350" spans="1:4" x14ac:dyDescent="0.25">
      <c r="A350" s="107">
        <v>44176</v>
      </c>
      <c r="B350" s="101">
        <v>6150</v>
      </c>
      <c r="C350" s="101">
        <v>11</v>
      </c>
      <c r="D350" s="89">
        <v>6.7377642857142863</v>
      </c>
    </row>
    <row r="351" spans="1:4" x14ac:dyDescent="0.25">
      <c r="A351" s="107">
        <v>44179</v>
      </c>
      <c r="B351" s="101"/>
      <c r="C351" s="101">
        <v>10</v>
      </c>
      <c r="D351" s="89">
        <v>3.4830000000000001</v>
      </c>
    </row>
    <row r="352" spans="1:4" x14ac:dyDescent="0.25">
      <c r="A352" s="107">
        <v>44180</v>
      </c>
      <c r="B352" s="101"/>
      <c r="C352" s="101">
        <v>10</v>
      </c>
      <c r="D352" s="89">
        <v>3.4830000000000001</v>
      </c>
    </row>
    <row r="353" spans="1:4" x14ac:dyDescent="0.25">
      <c r="A353" s="107">
        <v>44181</v>
      </c>
      <c r="B353" s="101">
        <v>750.83333333333337</v>
      </c>
      <c r="C353" s="101">
        <v>9</v>
      </c>
      <c r="D353" s="89">
        <v>1.6451830952380955</v>
      </c>
    </row>
    <row r="354" spans="1:4" x14ac:dyDescent="0.25">
      <c r="A354" s="107">
        <v>44182</v>
      </c>
      <c r="B354" s="101">
        <v>527.25</v>
      </c>
      <c r="C354" s="101">
        <v>10</v>
      </c>
      <c r="D354" s="89">
        <v>1.8518800714285715</v>
      </c>
    </row>
    <row r="355" spans="1:4" x14ac:dyDescent="0.25">
      <c r="A355" s="107">
        <v>44183</v>
      </c>
      <c r="B355" s="101"/>
      <c r="C355" s="101">
        <v>10</v>
      </c>
      <c r="D355" s="89">
        <v>3.4830000000000001</v>
      </c>
    </row>
    <row r="356" spans="1:4" x14ac:dyDescent="0.25">
      <c r="A356" s="107">
        <v>44186</v>
      </c>
      <c r="B356" s="101">
        <v>2100</v>
      </c>
      <c r="C356" s="101">
        <v>7</v>
      </c>
      <c r="D356" s="89">
        <v>4.0262250000000002</v>
      </c>
    </row>
    <row r="357" spans="1:4" x14ac:dyDescent="0.25">
      <c r="A357" s="107">
        <v>44185</v>
      </c>
      <c r="B357" s="101">
        <v>1100</v>
      </c>
      <c r="C357" s="101">
        <v>8</v>
      </c>
      <c r="D357" s="89">
        <v>1.9240973214285713</v>
      </c>
    </row>
    <row r="358" spans="1:4" x14ac:dyDescent="0.25">
      <c r="A358" s="107">
        <v>44162</v>
      </c>
      <c r="B358" s="101">
        <v>5000</v>
      </c>
      <c r="C358" s="101">
        <v>11</v>
      </c>
      <c r="D358" s="89">
        <v>5.4778571428571432</v>
      </c>
    </row>
    <row r="359" spans="1:4" x14ac:dyDescent="0.25">
      <c r="A359" s="107">
        <v>44158</v>
      </c>
      <c r="B359" s="101"/>
      <c r="C359" s="101">
        <v>10</v>
      </c>
      <c r="D359" s="89">
        <v>3.4830000000000001</v>
      </c>
    </row>
    <row r="360" spans="1:4" x14ac:dyDescent="0.25">
      <c r="A360" s="107">
        <v>44159</v>
      </c>
      <c r="B360" s="101"/>
      <c r="C360" s="101">
        <v>10</v>
      </c>
      <c r="D360" s="89">
        <v>3.4830000000000001</v>
      </c>
    </row>
    <row r="361" spans="1:4" x14ac:dyDescent="0.25">
      <c r="A361" s="107">
        <v>44160</v>
      </c>
      <c r="B361" s="101">
        <v>6525</v>
      </c>
      <c r="C361" s="101">
        <v>11</v>
      </c>
      <c r="D361" s="89">
        <v>7.1486035714285707</v>
      </c>
    </row>
    <row r="362" spans="1:4" x14ac:dyDescent="0.25">
      <c r="A362" s="107">
        <v>44161</v>
      </c>
      <c r="B362" s="101">
        <v>3175</v>
      </c>
      <c r="C362" s="101">
        <v>11</v>
      </c>
      <c r="D362" s="89">
        <v>3.4784392857142854</v>
      </c>
    </row>
    <row r="363" spans="1:4" x14ac:dyDescent="0.25">
      <c r="A363" s="107">
        <v>44163</v>
      </c>
      <c r="B363" s="101">
        <v>4025</v>
      </c>
      <c r="C363" s="101">
        <v>10</v>
      </c>
      <c r="D363" s="89">
        <v>6.1511750000000003</v>
      </c>
    </row>
    <row r="364" spans="1:4" x14ac:dyDescent="0.25">
      <c r="A364" s="107">
        <v>44187</v>
      </c>
      <c r="B364" s="101">
        <v>4000</v>
      </c>
      <c r="C364" s="101">
        <v>7.5</v>
      </c>
      <c r="D364" s="89">
        <v>4.3822857142857146</v>
      </c>
    </row>
    <row r="365" spans="1:4" x14ac:dyDescent="0.25">
      <c r="A365" s="97" t="s">
        <v>236</v>
      </c>
      <c r="B365" s="101">
        <v>3727.1</v>
      </c>
      <c r="C365" s="101">
        <v>194.5</v>
      </c>
      <c r="D365" s="89">
        <v>71.775926933621932</v>
      </c>
    </row>
    <row r="366" spans="1:4" x14ac:dyDescent="0.25">
      <c r="A366" s="107">
        <v>44166</v>
      </c>
      <c r="B366" s="101"/>
      <c r="C366" s="101">
        <v>10</v>
      </c>
      <c r="D366" s="89">
        <v>3.4830000000000001</v>
      </c>
    </row>
    <row r="367" spans="1:4" x14ac:dyDescent="0.25">
      <c r="A367" s="107">
        <v>44167</v>
      </c>
      <c r="B367" s="101"/>
      <c r="C367" s="101">
        <v>10</v>
      </c>
      <c r="D367" s="89">
        <v>3.4830000000000001</v>
      </c>
    </row>
    <row r="368" spans="1:4" x14ac:dyDescent="0.25">
      <c r="A368" s="107">
        <v>44168</v>
      </c>
      <c r="B368" s="101">
        <v>308</v>
      </c>
      <c r="C368" s="101">
        <v>10</v>
      </c>
      <c r="D368" s="89">
        <v>4.5441222222222226</v>
      </c>
    </row>
    <row r="369" spans="1:4" x14ac:dyDescent="0.25">
      <c r="A369" s="107">
        <v>44169</v>
      </c>
      <c r="B369" s="101">
        <v>475</v>
      </c>
      <c r="C369" s="101">
        <v>10</v>
      </c>
      <c r="D369" s="89">
        <v>5.3965277777777771</v>
      </c>
    </row>
    <row r="370" spans="1:4" x14ac:dyDescent="0.25">
      <c r="A370" s="107">
        <v>44170</v>
      </c>
      <c r="B370" s="101">
        <v>745</v>
      </c>
      <c r="C370" s="101">
        <v>11</v>
      </c>
      <c r="D370" s="89">
        <v>1.6324014285714286</v>
      </c>
    </row>
    <row r="371" spans="1:4" x14ac:dyDescent="0.25">
      <c r="A371" s="107">
        <v>44173</v>
      </c>
      <c r="B371" s="101">
        <v>320.5</v>
      </c>
      <c r="C371" s="101">
        <v>10</v>
      </c>
      <c r="D371" s="89">
        <v>3.6412361111111107</v>
      </c>
    </row>
    <row r="372" spans="1:4" x14ac:dyDescent="0.25">
      <c r="A372" s="107">
        <v>44174</v>
      </c>
      <c r="B372" s="101">
        <v>378.25</v>
      </c>
      <c r="C372" s="101">
        <v>10</v>
      </c>
      <c r="D372" s="89">
        <v>4.2973402777777787</v>
      </c>
    </row>
    <row r="373" spans="1:4" x14ac:dyDescent="0.25">
      <c r="A373" s="107">
        <v>44176</v>
      </c>
      <c r="B373" s="101">
        <v>406.25</v>
      </c>
      <c r="C373" s="101">
        <v>10</v>
      </c>
      <c r="D373" s="89">
        <v>4.6154513888888893</v>
      </c>
    </row>
    <row r="374" spans="1:4" x14ac:dyDescent="0.25">
      <c r="A374" s="107">
        <v>44179</v>
      </c>
      <c r="B374" s="101"/>
      <c r="C374" s="101">
        <v>10</v>
      </c>
      <c r="D374" s="89">
        <v>3.4830000000000001</v>
      </c>
    </row>
    <row r="375" spans="1:4" x14ac:dyDescent="0.25">
      <c r="A375" s="107">
        <v>44180</v>
      </c>
      <c r="B375" s="101">
        <v>265</v>
      </c>
      <c r="C375" s="101">
        <v>10</v>
      </c>
      <c r="D375" s="89">
        <v>4.403894444444445</v>
      </c>
    </row>
    <row r="376" spans="1:4" x14ac:dyDescent="0.25">
      <c r="A376" s="107">
        <v>44181</v>
      </c>
      <c r="B376" s="101"/>
      <c r="C376" s="101">
        <v>10</v>
      </c>
      <c r="D376" s="89">
        <v>3.4830000000000001</v>
      </c>
    </row>
    <row r="377" spans="1:4" x14ac:dyDescent="0.25">
      <c r="A377" s="107">
        <v>44184</v>
      </c>
      <c r="B377" s="101"/>
      <c r="C377" s="101">
        <v>10</v>
      </c>
      <c r="D377" s="89">
        <v>3.4830000000000001</v>
      </c>
    </row>
    <row r="378" spans="1:4" x14ac:dyDescent="0.25">
      <c r="A378" s="107">
        <v>44185</v>
      </c>
      <c r="B378" s="101"/>
      <c r="C378" s="101">
        <v>5</v>
      </c>
      <c r="D378" s="89">
        <v>1.7415</v>
      </c>
    </row>
    <row r="379" spans="1:4" x14ac:dyDescent="0.25">
      <c r="A379" s="107">
        <v>44162</v>
      </c>
      <c r="B379" s="101">
        <v>402</v>
      </c>
      <c r="C379" s="101">
        <v>10</v>
      </c>
      <c r="D379" s="89">
        <v>3.736772727272728</v>
      </c>
    </row>
    <row r="380" spans="1:4" x14ac:dyDescent="0.25">
      <c r="A380" s="107">
        <v>44158</v>
      </c>
      <c r="B380" s="101"/>
      <c r="C380" s="101">
        <v>10</v>
      </c>
      <c r="D380" s="89">
        <v>3.4830000000000001</v>
      </c>
    </row>
    <row r="381" spans="1:4" x14ac:dyDescent="0.25">
      <c r="A381" s="107">
        <v>44159</v>
      </c>
      <c r="B381" s="101"/>
      <c r="C381" s="101">
        <v>10</v>
      </c>
      <c r="D381" s="89">
        <v>3.4830000000000001</v>
      </c>
    </row>
    <row r="382" spans="1:4" x14ac:dyDescent="0.25">
      <c r="A382" s="107">
        <v>44160</v>
      </c>
      <c r="B382" s="101">
        <v>123.6</v>
      </c>
      <c r="C382" s="101">
        <v>10</v>
      </c>
      <c r="D382" s="89">
        <v>3.4940333333333333</v>
      </c>
    </row>
    <row r="383" spans="1:4" x14ac:dyDescent="0.25">
      <c r="A383" s="107">
        <v>44161</v>
      </c>
      <c r="B383" s="101">
        <v>303.5</v>
      </c>
      <c r="C383" s="101">
        <v>10</v>
      </c>
      <c r="D383" s="89">
        <v>3.4480972222222226</v>
      </c>
    </row>
    <row r="384" spans="1:4" x14ac:dyDescent="0.25">
      <c r="A384" s="107">
        <v>44165</v>
      </c>
      <c r="B384" s="101"/>
      <c r="C384" s="101">
        <v>10</v>
      </c>
      <c r="D384" s="89">
        <v>3.4830000000000001</v>
      </c>
    </row>
    <row r="385" spans="1:4" x14ac:dyDescent="0.25">
      <c r="A385" s="107">
        <v>44187</v>
      </c>
      <c r="B385" s="101"/>
      <c r="C385" s="101">
        <v>8.5</v>
      </c>
      <c r="D385" s="89">
        <v>2.96055</v>
      </c>
    </row>
    <row r="386" spans="1:4" x14ac:dyDescent="0.25">
      <c r="A386" s="97" t="s">
        <v>168</v>
      </c>
      <c r="B386" s="101"/>
      <c r="C386" s="101">
        <v>178</v>
      </c>
      <c r="D386" s="89">
        <v>61.997399999999978</v>
      </c>
    </row>
    <row r="387" spans="1:4" x14ac:dyDescent="0.25">
      <c r="A387" s="107">
        <v>44166</v>
      </c>
      <c r="B387" s="101"/>
      <c r="C387" s="101">
        <v>10</v>
      </c>
      <c r="D387" s="89">
        <v>3.4830000000000001</v>
      </c>
    </row>
    <row r="388" spans="1:4" x14ac:dyDescent="0.25">
      <c r="A388" s="107">
        <v>44167</v>
      </c>
      <c r="B388" s="101"/>
      <c r="C388" s="101">
        <v>10</v>
      </c>
      <c r="D388" s="89">
        <v>3.4830000000000001</v>
      </c>
    </row>
    <row r="389" spans="1:4" x14ac:dyDescent="0.25">
      <c r="A389" s="107">
        <v>44168</v>
      </c>
      <c r="B389" s="101"/>
      <c r="C389" s="101">
        <v>10</v>
      </c>
      <c r="D389" s="89">
        <v>3.4830000000000001</v>
      </c>
    </row>
    <row r="390" spans="1:4" x14ac:dyDescent="0.25">
      <c r="A390" s="107">
        <v>44169</v>
      </c>
      <c r="B390" s="101"/>
      <c r="C390" s="101">
        <v>10</v>
      </c>
      <c r="D390" s="89">
        <v>3.4830000000000001</v>
      </c>
    </row>
    <row r="391" spans="1:4" x14ac:dyDescent="0.25">
      <c r="A391" s="107">
        <v>44172</v>
      </c>
      <c r="B391" s="101"/>
      <c r="C391" s="101">
        <v>10</v>
      </c>
      <c r="D391" s="89">
        <v>3.4830000000000001</v>
      </c>
    </row>
    <row r="392" spans="1:4" x14ac:dyDescent="0.25">
      <c r="A392" s="107">
        <v>44173</v>
      </c>
      <c r="B392" s="101"/>
      <c r="C392" s="101">
        <v>10</v>
      </c>
      <c r="D392" s="89">
        <v>3.4830000000000001</v>
      </c>
    </row>
    <row r="393" spans="1:4" x14ac:dyDescent="0.25">
      <c r="A393" s="107">
        <v>44174</v>
      </c>
      <c r="B393" s="101"/>
      <c r="C393" s="101">
        <v>10</v>
      </c>
      <c r="D393" s="89">
        <v>3.4830000000000001</v>
      </c>
    </row>
    <row r="394" spans="1:4" x14ac:dyDescent="0.25">
      <c r="A394" s="107">
        <v>44175</v>
      </c>
      <c r="B394" s="101"/>
      <c r="C394" s="101">
        <v>10</v>
      </c>
      <c r="D394" s="89">
        <v>3.4830000000000001</v>
      </c>
    </row>
    <row r="395" spans="1:4" x14ac:dyDescent="0.25">
      <c r="A395" s="107">
        <v>44176</v>
      </c>
      <c r="B395" s="101"/>
      <c r="C395" s="101">
        <v>8</v>
      </c>
      <c r="D395" s="89">
        <v>2.7864</v>
      </c>
    </row>
    <row r="396" spans="1:4" x14ac:dyDescent="0.25">
      <c r="A396" s="107">
        <v>44179</v>
      </c>
      <c r="B396" s="101"/>
      <c r="C396" s="101">
        <v>10</v>
      </c>
      <c r="D396" s="89">
        <v>3.4830000000000001</v>
      </c>
    </row>
    <row r="397" spans="1:4" x14ac:dyDescent="0.25">
      <c r="A397" s="107">
        <v>44180</v>
      </c>
      <c r="B397" s="101"/>
      <c r="C397" s="101">
        <v>10</v>
      </c>
      <c r="D397" s="89">
        <v>3.4830000000000001</v>
      </c>
    </row>
    <row r="398" spans="1:4" x14ac:dyDescent="0.25">
      <c r="A398" s="107">
        <v>44186</v>
      </c>
      <c r="B398" s="101"/>
      <c r="C398" s="101">
        <v>10</v>
      </c>
      <c r="D398" s="89">
        <v>3.4830000000000001</v>
      </c>
    </row>
    <row r="399" spans="1:4" x14ac:dyDescent="0.25">
      <c r="A399" s="107">
        <v>44162</v>
      </c>
      <c r="B399" s="101"/>
      <c r="C399" s="101">
        <v>10</v>
      </c>
      <c r="D399" s="89">
        <v>3.4830000000000001</v>
      </c>
    </row>
    <row r="400" spans="1:4" x14ac:dyDescent="0.25">
      <c r="A400" s="107">
        <v>44158</v>
      </c>
      <c r="B400" s="101"/>
      <c r="C400" s="101">
        <v>10</v>
      </c>
      <c r="D400" s="89">
        <v>3.4830000000000001</v>
      </c>
    </row>
    <row r="401" spans="1:4" x14ac:dyDescent="0.25">
      <c r="A401" s="107">
        <v>44159</v>
      </c>
      <c r="B401" s="101"/>
      <c r="C401" s="101">
        <v>10</v>
      </c>
      <c r="D401" s="89">
        <v>3.4830000000000001</v>
      </c>
    </row>
    <row r="402" spans="1:4" x14ac:dyDescent="0.25">
      <c r="A402" s="107">
        <v>44160</v>
      </c>
      <c r="B402" s="101"/>
      <c r="C402" s="101">
        <v>10</v>
      </c>
      <c r="D402" s="89">
        <v>3.4830000000000001</v>
      </c>
    </row>
    <row r="403" spans="1:4" x14ac:dyDescent="0.25">
      <c r="A403" s="107">
        <v>44161</v>
      </c>
      <c r="B403" s="101"/>
      <c r="C403" s="101">
        <v>10</v>
      </c>
      <c r="D403" s="89">
        <v>3.4830000000000001</v>
      </c>
    </row>
    <row r="404" spans="1:4" x14ac:dyDescent="0.25">
      <c r="A404" s="107">
        <v>44165</v>
      </c>
      <c r="B404" s="101"/>
      <c r="C404" s="101">
        <v>10</v>
      </c>
      <c r="D404" s="89">
        <v>3.4830000000000001</v>
      </c>
    </row>
    <row r="405" spans="1:4" x14ac:dyDescent="0.25">
      <c r="A405" s="97" t="s">
        <v>277</v>
      </c>
      <c r="B405" s="101">
        <v>131.6</v>
      </c>
      <c r="C405" s="101">
        <v>10</v>
      </c>
      <c r="D405" s="89">
        <v>5.0025764705882363</v>
      </c>
    </row>
    <row r="406" spans="1:4" x14ac:dyDescent="0.25">
      <c r="A406" s="107">
        <v>44187</v>
      </c>
      <c r="B406" s="101">
        <v>131.6</v>
      </c>
      <c r="C406" s="101">
        <v>10</v>
      </c>
      <c r="D406" s="89">
        <v>5.0025764705882363</v>
      </c>
    </row>
    <row r="407" spans="1:4" x14ac:dyDescent="0.25">
      <c r="A407" s="97" t="s">
        <v>281</v>
      </c>
      <c r="B407" s="101"/>
      <c r="C407" s="101">
        <v>148</v>
      </c>
      <c r="D407" s="89">
        <v>51.548399999999987</v>
      </c>
    </row>
    <row r="408" spans="1:4" x14ac:dyDescent="0.25">
      <c r="A408" s="107">
        <v>44166</v>
      </c>
      <c r="B408" s="101"/>
      <c r="C408" s="101">
        <v>10</v>
      </c>
      <c r="D408" s="89">
        <v>3.4830000000000001</v>
      </c>
    </row>
    <row r="409" spans="1:4" x14ac:dyDescent="0.25">
      <c r="A409" s="107">
        <v>44167</v>
      </c>
      <c r="B409" s="101"/>
      <c r="C409" s="101">
        <v>10</v>
      </c>
      <c r="D409" s="89">
        <v>3.4830000000000001</v>
      </c>
    </row>
    <row r="410" spans="1:4" x14ac:dyDescent="0.25">
      <c r="A410" s="107">
        <v>44168</v>
      </c>
      <c r="B410" s="101"/>
      <c r="C410" s="101">
        <v>10</v>
      </c>
      <c r="D410" s="89">
        <v>3.4830000000000001</v>
      </c>
    </row>
    <row r="411" spans="1:4" x14ac:dyDescent="0.25">
      <c r="A411" s="107">
        <v>44169</v>
      </c>
      <c r="B411" s="101"/>
      <c r="C411" s="101">
        <v>10</v>
      </c>
      <c r="D411" s="89">
        <v>3.4830000000000001</v>
      </c>
    </row>
    <row r="412" spans="1:4" x14ac:dyDescent="0.25">
      <c r="A412" s="107">
        <v>44170</v>
      </c>
      <c r="B412" s="101"/>
      <c r="C412" s="101">
        <v>10</v>
      </c>
      <c r="D412" s="89">
        <v>3.4830000000000001</v>
      </c>
    </row>
    <row r="413" spans="1:4" x14ac:dyDescent="0.25">
      <c r="A413" s="107">
        <v>44172</v>
      </c>
      <c r="B413" s="101"/>
      <c r="C413" s="101">
        <v>10</v>
      </c>
      <c r="D413" s="89">
        <v>3.4830000000000001</v>
      </c>
    </row>
    <row r="414" spans="1:4" x14ac:dyDescent="0.25">
      <c r="A414" s="107">
        <v>44173</v>
      </c>
      <c r="B414" s="101"/>
      <c r="C414" s="101">
        <v>10</v>
      </c>
      <c r="D414" s="89">
        <v>3.4830000000000001</v>
      </c>
    </row>
    <row r="415" spans="1:4" x14ac:dyDescent="0.25">
      <c r="A415" s="107">
        <v>44174</v>
      </c>
      <c r="B415" s="101"/>
      <c r="C415" s="101">
        <v>10</v>
      </c>
      <c r="D415" s="89">
        <v>3.4830000000000001</v>
      </c>
    </row>
    <row r="416" spans="1:4" x14ac:dyDescent="0.25">
      <c r="A416" s="107">
        <v>44176</v>
      </c>
      <c r="B416" s="101"/>
      <c r="C416" s="101">
        <v>8</v>
      </c>
      <c r="D416" s="89">
        <v>2.7864</v>
      </c>
    </row>
    <row r="417" spans="1:4" x14ac:dyDescent="0.25">
      <c r="A417" s="107">
        <v>44179</v>
      </c>
      <c r="B417" s="101"/>
      <c r="C417" s="101">
        <v>10</v>
      </c>
      <c r="D417" s="89">
        <v>3.4830000000000001</v>
      </c>
    </row>
    <row r="418" spans="1:4" x14ac:dyDescent="0.25">
      <c r="A418" s="107">
        <v>44180</v>
      </c>
      <c r="B418" s="101"/>
      <c r="C418" s="101">
        <v>10</v>
      </c>
      <c r="D418" s="89">
        <v>3.4830000000000001</v>
      </c>
    </row>
    <row r="419" spans="1:4" x14ac:dyDescent="0.25">
      <c r="A419" s="107">
        <v>44181</v>
      </c>
      <c r="B419" s="101"/>
      <c r="C419" s="101">
        <v>10</v>
      </c>
      <c r="D419" s="89">
        <v>3.4830000000000001</v>
      </c>
    </row>
    <row r="420" spans="1:4" x14ac:dyDescent="0.25">
      <c r="A420" s="107">
        <v>44183</v>
      </c>
      <c r="B420" s="101"/>
      <c r="C420" s="101">
        <v>10</v>
      </c>
      <c r="D420" s="89">
        <v>3.4830000000000001</v>
      </c>
    </row>
    <row r="421" spans="1:4" x14ac:dyDescent="0.25">
      <c r="A421" s="107">
        <v>44184</v>
      </c>
      <c r="B421" s="101"/>
      <c r="C421" s="101">
        <v>10</v>
      </c>
      <c r="D421" s="89">
        <v>3.4830000000000001</v>
      </c>
    </row>
    <row r="422" spans="1:4" x14ac:dyDescent="0.25">
      <c r="A422" s="107">
        <v>44186</v>
      </c>
      <c r="B422" s="101"/>
      <c r="C422" s="101">
        <v>10</v>
      </c>
      <c r="D422" s="89">
        <v>3.4830000000000001</v>
      </c>
    </row>
    <row r="423" spans="1:4" x14ac:dyDescent="0.25">
      <c r="A423" s="97" t="s">
        <v>107</v>
      </c>
      <c r="B423" s="101">
        <v>375088.09999999992</v>
      </c>
      <c r="C423" s="101">
        <v>3865</v>
      </c>
      <c r="D423" s="89">
        <v>1468.1095890304064</v>
      </c>
    </row>
  </sheetData>
  <autoFilter ref="A3:E350"/>
  <mergeCells count="10">
    <mergeCell ref="X4:X22"/>
    <mergeCell ref="X25:X28"/>
    <mergeCell ref="AB2:AC2"/>
    <mergeCell ref="AD2:AE2"/>
    <mergeCell ref="P1:R1"/>
    <mergeCell ref="A2:D2"/>
    <mergeCell ref="J2:M2"/>
    <mergeCell ref="S1:W1"/>
    <mergeCell ref="Y2:Z2"/>
    <mergeCell ref="X1:AE1"/>
  </mergeCells>
  <pageMargins left="0.7" right="0.7" top="0.75" bottom="0.75" header="0.3" footer="0.3"/>
  <pageSetup scale="22" fitToHeight="0" orientation="landscape" horizontalDpi="4294967295" verticalDpi="4294967295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6"/>
  <sheetViews>
    <sheetView tabSelected="1" zoomScale="85" zoomScaleNormal="85" workbookViewId="0">
      <selection activeCell="N3" sqref="N3"/>
    </sheetView>
  </sheetViews>
  <sheetFormatPr baseColWidth="10" defaultRowHeight="15" x14ac:dyDescent="0.25"/>
  <cols>
    <col min="2" max="2" width="23.5703125" bestFit="1" customWidth="1"/>
    <col min="4" max="4" width="12" customWidth="1"/>
    <col min="5" max="5" width="14.140625" customWidth="1"/>
    <col min="7" max="9" width="14.28515625" style="90" customWidth="1"/>
    <col min="10" max="11" width="14.28515625" customWidth="1"/>
    <col min="12" max="12" width="17" customWidth="1"/>
    <col min="13" max="13" width="15.7109375" customWidth="1"/>
    <col min="14" max="14" width="13.5703125" customWidth="1"/>
    <col min="15" max="15" width="11.7109375" customWidth="1"/>
    <col min="17" max="17" width="32.42578125" customWidth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2" t="s">
        <v>6</v>
      </c>
      <c r="H1" s="102" t="s">
        <v>167</v>
      </c>
      <c r="I1" s="102" t="s">
        <v>179</v>
      </c>
      <c r="J1" s="1" t="s">
        <v>162</v>
      </c>
      <c r="K1" s="1" t="s">
        <v>163</v>
      </c>
      <c r="L1" s="1" t="s">
        <v>7</v>
      </c>
      <c r="M1" s="1" t="s">
        <v>8</v>
      </c>
      <c r="N1" s="1" t="s">
        <v>81</v>
      </c>
      <c r="O1" s="1" t="s">
        <v>9</v>
      </c>
      <c r="P1" s="1" t="s">
        <v>10</v>
      </c>
      <c r="Q1" s="2" t="s">
        <v>11</v>
      </c>
    </row>
    <row r="2" spans="1:17" x14ac:dyDescent="0.25">
      <c r="A2" s="92">
        <v>44166</v>
      </c>
      <c r="B2" s="91" t="s">
        <v>36</v>
      </c>
      <c r="C2" s="91" t="s">
        <v>45</v>
      </c>
      <c r="D2" s="91">
        <v>363</v>
      </c>
      <c r="E2" s="91" t="s">
        <v>69</v>
      </c>
      <c r="F2" t="s">
        <v>13</v>
      </c>
      <c r="G2" s="91">
        <f>302+253+301+117+329+366+379+509+251+388+367</f>
        <v>3562</v>
      </c>
      <c r="H2" s="90">
        <f>+'Base personal'!$G2/'Base personal'!$L2</f>
        <v>356.2</v>
      </c>
      <c r="I2" s="108">
        <f>VLOOKUP(B2&amp;C2,base!$C$2:$E$27,3,0)</f>
        <v>500</v>
      </c>
      <c r="J2" s="108">
        <f>VLOOKUP(B2&amp;C2,base!$C$2:$F$27,4,0)</f>
        <v>1.0225E-3</v>
      </c>
      <c r="K2" s="91">
        <f>+'Base personal'!$H2*'Base personal'!$J2*'Base personal'!$L2</f>
        <v>3.6421450000000002</v>
      </c>
      <c r="L2" s="91">
        <v>10</v>
      </c>
      <c r="M2">
        <f>G2/L2</f>
        <v>356.2</v>
      </c>
      <c r="N2" s="94">
        <f>M2/VLOOKUP(B2&amp;C2,base!$C$2:$E$27,3,0)</f>
        <v>0.71239999999999992</v>
      </c>
      <c r="Q2">
        <f>+L2+O2</f>
        <v>10</v>
      </c>
    </row>
    <row r="3" spans="1:17" x14ac:dyDescent="0.25">
      <c r="A3" s="92">
        <v>44166</v>
      </c>
      <c r="B3" s="91" t="s">
        <v>33</v>
      </c>
      <c r="C3" s="91" t="s">
        <v>234</v>
      </c>
      <c r="D3" s="91">
        <v>1231</v>
      </c>
      <c r="E3" s="91" t="s">
        <v>75</v>
      </c>
      <c r="F3" t="s">
        <v>13</v>
      </c>
      <c r="G3" s="91">
        <f>4728/2</f>
        <v>2364</v>
      </c>
      <c r="H3" s="90">
        <f>+'Base personal'!$G3/'Base personal'!$L3</f>
        <v>262.66666666666669</v>
      </c>
      <c r="I3" s="108">
        <f>VLOOKUP(B3&amp;C3,base!$C$2:$E$27,3,0)</f>
        <v>350</v>
      </c>
      <c r="J3" s="108">
        <f>VLOOKUP(B3&amp;C3,base!$C$2:$F$27,4,0)</f>
        <v>2.1911428571428572E-3</v>
      </c>
      <c r="K3">
        <f>+'Base personal'!$H3*'Base personal'!$J3*'Base personal'!$L3</f>
        <v>5.1798617142857148</v>
      </c>
      <c r="L3" s="91">
        <v>9</v>
      </c>
      <c r="M3" s="91">
        <f t="shared" ref="M3:M169" si="0">G3/L3</f>
        <v>262.66666666666669</v>
      </c>
      <c r="N3" s="94">
        <f>M3/VLOOKUP(B3&amp;C3,base!$C$2:$E$27,3,0)</f>
        <v>0.75047619047619052</v>
      </c>
      <c r="Q3">
        <f t="shared" ref="Q3:Q179" si="1">+L3+O3</f>
        <v>9</v>
      </c>
    </row>
    <row r="4" spans="1:17" s="91" customFormat="1" x14ac:dyDescent="0.25">
      <c r="A4" s="109">
        <v>44158</v>
      </c>
      <c r="B4" s="91" t="s">
        <v>36</v>
      </c>
      <c r="C4" s="91" t="s">
        <v>234</v>
      </c>
      <c r="D4" s="91">
        <v>357</v>
      </c>
      <c r="E4" s="91" t="s">
        <v>206</v>
      </c>
      <c r="F4" s="91" t="s">
        <v>13</v>
      </c>
      <c r="G4" s="91">
        <v>1157</v>
      </c>
      <c r="H4" s="90">
        <f>+'Base personal'!$G4/'Base personal'!$L4</f>
        <v>192.83333333333334</v>
      </c>
      <c r="I4" s="108">
        <f>VLOOKUP(B4&amp;C4,base!$C$2:$E$27,3,0)</f>
        <v>300</v>
      </c>
      <c r="J4" s="108">
        <f>VLOOKUP(B4&amp;C4,base!$C$2:$F$27,4,0)</f>
        <v>1.7041666666666668E-3</v>
      </c>
      <c r="K4" s="91">
        <f>+'Base personal'!$H4*'Base personal'!$J4*'Base personal'!$L4</f>
        <v>1.9717208333333334</v>
      </c>
      <c r="L4" s="91">
        <v>6</v>
      </c>
      <c r="M4" s="91">
        <f t="shared" si="0"/>
        <v>192.83333333333334</v>
      </c>
      <c r="N4" s="94">
        <f>M4/VLOOKUP(B4&amp;C4,base!$C$2:$E$27,3,0)</f>
        <v>0.64277777777777778</v>
      </c>
    </row>
    <row r="5" spans="1:17" s="91" customFormat="1" x14ac:dyDescent="0.25">
      <c r="A5" s="92">
        <v>44158</v>
      </c>
      <c r="B5" s="91" t="s">
        <v>115</v>
      </c>
      <c r="E5" s="91" t="s">
        <v>206</v>
      </c>
      <c r="F5" s="91" t="s">
        <v>13</v>
      </c>
      <c r="H5" s="90">
        <v>1</v>
      </c>
      <c r="I5" s="108">
        <v>1</v>
      </c>
      <c r="J5" s="75">
        <v>0.3483</v>
      </c>
      <c r="K5" s="91">
        <f>+'Base personal'!$H5*'Base personal'!$J5*'Base personal'!$L5</f>
        <v>1.3932</v>
      </c>
      <c r="L5" s="91">
        <v>4</v>
      </c>
      <c r="M5" s="91">
        <f t="shared" si="0"/>
        <v>0</v>
      </c>
      <c r="N5" s="94" t="e">
        <f>M5/VLOOKUP(B5&amp;C5,base!$C$2:$E$27,3,0)</f>
        <v>#N/A</v>
      </c>
    </row>
    <row r="6" spans="1:17" s="91" customFormat="1" x14ac:dyDescent="0.25">
      <c r="A6" s="92">
        <v>44158</v>
      </c>
      <c r="B6" s="91" t="s">
        <v>112</v>
      </c>
      <c r="C6" s="91" t="s">
        <v>55</v>
      </c>
      <c r="D6" s="91">
        <v>754</v>
      </c>
      <c r="E6" s="91" t="s">
        <v>263</v>
      </c>
      <c r="F6" s="91" t="s">
        <v>13</v>
      </c>
      <c r="G6" s="91">
        <f>142+104+112+97+37+22</f>
        <v>514</v>
      </c>
      <c r="H6" s="90">
        <f>+'Base personal'!$G6/'Base personal'!$L6</f>
        <v>57.111111111111114</v>
      </c>
      <c r="I6" s="108">
        <f>VLOOKUP(B6&amp;C6,base!$C$2:$E$27,3,0)</f>
        <v>55</v>
      </c>
      <c r="J6" s="108">
        <f>VLOOKUP(B6&amp;C6,base!$C$2:$F$27,4,0)</f>
        <v>9.295454545454546E-3</v>
      </c>
      <c r="K6" s="91">
        <f>+'Base personal'!$H6*'Base personal'!$J6*'Base personal'!$L6</f>
        <v>4.7778636363636373</v>
      </c>
      <c r="L6" s="91">
        <v>9</v>
      </c>
      <c r="M6" s="91">
        <f t="shared" si="0"/>
        <v>57.111111111111114</v>
      </c>
      <c r="N6" s="94">
        <f>M6/VLOOKUP(B6&amp;C6,base!$C$2:$E$27,3,0)</f>
        <v>1.0383838383838384</v>
      </c>
    </row>
    <row r="7" spans="1:17" s="91" customFormat="1" x14ac:dyDescent="0.25">
      <c r="A7" s="92">
        <v>44158</v>
      </c>
      <c r="B7" s="91" t="s">
        <v>38</v>
      </c>
      <c r="E7" s="91" t="s">
        <v>263</v>
      </c>
      <c r="F7" s="91" t="s">
        <v>13</v>
      </c>
      <c r="H7" s="90">
        <v>1</v>
      </c>
      <c r="I7" s="108">
        <v>1</v>
      </c>
      <c r="J7" s="75">
        <v>0.3483</v>
      </c>
      <c r="K7" s="91">
        <f>+'Base personal'!$H7*'Base personal'!$J7*'Base personal'!$L7</f>
        <v>0.3483</v>
      </c>
      <c r="L7" s="91">
        <v>1</v>
      </c>
      <c r="M7" s="91">
        <f t="shared" si="0"/>
        <v>0</v>
      </c>
      <c r="N7" s="94" t="e">
        <f>M7/VLOOKUP(B7&amp;C7,base!$C$2:$E$27,3,0)</f>
        <v>#N/A</v>
      </c>
    </row>
    <row r="8" spans="1:17" s="91" customFormat="1" x14ac:dyDescent="0.25">
      <c r="A8" s="92">
        <v>44158</v>
      </c>
      <c r="B8" s="91" t="s">
        <v>111</v>
      </c>
      <c r="C8" s="24" t="s">
        <v>62</v>
      </c>
      <c r="D8" s="91">
        <v>752</v>
      </c>
      <c r="E8" s="91" t="s">
        <v>12</v>
      </c>
      <c r="F8" s="91" t="s">
        <v>13</v>
      </c>
      <c r="G8" s="91">
        <f>85+71+67+46+68+64+48+73+79+76+38+15+57+22</f>
        <v>809</v>
      </c>
      <c r="H8" s="90">
        <f>+'Base personal'!$G8/'Base personal'!$L8</f>
        <v>80.900000000000006</v>
      </c>
      <c r="I8" s="108">
        <f>VLOOKUP(B8&amp;C8,base!$C$2:$E$27,3,0)</f>
        <v>92</v>
      </c>
      <c r="J8" s="108">
        <f>VLOOKUP(B8&amp;C8,base!$C$2:$F$27,4,0)</f>
        <v>5.5570652173913045E-3</v>
      </c>
      <c r="K8" s="91">
        <f>+'Base personal'!$H8*'Base personal'!$J8*'Base personal'!$L8</f>
        <v>4.4956657608695654</v>
      </c>
      <c r="L8" s="91">
        <v>10</v>
      </c>
      <c r="M8" s="91">
        <f t="shared" si="0"/>
        <v>80.900000000000006</v>
      </c>
      <c r="N8" s="94">
        <f>M8/VLOOKUP(B8&amp;C8,base!$C$2:$E$27,3,0)</f>
        <v>0.87934782608695661</v>
      </c>
    </row>
    <row r="9" spans="1:17" s="91" customFormat="1" x14ac:dyDescent="0.25">
      <c r="A9" s="92">
        <v>44158</v>
      </c>
      <c r="B9" s="91" t="s">
        <v>112</v>
      </c>
      <c r="C9" s="91" t="s">
        <v>55</v>
      </c>
      <c r="D9" s="91">
        <v>755</v>
      </c>
      <c r="E9" s="91" t="s">
        <v>96</v>
      </c>
      <c r="F9" s="91" t="s">
        <v>13</v>
      </c>
      <c r="G9" s="91">
        <f>70+89+93+143+86+148</f>
        <v>629</v>
      </c>
      <c r="H9" s="90">
        <f>+'Base personal'!$G9/'Base personal'!$L9</f>
        <v>62.9</v>
      </c>
      <c r="I9" s="108">
        <f>VLOOKUP(B9&amp;C9,base!$C$2:$E$27,3,0)</f>
        <v>55</v>
      </c>
      <c r="J9" s="108">
        <f>VLOOKUP(B9&amp;C9,base!$C$2:$F$27,4,0)</f>
        <v>9.295454545454546E-3</v>
      </c>
      <c r="K9" s="91">
        <f>+'Base personal'!$H9*'Base personal'!$J9*'Base personal'!$L9</f>
        <v>5.8468409090909095</v>
      </c>
      <c r="L9" s="91">
        <v>10</v>
      </c>
      <c r="M9" s="91">
        <f t="shared" si="0"/>
        <v>62.9</v>
      </c>
      <c r="N9" s="94">
        <f>M9/VLOOKUP(B9&amp;C9,base!$C$2:$E$27,3,0)</f>
        <v>1.1436363636363636</v>
      </c>
    </row>
    <row r="10" spans="1:17" s="91" customFormat="1" x14ac:dyDescent="0.25">
      <c r="A10" s="92">
        <v>44158</v>
      </c>
      <c r="B10" s="91" t="s">
        <v>112</v>
      </c>
      <c r="C10" s="91" t="s">
        <v>55</v>
      </c>
      <c r="D10" s="91">
        <v>753</v>
      </c>
      <c r="E10" s="91" t="s">
        <v>56</v>
      </c>
      <c r="F10" s="91" t="s">
        <v>13</v>
      </c>
      <c r="G10" s="91">
        <v>395.27</v>
      </c>
      <c r="H10" s="90">
        <f>+'Base personal'!$G10/'Base personal'!$L10</f>
        <v>39.527000000000001</v>
      </c>
      <c r="I10" s="108">
        <f>VLOOKUP(B10&amp;C10,base!$C$2:$E$27,3,0)</f>
        <v>55</v>
      </c>
      <c r="J10" s="108">
        <f>VLOOKUP(B10&amp;C10,base!$C$2:$F$27,4,0)</f>
        <v>9.295454545454546E-3</v>
      </c>
      <c r="K10" s="91">
        <f>+'Base personal'!$H10*'Base personal'!$J10*'Base personal'!$L10</f>
        <v>3.6742143181818188</v>
      </c>
      <c r="L10" s="91">
        <v>10</v>
      </c>
      <c r="M10" s="91">
        <f t="shared" si="0"/>
        <v>39.527000000000001</v>
      </c>
      <c r="N10" s="94">
        <f>M10/VLOOKUP(B10&amp;C10,base!$C$2:$E$27,3,0)</f>
        <v>0.71867272727272724</v>
      </c>
    </row>
    <row r="11" spans="1:17" s="91" customFormat="1" x14ac:dyDescent="0.25">
      <c r="A11" s="92">
        <v>44158</v>
      </c>
      <c r="B11" s="91" t="s">
        <v>112</v>
      </c>
      <c r="C11" s="91" t="s">
        <v>55</v>
      </c>
      <c r="D11" s="91">
        <v>753</v>
      </c>
      <c r="E11" s="91" t="s">
        <v>57</v>
      </c>
      <c r="F11" s="91" t="s">
        <v>13</v>
      </c>
      <c r="G11" s="91">
        <v>395.27</v>
      </c>
      <c r="H11" s="90">
        <f>+'Base personal'!$G11/'Base personal'!$L11</f>
        <v>39.527000000000001</v>
      </c>
      <c r="I11" s="108">
        <f>VLOOKUP(B11&amp;C11,base!$C$2:$E$27,3,0)</f>
        <v>55</v>
      </c>
      <c r="J11" s="108">
        <f>VLOOKUP(B11&amp;C11,base!$C$2:$F$27,4,0)</f>
        <v>9.295454545454546E-3</v>
      </c>
      <c r="K11" s="91">
        <f>+'Base personal'!$H11*'Base personal'!$J11*'Base personal'!$L11</f>
        <v>3.6742143181818188</v>
      </c>
      <c r="L11" s="91">
        <v>10</v>
      </c>
      <c r="M11" s="91">
        <f t="shared" si="0"/>
        <v>39.527000000000001</v>
      </c>
      <c r="N11" s="94">
        <f>M11/VLOOKUP(B11&amp;C11,base!$C$2:$E$27,3,0)</f>
        <v>0.71867272727272724</v>
      </c>
    </row>
    <row r="12" spans="1:17" s="91" customFormat="1" x14ac:dyDescent="0.25">
      <c r="A12" s="92">
        <v>44158</v>
      </c>
      <c r="B12" s="91" t="s">
        <v>112</v>
      </c>
      <c r="C12" s="91" t="s">
        <v>55</v>
      </c>
      <c r="D12" s="91">
        <v>753</v>
      </c>
      <c r="E12" s="91" t="s">
        <v>58</v>
      </c>
      <c r="F12" s="91" t="s">
        <v>13</v>
      </c>
      <c r="G12" s="91">
        <v>287.45999999999998</v>
      </c>
      <c r="H12" s="90">
        <f>+'Base personal'!$G12/'Base personal'!$L12</f>
        <v>35.932499999999997</v>
      </c>
      <c r="I12" s="108">
        <f>VLOOKUP(B12&amp;C12,base!$C$2:$E$27,3,0)</f>
        <v>55</v>
      </c>
      <c r="J12" s="108">
        <f>VLOOKUP(B12&amp;C12,base!$C$2:$F$27,4,0)</f>
        <v>9.295454545454546E-3</v>
      </c>
      <c r="K12" s="91">
        <f>+'Base personal'!$H12*'Base personal'!$J12*'Base personal'!$L12</f>
        <v>2.6720713636363636</v>
      </c>
      <c r="L12" s="91">
        <v>8</v>
      </c>
      <c r="M12" s="91">
        <f t="shared" si="0"/>
        <v>35.932499999999997</v>
      </c>
      <c r="N12" s="94">
        <f>M12/VLOOKUP(B12&amp;C12,base!$C$2:$E$27,3,0)</f>
        <v>0.6533181818181818</v>
      </c>
    </row>
    <row r="13" spans="1:17" s="91" customFormat="1" x14ac:dyDescent="0.25">
      <c r="A13" s="92">
        <v>44158</v>
      </c>
      <c r="B13" s="91" t="s">
        <v>38</v>
      </c>
      <c r="E13" s="91" t="s">
        <v>58</v>
      </c>
      <c r="H13" s="90">
        <v>1</v>
      </c>
      <c r="I13" s="108">
        <v>1</v>
      </c>
      <c r="J13" s="75">
        <v>0.3483</v>
      </c>
      <c r="K13" s="91">
        <f>+'Base personal'!$H13*'Base personal'!$J13*'Base personal'!$L13</f>
        <v>0.6966</v>
      </c>
      <c r="L13" s="91">
        <v>2</v>
      </c>
      <c r="M13" s="91">
        <f t="shared" si="0"/>
        <v>0</v>
      </c>
      <c r="N13" s="94" t="e">
        <f>M13/VLOOKUP(B13&amp;C13,base!$C$2:$E$27,3,0)</f>
        <v>#N/A</v>
      </c>
    </row>
    <row r="14" spans="1:17" s="91" customFormat="1" x14ac:dyDescent="0.25">
      <c r="A14" s="92">
        <v>44158</v>
      </c>
      <c r="B14" s="91" t="s">
        <v>115</v>
      </c>
      <c r="E14" s="91" t="s">
        <v>44</v>
      </c>
      <c r="H14" s="90">
        <v>1</v>
      </c>
      <c r="I14" s="108">
        <v>1</v>
      </c>
      <c r="J14" s="75">
        <v>0.3483</v>
      </c>
      <c r="K14" s="91">
        <f>+'Base personal'!$H14*'Base personal'!$J14*'Base personal'!$L14</f>
        <v>1.7415</v>
      </c>
      <c r="L14" s="91">
        <v>5</v>
      </c>
      <c r="M14" s="91">
        <f t="shared" si="0"/>
        <v>0</v>
      </c>
      <c r="N14" s="94" t="e">
        <f>M14/VLOOKUP(B14&amp;C14,base!$C$2:$E$27,3,0)</f>
        <v>#N/A</v>
      </c>
    </row>
    <row r="15" spans="1:17" s="91" customFormat="1" x14ac:dyDescent="0.25">
      <c r="A15" s="92">
        <v>44158</v>
      </c>
      <c r="B15" s="91" t="s">
        <v>115</v>
      </c>
      <c r="E15" s="91" t="s">
        <v>43</v>
      </c>
      <c r="H15" s="90">
        <v>1</v>
      </c>
      <c r="I15" s="108">
        <v>1</v>
      </c>
      <c r="J15" s="75">
        <v>0.3483</v>
      </c>
      <c r="K15" s="91">
        <f>+'Base personal'!$H15*'Base personal'!$J15*'Base personal'!$L15</f>
        <v>1.7415</v>
      </c>
      <c r="L15" s="91">
        <v>5</v>
      </c>
      <c r="M15" s="91">
        <f t="shared" si="0"/>
        <v>0</v>
      </c>
      <c r="N15" s="94" t="e">
        <f>M15/VLOOKUP(B15&amp;C15,base!$C$2:$E$27,3,0)</f>
        <v>#N/A</v>
      </c>
    </row>
    <row r="16" spans="1:17" s="91" customFormat="1" x14ac:dyDescent="0.25">
      <c r="A16" s="92">
        <v>44158</v>
      </c>
      <c r="B16" s="91" t="s">
        <v>113</v>
      </c>
      <c r="C16" s="91" t="s">
        <v>71</v>
      </c>
      <c r="D16" s="91">
        <v>118</v>
      </c>
      <c r="E16" s="91" t="s">
        <v>44</v>
      </c>
      <c r="F16" s="91" t="s">
        <v>205</v>
      </c>
      <c r="G16" s="91">
        <v>176.5</v>
      </c>
      <c r="H16" s="90">
        <f>+'Base personal'!$G16/'Base personal'!$L16</f>
        <v>35.299999999999997</v>
      </c>
      <c r="I16" s="108">
        <f>VLOOKUP(B16&amp;C16,base!$C$2:$E$27,3,0)</f>
        <v>45</v>
      </c>
      <c r="J16" s="108">
        <f>VLOOKUP(B16&amp;C16,base!$C$2:$F$27,4,0)</f>
        <v>1.1361111111111112E-2</v>
      </c>
      <c r="K16" s="91">
        <f>+'Base personal'!$H16*'Base personal'!$J16*'Base personal'!$L16</f>
        <v>2.005236111111111</v>
      </c>
      <c r="L16" s="91">
        <v>5</v>
      </c>
      <c r="M16" s="91">
        <f t="shared" si="0"/>
        <v>35.299999999999997</v>
      </c>
      <c r="N16" s="94">
        <f>M16/VLOOKUP(B16&amp;C16,base!$C$2:$E$27,3,0)</f>
        <v>0.78444444444444439</v>
      </c>
    </row>
    <row r="17" spans="1:14" s="91" customFormat="1" x14ac:dyDescent="0.25">
      <c r="A17" s="92">
        <v>44158</v>
      </c>
      <c r="B17" s="91" t="s">
        <v>113</v>
      </c>
      <c r="C17" s="91" t="s">
        <v>71</v>
      </c>
      <c r="D17" s="91">
        <v>118</v>
      </c>
      <c r="E17" s="91" t="s">
        <v>43</v>
      </c>
      <c r="F17" s="91" t="s">
        <v>205</v>
      </c>
      <c r="G17" s="113">
        <f>353/2</f>
        <v>176.5</v>
      </c>
      <c r="H17" s="90">
        <f>+'Base personal'!$G17/'Base personal'!$L17</f>
        <v>35.299999999999997</v>
      </c>
      <c r="I17" s="108">
        <f>VLOOKUP(B17&amp;C17,base!$C$2:$E$27,3,0)</f>
        <v>45</v>
      </c>
      <c r="J17" s="108">
        <f>VLOOKUP(B17&amp;C17,base!$C$2:$F$27,4,0)</f>
        <v>1.1361111111111112E-2</v>
      </c>
      <c r="K17" s="91">
        <f>+'Base personal'!$H17*'Base personal'!$J17*'Base personal'!$L17</f>
        <v>2.005236111111111</v>
      </c>
      <c r="L17" s="91">
        <v>5</v>
      </c>
      <c r="M17" s="91">
        <f t="shared" si="0"/>
        <v>35.299999999999997</v>
      </c>
      <c r="N17" s="94">
        <f>M17/VLOOKUP(B17&amp;C17,base!$C$2:$E$27,3,0)</f>
        <v>0.78444444444444439</v>
      </c>
    </row>
    <row r="18" spans="1:14" s="91" customFormat="1" x14ac:dyDescent="0.25">
      <c r="A18" s="92">
        <v>44158</v>
      </c>
      <c r="B18" s="91" t="s">
        <v>115</v>
      </c>
      <c r="E18" s="91" t="s">
        <v>75</v>
      </c>
      <c r="F18" s="91" t="s">
        <v>13</v>
      </c>
      <c r="H18" s="90">
        <v>1</v>
      </c>
      <c r="I18" s="108">
        <v>1</v>
      </c>
      <c r="J18" s="75">
        <v>0.3483</v>
      </c>
      <c r="K18" s="91">
        <f>+'Base personal'!$H18*'Base personal'!$J18*'Base personal'!$L18</f>
        <v>3.4830000000000001</v>
      </c>
      <c r="L18" s="91">
        <v>10</v>
      </c>
      <c r="M18" s="91">
        <f t="shared" si="0"/>
        <v>0</v>
      </c>
      <c r="N18" s="94" t="e">
        <f>M18/VLOOKUP(B18&amp;C18,base!$C$2:$E$27,3,0)</f>
        <v>#N/A</v>
      </c>
    </row>
    <row r="19" spans="1:14" s="91" customFormat="1" x14ac:dyDescent="0.25">
      <c r="A19" s="92">
        <v>44158</v>
      </c>
      <c r="B19" s="91" t="s">
        <v>115</v>
      </c>
      <c r="E19" s="91" t="s">
        <v>97</v>
      </c>
      <c r="F19" s="91" t="s">
        <v>13</v>
      </c>
      <c r="H19" s="90">
        <v>1</v>
      </c>
      <c r="I19" s="108">
        <v>1</v>
      </c>
      <c r="J19" s="75">
        <v>0.3483</v>
      </c>
      <c r="K19" s="91">
        <f>+'Base personal'!$H19*'Base personal'!$J19*'Base personal'!$L19</f>
        <v>3.4830000000000001</v>
      </c>
      <c r="L19" s="91">
        <v>10</v>
      </c>
      <c r="M19" s="91">
        <f t="shared" si="0"/>
        <v>0</v>
      </c>
      <c r="N19" s="94" t="e">
        <f>M19/VLOOKUP(B19&amp;C19,base!$C$2:$E$27,3,0)</f>
        <v>#N/A</v>
      </c>
    </row>
    <row r="20" spans="1:14" s="91" customFormat="1" x14ac:dyDescent="0.25">
      <c r="A20" s="92">
        <v>44158</v>
      </c>
      <c r="B20" s="91" t="s">
        <v>115</v>
      </c>
      <c r="E20" s="91" t="s">
        <v>236</v>
      </c>
      <c r="F20" s="91" t="s">
        <v>13</v>
      </c>
      <c r="H20" s="90">
        <v>1</v>
      </c>
      <c r="I20" s="108">
        <v>1</v>
      </c>
      <c r="J20" s="75">
        <v>0.3483</v>
      </c>
      <c r="K20" s="91">
        <f>+'Base personal'!$H20*'Base personal'!$J20*'Base personal'!$L20</f>
        <v>3.4830000000000001</v>
      </c>
      <c r="L20" s="91">
        <v>10</v>
      </c>
      <c r="M20" s="91">
        <f t="shared" si="0"/>
        <v>0</v>
      </c>
      <c r="N20" s="94" t="e">
        <f>M20/VLOOKUP(B20&amp;C20,base!$C$2:$E$27,3,0)</f>
        <v>#N/A</v>
      </c>
    </row>
    <row r="21" spans="1:14" s="91" customFormat="1" x14ac:dyDescent="0.25">
      <c r="A21" s="92">
        <v>44158</v>
      </c>
      <c r="B21" s="91" t="s">
        <v>115</v>
      </c>
      <c r="E21" s="91" t="s">
        <v>102</v>
      </c>
      <c r="F21" s="91" t="s">
        <v>13</v>
      </c>
      <c r="H21" s="90">
        <v>1</v>
      </c>
      <c r="I21" s="108">
        <v>1</v>
      </c>
      <c r="J21" s="75">
        <v>0.3483</v>
      </c>
      <c r="K21" s="91">
        <f>+'Base personal'!$H21*'Base personal'!$J21*'Base personal'!$L21</f>
        <v>3.4830000000000001</v>
      </c>
      <c r="L21" s="91">
        <v>10</v>
      </c>
      <c r="M21" s="91">
        <f t="shared" si="0"/>
        <v>0</v>
      </c>
      <c r="N21" s="94" t="e">
        <f>M21/VLOOKUP(B21&amp;C21,base!$C$2:$E$27,3,0)</f>
        <v>#N/A</v>
      </c>
    </row>
    <row r="22" spans="1:14" s="91" customFormat="1" x14ac:dyDescent="0.25">
      <c r="A22" s="92">
        <v>44158</v>
      </c>
      <c r="B22" s="91" t="s">
        <v>115</v>
      </c>
      <c r="E22" s="91" t="s">
        <v>72</v>
      </c>
      <c r="F22" s="91" t="s">
        <v>13</v>
      </c>
      <c r="H22" s="90">
        <v>1</v>
      </c>
      <c r="I22" s="108">
        <v>1</v>
      </c>
      <c r="J22" s="75">
        <v>0.3483</v>
      </c>
      <c r="K22" s="91">
        <f>+'Base personal'!$H22*'Base personal'!$J22*'Base personal'!$L22</f>
        <v>3.4830000000000001</v>
      </c>
      <c r="L22" s="91">
        <v>10</v>
      </c>
      <c r="M22" s="91">
        <f t="shared" si="0"/>
        <v>0</v>
      </c>
      <c r="N22" s="94" t="e">
        <f>M22/VLOOKUP(B22&amp;C22,base!$C$2:$E$27,3,0)</f>
        <v>#N/A</v>
      </c>
    </row>
    <row r="23" spans="1:14" s="91" customFormat="1" x14ac:dyDescent="0.25">
      <c r="A23" s="92">
        <v>44158</v>
      </c>
      <c r="B23" s="91" t="s">
        <v>115</v>
      </c>
      <c r="E23" s="91" t="s">
        <v>194</v>
      </c>
      <c r="F23" s="91" t="s">
        <v>13</v>
      </c>
      <c r="H23" s="90">
        <v>1</v>
      </c>
      <c r="I23" s="108">
        <v>1</v>
      </c>
      <c r="J23" s="75">
        <v>0.3483</v>
      </c>
      <c r="K23" s="91">
        <f>+'Base personal'!$H23*'Base personal'!$J23*'Base personal'!$L23</f>
        <v>3.4830000000000001</v>
      </c>
      <c r="L23" s="91">
        <v>10</v>
      </c>
      <c r="M23" s="91">
        <f t="shared" si="0"/>
        <v>0</v>
      </c>
      <c r="N23" s="94" t="e">
        <f>M23/VLOOKUP(B23&amp;C23,base!$C$2:$E$27,3,0)</f>
        <v>#N/A</v>
      </c>
    </row>
    <row r="24" spans="1:14" s="91" customFormat="1" x14ac:dyDescent="0.25">
      <c r="A24" s="92">
        <v>44158</v>
      </c>
      <c r="B24" s="91" t="s">
        <v>115</v>
      </c>
      <c r="E24" s="91" t="s">
        <v>77</v>
      </c>
      <c r="F24" s="91" t="s">
        <v>13</v>
      </c>
      <c r="H24" s="90">
        <v>1</v>
      </c>
      <c r="I24" s="108">
        <v>1</v>
      </c>
      <c r="J24" s="75">
        <v>0.3483</v>
      </c>
      <c r="K24" s="91">
        <f>+'Base personal'!$H24*'Base personal'!$J24*'Base personal'!$L24</f>
        <v>3.4830000000000001</v>
      </c>
      <c r="L24" s="91">
        <v>10</v>
      </c>
      <c r="M24" s="91">
        <f t="shared" si="0"/>
        <v>0</v>
      </c>
      <c r="N24" s="94" t="e">
        <f>M24/VLOOKUP(B24&amp;C24,base!$C$2:$E$27,3,0)</f>
        <v>#N/A</v>
      </c>
    </row>
    <row r="25" spans="1:14" s="91" customFormat="1" x14ac:dyDescent="0.25">
      <c r="A25" s="92">
        <v>44158</v>
      </c>
      <c r="B25" s="91" t="s">
        <v>115</v>
      </c>
      <c r="E25" s="91" t="s">
        <v>169</v>
      </c>
      <c r="F25" s="91" t="s">
        <v>13</v>
      </c>
      <c r="H25" s="90">
        <v>1</v>
      </c>
      <c r="I25" s="108">
        <v>1</v>
      </c>
      <c r="J25" s="75">
        <v>0.3483</v>
      </c>
      <c r="K25" s="91">
        <f>+'Base personal'!$H25*'Base personal'!$J25*'Base personal'!$L25</f>
        <v>3.4830000000000001</v>
      </c>
      <c r="L25" s="91">
        <v>10</v>
      </c>
      <c r="M25" s="91">
        <f t="shared" si="0"/>
        <v>0</v>
      </c>
      <c r="N25" s="94" t="e">
        <f>M25/VLOOKUP(B25&amp;C25,base!$C$2:$E$27,3,0)</f>
        <v>#N/A</v>
      </c>
    </row>
    <row r="26" spans="1:14" s="91" customFormat="1" x14ac:dyDescent="0.25">
      <c r="A26" s="92">
        <v>44158</v>
      </c>
      <c r="B26" s="91" t="s">
        <v>115</v>
      </c>
      <c r="E26" s="91" t="s">
        <v>63</v>
      </c>
      <c r="F26" s="91" t="s">
        <v>13</v>
      </c>
      <c r="H26" s="90">
        <v>1</v>
      </c>
      <c r="I26" s="108">
        <v>1</v>
      </c>
      <c r="J26" s="75">
        <v>0.3483</v>
      </c>
      <c r="K26" s="91">
        <f>+'Base personal'!$H26*'Base personal'!$J26*'Base personal'!$L26</f>
        <v>3.4830000000000001</v>
      </c>
      <c r="L26" s="91">
        <v>10</v>
      </c>
      <c r="M26" s="91">
        <f t="shared" si="0"/>
        <v>0</v>
      </c>
      <c r="N26" s="94" t="e">
        <f>M26/VLOOKUP(B26&amp;C26,base!$C$2:$E$27,3,0)</f>
        <v>#N/A</v>
      </c>
    </row>
    <row r="27" spans="1:14" s="91" customFormat="1" x14ac:dyDescent="0.25">
      <c r="A27" s="92">
        <v>44158</v>
      </c>
      <c r="B27" s="91" t="s">
        <v>115</v>
      </c>
      <c r="E27" s="91" t="s">
        <v>168</v>
      </c>
      <c r="F27" s="91" t="s">
        <v>13</v>
      </c>
      <c r="H27" s="90">
        <v>1</v>
      </c>
      <c r="I27" s="108">
        <v>1</v>
      </c>
      <c r="J27" s="75">
        <v>0.3483</v>
      </c>
      <c r="K27" s="91">
        <f>+'Base personal'!$H27*'Base personal'!$J27*'Base personal'!$L27</f>
        <v>3.4830000000000001</v>
      </c>
      <c r="L27" s="91">
        <v>10</v>
      </c>
      <c r="M27" s="91">
        <f t="shared" si="0"/>
        <v>0</v>
      </c>
      <c r="N27" s="94" t="e">
        <f>M27/VLOOKUP(B27&amp;C27,base!$C$2:$E$27,3,0)</f>
        <v>#N/A</v>
      </c>
    </row>
    <row r="28" spans="1:14" s="91" customFormat="1" x14ac:dyDescent="0.25">
      <c r="A28" s="92">
        <v>44159</v>
      </c>
      <c r="B28" s="91" t="s">
        <v>112</v>
      </c>
      <c r="C28" s="91" t="s">
        <v>55</v>
      </c>
      <c r="D28" s="91">
        <v>756</v>
      </c>
      <c r="E28" s="91" t="s">
        <v>56</v>
      </c>
      <c r="F28" s="91" t="s">
        <v>13</v>
      </c>
      <c r="G28" s="91">
        <v>520.5</v>
      </c>
      <c r="H28" s="90">
        <f>+'Base personal'!$G28/'Base personal'!$L28</f>
        <v>52.05</v>
      </c>
      <c r="I28" s="108">
        <f>VLOOKUP(B28&amp;C28,base!$C$2:$E$27,3,0)</f>
        <v>55</v>
      </c>
      <c r="J28" s="108">
        <f>VLOOKUP(B28&amp;C28,base!$C$2:$F$27,4,0)</f>
        <v>9.295454545454546E-3</v>
      </c>
      <c r="K28" s="91">
        <f>+'Base personal'!$H28*'Base personal'!$J28*'Base personal'!$L28</f>
        <v>4.8382840909090907</v>
      </c>
      <c r="L28" s="91">
        <v>10</v>
      </c>
      <c r="M28" s="91">
        <f t="shared" si="0"/>
        <v>52.05</v>
      </c>
      <c r="N28" s="94">
        <f>M28/VLOOKUP(B28&amp;C28,base!$C$2:$E$27,3,0)</f>
        <v>0.9463636363636363</v>
      </c>
    </row>
    <row r="29" spans="1:14" s="91" customFormat="1" x14ac:dyDescent="0.25">
      <c r="A29" s="92">
        <v>44159</v>
      </c>
      <c r="B29" s="91" t="s">
        <v>112</v>
      </c>
      <c r="C29" s="91" t="s">
        <v>55</v>
      </c>
      <c r="D29" s="91">
        <v>756</v>
      </c>
      <c r="E29" s="91" t="s">
        <v>57</v>
      </c>
      <c r="F29" s="91" t="s">
        <v>13</v>
      </c>
      <c r="G29" s="91">
        <v>520.5</v>
      </c>
      <c r="H29" s="90">
        <f>+'Base personal'!$G29/'Base personal'!$L29</f>
        <v>52.05</v>
      </c>
      <c r="I29" s="108">
        <f>VLOOKUP(B29&amp;C29,base!$C$2:$E$27,3,0)</f>
        <v>55</v>
      </c>
      <c r="J29" s="108">
        <f>VLOOKUP(B29&amp;C29,base!$C$2:$F$27,4,0)</f>
        <v>9.295454545454546E-3</v>
      </c>
      <c r="K29" s="91">
        <f>+'Base personal'!$H29*'Base personal'!$J29*'Base personal'!$L29</f>
        <v>4.8382840909090907</v>
      </c>
      <c r="L29" s="91">
        <v>10</v>
      </c>
      <c r="M29" s="91">
        <f t="shared" si="0"/>
        <v>52.05</v>
      </c>
      <c r="N29" s="94">
        <f>M29/VLOOKUP(B29&amp;C29,base!$C$2:$E$27,3,0)</f>
        <v>0.9463636363636363</v>
      </c>
    </row>
    <row r="30" spans="1:14" s="91" customFormat="1" x14ac:dyDescent="0.25">
      <c r="A30" s="92">
        <v>44159</v>
      </c>
      <c r="B30" s="91" t="s">
        <v>112</v>
      </c>
      <c r="C30" s="91" t="s">
        <v>55</v>
      </c>
      <c r="D30" s="91">
        <v>756</v>
      </c>
      <c r="E30" s="91" t="s">
        <v>58</v>
      </c>
      <c r="F30" s="91" t="s">
        <v>13</v>
      </c>
      <c r="G30" s="91">
        <v>520</v>
      </c>
      <c r="H30" s="90">
        <f>+'Base personal'!$G30/'Base personal'!$L30</f>
        <v>57.777777777777779</v>
      </c>
      <c r="I30" s="108">
        <f>VLOOKUP(B30&amp;C30,base!$C$2:$E$27,3,0)</f>
        <v>55</v>
      </c>
      <c r="J30" s="108">
        <f>VLOOKUP(B30&amp;C30,base!$C$2:$F$27,4,0)</f>
        <v>9.295454545454546E-3</v>
      </c>
      <c r="K30" s="91">
        <f>+'Base personal'!$H30*'Base personal'!$J30*'Base personal'!$L30</f>
        <v>4.833636363636364</v>
      </c>
      <c r="L30" s="91">
        <v>9</v>
      </c>
      <c r="M30" s="91">
        <f t="shared" si="0"/>
        <v>57.777777777777779</v>
      </c>
      <c r="N30" s="94">
        <f>M30/VLOOKUP(B30&amp;C30,base!$C$2:$E$27,3,0)</f>
        <v>1.0505050505050506</v>
      </c>
    </row>
    <row r="31" spans="1:14" s="91" customFormat="1" x14ac:dyDescent="0.25">
      <c r="A31" s="92">
        <v>44159</v>
      </c>
      <c r="B31" s="91" t="s">
        <v>36</v>
      </c>
      <c r="C31" s="91" t="s">
        <v>234</v>
      </c>
      <c r="D31" s="91">
        <v>359</v>
      </c>
      <c r="E31" s="91" t="s">
        <v>69</v>
      </c>
      <c r="F31" s="91" t="s">
        <v>13</v>
      </c>
      <c r="G31" s="91">
        <f>131+197+146+162+236+253+267+294</f>
        <v>1686</v>
      </c>
      <c r="H31" s="90">
        <f>+'Base personal'!$G31/'Base personal'!$L31</f>
        <v>168.6</v>
      </c>
      <c r="I31" s="108">
        <f>VLOOKUP(B31&amp;C31,base!$C$2:$E$27,3,0)</f>
        <v>300</v>
      </c>
      <c r="J31" s="108">
        <f>VLOOKUP(B31&amp;C31,base!$C$2:$F$27,4,0)</f>
        <v>1.7041666666666668E-3</v>
      </c>
      <c r="K31" s="91">
        <f>+'Base personal'!$H31*'Base personal'!$J31*'Base personal'!$L31</f>
        <v>2.8732249999999997</v>
      </c>
      <c r="L31" s="91">
        <v>10</v>
      </c>
      <c r="M31" s="91">
        <f t="shared" si="0"/>
        <v>168.6</v>
      </c>
      <c r="N31" s="94">
        <f>M31/VLOOKUP(B31&amp;C31,base!$C$2:$E$27,3,0)</f>
        <v>0.56199999999999994</v>
      </c>
    </row>
    <row r="32" spans="1:14" s="91" customFormat="1" x14ac:dyDescent="0.25">
      <c r="A32" s="92">
        <v>44159</v>
      </c>
      <c r="B32" s="91" t="s">
        <v>111</v>
      </c>
      <c r="C32" s="24" t="s">
        <v>62</v>
      </c>
      <c r="D32" s="91">
        <v>757</v>
      </c>
      <c r="E32" s="91" t="s">
        <v>12</v>
      </c>
      <c r="F32" s="91" t="s">
        <v>13</v>
      </c>
      <c r="G32" s="91">
        <f>90+80+92+61+64+79+81+60+58+57+26+22+24+11+17</f>
        <v>822</v>
      </c>
      <c r="H32" s="90">
        <f>+'Base personal'!$G32/'Base personal'!$L32</f>
        <v>82.2</v>
      </c>
      <c r="I32" s="108">
        <f>VLOOKUP(B32&amp;C32,base!$C$2:$E$27,3,0)</f>
        <v>92</v>
      </c>
      <c r="J32" s="108">
        <f>VLOOKUP(B32&amp;C32,base!$C$2:$F$27,4,0)</f>
        <v>5.5570652173913045E-3</v>
      </c>
      <c r="K32" s="91">
        <f>+'Base personal'!$H32*'Base personal'!$J32*'Base personal'!$L32</f>
        <v>4.5679076086956529</v>
      </c>
      <c r="L32" s="91">
        <v>10</v>
      </c>
      <c r="M32" s="91">
        <f t="shared" si="0"/>
        <v>82.2</v>
      </c>
      <c r="N32" s="94">
        <f>M32/VLOOKUP(B32&amp;C32,base!$C$2:$E$27,3,0)</f>
        <v>0.89347826086956528</v>
      </c>
    </row>
    <row r="33" spans="1:14" s="91" customFormat="1" x14ac:dyDescent="0.25">
      <c r="A33" s="92">
        <v>44159</v>
      </c>
      <c r="B33" s="91" t="s">
        <v>112</v>
      </c>
      <c r="C33" s="91" t="s">
        <v>55</v>
      </c>
      <c r="D33" s="91">
        <v>758</v>
      </c>
      <c r="E33" s="91" t="s">
        <v>263</v>
      </c>
      <c r="F33" s="91" t="s">
        <v>13</v>
      </c>
      <c r="G33" s="20">
        <v>494.65</v>
      </c>
      <c r="H33" s="90">
        <f>+'Base personal'!$G33/'Base personal'!$L33</f>
        <v>49.464999999999996</v>
      </c>
      <c r="I33" s="108">
        <f>VLOOKUP(B33&amp;C33,base!$C$2:$E$27,3,0)</f>
        <v>55</v>
      </c>
      <c r="J33" s="108">
        <f>VLOOKUP(B33&amp;C33,base!$C$2:$F$27,4,0)</f>
        <v>9.295454545454546E-3</v>
      </c>
      <c r="K33" s="91">
        <f>+'Base personal'!$H33*'Base personal'!$J33*'Base personal'!$L33</f>
        <v>4.5979965909090907</v>
      </c>
      <c r="L33" s="91">
        <v>10</v>
      </c>
      <c r="M33" s="91">
        <f t="shared" si="0"/>
        <v>49.464999999999996</v>
      </c>
      <c r="N33" s="94">
        <f>M33/VLOOKUP(B33&amp;C33,base!$C$2:$E$27,3,0)</f>
        <v>0.89936363636363625</v>
      </c>
    </row>
    <row r="34" spans="1:14" s="91" customFormat="1" x14ac:dyDescent="0.25">
      <c r="A34" s="92">
        <v>44159</v>
      </c>
      <c r="B34" s="91" t="s">
        <v>112</v>
      </c>
      <c r="C34" s="91" t="s">
        <v>55</v>
      </c>
      <c r="D34" s="91">
        <v>458</v>
      </c>
      <c r="E34" s="91" t="s">
        <v>63</v>
      </c>
      <c r="F34" s="91" t="s">
        <v>13</v>
      </c>
      <c r="G34" s="20">
        <v>266.35000000000002</v>
      </c>
      <c r="H34" s="90">
        <f>+'Base personal'!$G34/'Base personal'!$L34</f>
        <v>38.050000000000004</v>
      </c>
      <c r="I34" s="108">
        <f>VLOOKUP(B34&amp;C34,base!$C$2:$E$27,3,0)</f>
        <v>55</v>
      </c>
      <c r="J34" s="108">
        <f>VLOOKUP(B34&amp;C34,base!$C$2:$F$27,4,0)</f>
        <v>9.295454545454546E-3</v>
      </c>
      <c r="K34" s="91">
        <f>+'Base personal'!$H34*'Base personal'!$J34*'Base personal'!$L34</f>
        <v>2.4758443181818186</v>
      </c>
      <c r="L34" s="91">
        <v>7</v>
      </c>
      <c r="M34" s="91">
        <f t="shared" si="0"/>
        <v>38.050000000000004</v>
      </c>
      <c r="N34" s="94">
        <f>M34/VLOOKUP(B34&amp;C34,base!$C$2:$E$27,3,0)</f>
        <v>0.69181818181818189</v>
      </c>
    </row>
    <row r="35" spans="1:14" s="91" customFormat="1" x14ac:dyDescent="0.25">
      <c r="A35" s="92">
        <v>44159</v>
      </c>
      <c r="B35" s="91" t="s">
        <v>113</v>
      </c>
      <c r="C35" s="91" t="s">
        <v>71</v>
      </c>
      <c r="D35" s="91">
        <v>117</v>
      </c>
      <c r="E35" s="91" t="s">
        <v>44</v>
      </c>
      <c r="F35" s="91" t="s">
        <v>13</v>
      </c>
      <c r="G35" s="20">
        <v>425.5</v>
      </c>
      <c r="H35" s="90">
        <f>+'Base personal'!$G35/'Base personal'!$L35</f>
        <v>42.55</v>
      </c>
      <c r="I35" s="108">
        <f>VLOOKUP(B35&amp;C35,base!$C$2:$E$27,3,0)</f>
        <v>45</v>
      </c>
      <c r="J35" s="108">
        <f>VLOOKUP(B35&amp;C35,base!$C$2:$F$27,4,0)</f>
        <v>1.1361111111111112E-2</v>
      </c>
      <c r="K35" s="91">
        <f>+'Base personal'!$H35*'Base personal'!$J35*'Base personal'!$L35</f>
        <v>4.8341527777777777</v>
      </c>
      <c r="L35" s="91">
        <v>10</v>
      </c>
      <c r="M35" s="91">
        <f t="shared" si="0"/>
        <v>42.55</v>
      </c>
      <c r="N35" s="94">
        <f>M35/VLOOKUP(B35&amp;C35,base!$C$2:$E$27,3,0)</f>
        <v>0.94555555555555548</v>
      </c>
    </row>
    <row r="36" spans="1:14" s="91" customFormat="1" x14ac:dyDescent="0.25">
      <c r="A36" s="92">
        <v>44159</v>
      </c>
      <c r="B36" s="91" t="s">
        <v>113</v>
      </c>
      <c r="C36" s="91" t="s">
        <v>71</v>
      </c>
      <c r="D36" s="91">
        <v>117</v>
      </c>
      <c r="E36" s="91" t="s">
        <v>43</v>
      </c>
      <c r="F36" s="91" t="s">
        <v>13</v>
      </c>
      <c r="G36" s="20">
        <v>426</v>
      </c>
      <c r="H36" s="90">
        <f>+'Base personal'!$G36/'Base personal'!$L36</f>
        <v>42.6</v>
      </c>
      <c r="I36" s="108">
        <f>VLOOKUP(B36&amp;C36,base!$C$2:$E$27,3,0)</f>
        <v>45</v>
      </c>
      <c r="J36" s="108">
        <f>VLOOKUP(B36&amp;C36,base!$C$2:$F$27,4,0)</f>
        <v>1.1361111111111112E-2</v>
      </c>
      <c r="K36" s="91">
        <f>+'Base personal'!$H36*'Base personal'!$J36*'Base personal'!$L36</f>
        <v>4.8398333333333339</v>
      </c>
      <c r="L36" s="91">
        <v>10</v>
      </c>
      <c r="M36" s="91">
        <f t="shared" si="0"/>
        <v>42.6</v>
      </c>
      <c r="N36" s="94">
        <f>M36/VLOOKUP(B36&amp;C36,base!$C$2:$E$27,3,0)</f>
        <v>0.94666666666666666</v>
      </c>
    </row>
    <row r="37" spans="1:14" s="91" customFormat="1" x14ac:dyDescent="0.25">
      <c r="A37" s="92">
        <v>44159</v>
      </c>
      <c r="B37" s="91" t="s">
        <v>113</v>
      </c>
      <c r="C37" s="91" t="s">
        <v>71</v>
      </c>
      <c r="D37" s="91">
        <v>119</v>
      </c>
      <c r="E37" s="91" t="s">
        <v>96</v>
      </c>
      <c r="F37" s="91" t="s">
        <v>13</v>
      </c>
      <c r="G37" s="91">
        <v>208</v>
      </c>
      <c r="H37" s="90">
        <f>+'Base personal'!$G37/'Base personal'!$L37</f>
        <v>20.8</v>
      </c>
      <c r="I37" s="108">
        <f>VLOOKUP(B37&amp;C37,base!$C$2:$E$27,3,0)</f>
        <v>45</v>
      </c>
      <c r="J37" s="108">
        <f>VLOOKUP(B37&amp;C37,base!$C$2:$F$27,4,0)</f>
        <v>1.1361111111111112E-2</v>
      </c>
      <c r="K37" s="91">
        <f>+'Base personal'!$H37*'Base personal'!$J37*'Base personal'!$L37</f>
        <v>2.3631111111111114</v>
      </c>
      <c r="L37" s="91">
        <v>10</v>
      </c>
      <c r="M37" s="91">
        <f t="shared" si="0"/>
        <v>20.8</v>
      </c>
      <c r="N37" s="94">
        <f>M37/VLOOKUP(B37&amp;C37,base!$C$2:$E$27,3,0)</f>
        <v>0.46222222222222226</v>
      </c>
    </row>
    <row r="38" spans="1:14" s="91" customFormat="1" x14ac:dyDescent="0.25">
      <c r="A38" s="92">
        <v>44159</v>
      </c>
      <c r="B38" s="91" t="s">
        <v>29</v>
      </c>
      <c r="C38" s="91" t="s">
        <v>193</v>
      </c>
      <c r="D38" s="91">
        <v>149</v>
      </c>
      <c r="E38" s="91" t="s">
        <v>72</v>
      </c>
      <c r="F38" s="91" t="s">
        <v>13</v>
      </c>
      <c r="G38" s="91">
        <v>541</v>
      </c>
      <c r="H38" s="90">
        <f>+'Base personal'!$G38/'Base personal'!$L38</f>
        <v>67.625</v>
      </c>
      <c r="I38" s="108">
        <f>VLOOKUP(B38&amp;C38,base!$C$2:$E$27,3,0)</f>
        <v>75</v>
      </c>
      <c r="J38" s="108">
        <f>VLOOKUP(B38&amp;C38,base!$C$2:$F$27,4,0)</f>
        <v>1.0225333333333333E-2</v>
      </c>
      <c r="K38" s="91">
        <f>+'Base personal'!$H38*'Base personal'!$J38*'Base personal'!$L38</f>
        <v>5.5319053333333335</v>
      </c>
      <c r="L38" s="91">
        <v>8</v>
      </c>
      <c r="M38" s="91">
        <f t="shared" si="0"/>
        <v>67.625</v>
      </c>
      <c r="N38" s="94">
        <f>M38/VLOOKUP(B38&amp;C38,base!$C$2:$E$27,3,0)</f>
        <v>0.90166666666666662</v>
      </c>
    </row>
    <row r="39" spans="1:14" s="91" customFormat="1" x14ac:dyDescent="0.25">
      <c r="A39" s="92">
        <v>44159</v>
      </c>
      <c r="B39" s="91" t="s">
        <v>115</v>
      </c>
      <c r="E39" s="91" t="s">
        <v>97</v>
      </c>
      <c r="F39" s="91" t="s">
        <v>13</v>
      </c>
      <c r="H39" s="90">
        <v>1</v>
      </c>
      <c r="I39" s="108">
        <v>1</v>
      </c>
      <c r="J39" s="75">
        <v>0.3483</v>
      </c>
      <c r="K39" s="91">
        <f>+'Base personal'!$H39*'Base personal'!$J39*'Base personal'!$L39</f>
        <v>3.4830000000000001</v>
      </c>
      <c r="L39" s="91">
        <v>10</v>
      </c>
      <c r="M39" s="91">
        <f t="shared" si="0"/>
        <v>0</v>
      </c>
      <c r="N39" s="94" t="e">
        <f>M39/VLOOKUP(B39&amp;C39,base!$C$2:$E$27,3,0)</f>
        <v>#N/A</v>
      </c>
    </row>
    <row r="40" spans="1:14" s="91" customFormat="1" x14ac:dyDescent="0.25">
      <c r="A40" s="92">
        <v>44159</v>
      </c>
      <c r="B40" s="91" t="s">
        <v>38</v>
      </c>
      <c r="E40" s="91" t="s">
        <v>102</v>
      </c>
      <c r="F40" s="91" t="s">
        <v>13</v>
      </c>
      <c r="H40" s="90">
        <v>1</v>
      </c>
      <c r="I40" s="108">
        <v>1</v>
      </c>
      <c r="J40" s="75">
        <v>0.3483</v>
      </c>
      <c r="K40" s="91">
        <f>+'Base personal'!$H40*'Base personal'!$J40*'Base personal'!$L40</f>
        <v>3.4830000000000001</v>
      </c>
      <c r="L40" s="91">
        <v>10</v>
      </c>
      <c r="M40" s="91">
        <f t="shared" si="0"/>
        <v>0</v>
      </c>
      <c r="N40" s="94" t="e">
        <f>M40/VLOOKUP(B40&amp;C40,base!$C$2:$E$27,3,0)</f>
        <v>#N/A</v>
      </c>
    </row>
    <row r="41" spans="1:14" s="91" customFormat="1" x14ac:dyDescent="0.25">
      <c r="A41" s="92">
        <v>44159</v>
      </c>
      <c r="B41" s="91" t="s">
        <v>41</v>
      </c>
      <c r="E41" s="91" t="s">
        <v>236</v>
      </c>
      <c r="F41" s="91" t="s">
        <v>13</v>
      </c>
      <c r="H41" s="90">
        <v>1</v>
      </c>
      <c r="I41" s="108">
        <v>1</v>
      </c>
      <c r="J41" s="75">
        <v>0.3483</v>
      </c>
      <c r="K41" s="91">
        <f>+'Base personal'!$H41*'Base personal'!$J41*'Base personal'!$L41</f>
        <v>3.4830000000000001</v>
      </c>
      <c r="L41" s="91">
        <v>10</v>
      </c>
      <c r="M41" s="91">
        <f t="shared" si="0"/>
        <v>0</v>
      </c>
      <c r="N41" s="94" t="e">
        <f>M41/VLOOKUP(B41&amp;C41,base!$C$2:$E$27,3,0)</f>
        <v>#N/A</v>
      </c>
    </row>
    <row r="42" spans="1:14" s="91" customFormat="1" x14ac:dyDescent="0.25">
      <c r="A42" s="92">
        <v>44159</v>
      </c>
      <c r="B42" s="91" t="s">
        <v>38</v>
      </c>
      <c r="E42" s="91" t="s">
        <v>194</v>
      </c>
      <c r="F42" s="91" t="s">
        <v>13</v>
      </c>
      <c r="H42" s="90">
        <v>1</v>
      </c>
      <c r="I42" s="108">
        <v>1</v>
      </c>
      <c r="J42" s="75">
        <v>0.3483</v>
      </c>
      <c r="K42" s="91">
        <f>+'Base personal'!$H42*'Base personal'!$J42*'Base personal'!$L42</f>
        <v>3.4830000000000001</v>
      </c>
      <c r="L42" s="91">
        <v>10</v>
      </c>
      <c r="M42" s="91">
        <f t="shared" si="0"/>
        <v>0</v>
      </c>
      <c r="N42" s="94" t="e">
        <f>M42/VLOOKUP(B42&amp;C42,base!$C$2:$E$27,3,0)</f>
        <v>#N/A</v>
      </c>
    </row>
    <row r="43" spans="1:14" s="91" customFormat="1" x14ac:dyDescent="0.25">
      <c r="A43" s="92">
        <v>44159</v>
      </c>
      <c r="B43" s="91" t="s">
        <v>40</v>
      </c>
      <c r="E43" s="91" t="s">
        <v>77</v>
      </c>
      <c r="F43" s="91" t="s">
        <v>13</v>
      </c>
      <c r="H43" s="90">
        <v>1</v>
      </c>
      <c r="I43" s="108">
        <v>1</v>
      </c>
      <c r="J43" s="75">
        <v>0.3483</v>
      </c>
      <c r="K43" s="91">
        <f>+'Base personal'!$H43*'Base personal'!$J43*'Base personal'!$L43</f>
        <v>3.4830000000000001</v>
      </c>
      <c r="L43" s="91">
        <v>10</v>
      </c>
      <c r="M43" s="91">
        <f t="shared" si="0"/>
        <v>0</v>
      </c>
      <c r="N43" s="94" t="e">
        <f>M43/VLOOKUP(B43&amp;C43,base!$C$2:$E$27,3,0)</f>
        <v>#N/A</v>
      </c>
    </row>
    <row r="44" spans="1:14" s="91" customFormat="1" x14ac:dyDescent="0.25">
      <c r="A44" s="92">
        <v>44159</v>
      </c>
      <c r="B44" s="91" t="s">
        <v>115</v>
      </c>
      <c r="E44" s="91" t="s">
        <v>169</v>
      </c>
      <c r="F44" s="91" t="s">
        <v>13</v>
      </c>
      <c r="H44" s="90">
        <v>1</v>
      </c>
      <c r="I44" s="108">
        <v>1</v>
      </c>
      <c r="J44" s="75">
        <v>0.3483</v>
      </c>
      <c r="K44" s="91">
        <f>+'Base personal'!$H44*'Base personal'!$J44*'Base personal'!$L44</f>
        <v>3.4830000000000001</v>
      </c>
      <c r="L44" s="91">
        <v>10</v>
      </c>
      <c r="M44" s="91">
        <f t="shared" si="0"/>
        <v>0</v>
      </c>
      <c r="N44" s="94" t="e">
        <f>M44/VLOOKUP(B44&amp;C44,base!$C$2:$E$27,3,0)</f>
        <v>#N/A</v>
      </c>
    </row>
    <row r="45" spans="1:14" s="91" customFormat="1" x14ac:dyDescent="0.25">
      <c r="A45" s="92">
        <v>44159</v>
      </c>
      <c r="B45" s="91" t="s">
        <v>41</v>
      </c>
      <c r="E45" s="91" t="s">
        <v>168</v>
      </c>
      <c r="F45" s="91" t="s">
        <v>13</v>
      </c>
      <c r="H45" s="90">
        <v>1</v>
      </c>
      <c r="I45" s="108">
        <v>1</v>
      </c>
      <c r="J45" s="75">
        <v>0.3483</v>
      </c>
      <c r="K45" s="91">
        <f>+'Base personal'!$H45*'Base personal'!$J45*'Base personal'!$L45</f>
        <v>3.4830000000000001</v>
      </c>
      <c r="L45" s="91">
        <v>10</v>
      </c>
      <c r="M45" s="91">
        <f t="shared" si="0"/>
        <v>0</v>
      </c>
      <c r="N45" s="94" t="e">
        <f>M45/VLOOKUP(B45&amp;C45,base!$C$2:$E$27,3,0)</f>
        <v>#N/A</v>
      </c>
    </row>
    <row r="46" spans="1:14" s="91" customFormat="1" x14ac:dyDescent="0.25">
      <c r="A46" s="92">
        <v>44159</v>
      </c>
      <c r="B46" s="91" t="s">
        <v>41</v>
      </c>
      <c r="E46" s="91" t="s">
        <v>75</v>
      </c>
      <c r="F46" s="91" t="s">
        <v>13</v>
      </c>
      <c r="H46" s="90">
        <v>1</v>
      </c>
      <c r="I46" s="108">
        <v>1</v>
      </c>
      <c r="J46" s="75">
        <v>0.3483</v>
      </c>
      <c r="K46" s="91">
        <f>+'Base personal'!$H46*'Base personal'!$J46*'Base personal'!$L46</f>
        <v>3.4830000000000001</v>
      </c>
      <c r="L46" s="91">
        <v>10</v>
      </c>
      <c r="M46" s="91">
        <f t="shared" si="0"/>
        <v>0</v>
      </c>
      <c r="N46" s="94" t="e">
        <f>M46/VLOOKUP(B46&amp;C46,base!$C$2:$E$27,3,0)</f>
        <v>#N/A</v>
      </c>
    </row>
    <row r="47" spans="1:14" s="91" customFormat="1" x14ac:dyDescent="0.25">
      <c r="A47" s="92">
        <v>44160</v>
      </c>
      <c r="B47" s="91" t="s">
        <v>113</v>
      </c>
      <c r="C47" s="91" t="s">
        <v>71</v>
      </c>
      <c r="D47" s="91">
        <v>120</v>
      </c>
      <c r="E47" s="91" t="s">
        <v>264</v>
      </c>
      <c r="F47" s="91" t="s">
        <v>13</v>
      </c>
      <c r="G47" s="91">
        <f>804/2</f>
        <v>402</v>
      </c>
      <c r="H47" s="90">
        <f>+'Base personal'!$G47/'Base personal'!$L47</f>
        <v>40.200000000000003</v>
      </c>
      <c r="I47" s="108">
        <f>VLOOKUP(B47&amp;C47,base!$C$2:$E$27,3,0)</f>
        <v>45</v>
      </c>
      <c r="J47" s="108">
        <f>VLOOKUP(B47&amp;C47,base!$C$2:$F$27,4,0)</f>
        <v>1.1361111111111112E-2</v>
      </c>
      <c r="K47" s="91">
        <f>+'Base personal'!$H47*'Base personal'!$J47*'Base personal'!$L47</f>
        <v>4.567166666666667</v>
      </c>
      <c r="L47" s="91">
        <v>10</v>
      </c>
      <c r="M47" s="91">
        <f t="shared" si="0"/>
        <v>40.200000000000003</v>
      </c>
      <c r="N47" s="94">
        <f>M47/VLOOKUP(B47&amp;C47,base!$C$2:$E$27,3,0)</f>
        <v>0.89333333333333342</v>
      </c>
    </row>
    <row r="48" spans="1:14" s="91" customFormat="1" x14ac:dyDescent="0.25">
      <c r="A48" s="92">
        <v>44160</v>
      </c>
      <c r="B48" s="91" t="s">
        <v>113</v>
      </c>
      <c r="C48" s="91" t="s">
        <v>71</v>
      </c>
      <c r="D48" s="91">
        <v>120</v>
      </c>
      <c r="E48" s="91" t="s">
        <v>44</v>
      </c>
      <c r="F48" s="91" t="s">
        <v>13</v>
      </c>
      <c r="G48" s="91">
        <f>804/2</f>
        <v>402</v>
      </c>
      <c r="H48" s="90">
        <f>+'Base personal'!$G48/'Base personal'!$L48</f>
        <v>40.200000000000003</v>
      </c>
      <c r="I48" s="108">
        <f>VLOOKUP(B48&amp;C48,base!$C$2:$E$27,3,0)</f>
        <v>45</v>
      </c>
      <c r="J48" s="108">
        <f>VLOOKUP(B48&amp;C48,base!$C$2:$F$27,4,0)</f>
        <v>1.1361111111111112E-2</v>
      </c>
      <c r="K48" s="91">
        <f>+'Base personal'!$H48*'Base personal'!$J48*'Base personal'!$L48</f>
        <v>4.567166666666667</v>
      </c>
      <c r="L48" s="91">
        <v>10</v>
      </c>
      <c r="M48" s="91">
        <f t="shared" si="0"/>
        <v>40.200000000000003</v>
      </c>
      <c r="N48" s="94">
        <f>M48/VLOOKUP(B48&amp;C48,base!$C$2:$E$27,3,0)</f>
        <v>0.89333333333333342</v>
      </c>
    </row>
    <row r="49" spans="1:14" s="91" customFormat="1" x14ac:dyDescent="0.25">
      <c r="A49" s="92">
        <v>44160</v>
      </c>
      <c r="B49" s="91" t="s">
        <v>113</v>
      </c>
      <c r="C49" s="91" t="s">
        <v>71</v>
      </c>
      <c r="D49" s="91">
        <v>120</v>
      </c>
      <c r="E49" s="91" t="s">
        <v>236</v>
      </c>
      <c r="F49" s="91" t="s">
        <v>13</v>
      </c>
      <c r="G49" s="91">
        <f>30.9*4</f>
        <v>123.6</v>
      </c>
      <c r="H49" s="90">
        <f>+'Base personal'!$G49/'Base personal'!$L49</f>
        <v>30.9</v>
      </c>
      <c r="I49" s="108">
        <f>VLOOKUP(B49&amp;C49,base!$C$2:$E$27,3,0)</f>
        <v>45</v>
      </c>
      <c r="J49" s="108">
        <f>VLOOKUP(B49&amp;C49,base!$C$2:$F$27,4,0)</f>
        <v>1.1361111111111112E-2</v>
      </c>
      <c r="K49" s="91">
        <f>+'Base personal'!$H49*'Base personal'!$J49*'Base personal'!$L49</f>
        <v>1.4042333333333334</v>
      </c>
      <c r="L49" s="91">
        <v>4</v>
      </c>
      <c r="M49" s="91">
        <f t="shared" si="0"/>
        <v>30.9</v>
      </c>
      <c r="N49" s="94">
        <f>M49/VLOOKUP(B49&amp;C49,base!$C$2:$E$27,3,0)</f>
        <v>0.68666666666666665</v>
      </c>
    </row>
    <row r="50" spans="1:14" s="91" customFormat="1" x14ac:dyDescent="0.25">
      <c r="A50" s="92">
        <v>44160</v>
      </c>
      <c r="B50" s="91" t="s">
        <v>41</v>
      </c>
      <c r="E50" s="91" t="s">
        <v>236</v>
      </c>
      <c r="F50" s="91" t="s">
        <v>13</v>
      </c>
      <c r="H50" s="90">
        <v>1</v>
      </c>
      <c r="I50" s="108">
        <v>1</v>
      </c>
      <c r="J50" s="75">
        <v>0.3483</v>
      </c>
      <c r="K50" s="91">
        <f>+'Base personal'!$H50*'Base personal'!$J50*'Base personal'!$L50</f>
        <v>2.0897999999999999</v>
      </c>
      <c r="L50" s="91">
        <v>6</v>
      </c>
      <c r="M50" s="91">
        <f t="shared" si="0"/>
        <v>0</v>
      </c>
      <c r="N50" s="94" t="e">
        <f>M50/VLOOKUP(B50&amp;C50,base!$C$2:$E$27,3,0)</f>
        <v>#N/A</v>
      </c>
    </row>
    <row r="51" spans="1:14" s="91" customFormat="1" x14ac:dyDescent="0.25">
      <c r="A51" s="92">
        <v>44160</v>
      </c>
      <c r="B51" s="91" t="s">
        <v>33</v>
      </c>
      <c r="C51" s="91" t="s">
        <v>45</v>
      </c>
      <c r="D51" s="91">
        <v>1217</v>
      </c>
      <c r="E51" s="91" t="s">
        <v>77</v>
      </c>
      <c r="F51" s="91" t="s">
        <v>13</v>
      </c>
      <c r="G51" s="91">
        <v>2599</v>
      </c>
      <c r="H51" s="90">
        <f>+'Base personal'!$G51/'Base personal'!$L51</f>
        <v>433.16666666666669</v>
      </c>
      <c r="I51" s="108">
        <f>VLOOKUP(B51&amp;C51,base!$C$2:$E$27,3,0)</f>
        <v>700</v>
      </c>
      <c r="J51" s="108">
        <f>VLOOKUP(B51&amp;C51,base!$C$2:$F$27,4,0)</f>
        <v>1.0955714285714286E-3</v>
      </c>
      <c r="K51" s="91">
        <f>+'Base personal'!$H51*'Base personal'!$J51*'Base personal'!$L51</f>
        <v>2.8473901428571433</v>
      </c>
      <c r="L51" s="91">
        <v>6</v>
      </c>
      <c r="M51" s="91">
        <f t="shared" si="0"/>
        <v>433.16666666666669</v>
      </c>
      <c r="N51" s="94">
        <f>M51/VLOOKUP(B51&amp;C51,base!$C$2:$E$27,3,0)</f>
        <v>0.61880952380952381</v>
      </c>
    </row>
    <row r="52" spans="1:14" s="91" customFormat="1" x14ac:dyDescent="0.25">
      <c r="A52" s="92">
        <v>44160</v>
      </c>
      <c r="B52" s="91" t="s">
        <v>33</v>
      </c>
      <c r="C52" s="91" t="s">
        <v>45</v>
      </c>
      <c r="D52" s="22" t="s">
        <v>265</v>
      </c>
      <c r="E52" s="91" t="s">
        <v>75</v>
      </c>
      <c r="F52" s="91" t="s">
        <v>170</v>
      </c>
      <c r="G52" s="91">
        <f>868+740+857+860+873+870+893</f>
        <v>5961</v>
      </c>
      <c r="H52" s="90">
        <f>+'Base personal'!$G52/'Base personal'!$L52</f>
        <v>541.90909090909088</v>
      </c>
      <c r="I52" s="108">
        <f>VLOOKUP(B52&amp;C52,base!$C$2:$E$27,3,0)</f>
        <v>700</v>
      </c>
      <c r="J52" s="108">
        <f>VLOOKUP(B52&amp;C52,base!$C$2:$F$27,4,0)</f>
        <v>1.0955714285714286E-3</v>
      </c>
      <c r="K52" s="91">
        <f>+'Base personal'!$H52*'Base personal'!$J52*'Base personal'!$L52</f>
        <v>6.5307012857142857</v>
      </c>
      <c r="L52" s="91">
        <v>11</v>
      </c>
      <c r="M52" s="91">
        <f t="shared" si="0"/>
        <v>541.90909090909088</v>
      </c>
      <c r="N52" s="94">
        <f>M52/VLOOKUP(B52&amp;C52,base!$C$2:$E$27,3,0)</f>
        <v>0.77415584415584415</v>
      </c>
    </row>
    <row r="53" spans="1:14" s="91" customFormat="1" x14ac:dyDescent="0.25">
      <c r="A53" s="92">
        <v>44160</v>
      </c>
      <c r="B53" s="91" t="s">
        <v>115</v>
      </c>
      <c r="E53" s="91" t="s">
        <v>43</v>
      </c>
      <c r="F53" s="91" t="s">
        <v>13</v>
      </c>
      <c r="H53" s="90">
        <v>1</v>
      </c>
      <c r="I53" s="108">
        <v>1</v>
      </c>
      <c r="J53" s="75">
        <v>0.3483</v>
      </c>
      <c r="K53" s="91">
        <f>+'Base personal'!$H53*'Base personal'!$J53*'Base personal'!$L53</f>
        <v>1.7415</v>
      </c>
      <c r="L53" s="91">
        <v>5</v>
      </c>
      <c r="M53" s="91">
        <f t="shared" si="0"/>
        <v>0</v>
      </c>
      <c r="N53" s="94" t="e">
        <f>M53/VLOOKUP(B53&amp;C53,base!$C$2:$E$27,3,0)</f>
        <v>#N/A</v>
      </c>
    </row>
    <row r="54" spans="1:14" s="91" customFormat="1" x14ac:dyDescent="0.25">
      <c r="A54" s="92">
        <v>44160</v>
      </c>
      <c r="B54" s="91" t="s">
        <v>34</v>
      </c>
      <c r="C54" s="91" t="s">
        <v>45</v>
      </c>
      <c r="D54" s="91">
        <v>892</v>
      </c>
      <c r="E54" s="91" t="s">
        <v>43</v>
      </c>
      <c r="F54" s="91" t="s">
        <v>13</v>
      </c>
      <c r="G54" s="91">
        <v>2750</v>
      </c>
      <c r="H54" s="90">
        <f>+'Base personal'!$G54/'Base personal'!$L54</f>
        <v>550</v>
      </c>
      <c r="I54" s="108">
        <f>VLOOKUP(B54&amp;C54,base!$C$2:$E$27,3,0)</f>
        <v>700</v>
      </c>
      <c r="J54" s="108">
        <f>VLOOKUP(B54&amp;C54,base!$C$2:$F$27,4,0)</f>
        <v>1.0955714285714286E-3</v>
      </c>
      <c r="K54" s="91">
        <f>+'Base personal'!$H54*'Base personal'!$J54*'Base personal'!$L54</f>
        <v>3.0128214285714288</v>
      </c>
      <c r="L54" s="91">
        <v>5</v>
      </c>
      <c r="M54" s="91">
        <f t="shared" si="0"/>
        <v>550</v>
      </c>
      <c r="N54" s="94">
        <f>M54/VLOOKUP(B54&amp;C54,base!$C$2:$E$27,3,0)</f>
        <v>0.7857142857142857</v>
      </c>
    </row>
    <row r="55" spans="1:14" s="91" customFormat="1" x14ac:dyDescent="0.25">
      <c r="A55" s="92">
        <v>44160</v>
      </c>
      <c r="B55" s="91" t="s">
        <v>34</v>
      </c>
      <c r="C55" s="91" t="s">
        <v>45</v>
      </c>
      <c r="D55" s="91" t="s">
        <v>266</v>
      </c>
      <c r="E55" s="91" t="s">
        <v>194</v>
      </c>
      <c r="F55" s="91" t="s">
        <v>170</v>
      </c>
      <c r="G55" s="91">
        <f>375+6150</f>
        <v>6525</v>
      </c>
      <c r="H55" s="90">
        <f>+'Base personal'!$G55/'Base personal'!$L55</f>
        <v>593.18181818181813</v>
      </c>
      <c r="I55" s="108">
        <f>VLOOKUP(B55&amp;C55,base!$C$2:$E$27,3,0)</f>
        <v>700</v>
      </c>
      <c r="J55" s="108">
        <f>VLOOKUP(B55&amp;C55,base!$C$2:$F$27,4,0)</f>
        <v>1.0955714285714286E-3</v>
      </c>
      <c r="K55" s="91">
        <f>+'Base personal'!$H55*'Base personal'!$J55*'Base personal'!$L55</f>
        <v>7.1486035714285707</v>
      </c>
      <c r="L55" s="91">
        <v>11</v>
      </c>
      <c r="M55" s="91">
        <f t="shared" si="0"/>
        <v>593.18181818181813</v>
      </c>
      <c r="N55" s="94">
        <f>M55/VLOOKUP(B55&amp;C55,base!$C$2:$E$27,3,0)</f>
        <v>0.84740259740259738</v>
      </c>
    </row>
    <row r="56" spans="1:14" s="91" customFormat="1" x14ac:dyDescent="0.25">
      <c r="A56" s="92">
        <v>44160</v>
      </c>
      <c r="B56" s="91" t="s">
        <v>36</v>
      </c>
      <c r="C56" s="91" t="s">
        <v>234</v>
      </c>
      <c r="D56" s="91">
        <v>360</v>
      </c>
      <c r="E56" s="91" t="s">
        <v>69</v>
      </c>
      <c r="F56" s="91" t="s">
        <v>13</v>
      </c>
      <c r="G56" s="91">
        <v>2073</v>
      </c>
      <c r="H56" s="90">
        <f>+'Base personal'!$G56/'Base personal'!$L56</f>
        <v>207.3</v>
      </c>
      <c r="I56" s="108">
        <f>VLOOKUP(B56&amp;C56,base!$C$2:$E$27,3,0)</f>
        <v>300</v>
      </c>
      <c r="J56" s="108">
        <f>VLOOKUP(B56&amp;C56,base!$C$2:$F$27,4,0)</f>
        <v>1.7041666666666668E-3</v>
      </c>
      <c r="K56" s="91">
        <f>+'Base personal'!$H56*'Base personal'!$J56*'Base personal'!$L56</f>
        <v>3.5327375000000005</v>
      </c>
      <c r="L56" s="91">
        <v>10</v>
      </c>
      <c r="M56" s="91">
        <f t="shared" si="0"/>
        <v>207.3</v>
      </c>
      <c r="N56" s="94">
        <f>M56/VLOOKUP(B56&amp;C56,base!$C$2:$E$27,3,0)</f>
        <v>0.69100000000000006</v>
      </c>
    </row>
    <row r="57" spans="1:14" s="91" customFormat="1" x14ac:dyDescent="0.25">
      <c r="A57" s="92">
        <v>44160</v>
      </c>
      <c r="B57" s="91" t="s">
        <v>115</v>
      </c>
      <c r="E57" s="91" t="s">
        <v>97</v>
      </c>
      <c r="F57" s="91" t="s">
        <v>13</v>
      </c>
      <c r="H57" s="90">
        <v>1</v>
      </c>
      <c r="I57" s="108">
        <v>1</v>
      </c>
      <c r="J57" s="75">
        <v>0.3483</v>
      </c>
      <c r="K57" s="91">
        <f>+'Base personal'!$H57*'Base personal'!$J57*'Base personal'!$L57</f>
        <v>3.4830000000000001</v>
      </c>
      <c r="L57" s="91">
        <v>10</v>
      </c>
      <c r="M57" s="91">
        <f t="shared" si="0"/>
        <v>0</v>
      </c>
      <c r="N57" s="94" t="e">
        <f>M57/VLOOKUP(B57&amp;C57,base!$C$2:$E$27,3,0)</f>
        <v>#N/A</v>
      </c>
    </row>
    <row r="58" spans="1:14" s="91" customFormat="1" x14ac:dyDescent="0.25">
      <c r="A58" s="92">
        <v>44160</v>
      </c>
      <c r="B58" s="91" t="s">
        <v>38</v>
      </c>
      <c r="E58" s="91" t="s">
        <v>56</v>
      </c>
      <c r="F58" s="91" t="s">
        <v>13</v>
      </c>
      <c r="H58" s="90">
        <v>1</v>
      </c>
      <c r="I58" s="108">
        <v>1</v>
      </c>
      <c r="J58" s="75">
        <v>0.3483</v>
      </c>
      <c r="K58" s="91">
        <f>+'Base personal'!$H58*'Base personal'!$J58*'Base personal'!$L58</f>
        <v>3.4830000000000001</v>
      </c>
      <c r="L58" s="91">
        <v>10</v>
      </c>
      <c r="M58" s="91">
        <f t="shared" si="0"/>
        <v>0</v>
      </c>
      <c r="N58" s="94" t="e">
        <f>M58/VLOOKUP(B58&amp;C58,base!$C$2:$E$27,3,0)</f>
        <v>#N/A</v>
      </c>
    </row>
    <row r="59" spans="1:14" s="91" customFormat="1" x14ac:dyDescent="0.25">
      <c r="A59" s="92">
        <v>44160</v>
      </c>
      <c r="B59" s="91" t="s">
        <v>38</v>
      </c>
      <c r="E59" s="91" t="s">
        <v>58</v>
      </c>
      <c r="F59" s="91" t="s">
        <v>13</v>
      </c>
      <c r="H59" s="90">
        <v>1</v>
      </c>
      <c r="I59" s="108">
        <v>1</v>
      </c>
      <c r="J59" s="75">
        <v>0.3483</v>
      </c>
      <c r="K59" s="91">
        <f>+'Base personal'!$H59*'Base personal'!$J59*'Base personal'!$L59</f>
        <v>3.4830000000000001</v>
      </c>
      <c r="L59" s="91">
        <v>10</v>
      </c>
      <c r="M59" s="91">
        <f t="shared" si="0"/>
        <v>0</v>
      </c>
      <c r="N59" s="94" t="e">
        <f>M59/VLOOKUP(B59&amp;C59,base!$C$2:$E$27,3,0)</f>
        <v>#N/A</v>
      </c>
    </row>
    <row r="60" spans="1:14" s="91" customFormat="1" x14ac:dyDescent="0.25">
      <c r="A60" s="92">
        <v>44160</v>
      </c>
      <c r="B60" s="91" t="s">
        <v>38</v>
      </c>
      <c r="E60" s="91" t="s">
        <v>57</v>
      </c>
      <c r="F60" s="91" t="s">
        <v>13</v>
      </c>
      <c r="H60" s="90">
        <v>1</v>
      </c>
      <c r="I60" s="108">
        <v>1</v>
      </c>
      <c r="J60" s="75">
        <v>0.3483</v>
      </c>
      <c r="K60" s="91">
        <f>+'Base personal'!$H60*'Base personal'!$J60*'Base personal'!$L60</f>
        <v>3.4830000000000001</v>
      </c>
      <c r="L60" s="91">
        <v>10</v>
      </c>
      <c r="M60" s="91">
        <f t="shared" si="0"/>
        <v>0</v>
      </c>
      <c r="N60" s="94" t="e">
        <f>M60/VLOOKUP(B60&amp;C60,base!$C$2:$E$27,3,0)</f>
        <v>#N/A</v>
      </c>
    </row>
    <row r="61" spans="1:14" s="91" customFormat="1" x14ac:dyDescent="0.25">
      <c r="A61" s="92">
        <v>44160</v>
      </c>
      <c r="B61" s="91" t="s">
        <v>41</v>
      </c>
      <c r="E61" s="91" t="s">
        <v>63</v>
      </c>
      <c r="F61" s="91" t="s">
        <v>13</v>
      </c>
      <c r="H61" s="90">
        <v>1</v>
      </c>
      <c r="I61" s="108">
        <v>1</v>
      </c>
      <c r="J61" s="75">
        <v>0.3483</v>
      </c>
      <c r="K61" s="91">
        <f>+'Base personal'!$H61*'Base personal'!$J61*'Base personal'!$L61</f>
        <v>3.4830000000000001</v>
      </c>
      <c r="L61" s="91">
        <v>10</v>
      </c>
      <c r="M61" s="91">
        <f t="shared" si="0"/>
        <v>0</v>
      </c>
      <c r="N61" s="94" t="e">
        <f>M61/VLOOKUP(B61&amp;C61,base!$C$2:$E$27,3,0)</f>
        <v>#N/A</v>
      </c>
    </row>
    <row r="62" spans="1:14" s="91" customFormat="1" x14ac:dyDescent="0.25">
      <c r="A62" s="92">
        <v>44160</v>
      </c>
      <c r="B62" s="91" t="s">
        <v>38</v>
      </c>
      <c r="E62" s="91" t="s">
        <v>12</v>
      </c>
      <c r="F62" s="91" t="s">
        <v>13</v>
      </c>
      <c r="H62" s="90">
        <v>1</v>
      </c>
      <c r="I62" s="108">
        <v>1</v>
      </c>
      <c r="J62" s="75">
        <v>0.3483</v>
      </c>
      <c r="K62" s="91">
        <f>+'Base personal'!$H62*'Base personal'!$J62*'Base personal'!$L62</f>
        <v>3.4830000000000001</v>
      </c>
      <c r="L62" s="91">
        <v>10</v>
      </c>
      <c r="M62" s="91">
        <f t="shared" si="0"/>
        <v>0</v>
      </c>
      <c r="N62" s="94" t="e">
        <f>M62/VLOOKUP(B62&amp;C62,base!$C$2:$E$27,3,0)</f>
        <v>#N/A</v>
      </c>
    </row>
    <row r="63" spans="1:14" s="91" customFormat="1" x14ac:dyDescent="0.25">
      <c r="A63" s="92">
        <v>44160</v>
      </c>
      <c r="B63" s="91" t="s">
        <v>38</v>
      </c>
      <c r="E63" s="91" t="s">
        <v>64</v>
      </c>
      <c r="F63" s="91" t="s">
        <v>205</v>
      </c>
      <c r="H63" s="90">
        <v>1</v>
      </c>
      <c r="I63" s="108">
        <v>1</v>
      </c>
      <c r="J63" s="75">
        <v>0.3483</v>
      </c>
      <c r="K63" s="91">
        <f>+'Base personal'!$H63*'Base personal'!$J63*'Base personal'!$L63</f>
        <v>3.4830000000000001</v>
      </c>
      <c r="L63" s="91">
        <v>10</v>
      </c>
      <c r="M63" s="91">
        <f t="shared" si="0"/>
        <v>0</v>
      </c>
      <c r="N63" s="94" t="e">
        <f>M63/VLOOKUP(B63&amp;C63,base!$C$2:$E$27,3,0)</f>
        <v>#N/A</v>
      </c>
    </row>
    <row r="64" spans="1:14" s="91" customFormat="1" x14ac:dyDescent="0.25">
      <c r="A64" s="92">
        <v>44160</v>
      </c>
      <c r="B64" s="91" t="s">
        <v>40</v>
      </c>
      <c r="E64" s="91" t="s">
        <v>169</v>
      </c>
      <c r="F64" s="91" t="s">
        <v>205</v>
      </c>
      <c r="H64" s="90">
        <v>1</v>
      </c>
      <c r="I64" s="108">
        <v>1</v>
      </c>
      <c r="J64" s="75">
        <v>0.3483</v>
      </c>
      <c r="K64" s="91">
        <f>+'Base personal'!$H64*'Base personal'!$J64*'Base personal'!$L64</f>
        <v>3.4830000000000001</v>
      </c>
      <c r="L64" s="91">
        <v>10</v>
      </c>
      <c r="M64" s="91">
        <f t="shared" si="0"/>
        <v>0</v>
      </c>
      <c r="N64" s="94" t="e">
        <f>M64/VLOOKUP(B64&amp;C64,base!$C$2:$E$27,3,0)</f>
        <v>#N/A</v>
      </c>
    </row>
    <row r="65" spans="1:14" s="91" customFormat="1" x14ac:dyDescent="0.25">
      <c r="A65" s="92">
        <v>44160</v>
      </c>
      <c r="B65" s="91" t="s">
        <v>41</v>
      </c>
      <c r="E65" s="91" t="s">
        <v>267</v>
      </c>
      <c r="F65" s="91" t="s">
        <v>205</v>
      </c>
      <c r="H65" s="90">
        <v>1</v>
      </c>
      <c r="I65" s="108">
        <v>1</v>
      </c>
      <c r="J65" s="75">
        <v>0.3483</v>
      </c>
      <c r="K65" s="91">
        <f>+'Base personal'!$H65*'Base personal'!$J65*'Base personal'!$L65</f>
        <v>3.4830000000000001</v>
      </c>
      <c r="L65" s="91">
        <v>10</v>
      </c>
      <c r="M65" s="91">
        <f t="shared" si="0"/>
        <v>0</v>
      </c>
      <c r="N65" s="94" t="e">
        <f>M65/VLOOKUP(B65&amp;C65,base!$C$2:$E$27,3,0)</f>
        <v>#N/A</v>
      </c>
    </row>
    <row r="66" spans="1:14" s="91" customFormat="1" x14ac:dyDescent="0.25">
      <c r="A66" s="92">
        <v>44160</v>
      </c>
      <c r="B66" s="91" t="s">
        <v>115</v>
      </c>
      <c r="E66" s="91" t="s">
        <v>72</v>
      </c>
      <c r="F66" s="91" t="s">
        <v>170</v>
      </c>
      <c r="H66" s="90">
        <v>1</v>
      </c>
      <c r="I66" s="108">
        <v>1</v>
      </c>
      <c r="J66" s="75">
        <v>0.3483</v>
      </c>
      <c r="K66" s="91">
        <f>+'Base personal'!$H66*'Base personal'!$J66*'Base personal'!$L66</f>
        <v>3.8313000000000001</v>
      </c>
      <c r="L66" s="91">
        <v>11</v>
      </c>
      <c r="M66" s="91">
        <f t="shared" si="0"/>
        <v>0</v>
      </c>
      <c r="N66" s="94" t="e">
        <f>M66/VLOOKUP(B66&amp;C66,base!$C$2:$E$27,3,0)</f>
        <v>#N/A</v>
      </c>
    </row>
    <row r="67" spans="1:14" s="91" customFormat="1" x14ac:dyDescent="0.25">
      <c r="A67" s="92">
        <v>44161</v>
      </c>
      <c r="B67" s="91" t="s">
        <v>111</v>
      </c>
      <c r="C67" s="24" t="s">
        <v>62</v>
      </c>
      <c r="D67" s="91">
        <v>759</v>
      </c>
      <c r="E67" s="91" t="s">
        <v>12</v>
      </c>
      <c r="F67" s="91" t="s">
        <v>205</v>
      </c>
      <c r="G67" s="91">
        <f>71+70+63+29+62+53+60+76+65+77+75+72+64+22+14+29</f>
        <v>902</v>
      </c>
      <c r="H67" s="90">
        <f>+'Base personal'!$G67/'Base personal'!$L67</f>
        <v>90.2</v>
      </c>
      <c r="I67" s="108">
        <f>VLOOKUP(B67&amp;C67,base!$C$2:$E$27,3,0)</f>
        <v>92</v>
      </c>
      <c r="J67" s="108">
        <f>VLOOKUP(B67&amp;C67,base!$C$2:$F$27,4,0)</f>
        <v>5.5570652173913045E-3</v>
      </c>
      <c r="K67" s="91">
        <f>+'Base personal'!$H67*'Base personal'!$J67*'Base personal'!$L67</f>
        <v>5.0124728260869569</v>
      </c>
      <c r="L67" s="91">
        <v>10</v>
      </c>
      <c r="M67" s="91">
        <f t="shared" si="0"/>
        <v>90.2</v>
      </c>
      <c r="N67" s="94">
        <f>M67/VLOOKUP(B67&amp;C67,base!$C$2:$E$27,3,0)</f>
        <v>0.98043478260869565</v>
      </c>
    </row>
    <row r="68" spans="1:14" s="91" customFormat="1" x14ac:dyDescent="0.25">
      <c r="A68" s="92">
        <v>44161</v>
      </c>
      <c r="B68" s="91" t="s">
        <v>33</v>
      </c>
      <c r="C68" s="91" t="s">
        <v>45</v>
      </c>
      <c r="D68" s="91" t="s">
        <v>268</v>
      </c>
      <c r="E68" s="91" t="s">
        <v>44</v>
      </c>
      <c r="F68" s="91" t="s">
        <v>13</v>
      </c>
      <c r="G68" s="91">
        <f>2561+930</f>
        <v>3491</v>
      </c>
      <c r="H68" s="90">
        <f>+'Base personal'!$G68/'Base personal'!$L68</f>
        <v>436.375</v>
      </c>
      <c r="I68" s="108">
        <f>VLOOKUP(B68&amp;C68,base!$C$2:$E$27,3,0)</f>
        <v>700</v>
      </c>
      <c r="J68" s="108">
        <f>VLOOKUP(B68&amp;C68,base!$C$2:$F$27,4,0)</f>
        <v>1.0955714285714286E-3</v>
      </c>
      <c r="K68" s="91">
        <f>+'Base personal'!$H68*'Base personal'!$J68*'Base personal'!$L68</f>
        <v>3.8246398571428575</v>
      </c>
      <c r="L68" s="91">
        <v>8</v>
      </c>
      <c r="M68" s="91">
        <f t="shared" si="0"/>
        <v>436.375</v>
      </c>
      <c r="N68" s="94">
        <f>M68/VLOOKUP(B68&amp;C68,base!$C$2:$E$27,3,0)</f>
        <v>0.62339285714285719</v>
      </c>
    </row>
    <row r="69" spans="1:14" s="91" customFormat="1" x14ac:dyDescent="0.25">
      <c r="A69" s="92">
        <v>44161</v>
      </c>
      <c r="B69" s="91" t="s">
        <v>33</v>
      </c>
      <c r="C69" s="91" t="s">
        <v>45</v>
      </c>
      <c r="D69" s="91" t="s">
        <v>269</v>
      </c>
      <c r="E69" s="91" t="s">
        <v>75</v>
      </c>
      <c r="F69" s="91" t="s">
        <v>170</v>
      </c>
      <c r="G69" s="91">
        <f>856+2143</f>
        <v>2999</v>
      </c>
      <c r="H69" s="90">
        <f>+'Base personal'!$G69/'Base personal'!$L69</f>
        <v>599.79999999999995</v>
      </c>
      <c r="I69" s="108">
        <f>VLOOKUP(B69&amp;C69,base!$C$2:$E$27,3,0)</f>
        <v>700</v>
      </c>
      <c r="J69" s="108">
        <f>VLOOKUP(B69&amp;C69,base!$C$2:$F$27,4,0)</f>
        <v>1.0955714285714286E-3</v>
      </c>
      <c r="K69" s="91">
        <f>+'Base personal'!$H69*'Base personal'!$J69*'Base personal'!$L69</f>
        <v>3.2856187142857141</v>
      </c>
      <c r="L69" s="91">
        <v>5</v>
      </c>
      <c r="M69" s="91">
        <f t="shared" si="0"/>
        <v>599.79999999999995</v>
      </c>
      <c r="N69" s="94">
        <f>M69/VLOOKUP(B69&amp;C69,base!$C$2:$E$27,3,0)</f>
        <v>0.85685714285714276</v>
      </c>
    </row>
    <row r="70" spans="1:14" s="91" customFormat="1" x14ac:dyDescent="0.25">
      <c r="A70" s="92">
        <v>44161</v>
      </c>
      <c r="B70" s="91" t="s">
        <v>115</v>
      </c>
      <c r="E70" s="91" t="s">
        <v>72</v>
      </c>
      <c r="F70" s="91" t="s">
        <v>170</v>
      </c>
      <c r="H70" s="90">
        <v>1</v>
      </c>
      <c r="I70" s="108">
        <v>1</v>
      </c>
      <c r="J70" s="75">
        <v>0.3483</v>
      </c>
      <c r="K70" s="91">
        <f>+'Base personal'!$H70*'Base personal'!$J70*'Base personal'!$L70</f>
        <v>1.7415</v>
      </c>
      <c r="L70" s="91">
        <v>5</v>
      </c>
      <c r="M70" s="91">
        <f t="shared" si="0"/>
        <v>0</v>
      </c>
      <c r="N70" s="94" t="e">
        <f>M70/VLOOKUP(B70&amp;C70,base!$C$2:$E$27,3,0)</f>
        <v>#N/A</v>
      </c>
    </row>
    <row r="71" spans="1:14" s="91" customFormat="1" x14ac:dyDescent="0.25">
      <c r="A71" s="92">
        <v>44161</v>
      </c>
      <c r="B71" s="91" t="s">
        <v>34</v>
      </c>
      <c r="C71" s="91" t="s">
        <v>45</v>
      </c>
      <c r="D71" s="91">
        <v>896</v>
      </c>
      <c r="E71" s="91" t="s">
        <v>43</v>
      </c>
      <c r="F71" s="91" t="s">
        <v>13</v>
      </c>
      <c r="G71" s="91">
        <v>4000</v>
      </c>
      <c r="H71" s="90">
        <f>+'Base personal'!$G71/'Base personal'!$L71</f>
        <v>400</v>
      </c>
      <c r="I71" s="108">
        <f>VLOOKUP(B71&amp;C71,base!$C$2:$E$27,3,0)</f>
        <v>700</v>
      </c>
      <c r="J71" s="108">
        <f>VLOOKUP(B71&amp;C71,base!$C$2:$F$27,4,0)</f>
        <v>1.0955714285714286E-3</v>
      </c>
      <c r="K71" s="91">
        <f>+'Base personal'!$H71*'Base personal'!$J71*'Base personal'!$L71</f>
        <v>4.3822857142857146</v>
      </c>
      <c r="L71" s="91">
        <v>10</v>
      </c>
      <c r="M71" s="91">
        <f t="shared" si="0"/>
        <v>400</v>
      </c>
      <c r="N71" s="94">
        <f>M71/VLOOKUP(B71&amp;C71,base!$C$2:$E$27,3,0)</f>
        <v>0.5714285714285714</v>
      </c>
    </row>
    <row r="72" spans="1:14" s="91" customFormat="1" x14ac:dyDescent="0.25">
      <c r="A72" s="92">
        <v>44161</v>
      </c>
      <c r="B72" s="91" t="s">
        <v>34</v>
      </c>
      <c r="C72" s="91" t="s">
        <v>45</v>
      </c>
      <c r="D72" s="91" t="s">
        <v>270</v>
      </c>
      <c r="E72" s="91" t="s">
        <v>194</v>
      </c>
      <c r="F72" s="91" t="s">
        <v>13</v>
      </c>
      <c r="G72" s="91">
        <f>1175+2000</f>
        <v>3175</v>
      </c>
      <c r="H72" s="90">
        <f>+'Base personal'!$G72/'Base personal'!$L72</f>
        <v>288.63636363636363</v>
      </c>
      <c r="I72" s="108">
        <f>VLOOKUP(B72&amp;C72,base!$C$2:$E$27,3,0)</f>
        <v>700</v>
      </c>
      <c r="J72" s="108">
        <f>VLOOKUP(B72&amp;C72,base!$C$2:$F$27,4,0)</f>
        <v>1.0955714285714286E-3</v>
      </c>
      <c r="K72" s="91">
        <f>+'Base personal'!$H72*'Base personal'!$J72*'Base personal'!$L72</f>
        <v>3.4784392857142854</v>
      </c>
      <c r="L72" s="91">
        <v>11</v>
      </c>
      <c r="M72" s="91">
        <f t="shared" si="0"/>
        <v>288.63636363636363</v>
      </c>
      <c r="N72" s="94">
        <f>M72/VLOOKUP(B72&amp;C72,base!$C$2:$E$27,3,0)</f>
        <v>0.41233766233766234</v>
      </c>
    </row>
    <row r="73" spans="1:14" s="91" customFormat="1" x14ac:dyDescent="0.25">
      <c r="A73" s="92">
        <v>44161</v>
      </c>
      <c r="B73" s="91" t="s">
        <v>112</v>
      </c>
      <c r="C73" s="91" t="s">
        <v>55</v>
      </c>
      <c r="D73" s="91">
        <v>761</v>
      </c>
      <c r="E73" s="91" t="s">
        <v>56</v>
      </c>
      <c r="F73" s="91" t="s">
        <v>13</v>
      </c>
      <c r="G73" s="91">
        <v>543</v>
      </c>
      <c r="H73" s="90">
        <f>+'Base personal'!$G73/'Base personal'!$L73</f>
        <v>54.3</v>
      </c>
      <c r="I73" s="108">
        <f>VLOOKUP(B73&amp;C73,base!$C$2:$E$27,3,0)</f>
        <v>55</v>
      </c>
      <c r="J73" s="108">
        <f>VLOOKUP(B73&amp;C73,base!$C$2:$F$27,4,0)</f>
        <v>9.295454545454546E-3</v>
      </c>
      <c r="K73" s="91">
        <f>+'Base personal'!$H73*'Base personal'!$J73*'Base personal'!$L73</f>
        <v>5.0474318181818179</v>
      </c>
      <c r="L73" s="91">
        <v>10</v>
      </c>
      <c r="M73" s="91">
        <f t="shared" si="0"/>
        <v>54.3</v>
      </c>
      <c r="N73" s="94">
        <f>M73/VLOOKUP(B73&amp;C73,base!$C$2:$E$27,3,0)</f>
        <v>0.98727272727272719</v>
      </c>
    </row>
    <row r="74" spans="1:14" s="91" customFormat="1" x14ac:dyDescent="0.25">
      <c r="A74" s="92">
        <v>44161</v>
      </c>
      <c r="B74" s="91" t="s">
        <v>112</v>
      </c>
      <c r="C74" s="91" t="s">
        <v>55</v>
      </c>
      <c r="D74" s="91">
        <v>761</v>
      </c>
      <c r="E74" s="91" t="s">
        <v>57</v>
      </c>
      <c r="F74" s="91" t="s">
        <v>13</v>
      </c>
      <c r="G74" s="91">
        <v>543</v>
      </c>
      <c r="H74" s="90">
        <f>+'Base personal'!$G74/'Base personal'!$L74</f>
        <v>54.3</v>
      </c>
      <c r="I74" s="108">
        <f>VLOOKUP(B74&amp;C74,base!$C$2:$E$27,3,0)</f>
        <v>55</v>
      </c>
      <c r="J74" s="108">
        <f>VLOOKUP(B74&amp;C74,base!$C$2:$F$27,4,0)</f>
        <v>9.295454545454546E-3</v>
      </c>
      <c r="K74" s="91">
        <f>+'Base personal'!$H74*'Base personal'!$J74*'Base personal'!$L74</f>
        <v>5.0474318181818179</v>
      </c>
      <c r="L74" s="91">
        <v>10</v>
      </c>
      <c r="M74" s="91">
        <f t="shared" si="0"/>
        <v>54.3</v>
      </c>
      <c r="N74" s="94">
        <f>M74/VLOOKUP(B74&amp;C74,base!$C$2:$E$27,3,0)</f>
        <v>0.98727272727272719</v>
      </c>
    </row>
    <row r="75" spans="1:14" s="91" customFormat="1" x14ac:dyDescent="0.25">
      <c r="A75" s="92">
        <v>44161</v>
      </c>
      <c r="B75" s="91" t="s">
        <v>112</v>
      </c>
      <c r="C75" s="91" t="s">
        <v>55</v>
      </c>
      <c r="D75" s="91">
        <v>761</v>
      </c>
      <c r="E75" s="91" t="s">
        <v>58</v>
      </c>
      <c r="F75" s="91" t="s">
        <v>13</v>
      </c>
      <c r="G75" s="91">
        <v>543</v>
      </c>
      <c r="H75" s="90">
        <f>+'Base personal'!$G75/'Base personal'!$L75</f>
        <v>54.3</v>
      </c>
      <c r="I75" s="108">
        <f>VLOOKUP(B75&amp;C75,base!$C$2:$E$27,3,0)</f>
        <v>55</v>
      </c>
      <c r="J75" s="108">
        <f>VLOOKUP(B75&amp;C75,base!$C$2:$F$27,4,0)</f>
        <v>9.295454545454546E-3</v>
      </c>
      <c r="K75" s="91">
        <f>+'Base personal'!$H75*'Base personal'!$J75*'Base personal'!$L75</f>
        <v>5.0474318181818179</v>
      </c>
      <c r="L75" s="91">
        <v>10</v>
      </c>
      <c r="M75" s="91">
        <f t="shared" si="0"/>
        <v>54.3</v>
      </c>
      <c r="N75" s="94">
        <f>M75/VLOOKUP(B75&amp;C75,base!$C$2:$E$27,3,0)</f>
        <v>0.98727272727272719</v>
      </c>
    </row>
    <row r="76" spans="1:14" s="91" customFormat="1" x14ac:dyDescent="0.25">
      <c r="A76" s="92">
        <v>44161</v>
      </c>
      <c r="B76" s="91" t="s">
        <v>112</v>
      </c>
      <c r="C76" s="91" t="s">
        <v>55</v>
      </c>
      <c r="D76" s="91">
        <v>761</v>
      </c>
      <c r="E76" s="91" t="s">
        <v>63</v>
      </c>
      <c r="F76" s="91" t="s">
        <v>13</v>
      </c>
      <c r="G76" s="91">
        <v>181</v>
      </c>
      <c r="H76" s="90">
        <f>+'Base personal'!$G76/'Base personal'!$L76</f>
        <v>45.25</v>
      </c>
      <c r="I76" s="108">
        <f>VLOOKUP(B76&amp;C76,base!$C$2:$E$27,3,0)</f>
        <v>55</v>
      </c>
      <c r="J76" s="108">
        <f>VLOOKUP(B76&amp;C76,base!$C$2:$F$27,4,0)</f>
        <v>9.295454545454546E-3</v>
      </c>
      <c r="K76" s="91">
        <f>+'Base personal'!$H76*'Base personal'!$J76*'Base personal'!$L76</f>
        <v>1.6824772727272728</v>
      </c>
      <c r="L76" s="91">
        <v>4</v>
      </c>
      <c r="M76" s="91">
        <f t="shared" si="0"/>
        <v>45.25</v>
      </c>
      <c r="N76" s="94">
        <f>M76/VLOOKUP(B76&amp;C76,base!$C$2:$E$27,3,0)</f>
        <v>0.82272727272727275</v>
      </c>
    </row>
    <row r="77" spans="1:14" s="91" customFormat="1" x14ac:dyDescent="0.25">
      <c r="A77" s="92">
        <v>44161</v>
      </c>
      <c r="B77" s="91" t="s">
        <v>41</v>
      </c>
      <c r="E77" s="91" t="s">
        <v>63</v>
      </c>
      <c r="F77" s="91" t="s">
        <v>13</v>
      </c>
      <c r="H77" s="90">
        <v>1</v>
      </c>
      <c r="I77" s="108">
        <v>1</v>
      </c>
      <c r="J77" s="75">
        <v>0.3483</v>
      </c>
      <c r="K77" s="91">
        <f>+'Base personal'!$H77*'Base personal'!$J77*'Base personal'!$L77</f>
        <v>2.0897999999999999</v>
      </c>
      <c r="L77" s="91">
        <v>6</v>
      </c>
      <c r="M77" s="91">
        <f t="shared" si="0"/>
        <v>0</v>
      </c>
      <c r="N77" s="94" t="e">
        <f>M77/VLOOKUP(B77&amp;C77,base!$C$2:$E$27,3,0)</f>
        <v>#N/A</v>
      </c>
    </row>
    <row r="78" spans="1:14" s="91" customFormat="1" x14ac:dyDescent="0.25">
      <c r="A78" s="92">
        <v>44161</v>
      </c>
      <c r="B78" s="91" t="s">
        <v>115</v>
      </c>
      <c r="E78" s="91" t="s">
        <v>97</v>
      </c>
      <c r="F78" s="91" t="s">
        <v>13</v>
      </c>
      <c r="H78" s="90">
        <v>1</v>
      </c>
      <c r="I78" s="108">
        <v>1</v>
      </c>
      <c r="J78" s="75">
        <v>0.3483</v>
      </c>
      <c r="K78" s="91">
        <f>+'Base personal'!$H78*'Base personal'!$J78*'Base personal'!$L78</f>
        <v>3.4830000000000001</v>
      </c>
      <c r="L78" s="91">
        <v>10</v>
      </c>
      <c r="M78" s="91">
        <f t="shared" si="0"/>
        <v>0</v>
      </c>
      <c r="N78" s="94" t="e">
        <f>M78/VLOOKUP(B78&amp;C78,base!$C$2:$E$27,3,0)</f>
        <v>#N/A</v>
      </c>
    </row>
    <row r="79" spans="1:14" s="91" customFormat="1" x14ac:dyDescent="0.25">
      <c r="A79" s="92">
        <v>44161</v>
      </c>
      <c r="B79" s="91" t="s">
        <v>41</v>
      </c>
      <c r="E79" s="91" t="s">
        <v>102</v>
      </c>
      <c r="F79" s="91" t="s">
        <v>13</v>
      </c>
      <c r="G79" s="93"/>
      <c r="H79" s="90">
        <v>1</v>
      </c>
      <c r="I79" s="108">
        <v>1</v>
      </c>
      <c r="J79" s="75">
        <v>0.3483</v>
      </c>
      <c r="K79" s="91">
        <f>+'Base personal'!$H79*'Base personal'!$J79*'Base personal'!$L79</f>
        <v>3.4830000000000001</v>
      </c>
      <c r="L79" s="91">
        <v>10</v>
      </c>
      <c r="M79" s="91">
        <f t="shared" si="0"/>
        <v>0</v>
      </c>
      <c r="N79" s="94" t="e">
        <f>M79/VLOOKUP(B79&amp;C79,base!$C$2:$E$27,3,0)</f>
        <v>#N/A</v>
      </c>
    </row>
    <row r="80" spans="1:14" s="91" customFormat="1" x14ac:dyDescent="0.25">
      <c r="A80" s="92">
        <v>44161</v>
      </c>
      <c r="B80" s="91" t="s">
        <v>41</v>
      </c>
      <c r="E80" s="91" t="s">
        <v>168</v>
      </c>
      <c r="F80" s="91" t="s">
        <v>13</v>
      </c>
      <c r="G80" s="126"/>
      <c r="H80" s="90">
        <v>1</v>
      </c>
      <c r="I80" s="108">
        <v>1</v>
      </c>
      <c r="J80" s="75">
        <v>0.3483</v>
      </c>
      <c r="K80" s="91">
        <f>+'Base personal'!$H80*'Base personal'!$J80*'Base personal'!$L80</f>
        <v>3.4830000000000001</v>
      </c>
      <c r="L80" s="91">
        <v>10</v>
      </c>
      <c r="M80" s="91">
        <f t="shared" si="0"/>
        <v>0</v>
      </c>
      <c r="N80" s="94" t="e">
        <f>M80/VLOOKUP(B80&amp;C80,base!$C$2:$E$27,3,0)</f>
        <v>#N/A</v>
      </c>
    </row>
    <row r="81" spans="1:14" s="91" customFormat="1" x14ac:dyDescent="0.25">
      <c r="A81" s="92">
        <v>44161</v>
      </c>
      <c r="B81" s="91" t="s">
        <v>115</v>
      </c>
      <c r="E81" s="91" t="s">
        <v>263</v>
      </c>
      <c r="F81" s="91" t="s">
        <v>13</v>
      </c>
      <c r="H81" s="90">
        <v>1</v>
      </c>
      <c r="I81" s="108">
        <v>1</v>
      </c>
      <c r="J81" s="75">
        <v>0.3483</v>
      </c>
      <c r="K81" s="91">
        <f>+'Base personal'!$H81*'Base personal'!$J81*'Base personal'!$L81</f>
        <v>3.4830000000000001</v>
      </c>
      <c r="L81" s="91">
        <v>10</v>
      </c>
      <c r="M81" s="91">
        <f t="shared" si="0"/>
        <v>0</v>
      </c>
      <c r="N81" s="94" t="e">
        <f>M81/VLOOKUP(B81&amp;C81,base!$C$2:$E$27,3,0)</f>
        <v>#N/A</v>
      </c>
    </row>
    <row r="82" spans="1:14" s="91" customFormat="1" x14ac:dyDescent="0.25">
      <c r="A82" s="92">
        <v>44161</v>
      </c>
      <c r="B82" s="91" t="s">
        <v>113</v>
      </c>
      <c r="C82" s="91" t="s">
        <v>71</v>
      </c>
      <c r="D82" s="91">
        <v>121</v>
      </c>
      <c r="E82" s="91" t="s">
        <v>96</v>
      </c>
      <c r="F82" s="91" t="s">
        <v>13</v>
      </c>
      <c r="G82" s="91">
        <v>303.5</v>
      </c>
      <c r="H82" s="90">
        <f>+'Base personal'!$G82/'Base personal'!$L82</f>
        <v>30.35</v>
      </c>
      <c r="I82" s="108">
        <f>VLOOKUP(B82&amp;C82,base!$C$2:$E$27,3,0)</f>
        <v>45</v>
      </c>
      <c r="J82" s="108">
        <f>VLOOKUP(B82&amp;C82,base!$C$2:$F$27,4,0)</f>
        <v>1.1361111111111112E-2</v>
      </c>
      <c r="K82" s="91">
        <f>+'Base personal'!$H82*'Base personal'!$J82*'Base personal'!$L82</f>
        <v>3.4480972222222226</v>
      </c>
      <c r="L82" s="91">
        <v>10</v>
      </c>
      <c r="M82" s="91">
        <f t="shared" si="0"/>
        <v>30.35</v>
      </c>
      <c r="N82" s="94">
        <f>M82/VLOOKUP(B82&amp;C82,base!$C$2:$E$27,3,0)</f>
        <v>0.67444444444444451</v>
      </c>
    </row>
    <row r="83" spans="1:14" s="91" customFormat="1" x14ac:dyDescent="0.25">
      <c r="A83" s="92">
        <v>44161</v>
      </c>
      <c r="B83" s="91" t="s">
        <v>113</v>
      </c>
      <c r="C83" s="91" t="s">
        <v>71</v>
      </c>
      <c r="D83" s="91">
        <v>121</v>
      </c>
      <c r="E83" s="91" t="s">
        <v>236</v>
      </c>
      <c r="F83" s="91" t="s">
        <v>13</v>
      </c>
      <c r="G83" s="91">
        <f>607/2</f>
        <v>303.5</v>
      </c>
      <c r="H83" s="90">
        <f>+'Base personal'!$G83/'Base personal'!$L83</f>
        <v>30.35</v>
      </c>
      <c r="I83" s="108">
        <f>VLOOKUP(B83&amp;C83,base!$C$2:$E$27,3,0)</f>
        <v>45</v>
      </c>
      <c r="J83" s="108">
        <f>VLOOKUP(B83&amp;C83,base!$C$2:$F$27,4,0)</f>
        <v>1.1361111111111112E-2</v>
      </c>
      <c r="K83" s="91">
        <f>+'Base personal'!$H83*'Base personal'!$J83*'Base personal'!$L83</f>
        <v>3.4480972222222226</v>
      </c>
      <c r="L83" s="91">
        <v>10</v>
      </c>
      <c r="M83" s="91">
        <f t="shared" si="0"/>
        <v>30.35</v>
      </c>
      <c r="N83" s="94">
        <f>M83/VLOOKUP(B83&amp;C83,base!$C$2:$E$27,3,0)</f>
        <v>0.67444444444444451</v>
      </c>
    </row>
    <row r="84" spans="1:14" s="91" customFormat="1" x14ac:dyDescent="0.25">
      <c r="A84" s="92">
        <v>44161</v>
      </c>
      <c r="B84" s="91" t="s">
        <v>38</v>
      </c>
      <c r="E84" s="91" t="s">
        <v>233</v>
      </c>
      <c r="F84" s="91" t="s">
        <v>13</v>
      </c>
      <c r="H84" s="90">
        <v>1</v>
      </c>
      <c r="I84" s="108">
        <v>1</v>
      </c>
      <c r="J84" s="75">
        <v>0.3483</v>
      </c>
      <c r="K84" s="91">
        <f>+'Base personal'!$H84*'Base personal'!$J84*'Base personal'!$L84</f>
        <v>3.4830000000000001</v>
      </c>
      <c r="L84" s="91">
        <v>10</v>
      </c>
      <c r="M84" s="91">
        <f t="shared" si="0"/>
        <v>0</v>
      </c>
      <c r="N84" s="94" t="e">
        <f>M84/VLOOKUP(B84&amp;C84,base!$C$2:$E$27,3,0)</f>
        <v>#N/A</v>
      </c>
    </row>
    <row r="85" spans="1:14" s="91" customFormat="1" x14ac:dyDescent="0.25">
      <c r="A85" s="92">
        <v>44161</v>
      </c>
      <c r="B85" s="91" t="s">
        <v>40</v>
      </c>
      <c r="E85" s="91" t="s">
        <v>169</v>
      </c>
      <c r="F85" s="91" t="s">
        <v>13</v>
      </c>
      <c r="H85" s="90">
        <v>1</v>
      </c>
      <c r="I85" s="108">
        <v>1</v>
      </c>
      <c r="J85" s="75">
        <v>0.3483</v>
      </c>
      <c r="K85" s="91">
        <f>+'Base personal'!$H85*'Base personal'!$J85*'Base personal'!$L85</f>
        <v>3.4830000000000001</v>
      </c>
      <c r="L85" s="91">
        <v>10</v>
      </c>
      <c r="M85" s="91">
        <f t="shared" si="0"/>
        <v>0</v>
      </c>
      <c r="N85" s="94" t="e">
        <f>M85/VLOOKUP(B85&amp;C85,base!$C$2:$E$27,3,0)</f>
        <v>#N/A</v>
      </c>
    </row>
    <row r="86" spans="1:14" s="91" customFormat="1" x14ac:dyDescent="0.25">
      <c r="A86" s="92">
        <v>44161</v>
      </c>
      <c r="B86" s="91" t="s">
        <v>36</v>
      </c>
      <c r="C86" s="91" t="s">
        <v>45</v>
      </c>
      <c r="D86" s="91">
        <v>361</v>
      </c>
      <c r="E86" s="91" t="s">
        <v>69</v>
      </c>
      <c r="F86" s="91" t="s">
        <v>13</v>
      </c>
      <c r="G86" s="91">
        <v>3016</v>
      </c>
      <c r="H86" s="90">
        <f>+'Base personal'!$G86/'Base personal'!$L86</f>
        <v>430.85714285714283</v>
      </c>
      <c r="I86" s="108">
        <f>VLOOKUP(B86&amp;C86,base!$C$2:$E$27,3,0)</f>
        <v>500</v>
      </c>
      <c r="J86" s="108">
        <f>VLOOKUP(B86&amp;C86,base!$C$2:$F$27,4,0)</f>
        <v>1.0225E-3</v>
      </c>
      <c r="K86" s="91">
        <f>+'Base personal'!$H86*'Base personal'!$J86*'Base personal'!$L86</f>
        <v>3.0838599999999996</v>
      </c>
      <c r="L86" s="91">
        <v>7</v>
      </c>
      <c r="M86" s="91">
        <f t="shared" si="0"/>
        <v>430.85714285714283</v>
      </c>
      <c r="N86" s="94">
        <f>M86/VLOOKUP(B86&amp;C86,base!$C$2:$E$27,3,0)</f>
        <v>0.86171428571428565</v>
      </c>
    </row>
    <row r="87" spans="1:14" s="91" customFormat="1" x14ac:dyDescent="0.25">
      <c r="A87" s="92">
        <v>44161</v>
      </c>
      <c r="B87" s="91" t="s">
        <v>115</v>
      </c>
      <c r="E87" s="91" t="s">
        <v>69</v>
      </c>
      <c r="F87" s="91" t="s">
        <v>13</v>
      </c>
      <c r="H87" s="90">
        <v>1</v>
      </c>
      <c r="I87" s="108">
        <v>1</v>
      </c>
      <c r="J87" s="75">
        <v>0.3483</v>
      </c>
      <c r="K87" s="91">
        <f>+'Base personal'!$H87*'Base personal'!$J87*'Base personal'!$L87</f>
        <v>1.0448999999999999</v>
      </c>
      <c r="L87" s="91">
        <v>3</v>
      </c>
      <c r="M87" s="91">
        <f t="shared" si="0"/>
        <v>0</v>
      </c>
      <c r="N87" s="94" t="e">
        <f>M87/VLOOKUP(B87&amp;C87,base!$C$2:$E$27,3,0)</f>
        <v>#N/A</v>
      </c>
    </row>
    <row r="88" spans="1:14" s="91" customFormat="1" x14ac:dyDescent="0.25">
      <c r="A88" s="123">
        <v>44162</v>
      </c>
      <c r="B88" s="24" t="s">
        <v>111</v>
      </c>
      <c r="C88" s="24" t="s">
        <v>62</v>
      </c>
      <c r="D88" s="24">
        <v>764</v>
      </c>
      <c r="E88" s="24" t="s">
        <v>63</v>
      </c>
      <c r="F88" s="91" t="s">
        <v>13</v>
      </c>
      <c r="G88" s="91">
        <f>2001/3</f>
        <v>667</v>
      </c>
      <c r="H88" s="90">
        <f>+'Base personal'!$G88/'Base personal'!$L88</f>
        <v>66.7</v>
      </c>
      <c r="I88" s="108">
        <f>VLOOKUP(B88&amp;C88,base!$C$2:$E$27,3,0)</f>
        <v>92</v>
      </c>
      <c r="J88" s="108">
        <f>VLOOKUP(B88&amp;C88,base!$C$2:$F$27,4,0)</f>
        <v>5.5570652173913045E-3</v>
      </c>
      <c r="K88" s="91">
        <f>+'Base personal'!$H88*'Base personal'!$J88*'Base personal'!$L88</f>
        <v>3.7065625000000004</v>
      </c>
      <c r="L88" s="91">
        <v>10</v>
      </c>
      <c r="M88" s="91">
        <f t="shared" si="0"/>
        <v>66.7</v>
      </c>
      <c r="N88" s="94">
        <f>M88/VLOOKUP(B88&amp;C88,base!$C$2:$E$27,3,0)</f>
        <v>0.72499999999999998</v>
      </c>
    </row>
    <row r="89" spans="1:14" s="91" customFormat="1" x14ac:dyDescent="0.25">
      <c r="A89" s="123">
        <v>44162</v>
      </c>
      <c r="B89" s="24" t="s">
        <v>111</v>
      </c>
      <c r="C89" s="24" t="s">
        <v>62</v>
      </c>
      <c r="D89" s="24">
        <v>764</v>
      </c>
      <c r="E89" s="24" t="s">
        <v>263</v>
      </c>
      <c r="F89" s="91" t="s">
        <v>13</v>
      </c>
      <c r="G89" s="91">
        <f>2001/3</f>
        <v>667</v>
      </c>
      <c r="H89" s="90">
        <f>+'Base personal'!$G89/'Base personal'!$L89</f>
        <v>66.7</v>
      </c>
      <c r="I89" s="108">
        <f>VLOOKUP(B89&amp;C89,base!$C$2:$E$27,3,0)</f>
        <v>92</v>
      </c>
      <c r="J89" s="108">
        <f>VLOOKUP(B89&amp;C89,base!$C$2:$F$27,4,0)</f>
        <v>5.5570652173913045E-3</v>
      </c>
      <c r="K89" s="91">
        <f>+'Base personal'!$H89*'Base personal'!$J89*'Base personal'!$L89</f>
        <v>3.7065625000000004</v>
      </c>
      <c r="L89" s="91">
        <v>10</v>
      </c>
      <c r="M89" s="91">
        <f t="shared" si="0"/>
        <v>66.7</v>
      </c>
      <c r="N89" s="94">
        <f>M89/VLOOKUP(B89&amp;C89,base!$C$2:$E$27,3,0)</f>
        <v>0.72499999999999998</v>
      </c>
    </row>
    <row r="90" spans="1:14" s="91" customFormat="1" x14ac:dyDescent="0.25">
      <c r="A90" s="123">
        <v>44162</v>
      </c>
      <c r="B90" s="24" t="s">
        <v>111</v>
      </c>
      <c r="C90" s="24" t="s">
        <v>62</v>
      </c>
      <c r="D90" s="24">
        <v>764</v>
      </c>
      <c r="E90" s="24" t="s">
        <v>12</v>
      </c>
      <c r="F90" s="91" t="s">
        <v>13</v>
      </c>
      <c r="G90" s="91">
        <f>2001/3</f>
        <v>667</v>
      </c>
      <c r="H90" s="90">
        <f>+'Base personal'!$G90/'Base personal'!$L90</f>
        <v>66.7</v>
      </c>
      <c r="I90" s="108">
        <f>VLOOKUP(B90&amp;C90,base!$C$2:$E$27,3,0)</f>
        <v>92</v>
      </c>
      <c r="J90" s="108">
        <f>VLOOKUP(B90&amp;C90,base!$C$2:$F$27,4,0)</f>
        <v>5.5570652173913045E-3</v>
      </c>
      <c r="K90" s="91">
        <f>+'Base personal'!$H90*'Base personal'!$J90*'Base personal'!$L90</f>
        <v>3.7065625000000004</v>
      </c>
      <c r="L90" s="91">
        <v>10</v>
      </c>
      <c r="M90" s="91">
        <f t="shared" si="0"/>
        <v>66.7</v>
      </c>
      <c r="N90" s="94">
        <f>M90/VLOOKUP(B90&amp;C90,base!$C$2:$E$27,3,0)</f>
        <v>0.72499999999999998</v>
      </c>
    </row>
    <row r="91" spans="1:14" s="91" customFormat="1" x14ac:dyDescent="0.25">
      <c r="A91" s="92">
        <v>44162</v>
      </c>
      <c r="B91" s="91" t="s">
        <v>112</v>
      </c>
      <c r="C91" s="91" t="s">
        <v>55</v>
      </c>
      <c r="D91" s="91">
        <v>762</v>
      </c>
      <c r="E91" s="91" t="s">
        <v>56</v>
      </c>
      <c r="F91" s="91" t="s">
        <v>13</v>
      </c>
      <c r="G91" s="93">
        <f>496/3</f>
        <v>165.33333333333334</v>
      </c>
      <c r="H91" s="90">
        <f>+'Base personal'!$G91/'Base personal'!$L91</f>
        <v>55.111111111111114</v>
      </c>
      <c r="I91" s="108">
        <f>VLOOKUP(B91&amp;C91,base!$C$2:$E$27,3,0)</f>
        <v>55</v>
      </c>
      <c r="J91" s="108">
        <f>VLOOKUP(B91&amp;C91,base!$C$2:$F$27,4,0)</f>
        <v>9.295454545454546E-3</v>
      </c>
      <c r="K91" s="91">
        <f>+'Base personal'!$H91*'Base personal'!$J91*'Base personal'!$L91</f>
        <v>1.5368484848484849</v>
      </c>
      <c r="L91" s="91">
        <v>3</v>
      </c>
      <c r="M91" s="91">
        <f t="shared" si="0"/>
        <v>55.111111111111114</v>
      </c>
      <c r="N91" s="94">
        <f>M91/VLOOKUP(B91&amp;C91,base!$C$2:$E$27,3,0)</f>
        <v>1.002020202020202</v>
      </c>
    </row>
    <row r="92" spans="1:14" s="91" customFormat="1" x14ac:dyDescent="0.25">
      <c r="A92" s="92">
        <v>44162</v>
      </c>
      <c r="B92" s="91" t="s">
        <v>112</v>
      </c>
      <c r="C92" s="91" t="s">
        <v>55</v>
      </c>
      <c r="D92" s="91">
        <v>762</v>
      </c>
      <c r="E92" s="91" t="s">
        <v>57</v>
      </c>
      <c r="F92" s="91" t="s">
        <v>13</v>
      </c>
      <c r="G92" s="93">
        <f t="shared" ref="G92:G93" si="2">496/3</f>
        <v>165.33333333333334</v>
      </c>
      <c r="H92" s="90">
        <f>+'Base personal'!$G92/'Base personal'!$L92</f>
        <v>55.111111111111114</v>
      </c>
      <c r="I92" s="108">
        <f>VLOOKUP(B92&amp;C92,base!$C$2:$E$27,3,0)</f>
        <v>55</v>
      </c>
      <c r="J92" s="108">
        <f>VLOOKUP(B92&amp;C92,base!$C$2:$F$27,4,0)</f>
        <v>9.295454545454546E-3</v>
      </c>
      <c r="K92" s="91">
        <f>+'Base personal'!$H92*'Base personal'!$J92*'Base personal'!$L92</f>
        <v>1.5368484848484849</v>
      </c>
      <c r="L92" s="91">
        <v>3</v>
      </c>
      <c r="M92" s="91">
        <f t="shared" si="0"/>
        <v>55.111111111111114</v>
      </c>
      <c r="N92" s="94">
        <f>M92/VLOOKUP(B92&amp;C92,base!$C$2:$E$27,3,0)</f>
        <v>1.002020202020202</v>
      </c>
    </row>
    <row r="93" spans="1:14" s="91" customFormat="1" x14ac:dyDescent="0.25">
      <c r="A93" s="92">
        <v>44162</v>
      </c>
      <c r="B93" s="91" t="s">
        <v>112</v>
      </c>
      <c r="C93" s="91" t="s">
        <v>55</v>
      </c>
      <c r="D93" s="91">
        <v>762</v>
      </c>
      <c r="E93" s="91" t="s">
        <v>58</v>
      </c>
      <c r="F93" s="91" t="s">
        <v>13</v>
      </c>
      <c r="G93" s="93">
        <f t="shared" si="2"/>
        <v>165.33333333333334</v>
      </c>
      <c r="H93" s="90">
        <f>+'Base personal'!$G93/'Base personal'!$L93</f>
        <v>55.111111111111114</v>
      </c>
      <c r="I93" s="108">
        <f>VLOOKUP(B93&amp;C93,base!$C$2:$E$27,3,0)</f>
        <v>55</v>
      </c>
      <c r="J93" s="108">
        <f>VLOOKUP(B93&amp;C93,base!$C$2:$F$27,4,0)</f>
        <v>9.295454545454546E-3</v>
      </c>
      <c r="K93" s="91">
        <f>+'Base personal'!$H93*'Base personal'!$J93*'Base personal'!$L93</f>
        <v>1.5368484848484849</v>
      </c>
      <c r="L93" s="91">
        <v>3</v>
      </c>
      <c r="M93" s="91">
        <f t="shared" si="0"/>
        <v>55.111111111111114</v>
      </c>
      <c r="N93" s="94">
        <f>M93/VLOOKUP(B93&amp;C93,base!$C$2:$E$27,3,0)</f>
        <v>1.002020202020202</v>
      </c>
    </row>
    <row r="94" spans="1:14" s="91" customFormat="1" x14ac:dyDescent="0.25">
      <c r="A94" s="92">
        <v>44162</v>
      </c>
      <c r="B94" s="91" t="s">
        <v>115</v>
      </c>
      <c r="E94" s="91" t="s">
        <v>56</v>
      </c>
      <c r="F94" s="91" t="s">
        <v>13</v>
      </c>
      <c r="H94" s="90">
        <v>1</v>
      </c>
      <c r="I94" s="108">
        <v>1</v>
      </c>
      <c r="J94" s="75">
        <v>0.3483</v>
      </c>
      <c r="K94" s="91">
        <f>+'Base personal'!$H94*'Base personal'!$J94*'Base personal'!$L94</f>
        <v>2.4380999999999999</v>
      </c>
      <c r="L94" s="91">
        <v>7</v>
      </c>
      <c r="M94" s="91">
        <f t="shared" si="0"/>
        <v>0</v>
      </c>
      <c r="N94" s="94" t="e">
        <f>M94/VLOOKUP(B94&amp;C94,base!$C$2:$E$27,3,0)</f>
        <v>#N/A</v>
      </c>
    </row>
    <row r="95" spans="1:14" s="91" customFormat="1" x14ac:dyDescent="0.25">
      <c r="A95" s="92">
        <v>44162</v>
      </c>
      <c r="B95" s="91" t="s">
        <v>115</v>
      </c>
      <c r="E95" s="91" t="s">
        <v>57</v>
      </c>
      <c r="F95" s="91" t="s">
        <v>13</v>
      </c>
      <c r="H95" s="90">
        <v>1</v>
      </c>
      <c r="I95" s="108">
        <v>1</v>
      </c>
      <c r="J95" s="75">
        <v>0.3483</v>
      </c>
      <c r="K95" s="91">
        <f>+'Base personal'!$H95*'Base personal'!$J95*'Base personal'!$L95</f>
        <v>2.4380999999999999</v>
      </c>
      <c r="L95" s="91">
        <v>7</v>
      </c>
      <c r="M95" s="91">
        <f t="shared" si="0"/>
        <v>0</v>
      </c>
      <c r="N95" s="94" t="e">
        <f>M95/VLOOKUP(B95&amp;C95,base!$C$2:$E$27,3,0)</f>
        <v>#N/A</v>
      </c>
    </row>
    <row r="96" spans="1:14" s="91" customFormat="1" x14ac:dyDescent="0.25">
      <c r="A96" s="92">
        <v>44162</v>
      </c>
      <c r="B96" s="91" t="s">
        <v>115</v>
      </c>
      <c r="E96" s="91" t="s">
        <v>58</v>
      </c>
      <c r="F96" s="91" t="s">
        <v>13</v>
      </c>
      <c r="H96" s="90">
        <v>1</v>
      </c>
      <c r="I96" s="108">
        <v>1</v>
      </c>
      <c r="J96" s="75">
        <v>0.3483</v>
      </c>
      <c r="K96" s="91">
        <f>+'Base personal'!$H96*'Base personal'!$J96*'Base personal'!$L96</f>
        <v>2.4380999999999999</v>
      </c>
      <c r="L96" s="91">
        <v>7</v>
      </c>
      <c r="M96" s="91">
        <f t="shared" si="0"/>
        <v>0</v>
      </c>
      <c r="N96" s="94" t="e">
        <f>M96/VLOOKUP(B96&amp;C96,base!$C$2:$E$27,3,0)</f>
        <v>#N/A</v>
      </c>
    </row>
    <row r="97" spans="1:14" s="91" customFormat="1" x14ac:dyDescent="0.25">
      <c r="A97" s="92">
        <v>44162</v>
      </c>
      <c r="B97" s="91" t="s">
        <v>112</v>
      </c>
      <c r="C97" s="91" t="s">
        <v>55</v>
      </c>
      <c r="D97" s="91">
        <v>763</v>
      </c>
      <c r="E97" s="91" t="s">
        <v>264</v>
      </c>
      <c r="F97" s="91" t="s">
        <v>13</v>
      </c>
      <c r="G97" s="91">
        <f>804/2</f>
        <v>402</v>
      </c>
      <c r="H97" s="90">
        <f>+'Base personal'!$G97/'Base personal'!$L97</f>
        <v>40.200000000000003</v>
      </c>
      <c r="I97" s="108">
        <f>VLOOKUP(B97&amp;C97,base!$C$2:$E$27,3,0)</f>
        <v>55</v>
      </c>
      <c r="J97" s="108">
        <f>VLOOKUP(B97&amp;C97,base!$C$2:$F$27,4,0)</f>
        <v>9.295454545454546E-3</v>
      </c>
      <c r="K97" s="91">
        <f>+'Base personal'!$H97*'Base personal'!$J97*'Base personal'!$L97</f>
        <v>3.736772727272728</v>
      </c>
      <c r="L97" s="91">
        <v>10</v>
      </c>
      <c r="M97" s="91">
        <f t="shared" si="0"/>
        <v>40.200000000000003</v>
      </c>
      <c r="N97" s="94">
        <f>M97/VLOOKUP(B97&amp;C97,base!$C$2:$E$27,3,0)</f>
        <v>0.73090909090909095</v>
      </c>
    </row>
    <row r="98" spans="1:14" s="91" customFormat="1" x14ac:dyDescent="0.25">
      <c r="A98" s="92">
        <v>44162</v>
      </c>
      <c r="B98" s="91" t="s">
        <v>112</v>
      </c>
      <c r="C98" s="91" t="s">
        <v>55</v>
      </c>
      <c r="D98" s="91">
        <v>763</v>
      </c>
      <c r="E98" s="91" t="s">
        <v>236</v>
      </c>
      <c r="F98" s="91" t="s">
        <v>13</v>
      </c>
      <c r="G98" s="91">
        <f>804/2</f>
        <v>402</v>
      </c>
      <c r="H98" s="90">
        <f>+'Base personal'!$G98/'Base personal'!$L98</f>
        <v>40.200000000000003</v>
      </c>
      <c r="I98" s="108">
        <f>VLOOKUP(B98&amp;C98,base!$C$2:$E$27,3,0)</f>
        <v>55</v>
      </c>
      <c r="J98" s="108">
        <f>VLOOKUP(B98&amp;C98,base!$C$2:$F$27,4,0)</f>
        <v>9.295454545454546E-3</v>
      </c>
      <c r="K98" s="91">
        <f>+'Base personal'!$H98*'Base personal'!$J98*'Base personal'!$L98</f>
        <v>3.736772727272728</v>
      </c>
      <c r="L98" s="91">
        <v>10</v>
      </c>
      <c r="M98" s="91">
        <f t="shared" si="0"/>
        <v>40.200000000000003</v>
      </c>
      <c r="N98" s="94">
        <f>M98/VLOOKUP(B98&amp;C98,base!$C$2:$E$27,3,0)</f>
        <v>0.73090909090909095</v>
      </c>
    </row>
    <row r="99" spans="1:14" s="91" customFormat="1" x14ac:dyDescent="0.25">
      <c r="A99" s="92">
        <v>44162</v>
      </c>
      <c r="B99" s="91" t="s">
        <v>29</v>
      </c>
      <c r="C99" s="91" t="s">
        <v>193</v>
      </c>
      <c r="D99" s="91">
        <v>150</v>
      </c>
      <c r="E99" s="91" t="s">
        <v>72</v>
      </c>
      <c r="F99" s="91" t="s">
        <v>170</v>
      </c>
      <c r="G99" s="91">
        <v>754</v>
      </c>
      <c r="H99" s="90">
        <f>+'Base personal'!$G99/'Base personal'!$L99</f>
        <v>68.545454545454547</v>
      </c>
      <c r="I99" s="108">
        <f>VLOOKUP(B99&amp;C99,base!$C$2:$E$27,3,0)</f>
        <v>75</v>
      </c>
      <c r="J99" s="108">
        <f>VLOOKUP(B99&amp;C99,base!$C$2:$F$27,4,0)</f>
        <v>1.0225333333333333E-2</v>
      </c>
      <c r="K99" s="91">
        <f>+'Base personal'!$H99*'Base personal'!$J99*'Base personal'!$L99</f>
        <v>7.7099013333333328</v>
      </c>
      <c r="L99" s="91">
        <v>11</v>
      </c>
      <c r="M99" s="91">
        <f t="shared" si="0"/>
        <v>68.545454545454547</v>
      </c>
      <c r="N99" s="94">
        <f>M99/VLOOKUP(B99&amp;C99,base!$C$2:$E$27,3,0)</f>
        <v>0.91393939393939394</v>
      </c>
    </row>
    <row r="100" spans="1:14" s="91" customFormat="1" x14ac:dyDescent="0.25">
      <c r="A100" s="92">
        <v>44162</v>
      </c>
      <c r="B100" s="91" t="s">
        <v>33</v>
      </c>
      <c r="C100" s="91" t="s">
        <v>45</v>
      </c>
      <c r="D100" s="91">
        <v>1225</v>
      </c>
      <c r="E100" s="91" t="s">
        <v>44</v>
      </c>
      <c r="F100" s="91" t="s">
        <v>13</v>
      </c>
      <c r="G100" s="91">
        <v>5154</v>
      </c>
      <c r="H100" s="90">
        <f>+'Base personal'!$G100/'Base personal'!$L100</f>
        <v>515.4</v>
      </c>
      <c r="I100" s="108">
        <f>VLOOKUP(B100&amp;C100,base!$C$2:$E$27,3,0)</f>
        <v>700</v>
      </c>
      <c r="J100" s="108">
        <f>VLOOKUP(B100&amp;C100,base!$C$2:$F$27,4,0)</f>
        <v>1.0955714285714286E-3</v>
      </c>
      <c r="K100" s="91">
        <f>+'Base personal'!$H100*'Base personal'!$J100*'Base personal'!$L100</f>
        <v>5.6465751428571433</v>
      </c>
      <c r="L100" s="91">
        <v>10</v>
      </c>
      <c r="M100" s="91">
        <f t="shared" si="0"/>
        <v>515.4</v>
      </c>
      <c r="N100" s="94">
        <f>M100/VLOOKUP(B100&amp;C100,base!$C$2:$E$27,3,0)</f>
        <v>0.73628571428571421</v>
      </c>
    </row>
    <row r="101" spans="1:14" s="91" customFormat="1" x14ac:dyDescent="0.25">
      <c r="A101" s="92">
        <v>44162</v>
      </c>
      <c r="B101" s="91" t="s">
        <v>33</v>
      </c>
      <c r="C101" s="91" t="s">
        <v>45</v>
      </c>
      <c r="D101" s="6" t="s">
        <v>271</v>
      </c>
      <c r="E101" s="91" t="s">
        <v>75</v>
      </c>
      <c r="F101" s="91" t="s">
        <v>170</v>
      </c>
      <c r="G101" s="91">
        <f>1237+4193+900</f>
        <v>6330</v>
      </c>
      <c r="H101" s="90">
        <f>+'Base personal'!$G101/'Base personal'!$L101</f>
        <v>575.4545454545455</v>
      </c>
      <c r="I101" s="108">
        <f>VLOOKUP(B101&amp;C101,base!$C$2:$E$27,3,0)</f>
        <v>700</v>
      </c>
      <c r="J101" s="108">
        <f>VLOOKUP(B101&amp;C101,base!$C$2:$F$27,4,0)</f>
        <v>1.0955714285714286E-3</v>
      </c>
      <c r="K101" s="91">
        <f>+'Base personal'!$H101*'Base personal'!$J101*'Base personal'!$L101</f>
        <v>6.9349671428571442</v>
      </c>
      <c r="L101" s="91">
        <v>11</v>
      </c>
      <c r="M101" s="91">
        <f t="shared" si="0"/>
        <v>575.4545454545455</v>
      </c>
      <c r="N101" s="94">
        <f>M101/VLOOKUP(B101&amp;C101,base!$C$2:$E$27,3,0)</f>
        <v>0.82207792207792219</v>
      </c>
    </row>
    <row r="102" spans="1:14" s="91" customFormat="1" x14ac:dyDescent="0.25">
      <c r="A102" s="92">
        <v>44162</v>
      </c>
      <c r="B102" s="91" t="s">
        <v>34</v>
      </c>
      <c r="C102" s="91" t="s">
        <v>45</v>
      </c>
      <c r="D102" s="91">
        <v>899</v>
      </c>
      <c r="E102" s="91" t="s">
        <v>43</v>
      </c>
      <c r="F102" s="91" t="s">
        <v>13</v>
      </c>
      <c r="G102" s="91">
        <v>4625</v>
      </c>
      <c r="H102" s="90">
        <f>+'Base personal'!$G102/'Base personal'!$L102</f>
        <v>462.5</v>
      </c>
      <c r="I102" s="108">
        <f>VLOOKUP(B102&amp;C102,base!$C$2:$E$27,3,0)</f>
        <v>700</v>
      </c>
      <c r="J102" s="108">
        <f>VLOOKUP(B102&amp;C102,base!$C$2:$F$27,4,0)</f>
        <v>1.0955714285714286E-3</v>
      </c>
      <c r="K102" s="91">
        <f>+'Base personal'!$H102*'Base personal'!$J102*'Base personal'!$L102</f>
        <v>5.067017857142857</v>
      </c>
      <c r="L102" s="91">
        <v>10</v>
      </c>
      <c r="M102" s="91">
        <f t="shared" si="0"/>
        <v>462.5</v>
      </c>
      <c r="N102" s="94">
        <f>M102/VLOOKUP(B102&amp;C102,base!$C$2:$E$27,3,0)</f>
        <v>0.6607142857142857</v>
      </c>
    </row>
    <row r="103" spans="1:14" s="91" customFormat="1" x14ac:dyDescent="0.25">
      <c r="A103" s="92">
        <v>44162</v>
      </c>
      <c r="B103" s="91" t="s">
        <v>34</v>
      </c>
      <c r="C103" s="91" t="s">
        <v>45</v>
      </c>
      <c r="D103" s="91">
        <v>900</v>
      </c>
      <c r="E103" s="91" t="s">
        <v>194</v>
      </c>
      <c r="F103" s="91" t="s">
        <v>170</v>
      </c>
      <c r="G103" s="91">
        <v>5000</v>
      </c>
      <c r="H103" s="90">
        <f>+'Base personal'!$G103/'Base personal'!$L103</f>
        <v>454.54545454545456</v>
      </c>
      <c r="I103" s="108">
        <f>VLOOKUP(B103&amp;C103,base!$C$2:$E$27,3,0)</f>
        <v>700</v>
      </c>
      <c r="J103" s="108">
        <f>VLOOKUP(B103&amp;C103,base!$C$2:$F$27,4,0)</f>
        <v>1.0955714285714286E-3</v>
      </c>
      <c r="K103" s="91">
        <f>+'Base personal'!$H103*'Base personal'!$J103*'Base personal'!$L103</f>
        <v>5.4778571428571432</v>
      </c>
      <c r="L103" s="91">
        <v>11</v>
      </c>
      <c r="M103" s="91">
        <f t="shared" si="0"/>
        <v>454.54545454545456</v>
      </c>
      <c r="N103" s="94">
        <f>M103/VLOOKUP(B103&amp;C103,base!$C$2:$E$27,3,0)</f>
        <v>0.64935064935064934</v>
      </c>
    </row>
    <row r="104" spans="1:14" s="91" customFormat="1" x14ac:dyDescent="0.25">
      <c r="A104" s="92">
        <v>44162</v>
      </c>
      <c r="B104" s="91" t="s">
        <v>115</v>
      </c>
      <c r="E104" s="91" t="s">
        <v>97</v>
      </c>
      <c r="F104" s="91" t="s">
        <v>13</v>
      </c>
      <c r="H104" s="90">
        <v>1</v>
      </c>
      <c r="I104" s="108">
        <v>1</v>
      </c>
      <c r="J104" s="75">
        <v>0.3483</v>
      </c>
      <c r="K104" s="91">
        <f>+'Base personal'!$H104*'Base personal'!$J104*'Base personal'!$L104</f>
        <v>3.4830000000000001</v>
      </c>
      <c r="L104" s="91">
        <v>10</v>
      </c>
      <c r="M104" s="91">
        <f t="shared" si="0"/>
        <v>0</v>
      </c>
      <c r="N104" s="94" t="e">
        <f>M104/VLOOKUP(B104&amp;C104,base!$C$2:$E$27,3,0)</f>
        <v>#N/A</v>
      </c>
    </row>
    <row r="105" spans="1:14" s="91" customFormat="1" x14ac:dyDescent="0.25">
      <c r="A105" s="92">
        <v>44162</v>
      </c>
      <c r="B105" s="91" t="s">
        <v>38</v>
      </c>
      <c r="E105" s="91" t="s">
        <v>233</v>
      </c>
      <c r="F105" s="91" t="s">
        <v>13</v>
      </c>
      <c r="H105" s="90">
        <v>1</v>
      </c>
      <c r="I105" s="108">
        <v>1</v>
      </c>
      <c r="J105" s="75">
        <v>0.3483</v>
      </c>
      <c r="K105" s="91">
        <f>+'Base personal'!$H105*'Base personal'!$J105*'Base personal'!$L105</f>
        <v>3.4830000000000001</v>
      </c>
      <c r="L105" s="91">
        <v>10</v>
      </c>
      <c r="M105" s="91">
        <f t="shared" si="0"/>
        <v>0</v>
      </c>
      <c r="N105" s="94" t="e">
        <f>M105/VLOOKUP(B105&amp;C105,base!$C$2:$E$27,3,0)</f>
        <v>#N/A</v>
      </c>
    </row>
    <row r="106" spans="1:14" s="91" customFormat="1" x14ac:dyDescent="0.25">
      <c r="A106" s="92">
        <v>44162</v>
      </c>
      <c r="B106" s="91" t="s">
        <v>40</v>
      </c>
      <c r="E106" s="91" t="s">
        <v>169</v>
      </c>
      <c r="F106" s="91" t="s">
        <v>13</v>
      </c>
      <c r="H106" s="90">
        <v>1</v>
      </c>
      <c r="I106" s="108">
        <v>1</v>
      </c>
      <c r="J106" s="75">
        <v>0.3483</v>
      </c>
      <c r="K106" s="91">
        <f>+'Base personal'!$H106*'Base personal'!$J106*'Base personal'!$L106</f>
        <v>3.4830000000000001</v>
      </c>
      <c r="L106" s="91">
        <v>10</v>
      </c>
      <c r="M106" s="91">
        <f t="shared" si="0"/>
        <v>0</v>
      </c>
      <c r="N106" s="94" t="e">
        <f>M106/VLOOKUP(B106&amp;C106,base!$C$2:$E$27,3,0)</f>
        <v>#N/A</v>
      </c>
    </row>
    <row r="107" spans="1:14" s="91" customFormat="1" x14ac:dyDescent="0.25">
      <c r="A107" s="92">
        <v>44162</v>
      </c>
      <c r="B107" s="91" t="s">
        <v>41</v>
      </c>
      <c r="E107" s="91" t="s">
        <v>267</v>
      </c>
      <c r="F107" s="91" t="s">
        <v>13</v>
      </c>
      <c r="H107" s="90">
        <v>1</v>
      </c>
      <c r="I107" s="108">
        <v>1</v>
      </c>
      <c r="J107" s="75">
        <v>0.3483</v>
      </c>
      <c r="K107" s="91">
        <f>+'Base personal'!$H107*'Base personal'!$J107*'Base personal'!$L107</f>
        <v>3.4830000000000001</v>
      </c>
      <c r="L107" s="91">
        <v>10</v>
      </c>
      <c r="M107" s="91">
        <f t="shared" si="0"/>
        <v>0</v>
      </c>
      <c r="N107" s="94" t="e">
        <f>M107/VLOOKUP(B107&amp;C107,base!$C$2:$E$27,3,0)</f>
        <v>#N/A</v>
      </c>
    </row>
    <row r="108" spans="1:14" s="91" customFormat="1" x14ac:dyDescent="0.25">
      <c r="A108" s="92">
        <v>44163</v>
      </c>
      <c r="B108" s="91" t="s">
        <v>34</v>
      </c>
      <c r="C108" s="91" t="s">
        <v>45</v>
      </c>
      <c r="D108" s="91" t="s">
        <v>272</v>
      </c>
      <c r="E108" s="91" t="s">
        <v>43</v>
      </c>
      <c r="F108" s="91" t="s">
        <v>13</v>
      </c>
      <c r="G108" s="91">
        <f>2875+2750</f>
        <v>5625</v>
      </c>
      <c r="H108" s="90">
        <f>+'Base personal'!$G108/'Base personal'!$L108</f>
        <v>562.5</v>
      </c>
      <c r="I108" s="108">
        <f>VLOOKUP(B108&amp;C108,base!$C$2:$E$27,3,0)</f>
        <v>700</v>
      </c>
      <c r="J108" s="108">
        <f>VLOOKUP(B108&amp;C108,base!$C$2:$F$27,4,0)</f>
        <v>1.0955714285714286E-3</v>
      </c>
      <c r="K108" s="91">
        <f>+'Base personal'!$H108*'Base personal'!$J108*'Base personal'!$L108</f>
        <v>6.1625892857142865</v>
      </c>
      <c r="L108" s="91">
        <v>10</v>
      </c>
      <c r="M108" s="91">
        <f t="shared" si="0"/>
        <v>562.5</v>
      </c>
      <c r="N108" s="94">
        <f>M108/VLOOKUP(B108&amp;C108,base!$C$2:$E$27,3,0)</f>
        <v>0.8035714285714286</v>
      </c>
    </row>
    <row r="109" spans="1:14" s="91" customFormat="1" x14ac:dyDescent="0.25">
      <c r="A109" s="92">
        <v>44163</v>
      </c>
      <c r="B109" s="91" t="s">
        <v>34</v>
      </c>
      <c r="C109" s="91" t="s">
        <v>45</v>
      </c>
      <c r="D109" s="91" t="s">
        <v>273</v>
      </c>
      <c r="E109" s="91" t="s">
        <v>194</v>
      </c>
      <c r="F109" s="91" t="s">
        <v>170</v>
      </c>
      <c r="G109" s="91">
        <f>2025+2000</f>
        <v>4025</v>
      </c>
      <c r="H109" s="90">
        <f>+'Base personal'!$G109/'Base personal'!$L109</f>
        <v>805</v>
      </c>
      <c r="I109" s="108">
        <f>VLOOKUP(B109&amp;C109,base!$C$2:$E$27,3,0)</f>
        <v>700</v>
      </c>
      <c r="J109" s="108">
        <f>VLOOKUP(B109&amp;C109,base!$C$2:$F$27,4,0)</f>
        <v>1.0955714285714286E-3</v>
      </c>
      <c r="K109" s="91">
        <f>+'Base personal'!$H109*'Base personal'!$J109*'Base personal'!$L109</f>
        <v>4.409675</v>
      </c>
      <c r="L109" s="91">
        <v>5</v>
      </c>
      <c r="M109" s="91">
        <f t="shared" si="0"/>
        <v>805</v>
      </c>
      <c r="N109" s="94">
        <f>M109/VLOOKUP(B109&amp;C109,base!$C$2:$E$27,3,0)</f>
        <v>1.1499999999999999</v>
      </c>
    </row>
    <row r="110" spans="1:14" s="91" customFormat="1" x14ac:dyDescent="0.25">
      <c r="A110" s="92">
        <v>44163</v>
      </c>
      <c r="B110" s="91" t="s">
        <v>115</v>
      </c>
      <c r="E110" s="91" t="s">
        <v>194</v>
      </c>
      <c r="H110" s="90">
        <v>1</v>
      </c>
      <c r="I110" s="108">
        <v>1</v>
      </c>
      <c r="J110" s="75">
        <v>0.3483</v>
      </c>
      <c r="K110" s="91">
        <f>+'Base personal'!$H110*'Base personal'!$J110*'Base personal'!$L110</f>
        <v>1.7415</v>
      </c>
      <c r="L110" s="91">
        <v>5</v>
      </c>
      <c r="M110" s="91">
        <f t="shared" si="0"/>
        <v>0</v>
      </c>
      <c r="N110" s="94" t="e">
        <f>M110/VLOOKUP(B110&amp;C110,base!$C$2:$E$27,3,0)</f>
        <v>#N/A</v>
      </c>
    </row>
    <row r="111" spans="1:14" s="91" customFormat="1" x14ac:dyDescent="0.25">
      <c r="A111" s="92">
        <v>44165</v>
      </c>
      <c r="B111" s="91" t="s">
        <v>111</v>
      </c>
      <c r="C111" s="24" t="s">
        <v>62</v>
      </c>
      <c r="D111" s="91" t="s">
        <v>274</v>
      </c>
      <c r="E111" s="91" t="s">
        <v>57</v>
      </c>
      <c r="F111" s="91" t="s">
        <v>13</v>
      </c>
      <c r="G111" s="91">
        <f>4042/5</f>
        <v>808.4</v>
      </c>
      <c r="H111" s="90">
        <f>+'Base personal'!$G111/'Base personal'!$L111</f>
        <v>80.84</v>
      </c>
      <c r="I111" s="108">
        <f>VLOOKUP(B111&amp;C111,base!$C$2:$E$27,3,0)</f>
        <v>92</v>
      </c>
      <c r="J111" s="108">
        <f>VLOOKUP(B111&amp;C111,base!$C$2:$F$27,4,0)</f>
        <v>5.5570652173913045E-3</v>
      </c>
      <c r="K111" s="91">
        <f>+'Base personal'!$H111*'Base personal'!$J111*'Base personal'!$L111</f>
        <v>4.4923315217391311</v>
      </c>
      <c r="L111" s="91">
        <v>10</v>
      </c>
      <c r="M111" s="91">
        <f t="shared" si="0"/>
        <v>80.84</v>
      </c>
      <c r="N111" s="94">
        <f>M111/VLOOKUP(B111&amp;C111,base!$C$2:$E$27,3,0)</f>
        <v>0.8786956521739131</v>
      </c>
    </row>
    <row r="112" spans="1:14" s="91" customFormat="1" x14ac:dyDescent="0.25">
      <c r="A112" s="92">
        <v>44165</v>
      </c>
      <c r="B112" s="91" t="s">
        <v>111</v>
      </c>
      <c r="C112" s="24" t="s">
        <v>62</v>
      </c>
      <c r="D112" s="91" t="s">
        <v>274</v>
      </c>
      <c r="E112" s="91" t="s">
        <v>63</v>
      </c>
      <c r="F112" s="91" t="s">
        <v>205</v>
      </c>
      <c r="G112" s="91">
        <f t="shared" ref="G112:G115" si="3">4042/5</f>
        <v>808.4</v>
      </c>
      <c r="H112" s="90">
        <f>+'Base personal'!$G112/'Base personal'!$L112</f>
        <v>80.84</v>
      </c>
      <c r="I112" s="108">
        <f>VLOOKUP(B112&amp;C112,base!$C$2:$E$27,3,0)</f>
        <v>92</v>
      </c>
      <c r="J112" s="108">
        <f>VLOOKUP(B112&amp;C112,base!$C$2:$F$27,4,0)</f>
        <v>5.5570652173913045E-3</v>
      </c>
      <c r="K112" s="91">
        <f>+'Base personal'!$H112*'Base personal'!$J112*'Base personal'!$L112</f>
        <v>4.4923315217391311</v>
      </c>
      <c r="L112" s="91">
        <v>10</v>
      </c>
      <c r="M112" s="91">
        <f t="shared" si="0"/>
        <v>80.84</v>
      </c>
      <c r="N112" s="94">
        <f>M112/VLOOKUP(B112&amp;C112,base!$C$2:$E$27,3,0)</f>
        <v>0.8786956521739131</v>
      </c>
    </row>
    <row r="113" spans="1:17" s="91" customFormat="1" x14ac:dyDescent="0.25">
      <c r="A113" s="92">
        <v>44165</v>
      </c>
      <c r="B113" s="91" t="s">
        <v>111</v>
      </c>
      <c r="C113" s="24" t="s">
        <v>62</v>
      </c>
      <c r="D113" s="91" t="s">
        <v>274</v>
      </c>
      <c r="E113" s="91" t="s">
        <v>69</v>
      </c>
      <c r="F113" s="91" t="s">
        <v>205</v>
      </c>
      <c r="G113" s="91">
        <f t="shared" si="3"/>
        <v>808.4</v>
      </c>
      <c r="H113" s="90">
        <f>+'Base personal'!$G113/'Base personal'!$L113</f>
        <v>80.84</v>
      </c>
      <c r="I113" s="108">
        <f>VLOOKUP(B113&amp;C113,base!$C$2:$E$27,3,0)</f>
        <v>92</v>
      </c>
      <c r="J113" s="108">
        <f>VLOOKUP(B113&amp;C113,base!$C$2:$F$27,4,0)</f>
        <v>5.5570652173913045E-3</v>
      </c>
      <c r="K113" s="91">
        <f>+'Base personal'!$H113*'Base personal'!$J113*'Base personal'!$L113</f>
        <v>4.4923315217391311</v>
      </c>
      <c r="L113" s="91">
        <v>10</v>
      </c>
      <c r="M113" s="91">
        <f t="shared" si="0"/>
        <v>80.84</v>
      </c>
      <c r="N113" s="94">
        <f>M113/VLOOKUP(B113&amp;C113,base!$C$2:$E$27,3,0)</f>
        <v>0.8786956521739131</v>
      </c>
    </row>
    <row r="114" spans="1:17" s="91" customFormat="1" x14ac:dyDescent="0.25">
      <c r="A114" s="92">
        <v>44165</v>
      </c>
      <c r="B114" s="91" t="s">
        <v>111</v>
      </c>
      <c r="C114" s="24" t="s">
        <v>62</v>
      </c>
      <c r="D114" s="91" t="s">
        <v>274</v>
      </c>
      <c r="E114" s="91" t="s">
        <v>12</v>
      </c>
      <c r="F114" s="91" t="s">
        <v>205</v>
      </c>
      <c r="G114" s="91">
        <f t="shared" si="3"/>
        <v>808.4</v>
      </c>
      <c r="H114" s="90">
        <f>+'Base personal'!$G114/'Base personal'!$L114</f>
        <v>80.84</v>
      </c>
      <c r="I114" s="108">
        <f>VLOOKUP(B114&amp;C114,base!$C$2:$E$27,3,0)</f>
        <v>92</v>
      </c>
      <c r="J114" s="108">
        <f>VLOOKUP(B114&amp;C114,base!$C$2:$F$27,4,0)</f>
        <v>5.5570652173913045E-3</v>
      </c>
      <c r="K114" s="91">
        <f>+'Base personal'!$H114*'Base personal'!$J114*'Base personal'!$L114</f>
        <v>4.4923315217391311</v>
      </c>
      <c r="L114" s="91">
        <v>10</v>
      </c>
      <c r="M114" s="91">
        <f t="shared" si="0"/>
        <v>80.84</v>
      </c>
      <c r="N114" s="94">
        <f>M114/VLOOKUP(B114&amp;C114,base!$C$2:$E$27,3,0)</f>
        <v>0.8786956521739131</v>
      </c>
    </row>
    <row r="115" spans="1:17" s="91" customFormat="1" x14ac:dyDescent="0.25">
      <c r="A115" s="92">
        <v>44165</v>
      </c>
      <c r="B115" s="91" t="s">
        <v>111</v>
      </c>
      <c r="C115" s="24" t="s">
        <v>62</v>
      </c>
      <c r="D115" s="91" t="s">
        <v>274</v>
      </c>
      <c r="E115" s="91" t="s">
        <v>263</v>
      </c>
      <c r="F115" s="91" t="s">
        <v>205</v>
      </c>
      <c r="G115" s="91">
        <f t="shared" si="3"/>
        <v>808.4</v>
      </c>
      <c r="H115" s="90">
        <f>+'Base personal'!$G115/'Base personal'!$L115</f>
        <v>80.84</v>
      </c>
      <c r="I115" s="108">
        <f>VLOOKUP(B115&amp;C115,base!$C$2:$E$27,3,0)</f>
        <v>92</v>
      </c>
      <c r="J115" s="108">
        <f>VLOOKUP(B115&amp;C115,base!$C$2:$F$27,4,0)</f>
        <v>5.5570652173913045E-3</v>
      </c>
      <c r="K115" s="91">
        <f>+'Base personal'!$H115*'Base personal'!$J115*'Base personal'!$L115</f>
        <v>4.4923315217391311</v>
      </c>
      <c r="L115" s="91">
        <v>10</v>
      </c>
      <c r="M115" s="91">
        <f t="shared" si="0"/>
        <v>80.84</v>
      </c>
      <c r="N115" s="94">
        <f>M115/VLOOKUP(B115&amp;C115,base!$C$2:$E$27,3,0)</f>
        <v>0.8786956521739131</v>
      </c>
    </row>
    <row r="116" spans="1:17" s="91" customFormat="1" x14ac:dyDescent="0.25">
      <c r="A116" s="92">
        <v>44165</v>
      </c>
      <c r="B116" s="91" t="s">
        <v>34</v>
      </c>
      <c r="C116" s="91" t="s">
        <v>45</v>
      </c>
      <c r="D116" s="91">
        <v>905</v>
      </c>
      <c r="E116" s="91" t="s">
        <v>56</v>
      </c>
      <c r="F116" s="91" t="s">
        <v>205</v>
      </c>
      <c r="G116" s="91">
        <v>2000</v>
      </c>
      <c r="H116" s="90">
        <f>+'Base personal'!$G116/'Base personal'!$L116</f>
        <v>250</v>
      </c>
      <c r="I116" s="108">
        <f>VLOOKUP(B116&amp;C116,base!$C$2:$E$27,3,0)</f>
        <v>700</v>
      </c>
      <c r="J116" s="108">
        <f>VLOOKUP(B116&amp;C116,base!$C$2:$F$27,4,0)</f>
        <v>1.0955714285714286E-3</v>
      </c>
      <c r="K116" s="91">
        <f>+'Base personal'!$H116*'Base personal'!$J116*'Base personal'!$L116</f>
        <v>2.1911428571428573</v>
      </c>
      <c r="L116" s="91">
        <v>8</v>
      </c>
      <c r="M116" s="91">
        <f t="shared" si="0"/>
        <v>250</v>
      </c>
      <c r="N116" s="94">
        <f>M116/VLOOKUP(B116&amp;C116,base!$C$2:$E$27,3,0)</f>
        <v>0.35714285714285715</v>
      </c>
    </row>
    <row r="117" spans="1:17" s="91" customFormat="1" x14ac:dyDescent="0.25">
      <c r="A117" s="92">
        <v>44165</v>
      </c>
      <c r="B117" s="91" t="s">
        <v>33</v>
      </c>
      <c r="C117" s="91" t="s">
        <v>45</v>
      </c>
      <c r="D117" s="91">
        <v>1229</v>
      </c>
      <c r="E117" s="91" t="s">
        <v>75</v>
      </c>
      <c r="F117" s="91" t="s">
        <v>13</v>
      </c>
      <c r="G117" s="91">
        <v>2616</v>
      </c>
      <c r="H117" s="90">
        <f>+'Base personal'!$G117/'Base personal'!$L117</f>
        <v>373.71428571428572</v>
      </c>
      <c r="I117" s="108">
        <f>VLOOKUP(B117&amp;C117,base!$C$2:$E$27,3,0)</f>
        <v>700</v>
      </c>
      <c r="J117" s="108">
        <f>VLOOKUP(B117&amp;C117,base!$C$2:$F$27,4,0)</f>
        <v>1.0955714285714286E-3</v>
      </c>
      <c r="K117" s="91">
        <f>+'Base personal'!$H117*'Base personal'!$J117*'Base personal'!$L117</f>
        <v>2.8660148571428574</v>
      </c>
      <c r="L117" s="91">
        <v>7</v>
      </c>
      <c r="M117" s="91">
        <f t="shared" si="0"/>
        <v>373.71428571428572</v>
      </c>
      <c r="N117" s="94">
        <f>M117/VLOOKUP(B117&amp;C117,base!$C$2:$E$27,3,0)</f>
        <v>0.53387755102040813</v>
      </c>
    </row>
    <row r="118" spans="1:17" s="91" customFormat="1" x14ac:dyDescent="0.25">
      <c r="A118" s="92">
        <v>44165</v>
      </c>
      <c r="B118" s="91" t="s">
        <v>38</v>
      </c>
      <c r="E118" s="91" t="s">
        <v>97</v>
      </c>
      <c r="F118" s="91" t="s">
        <v>13</v>
      </c>
      <c r="H118" s="90">
        <v>1</v>
      </c>
      <c r="I118" s="108">
        <v>1</v>
      </c>
      <c r="J118" s="75">
        <v>0.3483</v>
      </c>
      <c r="K118" s="91">
        <f>+'Base personal'!$H118*'Base personal'!$J118*'Base personal'!$L118</f>
        <v>3.4830000000000001</v>
      </c>
      <c r="L118" s="91">
        <v>10</v>
      </c>
      <c r="M118" s="91">
        <f t="shared" si="0"/>
        <v>0</v>
      </c>
      <c r="N118" s="94" t="e">
        <f>M118/VLOOKUP(B118&amp;C118,base!$C$2:$E$27,3,0)</f>
        <v>#N/A</v>
      </c>
    </row>
    <row r="119" spans="1:17" s="91" customFormat="1" x14ac:dyDescent="0.25">
      <c r="A119" s="92">
        <v>44165</v>
      </c>
      <c r="B119" s="91" t="s">
        <v>115</v>
      </c>
      <c r="E119" s="91" t="s">
        <v>236</v>
      </c>
      <c r="F119" s="91" t="s">
        <v>13</v>
      </c>
      <c r="H119" s="90">
        <v>1</v>
      </c>
      <c r="I119" s="108">
        <v>1</v>
      </c>
      <c r="J119" s="75">
        <v>0.3483</v>
      </c>
      <c r="K119" s="91">
        <f>+'Base personal'!$H119*'Base personal'!$J119*'Base personal'!$L119</f>
        <v>3.4830000000000001</v>
      </c>
      <c r="L119" s="91">
        <v>10</v>
      </c>
      <c r="M119" s="91">
        <f t="shared" si="0"/>
        <v>0</v>
      </c>
      <c r="N119" s="94" t="e">
        <f>M119/VLOOKUP(B119&amp;C119,base!$C$2:$E$27,3,0)</f>
        <v>#N/A</v>
      </c>
    </row>
    <row r="120" spans="1:17" s="91" customFormat="1" x14ac:dyDescent="0.25">
      <c r="A120" s="92">
        <v>44165</v>
      </c>
      <c r="B120" s="91" t="s">
        <v>115</v>
      </c>
      <c r="E120" s="91" t="s">
        <v>102</v>
      </c>
      <c r="F120" s="91" t="s">
        <v>13</v>
      </c>
      <c r="H120" s="90">
        <v>1</v>
      </c>
      <c r="I120" s="108">
        <v>1</v>
      </c>
      <c r="J120" s="75">
        <v>0.3483</v>
      </c>
      <c r="K120" s="91">
        <f>+'Base personal'!$H120*'Base personal'!$J120*'Base personal'!$L120</f>
        <v>3.4830000000000001</v>
      </c>
      <c r="L120" s="91">
        <v>10</v>
      </c>
      <c r="M120" s="91">
        <f t="shared" si="0"/>
        <v>0</v>
      </c>
      <c r="N120" s="94" t="e">
        <f>M120/VLOOKUP(B120&amp;C120,base!$C$2:$E$27,3,0)</f>
        <v>#N/A</v>
      </c>
    </row>
    <row r="121" spans="1:17" s="91" customFormat="1" x14ac:dyDescent="0.25">
      <c r="A121" s="92">
        <v>44165</v>
      </c>
      <c r="B121" s="91" t="s">
        <v>40</v>
      </c>
      <c r="E121" s="91" t="s">
        <v>169</v>
      </c>
      <c r="F121" s="91" t="s">
        <v>13</v>
      </c>
      <c r="H121" s="90">
        <v>1</v>
      </c>
      <c r="I121" s="108">
        <v>1</v>
      </c>
      <c r="J121" s="75">
        <v>0.3483</v>
      </c>
      <c r="K121" s="91">
        <f>+'Base personal'!$H121*'Base personal'!$J121*'Base personal'!$L121</f>
        <v>3.4830000000000001</v>
      </c>
      <c r="L121" s="91">
        <v>10</v>
      </c>
      <c r="M121" s="91">
        <f t="shared" si="0"/>
        <v>0</v>
      </c>
      <c r="N121" s="94" t="e">
        <f>M121/VLOOKUP(B121&amp;C121,base!$C$2:$E$27,3,0)</f>
        <v>#N/A</v>
      </c>
    </row>
    <row r="122" spans="1:17" s="91" customFormat="1" x14ac:dyDescent="0.25">
      <c r="A122" s="92">
        <v>44165</v>
      </c>
      <c r="B122" s="91" t="s">
        <v>41</v>
      </c>
      <c r="E122" s="91" t="s">
        <v>168</v>
      </c>
      <c r="F122" s="91" t="s">
        <v>13</v>
      </c>
      <c r="H122" s="90">
        <v>1</v>
      </c>
      <c r="I122" s="108">
        <v>1</v>
      </c>
      <c r="J122" s="75">
        <v>0.3483</v>
      </c>
      <c r="K122" s="91">
        <f>+'Base personal'!$H122*'Base personal'!$J122*'Base personal'!$L122</f>
        <v>3.4830000000000001</v>
      </c>
      <c r="L122" s="91">
        <v>10</v>
      </c>
      <c r="M122" s="91">
        <f t="shared" si="0"/>
        <v>0</v>
      </c>
      <c r="N122" s="94" t="e">
        <f>M122/VLOOKUP(B122&amp;C122,base!$C$2:$E$27,3,0)</f>
        <v>#N/A</v>
      </c>
    </row>
    <row r="123" spans="1:17" x14ac:dyDescent="0.25">
      <c r="A123" s="92">
        <v>44166</v>
      </c>
      <c r="B123" s="91" t="s">
        <v>33</v>
      </c>
      <c r="C123" s="91" t="s">
        <v>234</v>
      </c>
      <c r="D123" s="91">
        <v>1231</v>
      </c>
      <c r="E123" s="91" t="s">
        <v>44</v>
      </c>
      <c r="F123" t="s">
        <v>13</v>
      </c>
      <c r="G123" s="91">
        <f>4728/2</f>
        <v>2364</v>
      </c>
      <c r="H123" s="90">
        <f>+'Base personal'!$G123/'Base personal'!$L123</f>
        <v>262.66666666666669</v>
      </c>
      <c r="I123" s="108">
        <f>VLOOKUP(B123&amp;C123,base!$C$2:$E$27,3,0)</f>
        <v>350</v>
      </c>
      <c r="J123" s="108">
        <f>VLOOKUP(B123&amp;C123,base!$C$2:$F$27,4,0)</f>
        <v>2.1911428571428572E-3</v>
      </c>
      <c r="K123">
        <f>+'Base personal'!$H123*'Base personal'!$J123*'Base personal'!$L123</f>
        <v>5.1798617142857148</v>
      </c>
      <c r="L123" s="91">
        <v>9</v>
      </c>
      <c r="M123" s="91">
        <f t="shared" si="0"/>
        <v>262.66666666666669</v>
      </c>
      <c r="N123" s="94">
        <f>M123/VLOOKUP(B123&amp;C123,base!$C$2:$E$27,3,0)</f>
        <v>0.75047619047619052</v>
      </c>
      <c r="Q123">
        <f t="shared" si="1"/>
        <v>9</v>
      </c>
    </row>
    <row r="124" spans="1:17" x14ac:dyDescent="0.25">
      <c r="A124" s="92">
        <v>44166</v>
      </c>
      <c r="B124" s="91" t="s">
        <v>33</v>
      </c>
      <c r="C124" s="91" t="s">
        <v>47</v>
      </c>
      <c r="D124" s="91">
        <v>1232</v>
      </c>
      <c r="E124" s="91" t="s">
        <v>77</v>
      </c>
      <c r="F124" t="s">
        <v>13</v>
      </c>
      <c r="G124" s="93">
        <v>794</v>
      </c>
      <c r="H124" s="90">
        <f>+'Base personal'!$G124/'Base personal'!$L124</f>
        <v>88.222222222222229</v>
      </c>
      <c r="I124" s="108">
        <f>VLOOKUP(B124&amp;C124,base!$C$2:$E$27,3,0)</f>
        <v>70</v>
      </c>
      <c r="J124" s="108">
        <f>VLOOKUP(B124&amp;C124,base!$C$2:$F$27,4,0)</f>
        <v>2.1911428571428572E-3</v>
      </c>
      <c r="K124">
        <f>+'Base personal'!$H124*'Base personal'!$J124*'Base personal'!$L124</f>
        <v>1.7397674285714286</v>
      </c>
      <c r="L124" s="91">
        <v>9</v>
      </c>
      <c r="M124" s="91">
        <f t="shared" si="0"/>
        <v>88.222222222222229</v>
      </c>
      <c r="N124" s="94">
        <f>M124/VLOOKUP(B124&amp;C124,base!$C$2:$E$27,3,0)</f>
        <v>1.2603174603174605</v>
      </c>
      <c r="Q124">
        <f t="shared" si="1"/>
        <v>9</v>
      </c>
    </row>
    <row r="125" spans="1:17" x14ac:dyDescent="0.25">
      <c r="A125" s="92">
        <v>44166</v>
      </c>
      <c r="B125" s="91" t="s">
        <v>33</v>
      </c>
      <c r="C125" s="91" t="s">
        <v>47</v>
      </c>
      <c r="D125" s="91">
        <v>1232</v>
      </c>
      <c r="E125" s="91" t="s">
        <v>96</v>
      </c>
      <c r="F125" t="s">
        <v>13</v>
      </c>
      <c r="G125" s="93">
        <v>794</v>
      </c>
      <c r="H125" s="90">
        <f>+'Base personal'!$G125/'Base personal'!$L125</f>
        <v>88.222222222222229</v>
      </c>
      <c r="I125" s="108">
        <f>VLOOKUP(B125&amp;C125,base!$C$2:$E$27,3,0)</f>
        <v>70</v>
      </c>
      <c r="J125" s="108">
        <f>VLOOKUP(B125&amp;C125,base!$C$2:$F$27,4,0)</f>
        <v>2.1911428571428572E-3</v>
      </c>
      <c r="K125">
        <f>+'Base personal'!$H125*'Base personal'!$J125*'Base personal'!$L125</f>
        <v>1.7397674285714286</v>
      </c>
      <c r="L125" s="91">
        <v>9</v>
      </c>
      <c r="M125" s="91">
        <f t="shared" si="0"/>
        <v>88.222222222222229</v>
      </c>
      <c r="N125" s="94">
        <f>M125/VLOOKUP(B125&amp;C125,base!$C$2:$E$27,3,0)</f>
        <v>1.2603174603174605</v>
      </c>
      <c r="Q125">
        <f t="shared" si="1"/>
        <v>9</v>
      </c>
    </row>
    <row r="126" spans="1:17" x14ac:dyDescent="0.25">
      <c r="A126" s="92">
        <v>44166</v>
      </c>
      <c r="B126" s="91" t="s">
        <v>33</v>
      </c>
      <c r="C126" s="91" t="s">
        <v>47</v>
      </c>
      <c r="D126" s="91">
        <v>1232</v>
      </c>
      <c r="E126" s="91" t="s">
        <v>43</v>
      </c>
      <c r="F126" t="s">
        <v>13</v>
      </c>
      <c r="G126" s="93">
        <v>794</v>
      </c>
      <c r="H126" s="90">
        <f>+'Base personal'!$G126/'Base personal'!$L126</f>
        <v>88.222222222222229</v>
      </c>
      <c r="I126" s="108">
        <f>VLOOKUP(B126&amp;C126,base!$C$2:$E$27,3,0)</f>
        <v>70</v>
      </c>
      <c r="J126" s="108">
        <f>VLOOKUP(B126&amp;C126,base!$C$2:$F$27,4,0)</f>
        <v>2.1911428571428572E-3</v>
      </c>
      <c r="K126">
        <f>+'Base personal'!$H126*'Base personal'!$J126*'Base personal'!$L126</f>
        <v>1.7397674285714286</v>
      </c>
      <c r="L126" s="91">
        <v>9</v>
      </c>
      <c r="M126" s="91">
        <f t="shared" si="0"/>
        <v>88.222222222222229</v>
      </c>
      <c r="N126" s="94">
        <f>M126/VLOOKUP(B126&amp;C126,base!$C$2:$E$27,3,0)</f>
        <v>1.2603174603174605</v>
      </c>
      <c r="Q126">
        <f t="shared" si="1"/>
        <v>9</v>
      </c>
    </row>
    <row r="127" spans="1:17" x14ac:dyDescent="0.25">
      <c r="A127" s="92">
        <v>44166</v>
      </c>
      <c r="B127" s="91" t="s">
        <v>33</v>
      </c>
      <c r="C127" s="91" t="s">
        <v>47</v>
      </c>
      <c r="D127" s="91">
        <v>1232</v>
      </c>
      <c r="E127" s="91" t="s">
        <v>72</v>
      </c>
      <c r="F127" t="s">
        <v>13</v>
      </c>
      <c r="G127" s="93">
        <v>794</v>
      </c>
      <c r="H127" s="90">
        <f>+'Base personal'!$G127/'Base personal'!$L127</f>
        <v>88.222222222222229</v>
      </c>
      <c r="I127" s="108">
        <f>VLOOKUP(B127&amp;C127,base!$C$2:$E$27,3,0)</f>
        <v>70</v>
      </c>
      <c r="J127" s="108">
        <f>VLOOKUP(B127&amp;C127,base!$C$2:$F$27,4,0)</f>
        <v>2.1911428571428572E-3</v>
      </c>
      <c r="K127">
        <f>+'Base personal'!$H127*'Base personal'!$J127*'Base personal'!$L127</f>
        <v>1.7397674285714286</v>
      </c>
      <c r="L127" s="91">
        <v>9</v>
      </c>
      <c r="M127" s="91">
        <f t="shared" si="0"/>
        <v>88.222222222222229</v>
      </c>
      <c r="N127" s="94">
        <f>M127/VLOOKUP(B127&amp;C127,base!$C$2:$E$27,3,0)</f>
        <v>1.2603174603174605</v>
      </c>
      <c r="Q127">
        <f t="shared" si="1"/>
        <v>9</v>
      </c>
    </row>
    <row r="128" spans="1:17" x14ac:dyDescent="0.25">
      <c r="A128" s="92">
        <v>44166</v>
      </c>
      <c r="B128" s="91" t="s">
        <v>33</v>
      </c>
      <c r="C128" s="91" t="s">
        <v>47</v>
      </c>
      <c r="D128" s="91">
        <v>1232</v>
      </c>
      <c r="E128" s="91" t="s">
        <v>58</v>
      </c>
      <c r="F128" t="s">
        <v>13</v>
      </c>
      <c r="G128" s="93">
        <v>794</v>
      </c>
      <c r="H128" s="90">
        <f>+'Base personal'!$G128/'Base personal'!$L128</f>
        <v>88.222222222222229</v>
      </c>
      <c r="I128" s="108">
        <f>VLOOKUP(B128&amp;C128,base!$C$2:$E$27,3,0)</f>
        <v>70</v>
      </c>
      <c r="J128" s="108">
        <f>VLOOKUP(B128&amp;C128,base!$C$2:$F$27,4,0)</f>
        <v>2.1911428571428572E-3</v>
      </c>
      <c r="K128">
        <f>+'Base personal'!$H128*'Base personal'!$J128*'Base personal'!$L128</f>
        <v>1.7397674285714286</v>
      </c>
      <c r="L128" s="91">
        <v>9</v>
      </c>
      <c r="M128" s="91">
        <f t="shared" si="0"/>
        <v>88.222222222222229</v>
      </c>
      <c r="N128" s="94">
        <f>M128/VLOOKUP(B128&amp;C128,base!$C$2:$E$27,3,0)</f>
        <v>1.2603174603174605</v>
      </c>
      <c r="Q128">
        <f t="shared" si="1"/>
        <v>9</v>
      </c>
    </row>
    <row r="129" spans="1:17" x14ac:dyDescent="0.25">
      <c r="A129" s="92">
        <v>44167</v>
      </c>
      <c r="B129" s="91" t="s">
        <v>29</v>
      </c>
      <c r="C129" s="91" t="s">
        <v>86</v>
      </c>
      <c r="D129" s="91">
        <v>153</v>
      </c>
      <c r="E129" s="91" t="s">
        <v>56</v>
      </c>
      <c r="F129" t="s">
        <v>13</v>
      </c>
      <c r="G129" s="91">
        <v>1004</v>
      </c>
      <c r="H129" s="90">
        <f>+'Base personal'!$G129/'Base personal'!$L129</f>
        <v>100.4</v>
      </c>
      <c r="I129" s="108">
        <f>VLOOKUP(B129&amp;C129,base!$C$2:$E$27,3,0)</f>
        <v>75</v>
      </c>
      <c r="J129" s="108">
        <f>VLOOKUP(B129&amp;C129,base!$C$2:$F$27,4,0)</f>
        <v>1.0225333333333333E-2</v>
      </c>
      <c r="K129">
        <f>+'Base personal'!$H129*'Base personal'!$J129*'Base personal'!$L129</f>
        <v>10.266234666666668</v>
      </c>
      <c r="L129" s="91">
        <v>10</v>
      </c>
      <c r="M129" s="91">
        <f t="shared" si="0"/>
        <v>100.4</v>
      </c>
      <c r="N129" s="94">
        <f>M129/VLOOKUP(B129&amp;C129,base!$C$2:$E$27,3,0)</f>
        <v>1.3386666666666667</v>
      </c>
      <c r="O129">
        <v>2</v>
      </c>
      <c r="P129" t="s">
        <v>70</v>
      </c>
      <c r="Q129">
        <f t="shared" si="1"/>
        <v>12</v>
      </c>
    </row>
    <row r="130" spans="1:17" x14ac:dyDescent="0.25">
      <c r="A130" s="92">
        <v>44167</v>
      </c>
      <c r="B130" s="91" t="s">
        <v>36</v>
      </c>
      <c r="C130" s="91" t="s">
        <v>45</v>
      </c>
      <c r="D130" s="91">
        <v>364</v>
      </c>
      <c r="E130" s="91" t="s">
        <v>44</v>
      </c>
      <c r="F130" t="s">
        <v>13</v>
      </c>
      <c r="G130" s="91">
        <f>335+376+398+423</f>
        <v>1532</v>
      </c>
      <c r="H130" s="90">
        <f>+'Base personal'!$G130/'Base personal'!$L130</f>
        <v>383</v>
      </c>
      <c r="I130" s="108">
        <f>VLOOKUP(B130&amp;C130,base!$C$2:$E$27,3,0)</f>
        <v>500</v>
      </c>
      <c r="J130" s="108">
        <f>VLOOKUP(B130&amp;C130,base!$C$2:$F$27,4,0)</f>
        <v>1.0225E-3</v>
      </c>
      <c r="K130">
        <f>+'Base personal'!$H130*'Base personal'!$J130*'Base personal'!$L130</f>
        <v>1.56647</v>
      </c>
      <c r="L130" s="91">
        <v>4</v>
      </c>
      <c r="M130" s="91">
        <f t="shared" si="0"/>
        <v>383</v>
      </c>
      <c r="N130" s="94">
        <f>M130/VLOOKUP(B130&amp;C130,base!$C$2:$E$27,3,0)</f>
        <v>0.76600000000000001</v>
      </c>
      <c r="Q130">
        <f t="shared" si="1"/>
        <v>4</v>
      </c>
    </row>
    <row r="131" spans="1:17" x14ac:dyDescent="0.25">
      <c r="A131" s="92">
        <v>44167</v>
      </c>
      <c r="B131" s="91" t="s">
        <v>115</v>
      </c>
      <c r="C131" s="91"/>
      <c r="D131" s="91"/>
      <c r="E131" s="91" t="s">
        <v>44</v>
      </c>
      <c r="F131" t="s">
        <v>13</v>
      </c>
      <c r="G131" s="91"/>
      <c r="H131" s="90">
        <v>1</v>
      </c>
      <c r="I131" s="108">
        <v>1</v>
      </c>
      <c r="J131" s="75">
        <v>0.3483</v>
      </c>
      <c r="K131">
        <f>+'Base personal'!$H131*'Base personal'!$J131*'Base personal'!$L131</f>
        <v>2.0897999999999999</v>
      </c>
      <c r="L131" s="91">
        <v>6</v>
      </c>
      <c r="M131" s="91">
        <f t="shared" si="0"/>
        <v>0</v>
      </c>
      <c r="N131" s="94" t="e">
        <f>M131/VLOOKUP(B131&amp;C131,base!$C$2:$E$27,3,0)</f>
        <v>#N/A</v>
      </c>
      <c r="Q131">
        <f t="shared" si="1"/>
        <v>6</v>
      </c>
    </row>
    <row r="132" spans="1:17" x14ac:dyDescent="0.25">
      <c r="A132" s="92">
        <v>44167</v>
      </c>
      <c r="B132" s="91" t="s">
        <v>33</v>
      </c>
      <c r="C132" s="91" t="s">
        <v>47</v>
      </c>
      <c r="D132" s="91">
        <v>1233</v>
      </c>
      <c r="E132" s="91" t="s">
        <v>75</v>
      </c>
      <c r="F132" t="s">
        <v>13</v>
      </c>
      <c r="G132" s="91">
        <v>558.66999999999996</v>
      </c>
      <c r="H132" s="90">
        <f>+'Base personal'!$G132/'Base personal'!$L132</f>
        <v>69.833749999999995</v>
      </c>
      <c r="I132" s="108">
        <f>VLOOKUP(B132&amp;C132,base!$C$2:$E$27,3,0)</f>
        <v>70</v>
      </c>
      <c r="J132" s="108">
        <f>VLOOKUP(B132&amp;C132,base!$C$2:$F$27,4,0)</f>
        <v>2.1911428571428572E-3</v>
      </c>
      <c r="K132">
        <f>+'Base personal'!$H132*'Base personal'!$J132*'Base personal'!$L132</f>
        <v>1.2241257800000001</v>
      </c>
      <c r="L132" s="91">
        <v>8</v>
      </c>
      <c r="M132" s="91">
        <f t="shared" si="0"/>
        <v>69.833749999999995</v>
      </c>
      <c r="N132" s="94">
        <f>M132/VLOOKUP(B132&amp;C132,base!$C$2:$E$27,3,0)</f>
        <v>0.99762499999999987</v>
      </c>
      <c r="Q132">
        <f t="shared" si="1"/>
        <v>8</v>
      </c>
    </row>
    <row r="133" spans="1:17" x14ac:dyDescent="0.25">
      <c r="A133" s="92">
        <v>44167</v>
      </c>
      <c r="B133" s="91" t="s">
        <v>33</v>
      </c>
      <c r="C133" s="91" t="s">
        <v>47</v>
      </c>
      <c r="D133" s="91">
        <v>1233</v>
      </c>
      <c r="E133" s="91" t="s">
        <v>102</v>
      </c>
      <c r="F133" t="s">
        <v>13</v>
      </c>
      <c r="G133" s="91">
        <v>558.66999999999996</v>
      </c>
      <c r="H133" s="90">
        <f>+'Base personal'!$G133/'Base personal'!$L133</f>
        <v>69.833749999999995</v>
      </c>
      <c r="I133" s="108">
        <f>VLOOKUP(B133&amp;C133,base!$C$2:$E$27,3,0)</f>
        <v>70</v>
      </c>
      <c r="J133" s="108">
        <f>VLOOKUP(B133&amp;C133,base!$C$2:$F$27,4,0)</f>
        <v>2.1911428571428572E-3</v>
      </c>
      <c r="K133">
        <f>+'Base personal'!$H133*'Base personal'!$J133*'Base personal'!$L133</f>
        <v>1.2241257800000001</v>
      </c>
      <c r="L133" s="91">
        <v>8</v>
      </c>
      <c r="M133" s="91">
        <f t="shared" si="0"/>
        <v>69.833749999999995</v>
      </c>
      <c r="N133" s="94">
        <f>M133/VLOOKUP(B133&amp;C133,base!$C$2:$E$27,3,0)</f>
        <v>0.99762499999999987</v>
      </c>
      <c r="Q133">
        <f t="shared" si="1"/>
        <v>8</v>
      </c>
    </row>
    <row r="134" spans="1:17" s="91" customFormat="1" x14ac:dyDescent="0.25">
      <c r="A134" s="92">
        <v>44167</v>
      </c>
      <c r="B134" s="91" t="s">
        <v>33</v>
      </c>
      <c r="C134" s="91" t="s">
        <v>47</v>
      </c>
      <c r="D134" s="91">
        <v>1233</v>
      </c>
      <c r="E134" s="91" t="s">
        <v>194</v>
      </c>
      <c r="F134" s="91" t="s">
        <v>13</v>
      </c>
      <c r="G134" s="91">
        <v>355</v>
      </c>
      <c r="H134" s="90">
        <f>+'Base personal'!$G134/'Base personal'!$L134</f>
        <v>71</v>
      </c>
      <c r="I134" s="108">
        <f>VLOOKUP(B134&amp;C134,base!$C$2:$E$27,3,0)</f>
        <v>70</v>
      </c>
      <c r="J134" s="108">
        <f>VLOOKUP(B134&amp;C134,base!$C$2:$F$27,4,0)</f>
        <v>2.1911428571428572E-3</v>
      </c>
      <c r="K134" s="91">
        <f>+'Base personal'!$H134*'Base personal'!$J134*'Base personal'!$L134</f>
        <v>0.77785571428571432</v>
      </c>
      <c r="L134" s="91">
        <v>5</v>
      </c>
      <c r="M134" s="91">
        <f t="shared" si="0"/>
        <v>71</v>
      </c>
      <c r="N134" s="94">
        <f>M134/VLOOKUP(B134&amp;C134,base!$C$2:$E$27,3,0)</f>
        <v>1.0142857142857142</v>
      </c>
      <c r="Q134" s="91">
        <f t="shared" si="1"/>
        <v>5</v>
      </c>
    </row>
    <row r="135" spans="1:17" x14ac:dyDescent="0.25">
      <c r="A135" s="92">
        <v>44167</v>
      </c>
      <c r="B135" s="91" t="s">
        <v>33</v>
      </c>
      <c r="C135" s="91" t="s">
        <v>47</v>
      </c>
      <c r="D135" s="91">
        <v>1233</v>
      </c>
      <c r="E135" s="91" t="s">
        <v>97</v>
      </c>
      <c r="F135" t="s">
        <v>13</v>
      </c>
      <c r="G135" s="91">
        <v>558.66</v>
      </c>
      <c r="H135" s="90">
        <f>+'Base personal'!$G135/'Base personal'!$L135</f>
        <v>69.832499999999996</v>
      </c>
      <c r="I135" s="108">
        <f>VLOOKUP(B135&amp;C135,base!$C$2:$E$27,3,0)</f>
        <v>70</v>
      </c>
      <c r="J135" s="108">
        <f>VLOOKUP(B135&amp;C135,base!$C$2:$F$27,4,0)</f>
        <v>2.1911428571428572E-3</v>
      </c>
      <c r="K135" s="91">
        <f>+'Base personal'!$H135*'Base personal'!$J135*'Base personal'!$L135</f>
        <v>1.2241038685714285</v>
      </c>
      <c r="L135" s="91">
        <v>8</v>
      </c>
      <c r="M135" s="91">
        <f t="shared" si="0"/>
        <v>69.832499999999996</v>
      </c>
      <c r="N135" s="94">
        <f>M135/VLOOKUP(B135&amp;C135,base!$C$2:$E$27,3,0)</f>
        <v>0.9976071428571428</v>
      </c>
      <c r="Q135">
        <f t="shared" si="1"/>
        <v>8</v>
      </c>
    </row>
    <row r="136" spans="1:17" x14ac:dyDescent="0.25">
      <c r="A136" s="92">
        <v>44167</v>
      </c>
      <c r="B136" s="91" t="s">
        <v>115</v>
      </c>
      <c r="C136" s="91"/>
      <c r="D136" s="91"/>
      <c r="E136" s="91" t="s">
        <v>75</v>
      </c>
      <c r="F136" t="s">
        <v>13</v>
      </c>
      <c r="G136" s="91"/>
      <c r="H136" s="90">
        <v>1</v>
      </c>
      <c r="I136" s="108">
        <v>1</v>
      </c>
      <c r="J136" s="75">
        <v>0.3483</v>
      </c>
      <c r="K136">
        <f>+'Base personal'!$H136*'Base personal'!$J136*'Base personal'!$L136</f>
        <v>0.6966</v>
      </c>
      <c r="L136" s="91">
        <v>2</v>
      </c>
      <c r="M136" s="91">
        <f t="shared" si="0"/>
        <v>0</v>
      </c>
      <c r="N136" s="94" t="e">
        <f>M136/VLOOKUP(B136&amp;C136,base!$C$2:$E$27,3,0)</f>
        <v>#N/A</v>
      </c>
      <c r="O136">
        <v>1</v>
      </c>
      <c r="P136" t="s">
        <v>76</v>
      </c>
      <c r="Q136">
        <f t="shared" si="1"/>
        <v>3</v>
      </c>
    </row>
    <row r="137" spans="1:17" x14ac:dyDescent="0.25">
      <c r="A137" s="92">
        <v>44167</v>
      </c>
      <c r="B137" s="91" t="s">
        <v>115</v>
      </c>
      <c r="C137" s="91"/>
      <c r="D137" s="91"/>
      <c r="E137" s="91" t="s">
        <v>102</v>
      </c>
      <c r="F137" t="s">
        <v>13</v>
      </c>
      <c r="G137" s="91"/>
      <c r="H137" s="90">
        <v>1</v>
      </c>
      <c r="I137" s="108">
        <v>1</v>
      </c>
      <c r="J137" s="75">
        <v>0.3483</v>
      </c>
      <c r="K137">
        <f>+'Base personal'!$H137*'Base personal'!$J137*'Base personal'!$L137</f>
        <v>0.6966</v>
      </c>
      <c r="L137" s="91">
        <v>2</v>
      </c>
      <c r="M137" s="91">
        <f t="shared" si="0"/>
        <v>0</v>
      </c>
      <c r="N137" s="94" t="e">
        <f>M137/VLOOKUP(B137&amp;C137,base!$C$2:$E$27,3,0)</f>
        <v>#N/A</v>
      </c>
      <c r="O137">
        <v>1</v>
      </c>
      <c r="P137" t="s">
        <v>76</v>
      </c>
      <c r="Q137">
        <f t="shared" si="1"/>
        <v>3</v>
      </c>
    </row>
    <row r="138" spans="1:17" x14ac:dyDescent="0.25">
      <c r="A138" s="92">
        <v>44167</v>
      </c>
      <c r="B138" s="91" t="s">
        <v>115</v>
      </c>
      <c r="C138" s="91"/>
      <c r="D138" s="91"/>
      <c r="E138" s="91" t="s">
        <v>194</v>
      </c>
      <c r="F138" t="s">
        <v>13</v>
      </c>
      <c r="G138" s="91"/>
      <c r="H138" s="90">
        <v>1</v>
      </c>
      <c r="I138" s="108">
        <v>1</v>
      </c>
      <c r="J138" s="75">
        <v>0.3483</v>
      </c>
      <c r="K138">
        <f>+'Base personal'!$H138*'Base personal'!$J138*'Base personal'!$L138</f>
        <v>0.6966</v>
      </c>
      <c r="L138" s="91">
        <v>2</v>
      </c>
      <c r="M138" s="91">
        <f t="shared" si="0"/>
        <v>0</v>
      </c>
      <c r="N138" s="94" t="e">
        <f>M138/VLOOKUP(B138&amp;C138,base!$C$2:$E$27,3,0)</f>
        <v>#N/A</v>
      </c>
      <c r="Q138">
        <f t="shared" si="1"/>
        <v>2</v>
      </c>
    </row>
    <row r="139" spans="1:17" x14ac:dyDescent="0.25">
      <c r="A139" s="92">
        <v>44167</v>
      </c>
      <c r="B139" s="91" t="s">
        <v>115</v>
      </c>
      <c r="C139" s="91"/>
      <c r="D139" s="91"/>
      <c r="E139" s="91" t="s">
        <v>97</v>
      </c>
      <c r="F139" t="s">
        <v>13</v>
      </c>
      <c r="G139" s="91"/>
      <c r="H139" s="90">
        <v>1</v>
      </c>
      <c r="I139" s="108">
        <v>1</v>
      </c>
      <c r="J139" s="75">
        <v>0.3483</v>
      </c>
      <c r="K139">
        <f>+'Base personal'!$H139*'Base personal'!$J139*'Base personal'!$L139</f>
        <v>0.6966</v>
      </c>
      <c r="L139" s="91">
        <v>2</v>
      </c>
      <c r="M139" s="91">
        <f t="shared" si="0"/>
        <v>0</v>
      </c>
      <c r="N139" s="94" t="e">
        <f>M139/VLOOKUP(B139&amp;C139,base!$C$2:$E$27,3,0)</f>
        <v>#N/A</v>
      </c>
      <c r="Q139">
        <f t="shared" si="1"/>
        <v>2</v>
      </c>
    </row>
    <row r="140" spans="1:17" x14ac:dyDescent="0.25">
      <c r="A140" s="92">
        <v>44167</v>
      </c>
      <c r="B140" s="91" t="s">
        <v>33</v>
      </c>
      <c r="C140" s="91" t="s">
        <v>47</v>
      </c>
      <c r="D140" s="91">
        <v>1234</v>
      </c>
      <c r="E140" s="91" t="s">
        <v>77</v>
      </c>
      <c r="F140" t="s">
        <v>13</v>
      </c>
      <c r="G140" s="91">
        <v>741.5</v>
      </c>
      <c r="H140" s="90">
        <f>+'Base personal'!$G140/'Base personal'!$L140</f>
        <v>74.150000000000006</v>
      </c>
      <c r="I140" s="108">
        <f>VLOOKUP(B140&amp;C140,base!$C$2:$E$27,3,0)</f>
        <v>70</v>
      </c>
      <c r="J140" s="108">
        <f>VLOOKUP(B140&amp;C140,base!$C$2:$F$27,4,0)</f>
        <v>2.1911428571428572E-3</v>
      </c>
      <c r="K140">
        <f>+'Base personal'!$H140*'Base personal'!$J140*'Base personal'!$L140</f>
        <v>1.6247324285714289</v>
      </c>
      <c r="L140" s="91">
        <v>10</v>
      </c>
      <c r="M140" s="91">
        <f t="shared" si="0"/>
        <v>74.150000000000006</v>
      </c>
      <c r="N140" s="94">
        <f>M140/VLOOKUP(B140&amp;C140,base!$C$2:$E$27,3,0)</f>
        <v>1.0592857142857144</v>
      </c>
      <c r="Q140">
        <f t="shared" si="1"/>
        <v>10</v>
      </c>
    </row>
    <row r="141" spans="1:17" x14ac:dyDescent="0.25">
      <c r="A141" s="92">
        <v>44167</v>
      </c>
      <c r="B141" s="91" t="s">
        <v>33</v>
      </c>
      <c r="C141" s="91" t="s">
        <v>47</v>
      </c>
      <c r="D141" s="91">
        <v>1234</v>
      </c>
      <c r="E141" s="91" t="s">
        <v>96</v>
      </c>
      <c r="F141" t="s">
        <v>13</v>
      </c>
      <c r="G141" s="91">
        <v>741.5</v>
      </c>
      <c r="H141" s="90">
        <f>+'Base personal'!$G141/'Base personal'!$L141</f>
        <v>74.150000000000006</v>
      </c>
      <c r="I141" s="108">
        <f>VLOOKUP(B141&amp;C141,base!$C$2:$E$27,3,0)</f>
        <v>70</v>
      </c>
      <c r="J141" s="108">
        <f>VLOOKUP(B141&amp;C141,base!$C$2:$F$27,4,0)</f>
        <v>2.1911428571428572E-3</v>
      </c>
      <c r="K141">
        <f>+'Base personal'!$H141*'Base personal'!$J141*'Base personal'!$L141</f>
        <v>1.6247324285714289</v>
      </c>
      <c r="L141" s="91">
        <v>10</v>
      </c>
      <c r="M141" s="91">
        <f t="shared" si="0"/>
        <v>74.150000000000006</v>
      </c>
      <c r="N141" s="94">
        <f>M141/VLOOKUP(B141&amp;C141,base!$C$2:$E$27,3,0)</f>
        <v>1.0592857142857144</v>
      </c>
      <c r="Q141">
        <f t="shared" si="1"/>
        <v>10</v>
      </c>
    </row>
    <row r="142" spans="1:17" x14ac:dyDescent="0.25">
      <c r="A142" s="92">
        <v>44168</v>
      </c>
      <c r="B142" s="91" t="s">
        <v>113</v>
      </c>
      <c r="C142" s="91" t="s">
        <v>71</v>
      </c>
      <c r="D142" s="91">
        <v>122</v>
      </c>
      <c r="E142" s="91" t="s">
        <v>56</v>
      </c>
      <c r="F142" t="s">
        <v>13</v>
      </c>
      <c r="G142" s="91">
        <v>120</v>
      </c>
      <c r="H142" s="90">
        <f>+'Base personal'!$G142/'Base personal'!$L142</f>
        <v>40</v>
      </c>
      <c r="I142" s="108">
        <f>VLOOKUP(B142&amp;C142,base!$C$2:$E$27,3,0)</f>
        <v>45</v>
      </c>
      <c r="J142" s="108">
        <f>VLOOKUP(B142&amp;C142,base!$C$2:$F$27,4,0)</f>
        <v>1.1361111111111112E-2</v>
      </c>
      <c r="K142">
        <f>+'Base personal'!$H142*'Base personal'!$J142*'Base personal'!$L142</f>
        <v>1.3633333333333335</v>
      </c>
      <c r="L142" s="91">
        <v>3</v>
      </c>
      <c r="M142" s="91">
        <f t="shared" si="0"/>
        <v>40</v>
      </c>
      <c r="N142" s="94">
        <f>M142/VLOOKUP(B142&amp;C142,base!$C$2:$E$27,3,0)</f>
        <v>0.88888888888888884</v>
      </c>
      <c r="P142" t="s">
        <v>103</v>
      </c>
      <c r="Q142">
        <f t="shared" si="1"/>
        <v>3</v>
      </c>
    </row>
    <row r="143" spans="1:17" x14ac:dyDescent="0.25">
      <c r="A143" s="92">
        <v>44168</v>
      </c>
      <c r="B143" s="91" t="s">
        <v>38</v>
      </c>
      <c r="C143" s="91"/>
      <c r="D143" s="91"/>
      <c r="E143" s="91" t="s">
        <v>56</v>
      </c>
      <c r="F143" t="s">
        <v>13</v>
      </c>
      <c r="G143" s="91"/>
      <c r="H143" s="90">
        <v>1</v>
      </c>
      <c r="I143" s="108">
        <v>1</v>
      </c>
      <c r="J143" s="75">
        <v>0.3483</v>
      </c>
      <c r="K143">
        <f>+'Base personal'!$H143*'Base personal'!$J143*'Base personal'!$L143</f>
        <v>1.0448999999999999</v>
      </c>
      <c r="L143" s="91">
        <v>3</v>
      </c>
      <c r="M143" s="91">
        <f t="shared" si="0"/>
        <v>0</v>
      </c>
      <c r="N143" s="94" t="e">
        <f>M143/VLOOKUP(B143&amp;C143,base!$C$2:$E$27,3,0)</f>
        <v>#N/A</v>
      </c>
      <c r="P143" t="s">
        <v>103</v>
      </c>
      <c r="Q143">
        <f t="shared" si="1"/>
        <v>3</v>
      </c>
    </row>
    <row r="144" spans="1:17" x14ac:dyDescent="0.25">
      <c r="A144" s="92">
        <v>44168</v>
      </c>
      <c r="B144" s="91" t="s">
        <v>115</v>
      </c>
      <c r="C144" s="91"/>
      <c r="D144" s="91"/>
      <c r="E144" s="91" t="s">
        <v>56</v>
      </c>
      <c r="F144" t="s">
        <v>13</v>
      </c>
      <c r="G144" s="91"/>
      <c r="H144" s="90">
        <v>1</v>
      </c>
      <c r="I144" s="108">
        <v>1</v>
      </c>
      <c r="J144" s="75">
        <v>0.3483</v>
      </c>
      <c r="K144">
        <f>+'Base personal'!$H144*'Base personal'!$J144*'Base personal'!$L144</f>
        <v>1.3932</v>
      </c>
      <c r="L144" s="91">
        <v>4</v>
      </c>
      <c r="M144" s="91">
        <f t="shared" si="0"/>
        <v>0</v>
      </c>
      <c r="N144" s="94" t="e">
        <f>M144/VLOOKUP(B144&amp;C144,base!$C$2:$E$27,3,0)</f>
        <v>#N/A</v>
      </c>
      <c r="Q144">
        <f t="shared" si="1"/>
        <v>4</v>
      </c>
    </row>
    <row r="145" spans="1:17" x14ac:dyDescent="0.25">
      <c r="A145" s="92">
        <v>44168</v>
      </c>
      <c r="B145" s="91" t="s">
        <v>113</v>
      </c>
      <c r="C145" s="91" t="s">
        <v>71</v>
      </c>
      <c r="D145" s="91">
        <v>122</v>
      </c>
      <c r="E145" s="91" t="s">
        <v>236</v>
      </c>
      <c r="F145" t="s">
        <v>13</v>
      </c>
      <c r="G145" s="91">
        <v>308</v>
      </c>
      <c r="H145" s="90">
        <f>+'Base personal'!$G145/'Base personal'!$L145</f>
        <v>44</v>
      </c>
      <c r="I145" s="108">
        <f>VLOOKUP(B145&amp;C145,base!$C$2:$E$27,3,0)</f>
        <v>45</v>
      </c>
      <c r="J145" s="108">
        <f>VLOOKUP(B145&amp;C145,base!$C$2:$F$27,4,0)</f>
        <v>1.1361111111111112E-2</v>
      </c>
      <c r="K145">
        <f>+'Base personal'!$H145*'Base personal'!$J145*'Base personal'!$L145</f>
        <v>3.4992222222222225</v>
      </c>
      <c r="L145" s="91">
        <v>7</v>
      </c>
      <c r="M145" s="91">
        <f t="shared" si="0"/>
        <v>44</v>
      </c>
      <c r="N145" s="94">
        <f>M145/VLOOKUP(B145&amp;C145,base!$C$2:$E$27,3,0)</f>
        <v>0.97777777777777775</v>
      </c>
      <c r="Q145">
        <f t="shared" si="1"/>
        <v>7</v>
      </c>
    </row>
    <row r="146" spans="1:17" x14ac:dyDescent="0.25">
      <c r="A146" s="92">
        <v>44168</v>
      </c>
      <c r="B146" s="91" t="s">
        <v>38</v>
      </c>
      <c r="C146" s="91"/>
      <c r="D146" s="91"/>
      <c r="E146" s="91" t="s">
        <v>236</v>
      </c>
      <c r="F146" t="s">
        <v>13</v>
      </c>
      <c r="G146" s="91"/>
      <c r="H146" s="90">
        <v>1</v>
      </c>
      <c r="I146" s="108">
        <v>1</v>
      </c>
      <c r="J146" s="75">
        <v>0.3483</v>
      </c>
      <c r="K146">
        <f>+'Base personal'!$H146*'Base personal'!$J146*'Base personal'!$L146</f>
        <v>1.0448999999999999</v>
      </c>
      <c r="L146" s="91">
        <v>3</v>
      </c>
      <c r="M146" s="91">
        <f t="shared" si="0"/>
        <v>0</v>
      </c>
      <c r="N146" s="94" t="e">
        <f>M146/VLOOKUP(B146&amp;C146,base!$C$2:$E$27,3,0)</f>
        <v>#N/A</v>
      </c>
      <c r="P146" t="s">
        <v>95</v>
      </c>
      <c r="Q146">
        <f t="shared" si="1"/>
        <v>3</v>
      </c>
    </row>
    <row r="147" spans="1:17" x14ac:dyDescent="0.25">
      <c r="A147" s="92">
        <v>44168</v>
      </c>
      <c r="B147" s="91" t="s">
        <v>33</v>
      </c>
      <c r="C147" s="91" t="s">
        <v>47</v>
      </c>
      <c r="D147" s="91">
        <v>1235</v>
      </c>
      <c r="E147" s="91" t="s">
        <v>75</v>
      </c>
      <c r="F147" t="s">
        <v>13</v>
      </c>
      <c r="G147" s="113">
        <v>703.33333333333337</v>
      </c>
      <c r="H147" s="90">
        <f>+'Base personal'!$G147/'Base personal'!$L147</f>
        <v>70.333333333333343</v>
      </c>
      <c r="I147" s="108">
        <f>VLOOKUP(B147&amp;C147,base!$C$2:$E$27,3,0)</f>
        <v>70</v>
      </c>
      <c r="J147" s="108">
        <f>VLOOKUP(B147&amp;C147,base!$C$2:$F$27,4,0)</f>
        <v>2.1911428571428572E-3</v>
      </c>
      <c r="K147">
        <f>+'Base personal'!$H147*'Base personal'!$J147*'Base personal'!$L147</f>
        <v>1.5411038095238097</v>
      </c>
      <c r="L147" s="91">
        <v>10</v>
      </c>
      <c r="M147" s="91">
        <f t="shared" si="0"/>
        <v>70.333333333333343</v>
      </c>
      <c r="N147" s="94">
        <f>M147/VLOOKUP(B147&amp;C147,base!$C$2:$E$27,3,0)</f>
        <v>1.004761904761905</v>
      </c>
      <c r="P147" t="s">
        <v>95</v>
      </c>
      <c r="Q147">
        <f t="shared" si="1"/>
        <v>10</v>
      </c>
    </row>
    <row r="148" spans="1:17" x14ac:dyDescent="0.25">
      <c r="A148" s="92">
        <v>44168</v>
      </c>
      <c r="B148" s="91" t="s">
        <v>33</v>
      </c>
      <c r="C148" s="91" t="s">
        <v>47</v>
      </c>
      <c r="D148" s="91">
        <v>1235</v>
      </c>
      <c r="E148" s="91" t="s">
        <v>58</v>
      </c>
      <c r="F148" t="s">
        <v>13</v>
      </c>
      <c r="G148" s="113">
        <v>703.33333333333337</v>
      </c>
      <c r="H148" s="90">
        <f>+'Base personal'!$G148/'Base personal'!$L148</f>
        <v>70.333333333333343</v>
      </c>
      <c r="I148" s="108">
        <f>VLOOKUP(B148&amp;C148,base!$C$2:$E$27,3,0)</f>
        <v>70</v>
      </c>
      <c r="J148" s="108">
        <f>VLOOKUP(B148&amp;C148,base!$C$2:$F$27,4,0)</f>
        <v>2.1911428571428572E-3</v>
      </c>
      <c r="K148">
        <f>+'Base personal'!$H148*'Base personal'!$J148*'Base personal'!$L148</f>
        <v>1.5411038095238097</v>
      </c>
      <c r="L148" s="91">
        <v>10</v>
      </c>
      <c r="M148" s="91">
        <f t="shared" si="0"/>
        <v>70.333333333333343</v>
      </c>
      <c r="N148" s="94">
        <f>M148/VLOOKUP(B148&amp;C148,base!$C$2:$E$27,3,0)</f>
        <v>1.004761904761905</v>
      </c>
      <c r="Q148">
        <f t="shared" si="1"/>
        <v>10</v>
      </c>
    </row>
    <row r="149" spans="1:17" x14ac:dyDescent="0.25">
      <c r="A149" s="92">
        <v>44168</v>
      </c>
      <c r="B149" s="91" t="s">
        <v>33</v>
      </c>
      <c r="C149" s="91" t="s">
        <v>47</v>
      </c>
      <c r="D149" s="91">
        <v>1235</v>
      </c>
      <c r="E149" s="91" t="s">
        <v>102</v>
      </c>
      <c r="F149" t="s">
        <v>13</v>
      </c>
      <c r="G149" s="113">
        <v>703.33333333333337</v>
      </c>
      <c r="H149" s="90">
        <f>+'Base personal'!$G149/'Base personal'!$L149</f>
        <v>70.333333333333343</v>
      </c>
      <c r="I149" s="108">
        <f>VLOOKUP(B149&amp;C149,base!$C$2:$E$27,3,0)</f>
        <v>70</v>
      </c>
      <c r="J149" s="108">
        <f>VLOOKUP(B149&amp;C149,base!$C$2:$F$27,4,0)</f>
        <v>2.1911428571428572E-3</v>
      </c>
      <c r="K149">
        <f>+'Base personal'!$H149*'Base personal'!$J149*'Base personal'!$L149</f>
        <v>1.5411038095238097</v>
      </c>
      <c r="L149" s="91">
        <v>10</v>
      </c>
      <c r="M149" s="91">
        <f t="shared" si="0"/>
        <v>70.333333333333343</v>
      </c>
      <c r="N149" s="94">
        <f>M149/VLOOKUP(B149&amp;C149,base!$C$2:$E$27,3,0)</f>
        <v>1.004761904761905</v>
      </c>
      <c r="Q149">
        <f t="shared" si="1"/>
        <v>10</v>
      </c>
    </row>
    <row r="150" spans="1:17" x14ac:dyDescent="0.25">
      <c r="A150" s="92">
        <v>44168</v>
      </c>
      <c r="B150" s="91" t="s">
        <v>33</v>
      </c>
      <c r="C150" s="91" t="s">
        <v>47</v>
      </c>
      <c r="D150" s="91">
        <v>1236</v>
      </c>
      <c r="E150" s="91" t="s">
        <v>77</v>
      </c>
      <c r="F150" t="s">
        <v>13</v>
      </c>
      <c r="G150" s="113">
        <v>725.66666666666663</v>
      </c>
      <c r="H150" s="90">
        <f>+'Base personal'!$G150/'Base personal'!$L150</f>
        <v>72.566666666666663</v>
      </c>
      <c r="I150" s="108">
        <f>VLOOKUP(B150&amp;C150,base!$C$2:$E$27,3,0)</f>
        <v>70</v>
      </c>
      <c r="J150" s="108">
        <f>VLOOKUP(B150&amp;C150,base!$C$2:$F$27,4,0)</f>
        <v>2.1911428571428572E-3</v>
      </c>
      <c r="K150">
        <f>+'Base personal'!$H150*'Base personal'!$J150*'Base personal'!$L150</f>
        <v>1.5900393333333331</v>
      </c>
      <c r="L150" s="91">
        <v>10</v>
      </c>
      <c r="M150" s="91">
        <f t="shared" si="0"/>
        <v>72.566666666666663</v>
      </c>
      <c r="N150" s="94">
        <f>M150/VLOOKUP(B150&amp;C150,base!$C$2:$E$27,3,0)</f>
        <v>1.0366666666666666</v>
      </c>
      <c r="Q150">
        <f t="shared" si="1"/>
        <v>10</v>
      </c>
    </row>
    <row r="151" spans="1:17" x14ac:dyDescent="0.25">
      <c r="A151" s="92">
        <v>44168</v>
      </c>
      <c r="B151" s="91" t="s">
        <v>33</v>
      </c>
      <c r="C151" s="91" t="s">
        <v>47</v>
      </c>
      <c r="D151" s="91">
        <v>1236</v>
      </c>
      <c r="E151" s="91" t="s">
        <v>72</v>
      </c>
      <c r="F151" t="s">
        <v>13</v>
      </c>
      <c r="G151" s="113">
        <v>725.66666666666663</v>
      </c>
      <c r="H151" s="90">
        <f>+'Base personal'!$G151/'Base personal'!$L151</f>
        <v>72.566666666666663</v>
      </c>
      <c r="I151" s="108">
        <f>VLOOKUP(B151&amp;C151,base!$C$2:$E$27,3,0)</f>
        <v>70</v>
      </c>
      <c r="J151" s="108">
        <f>VLOOKUP(B151&amp;C151,base!$C$2:$F$27,4,0)</f>
        <v>2.1911428571428572E-3</v>
      </c>
      <c r="K151">
        <f>+'Base personal'!$H151*'Base personal'!$J151*'Base personal'!$L151</f>
        <v>1.5900393333333331</v>
      </c>
      <c r="L151" s="91">
        <v>10</v>
      </c>
      <c r="M151" s="91">
        <f t="shared" si="0"/>
        <v>72.566666666666663</v>
      </c>
      <c r="N151" s="94">
        <f>M151/VLOOKUP(B151&amp;C151,base!$C$2:$E$27,3,0)</f>
        <v>1.0366666666666666</v>
      </c>
      <c r="Q151">
        <f t="shared" si="1"/>
        <v>10</v>
      </c>
    </row>
    <row r="152" spans="1:17" x14ac:dyDescent="0.25">
      <c r="A152" s="92">
        <v>44168</v>
      </c>
      <c r="B152" s="91" t="s">
        <v>33</v>
      </c>
      <c r="C152" s="91" t="s">
        <v>47</v>
      </c>
      <c r="D152" s="91">
        <v>1236</v>
      </c>
      <c r="E152" s="91" t="s">
        <v>96</v>
      </c>
      <c r="F152" t="s">
        <v>13</v>
      </c>
      <c r="G152" s="113">
        <v>725.66666666666663</v>
      </c>
      <c r="H152" s="90">
        <f>+'Base personal'!$G152/'Base personal'!$L152</f>
        <v>72.566666666666663</v>
      </c>
      <c r="I152" s="108">
        <f>VLOOKUP(B152&amp;C152,base!$C$2:$E$27,3,0)</f>
        <v>70</v>
      </c>
      <c r="J152" s="108">
        <f>VLOOKUP(B152&amp;C152,base!$C$2:$F$27,4,0)</f>
        <v>2.1911428571428572E-3</v>
      </c>
      <c r="K152">
        <f>+'Base personal'!$H152*'Base personal'!$J152*'Base personal'!$L152</f>
        <v>1.5900393333333331</v>
      </c>
      <c r="L152" s="91">
        <v>10</v>
      </c>
      <c r="M152" s="91">
        <f t="shared" si="0"/>
        <v>72.566666666666663</v>
      </c>
      <c r="N152" s="94">
        <f>M152/VLOOKUP(B152&amp;C152,base!$C$2:$E$27,3,0)</f>
        <v>1.0366666666666666</v>
      </c>
      <c r="Q152">
        <f t="shared" si="1"/>
        <v>10</v>
      </c>
    </row>
    <row r="153" spans="1:17" x14ac:dyDescent="0.25">
      <c r="A153" s="92">
        <v>44169</v>
      </c>
      <c r="B153" s="91" t="s">
        <v>113</v>
      </c>
      <c r="C153" s="91" t="s">
        <v>71</v>
      </c>
      <c r="D153" s="91">
        <v>123</v>
      </c>
      <c r="E153" s="91" t="s">
        <v>56</v>
      </c>
      <c r="F153" t="s">
        <v>13</v>
      </c>
      <c r="G153" s="91">
        <v>120</v>
      </c>
      <c r="H153" s="90">
        <f>+'Base personal'!$G153/'Base personal'!$L153</f>
        <v>40</v>
      </c>
      <c r="I153" s="108">
        <f>VLOOKUP(B153&amp;C153,base!$C$2:$E$27,3,0)</f>
        <v>45</v>
      </c>
      <c r="J153" s="108">
        <f>VLOOKUP(B153&amp;C153,base!$C$2:$F$27,4,0)</f>
        <v>1.1361111111111112E-2</v>
      </c>
      <c r="K153">
        <f>+'Base personal'!$H153*'Base personal'!$J153*'Base personal'!$L153</f>
        <v>1.3633333333333335</v>
      </c>
      <c r="L153" s="91">
        <v>3</v>
      </c>
      <c r="M153" s="91">
        <f t="shared" si="0"/>
        <v>40</v>
      </c>
      <c r="N153" s="94">
        <f>M153/VLOOKUP(B153&amp;C153,base!$C$2:$E$27,3,0)</f>
        <v>0.88888888888888884</v>
      </c>
      <c r="Q153">
        <f t="shared" si="1"/>
        <v>3</v>
      </c>
    </row>
    <row r="154" spans="1:17" x14ac:dyDescent="0.25">
      <c r="A154" s="92">
        <v>44169</v>
      </c>
      <c r="B154" s="91" t="s">
        <v>113</v>
      </c>
      <c r="C154" s="91" t="s">
        <v>71</v>
      </c>
      <c r="D154" s="91">
        <v>123</v>
      </c>
      <c r="E154" s="91" t="s">
        <v>236</v>
      </c>
      <c r="F154" t="s">
        <v>13</v>
      </c>
      <c r="G154" s="91">
        <f>595-120</f>
        <v>475</v>
      </c>
      <c r="H154" s="90">
        <f>+'Base personal'!$G154/'Base personal'!$L154</f>
        <v>47.5</v>
      </c>
      <c r="I154" s="108">
        <f>VLOOKUP(B154&amp;C154,base!$C$2:$E$27,3,0)</f>
        <v>45</v>
      </c>
      <c r="J154" s="108">
        <f>VLOOKUP(B154&amp;C154,base!$C$2:$F$27,4,0)</f>
        <v>1.1361111111111112E-2</v>
      </c>
      <c r="K154">
        <f>+'Base personal'!$H154*'Base personal'!$J154*'Base personal'!$L154</f>
        <v>5.3965277777777771</v>
      </c>
      <c r="L154" s="91">
        <v>10</v>
      </c>
      <c r="M154" s="91">
        <f t="shared" si="0"/>
        <v>47.5</v>
      </c>
      <c r="N154" s="94">
        <f>M154/VLOOKUP(B154&amp;C154,base!$C$2:$E$27,3,0)</f>
        <v>1.0555555555555556</v>
      </c>
      <c r="Q154">
        <f t="shared" si="1"/>
        <v>10</v>
      </c>
    </row>
    <row r="155" spans="1:17" s="91" customFormat="1" x14ac:dyDescent="0.25">
      <c r="A155" s="92">
        <v>44169</v>
      </c>
      <c r="B155" s="91" t="s">
        <v>111</v>
      </c>
      <c r="C155" s="24" t="s">
        <v>62</v>
      </c>
      <c r="D155" s="91">
        <v>773</v>
      </c>
      <c r="E155" s="91" t="s">
        <v>64</v>
      </c>
      <c r="F155" s="91" t="s">
        <v>13</v>
      </c>
      <c r="G155" s="91">
        <v>802.4</v>
      </c>
      <c r="H155" s="90">
        <f>+'Base personal'!$G155/'Base personal'!$L155</f>
        <v>80.239999999999995</v>
      </c>
      <c r="I155" s="108">
        <f>VLOOKUP(B155&amp;C155,base!$C$2:$E$27,3,0)</f>
        <v>92</v>
      </c>
      <c r="J155" s="108">
        <f>VLOOKUP(B155&amp;C155,base!$C$2:$F$27,4,0)</f>
        <v>5.5570652173913045E-3</v>
      </c>
      <c r="K155" s="91">
        <f>+'Base personal'!$H155*'Base personal'!$J155*'Base personal'!$L155</f>
        <v>4.458989130434782</v>
      </c>
      <c r="L155" s="91">
        <v>10</v>
      </c>
      <c r="M155" s="91">
        <f t="shared" si="0"/>
        <v>80.239999999999995</v>
      </c>
      <c r="N155" s="94">
        <f>M155/VLOOKUP(B155&amp;C155,base!$C$2:$E$27,3,0)</f>
        <v>0.87217391304347824</v>
      </c>
    </row>
    <row r="156" spans="1:17" s="91" customFormat="1" x14ac:dyDescent="0.25">
      <c r="A156" s="92">
        <v>44169</v>
      </c>
      <c r="B156" s="91" t="s">
        <v>111</v>
      </c>
      <c r="C156" s="91" t="s">
        <v>62</v>
      </c>
      <c r="D156" s="91">
        <v>773</v>
      </c>
      <c r="E156" s="91" t="s">
        <v>12</v>
      </c>
      <c r="F156" s="91" t="s">
        <v>13</v>
      </c>
      <c r="G156" s="91">
        <v>802.4</v>
      </c>
      <c r="H156" s="90">
        <f>+'Base personal'!$G156/'Base personal'!$L156</f>
        <v>80.239999999999995</v>
      </c>
      <c r="I156" s="108">
        <f>VLOOKUP(B156&amp;C156,base!$C$2:$E$27,3,0)</f>
        <v>92</v>
      </c>
      <c r="J156" s="108">
        <f>VLOOKUP(B156&amp;C156,base!$C$2:$F$27,4,0)</f>
        <v>5.5570652173913045E-3</v>
      </c>
      <c r="K156" s="91">
        <f>+'Base personal'!$H156*'Base personal'!$J156*'Base personal'!$L156</f>
        <v>4.458989130434782</v>
      </c>
      <c r="L156" s="91">
        <v>10</v>
      </c>
      <c r="M156" s="91">
        <f t="shared" si="0"/>
        <v>80.239999999999995</v>
      </c>
      <c r="N156" s="94">
        <f>M156/VLOOKUP(B156&amp;C156,base!$C$2:$E$27,3,0)</f>
        <v>0.87217391304347824</v>
      </c>
    </row>
    <row r="157" spans="1:17" s="91" customFormat="1" x14ac:dyDescent="0.25">
      <c r="A157" s="92">
        <v>44169</v>
      </c>
      <c r="B157" s="91" t="s">
        <v>111</v>
      </c>
      <c r="C157" s="91" t="s">
        <v>62</v>
      </c>
      <c r="D157" s="91">
        <v>773</v>
      </c>
      <c r="E157" s="91" t="s">
        <v>69</v>
      </c>
      <c r="F157" s="91" t="s">
        <v>13</v>
      </c>
      <c r="G157" s="91">
        <v>250.75</v>
      </c>
      <c r="H157" s="90">
        <f>+'Base personal'!$G157/'Base personal'!$L157</f>
        <v>50.15</v>
      </c>
      <c r="I157" s="108">
        <f>VLOOKUP(B157&amp;C157,base!$C$2:$E$27,3,0)</f>
        <v>92</v>
      </c>
      <c r="J157" s="108">
        <f>VLOOKUP(B157&amp;C157,base!$C$2:$F$27,4,0)</f>
        <v>5.5570652173913045E-3</v>
      </c>
      <c r="K157" s="91">
        <f>+'Base personal'!$H157*'Base personal'!$J157*'Base personal'!$L157</f>
        <v>1.3934341032608697</v>
      </c>
      <c r="L157" s="91">
        <v>5</v>
      </c>
      <c r="M157" s="91">
        <f t="shared" si="0"/>
        <v>50.15</v>
      </c>
      <c r="N157" s="94">
        <f>M157/VLOOKUP(B157&amp;C157,base!$C$2:$E$27,3,0)</f>
        <v>0.5451086956521739</v>
      </c>
    </row>
    <row r="158" spans="1:17" s="91" customFormat="1" x14ac:dyDescent="0.25">
      <c r="A158" s="92">
        <v>44169</v>
      </c>
      <c r="B158" s="91" t="s">
        <v>115</v>
      </c>
      <c r="E158" s="91" t="s">
        <v>69</v>
      </c>
      <c r="F158" s="91" t="s">
        <v>13</v>
      </c>
      <c r="H158" s="90">
        <v>1</v>
      </c>
      <c r="I158" s="108">
        <v>1</v>
      </c>
      <c r="J158" s="75">
        <v>0.3483</v>
      </c>
      <c r="K158" s="91">
        <f>+'Base personal'!$H158*'Base personal'!$J158*'Base personal'!$L158</f>
        <v>1.7415</v>
      </c>
      <c r="L158" s="91">
        <v>5</v>
      </c>
      <c r="M158" s="91">
        <f t="shared" si="0"/>
        <v>0</v>
      </c>
      <c r="N158" s="94" t="e">
        <f>M158/VLOOKUP(B158&amp;C158,base!$C$2:$E$27,3,0)</f>
        <v>#N/A</v>
      </c>
    </row>
    <row r="159" spans="1:17" x14ac:dyDescent="0.25">
      <c r="A159" s="92">
        <v>44169</v>
      </c>
      <c r="B159" s="91" t="s">
        <v>111</v>
      </c>
      <c r="C159" s="91" t="s">
        <v>62</v>
      </c>
      <c r="D159" s="91">
        <v>773</v>
      </c>
      <c r="E159" s="91" t="s">
        <v>57</v>
      </c>
      <c r="F159" t="s">
        <v>13</v>
      </c>
      <c r="G159" s="91">
        <v>150.44999999999999</v>
      </c>
      <c r="H159" s="90">
        <f>+'Base personal'!$G159/'Base personal'!$L159</f>
        <v>50.15</v>
      </c>
      <c r="I159" s="108">
        <f>VLOOKUP(B159&amp;C159,base!$C$2:$E$27,3,0)</f>
        <v>92</v>
      </c>
      <c r="J159" s="108">
        <f>VLOOKUP(B159&amp;C159,base!$C$2:$F$27,4,0)</f>
        <v>5.5570652173913045E-3</v>
      </c>
      <c r="K159">
        <f>+'Base personal'!$H159*'Base personal'!$J159*'Base personal'!$L159</f>
        <v>0.83606046195652173</v>
      </c>
      <c r="L159" s="91">
        <v>3</v>
      </c>
      <c r="M159" s="91">
        <f t="shared" si="0"/>
        <v>50.15</v>
      </c>
      <c r="N159" s="94">
        <f>M159/VLOOKUP(B159&amp;C159,base!$C$2:$E$27,3,0)</f>
        <v>0.5451086956521739</v>
      </c>
      <c r="Q159">
        <f t="shared" si="1"/>
        <v>3</v>
      </c>
    </row>
    <row r="160" spans="1:17" x14ac:dyDescent="0.25">
      <c r="A160" s="92">
        <v>44169</v>
      </c>
      <c r="B160" s="91" t="s">
        <v>115</v>
      </c>
      <c r="C160" s="91"/>
      <c r="D160" s="91"/>
      <c r="E160" s="91" t="s">
        <v>57</v>
      </c>
      <c r="F160" t="s">
        <v>13</v>
      </c>
      <c r="G160" s="91"/>
      <c r="H160" s="90">
        <v>1</v>
      </c>
      <c r="I160" s="108">
        <v>1</v>
      </c>
      <c r="J160" s="75">
        <v>0.3483</v>
      </c>
      <c r="K160" s="91">
        <f>+'Base personal'!$H160*'Base personal'!$J160*'Base personal'!$L160</f>
        <v>2.4380999999999999</v>
      </c>
      <c r="L160" s="91">
        <v>7</v>
      </c>
      <c r="M160" s="91">
        <f t="shared" si="0"/>
        <v>0</v>
      </c>
      <c r="N160" s="94" t="e">
        <f>M160/VLOOKUP(B160&amp;C160,base!$C$2:$E$27,3,0)</f>
        <v>#N/A</v>
      </c>
      <c r="Q160">
        <f t="shared" si="1"/>
        <v>7</v>
      </c>
    </row>
    <row r="161" spans="1:17" x14ac:dyDescent="0.25">
      <c r="A161" s="92">
        <v>44169</v>
      </c>
      <c r="B161" s="91" t="s">
        <v>36</v>
      </c>
      <c r="C161" s="91" t="s">
        <v>45</v>
      </c>
      <c r="D161" s="91">
        <v>366</v>
      </c>
      <c r="E161" s="91" t="s">
        <v>58</v>
      </c>
      <c r="F161" t="s">
        <v>13</v>
      </c>
      <c r="G161" s="91">
        <f>377+374+462+385+336+248+250+346+90</f>
        <v>2868</v>
      </c>
      <c r="H161" s="90">
        <f>+'Base personal'!$G161/'Base personal'!$L161</f>
        <v>286.8</v>
      </c>
      <c r="I161" s="108">
        <f>VLOOKUP(B161&amp;C161,base!$C$2:$E$27,3,0)</f>
        <v>500</v>
      </c>
      <c r="J161" s="108">
        <f>VLOOKUP(B161&amp;C161,base!$C$2:$F$27,4,0)</f>
        <v>1.0225E-3</v>
      </c>
      <c r="K161" s="91">
        <f>+'Base personal'!$H161*'Base personal'!$J161*'Base personal'!$L161</f>
        <v>2.9325299999999999</v>
      </c>
      <c r="L161" s="91">
        <v>10</v>
      </c>
      <c r="M161" s="91">
        <f t="shared" si="0"/>
        <v>286.8</v>
      </c>
      <c r="N161" s="94">
        <f>M161/VLOOKUP(B161&amp;C161,base!$C$2:$E$27,3,0)</f>
        <v>0.5736</v>
      </c>
      <c r="Q161">
        <f t="shared" si="1"/>
        <v>10</v>
      </c>
    </row>
    <row r="162" spans="1:17" x14ac:dyDescent="0.25">
      <c r="A162" s="92">
        <v>44169</v>
      </c>
      <c r="B162" s="91" t="s">
        <v>33</v>
      </c>
      <c r="C162" s="91" t="s">
        <v>47</v>
      </c>
      <c r="D162" s="91">
        <v>1237</v>
      </c>
      <c r="E162" s="91" t="s">
        <v>44</v>
      </c>
      <c r="F162" t="s">
        <v>13</v>
      </c>
      <c r="G162" s="93">
        <v>827</v>
      </c>
      <c r="H162" s="90">
        <f>+'Base personal'!$G162/'Base personal'!$L162</f>
        <v>82.7</v>
      </c>
      <c r="I162" s="108">
        <f>VLOOKUP(B162&amp;C162,base!$C$2:$E$27,3,0)</f>
        <v>70</v>
      </c>
      <c r="J162" s="108">
        <f>VLOOKUP(B162&amp;C162,base!$C$2:$F$27,4,0)</f>
        <v>2.1911428571428572E-3</v>
      </c>
      <c r="K162">
        <f>+'Base personal'!$H162*'Base personal'!$J162*'Base personal'!$L162</f>
        <v>1.8120751428571431</v>
      </c>
      <c r="L162" s="91">
        <v>10</v>
      </c>
      <c r="M162" s="91">
        <f t="shared" si="0"/>
        <v>82.7</v>
      </c>
      <c r="N162" s="94">
        <f>M162/VLOOKUP(B162&amp;C162,base!$C$2:$E$27,3,0)</f>
        <v>1.1814285714285715</v>
      </c>
      <c r="Q162">
        <f t="shared" si="1"/>
        <v>10</v>
      </c>
    </row>
    <row r="163" spans="1:17" x14ac:dyDescent="0.25">
      <c r="A163" s="92">
        <v>44169</v>
      </c>
      <c r="B163" s="91" t="s">
        <v>33</v>
      </c>
      <c r="C163" s="91" t="s">
        <v>47</v>
      </c>
      <c r="D163" s="91">
        <v>1237</v>
      </c>
      <c r="E163" s="91" t="s">
        <v>97</v>
      </c>
      <c r="F163" t="s">
        <v>13</v>
      </c>
      <c r="G163" s="93">
        <v>827</v>
      </c>
      <c r="H163" s="90">
        <f>+'Base personal'!$G163/'Base personal'!$L163</f>
        <v>82.7</v>
      </c>
      <c r="I163" s="108">
        <f>VLOOKUP(B163&amp;C163,base!$C$2:$E$27,3,0)</f>
        <v>70</v>
      </c>
      <c r="J163" s="108">
        <f>VLOOKUP(B163&amp;C163,base!$C$2:$F$27,4,0)</f>
        <v>2.1911428571428572E-3</v>
      </c>
      <c r="K163">
        <f>+'Base personal'!$H163*'Base personal'!$J163*'Base personal'!$L163</f>
        <v>1.8120751428571431</v>
      </c>
      <c r="L163" s="91">
        <v>10</v>
      </c>
      <c r="M163" s="91">
        <f t="shared" si="0"/>
        <v>82.7</v>
      </c>
      <c r="N163" s="94">
        <f>M163/VLOOKUP(B163&amp;C163,base!$C$2:$E$27,3,0)</f>
        <v>1.1814285714285715</v>
      </c>
      <c r="Q163">
        <f t="shared" si="1"/>
        <v>10</v>
      </c>
    </row>
    <row r="164" spans="1:17" x14ac:dyDescent="0.25">
      <c r="A164" s="92">
        <v>44169</v>
      </c>
      <c r="B164" s="91" t="s">
        <v>33</v>
      </c>
      <c r="C164" s="91" t="s">
        <v>47</v>
      </c>
      <c r="D164" s="91">
        <v>1237</v>
      </c>
      <c r="E164" s="91" t="s">
        <v>102</v>
      </c>
      <c r="F164" t="s">
        <v>13</v>
      </c>
      <c r="G164" s="93">
        <v>827</v>
      </c>
      <c r="H164" s="90">
        <f>+'Base personal'!$G164/'Base personal'!$L164</f>
        <v>82.7</v>
      </c>
      <c r="I164" s="108">
        <f>VLOOKUP(B164&amp;C164,base!$C$2:$E$27,3,0)</f>
        <v>70</v>
      </c>
      <c r="J164" s="108">
        <f>VLOOKUP(B164&amp;C164,base!$C$2:$F$27,4,0)</f>
        <v>2.1911428571428572E-3</v>
      </c>
      <c r="K164">
        <f>+'Base personal'!$H164*'Base personal'!$J164*'Base personal'!$L164</f>
        <v>1.8120751428571431</v>
      </c>
      <c r="L164" s="91">
        <v>10</v>
      </c>
      <c r="M164" s="91">
        <f t="shared" si="0"/>
        <v>82.7</v>
      </c>
      <c r="N164" s="94">
        <f>M164/VLOOKUP(B164&amp;C164,base!$C$2:$E$27,3,0)</f>
        <v>1.1814285714285715</v>
      </c>
      <c r="Q164">
        <f t="shared" si="1"/>
        <v>10</v>
      </c>
    </row>
    <row r="165" spans="1:17" x14ac:dyDescent="0.25">
      <c r="A165" s="92">
        <v>44169</v>
      </c>
      <c r="B165" s="91" t="s">
        <v>33</v>
      </c>
      <c r="C165" s="91" t="s">
        <v>47</v>
      </c>
      <c r="D165" s="91">
        <v>1238</v>
      </c>
      <c r="E165" s="91" t="s">
        <v>77</v>
      </c>
      <c r="F165" t="s">
        <v>13</v>
      </c>
      <c r="G165" s="113">
        <f>3218/3</f>
        <v>1072.6666666666667</v>
      </c>
      <c r="H165" s="90">
        <f>+'Base personal'!$G165/'Base personal'!$L165</f>
        <v>107.26666666666668</v>
      </c>
      <c r="I165" s="108">
        <f>VLOOKUP(B165&amp;C165,base!$C$2:$E$27,3,0)</f>
        <v>70</v>
      </c>
      <c r="J165" s="108">
        <f>VLOOKUP(B165&amp;C165,base!$C$2:$F$27,4,0)</f>
        <v>2.1911428571428572E-3</v>
      </c>
      <c r="K165">
        <f>+'Base personal'!$H165*'Base personal'!$J165*'Base personal'!$L165</f>
        <v>2.3503659047619054</v>
      </c>
      <c r="L165" s="91">
        <v>10</v>
      </c>
      <c r="M165" s="91">
        <f t="shared" si="0"/>
        <v>107.26666666666668</v>
      </c>
      <c r="N165" s="94">
        <f>M165/VLOOKUP(B165&amp;C165,base!$C$2:$E$27,3,0)</f>
        <v>1.5323809523809526</v>
      </c>
      <c r="Q165">
        <f t="shared" si="1"/>
        <v>10</v>
      </c>
    </row>
    <row r="166" spans="1:17" x14ac:dyDescent="0.25">
      <c r="A166" s="92">
        <v>44169</v>
      </c>
      <c r="B166" s="91" t="s">
        <v>33</v>
      </c>
      <c r="C166" s="91" t="s">
        <v>47</v>
      </c>
      <c r="D166" s="91">
        <v>1238</v>
      </c>
      <c r="E166" s="91" t="s">
        <v>43</v>
      </c>
      <c r="F166" t="s">
        <v>13</v>
      </c>
      <c r="G166" s="113">
        <f>3218/3</f>
        <v>1072.6666666666667</v>
      </c>
      <c r="H166" s="90">
        <f>+'Base personal'!$G166/'Base personal'!$L166</f>
        <v>107.26666666666668</v>
      </c>
      <c r="I166" s="108">
        <f>VLOOKUP(B166&amp;C166,base!$C$2:$E$27,3,0)</f>
        <v>70</v>
      </c>
      <c r="J166" s="108">
        <f>VLOOKUP(B166&amp;C166,base!$C$2:$F$27,4,0)</f>
        <v>2.1911428571428572E-3</v>
      </c>
      <c r="K166">
        <f>+'Base personal'!$H166*'Base personal'!$J166*'Base personal'!$L166</f>
        <v>2.3503659047619054</v>
      </c>
      <c r="L166" s="91">
        <v>10</v>
      </c>
      <c r="M166" s="91">
        <f t="shared" si="0"/>
        <v>107.26666666666668</v>
      </c>
      <c r="N166" s="94">
        <f>M166/VLOOKUP(B166&amp;C166,base!$C$2:$E$27,3,0)</f>
        <v>1.5323809523809526</v>
      </c>
      <c r="Q166">
        <f t="shared" si="1"/>
        <v>10</v>
      </c>
    </row>
    <row r="167" spans="1:17" x14ac:dyDescent="0.25">
      <c r="A167" s="92">
        <v>44169</v>
      </c>
      <c r="B167" s="91" t="s">
        <v>33</v>
      </c>
      <c r="C167" s="91" t="s">
        <v>47</v>
      </c>
      <c r="D167" s="91">
        <v>1238</v>
      </c>
      <c r="E167" s="91" t="s">
        <v>72</v>
      </c>
      <c r="F167" t="s">
        <v>13</v>
      </c>
      <c r="G167" s="113">
        <f>3218/3</f>
        <v>1072.6666666666667</v>
      </c>
      <c r="H167" s="90">
        <f>+'Base personal'!$G167/'Base personal'!$L167</f>
        <v>107.26666666666668</v>
      </c>
      <c r="I167" s="108">
        <f>VLOOKUP(B167&amp;C167,base!$C$2:$E$27,3,0)</f>
        <v>70</v>
      </c>
      <c r="J167" s="108">
        <f>VLOOKUP(B167&amp;C167,base!$C$2:$F$27,4,0)</f>
        <v>2.1911428571428572E-3</v>
      </c>
      <c r="K167">
        <f>+'Base personal'!$H167*'Base personal'!$J167*'Base personal'!$L167</f>
        <v>2.3503659047619054</v>
      </c>
      <c r="L167" s="91">
        <v>10</v>
      </c>
      <c r="M167" s="91">
        <f t="shared" si="0"/>
        <v>107.26666666666668</v>
      </c>
      <c r="N167" s="94">
        <f>M167/VLOOKUP(B167&amp;C167,base!$C$2:$E$27,3,0)</f>
        <v>1.5323809523809526</v>
      </c>
      <c r="Q167">
        <f t="shared" si="1"/>
        <v>10</v>
      </c>
    </row>
    <row r="168" spans="1:17" x14ac:dyDescent="0.25">
      <c r="A168" s="92">
        <v>44170</v>
      </c>
      <c r="B168" s="91" t="s">
        <v>36</v>
      </c>
      <c r="C168" s="91" t="s">
        <v>45</v>
      </c>
      <c r="D168" s="91">
        <v>367</v>
      </c>
      <c r="E168" s="91" t="s">
        <v>58</v>
      </c>
      <c r="F168" t="s">
        <v>13</v>
      </c>
      <c r="G168" s="91">
        <f>451+459+457+446</f>
        <v>1813</v>
      </c>
      <c r="H168" s="90">
        <f>+'Base personal'!$G168/'Base personal'!$L168</f>
        <v>181.3</v>
      </c>
      <c r="I168" s="108">
        <f>VLOOKUP(B168&amp;C168,base!$C$2:$E$27,3,0)</f>
        <v>500</v>
      </c>
      <c r="J168" s="108">
        <f>VLOOKUP(B168&amp;C168,base!$C$2:$F$27,4,0)</f>
        <v>1.0225E-3</v>
      </c>
      <c r="K168">
        <f>+'Base personal'!$H168*'Base personal'!$J168*'Base personal'!$L168</f>
        <v>1.8537925</v>
      </c>
      <c r="L168" s="91">
        <v>10</v>
      </c>
      <c r="M168" s="91">
        <f t="shared" si="0"/>
        <v>181.3</v>
      </c>
      <c r="N168" s="94">
        <f>M168/VLOOKUP(B168&amp;C168,base!$C$2:$E$27,3,0)</f>
        <v>0.36260000000000003</v>
      </c>
      <c r="Q168">
        <f t="shared" si="1"/>
        <v>10</v>
      </c>
    </row>
    <row r="169" spans="1:17" s="91" customFormat="1" x14ac:dyDescent="0.25">
      <c r="A169" s="92">
        <v>44170</v>
      </c>
      <c r="B169" s="91" t="s">
        <v>33</v>
      </c>
      <c r="C169" s="91" t="s">
        <v>47</v>
      </c>
      <c r="D169" s="91">
        <v>1239</v>
      </c>
      <c r="E169" s="91" t="s">
        <v>75</v>
      </c>
      <c r="F169" s="115" t="s">
        <v>13</v>
      </c>
      <c r="G169" s="93">
        <v>1310.5</v>
      </c>
      <c r="H169" s="90">
        <f>+'Base personal'!$G169/'Base personal'!$L169</f>
        <v>131.05000000000001</v>
      </c>
      <c r="I169" s="108">
        <f>VLOOKUP(B169&amp;C169,base!$C$2:$E$27,3,0)</f>
        <v>70</v>
      </c>
      <c r="J169" s="108">
        <f>VLOOKUP(B169&amp;C169,base!$C$2:$F$27,4,0)</f>
        <v>2.1911428571428572E-3</v>
      </c>
      <c r="K169" s="91">
        <f>+'Base personal'!$H169*'Base personal'!$J169*'Base personal'!$L169</f>
        <v>2.8714927142857145</v>
      </c>
      <c r="L169" s="91">
        <v>10</v>
      </c>
      <c r="M169" s="91">
        <f t="shared" si="0"/>
        <v>131.05000000000001</v>
      </c>
      <c r="N169" s="94">
        <f>M169/VLOOKUP(B169&amp;C169,base!$C$2:$E$27,3,0)</f>
        <v>1.8721428571428573</v>
      </c>
    </row>
    <row r="170" spans="1:17" s="91" customFormat="1" x14ac:dyDescent="0.25">
      <c r="A170" s="92">
        <v>44170</v>
      </c>
      <c r="B170" s="91" t="s">
        <v>33</v>
      </c>
      <c r="C170" s="91" t="s">
        <v>47</v>
      </c>
      <c r="D170" s="91">
        <v>1239</v>
      </c>
      <c r="E170" s="91" t="s">
        <v>44</v>
      </c>
      <c r="F170" s="91" t="s">
        <v>13</v>
      </c>
      <c r="G170" s="93">
        <v>1310.5</v>
      </c>
      <c r="H170" s="90">
        <f>+'Base personal'!$G170/'Base personal'!$L170</f>
        <v>131.05000000000001</v>
      </c>
      <c r="I170" s="108">
        <f>VLOOKUP(B170&amp;C170,base!$C$2:$E$27,3,0)</f>
        <v>70</v>
      </c>
      <c r="J170" s="108">
        <f>VLOOKUP(B170&amp;C170,base!$C$2:$F$27,4,0)</f>
        <v>2.1911428571428572E-3</v>
      </c>
      <c r="K170" s="91">
        <f>+'Base personal'!$H170*'Base personal'!$J170*'Base personal'!$L170</f>
        <v>2.8714927142857145</v>
      </c>
      <c r="L170" s="91">
        <v>10</v>
      </c>
      <c r="M170" s="93"/>
      <c r="N170" s="94"/>
    </row>
    <row r="171" spans="1:17" s="91" customFormat="1" x14ac:dyDescent="0.25">
      <c r="A171" s="92">
        <v>44170</v>
      </c>
      <c r="B171" s="91" t="s">
        <v>33</v>
      </c>
      <c r="C171" s="91" t="s">
        <v>47</v>
      </c>
      <c r="D171" s="91" t="s">
        <v>235</v>
      </c>
      <c r="E171" s="91" t="s">
        <v>236</v>
      </c>
      <c r="F171" s="91" t="s">
        <v>13</v>
      </c>
      <c r="G171" s="91">
        <v>745</v>
      </c>
      <c r="H171" s="90">
        <f>+'Base personal'!$G171/'Base personal'!$L171</f>
        <v>67.727272727272734</v>
      </c>
      <c r="I171" s="108">
        <f>VLOOKUP(B171&amp;C171,base!$C$2:$E$27,3,0)</f>
        <v>70</v>
      </c>
      <c r="J171" s="108">
        <f>VLOOKUP(B171&amp;C171,base!$C$2:$F$27,4,0)</f>
        <v>2.1911428571428572E-3</v>
      </c>
      <c r="K171" s="91">
        <f>+'Base personal'!$H171*'Base personal'!$J171*'Base personal'!$L171</f>
        <v>1.6324014285714286</v>
      </c>
      <c r="L171" s="91">
        <v>11</v>
      </c>
      <c r="M171" s="93"/>
      <c r="N171" s="94"/>
    </row>
    <row r="172" spans="1:17" s="91" customFormat="1" x14ac:dyDescent="0.25">
      <c r="A172" s="92">
        <v>44170</v>
      </c>
      <c r="B172" s="91" t="s">
        <v>33</v>
      </c>
      <c r="C172" s="91" t="s">
        <v>47</v>
      </c>
      <c r="D172" s="91" t="s">
        <v>235</v>
      </c>
      <c r="E172" s="91" t="s">
        <v>97</v>
      </c>
      <c r="F172" s="91" t="s">
        <v>13</v>
      </c>
      <c r="G172" s="91">
        <v>745</v>
      </c>
      <c r="H172" s="90">
        <f>+'Base personal'!$G172/'Base personal'!$L172</f>
        <v>67.727272727272734</v>
      </c>
      <c r="I172" s="108">
        <f>VLOOKUP(B172&amp;C172,base!$C$2:$E$27,3,0)</f>
        <v>70</v>
      </c>
      <c r="J172" s="108">
        <f>VLOOKUP(B172&amp;C172,base!$C$2:$F$27,4,0)</f>
        <v>2.1911428571428572E-3</v>
      </c>
      <c r="K172" s="91">
        <f>+'Base personal'!$H172*'Base personal'!$J172*'Base personal'!$L172</f>
        <v>1.6324014285714286</v>
      </c>
      <c r="L172" s="91">
        <v>11</v>
      </c>
      <c r="M172" s="93"/>
      <c r="N172" s="94"/>
      <c r="P172" s="91" t="s">
        <v>208</v>
      </c>
    </row>
    <row r="173" spans="1:17" s="91" customFormat="1" x14ac:dyDescent="0.25">
      <c r="A173" s="92">
        <v>44172</v>
      </c>
      <c r="B173" s="91" t="s">
        <v>113</v>
      </c>
      <c r="C173" s="91" t="s">
        <v>71</v>
      </c>
      <c r="D173" s="91">
        <v>124</v>
      </c>
      <c r="E173" s="91" t="s">
        <v>102</v>
      </c>
      <c r="F173" s="91" t="s">
        <v>13</v>
      </c>
      <c r="G173" s="91">
        <f>57+110+59+74+56+52</f>
        <v>408</v>
      </c>
      <c r="H173" s="90">
        <f>+'Base personal'!$G173/'Base personal'!$L173</f>
        <v>40.799999999999997</v>
      </c>
      <c r="I173" s="108">
        <f>VLOOKUP(B173&amp;C173,base!$C$2:$E$27,3,0)</f>
        <v>45</v>
      </c>
      <c r="J173" s="108">
        <f>VLOOKUP(B173&amp;C173,base!$C$2:$F$27,4,0)</f>
        <v>1.1361111111111112E-2</v>
      </c>
      <c r="K173" s="91">
        <f>+'Base personal'!$H173*'Base personal'!$J173*'Base personal'!$L173</f>
        <v>4.6353333333333335</v>
      </c>
      <c r="L173" s="91">
        <v>10</v>
      </c>
      <c r="M173" s="93"/>
      <c r="N173" s="94"/>
    </row>
    <row r="174" spans="1:17" x14ac:dyDescent="0.25">
      <c r="A174" s="92">
        <v>44172</v>
      </c>
      <c r="B174" s="91" t="s">
        <v>112</v>
      </c>
      <c r="C174" s="91" t="s">
        <v>55</v>
      </c>
      <c r="D174" s="22">
        <v>775</v>
      </c>
      <c r="E174" s="91" t="s">
        <v>96</v>
      </c>
      <c r="F174" t="s">
        <v>13</v>
      </c>
      <c r="G174" s="91">
        <f>1241/2</f>
        <v>620.5</v>
      </c>
      <c r="H174" s="90">
        <f>+'Base personal'!$G174/'Base personal'!$L174</f>
        <v>62.05</v>
      </c>
      <c r="I174" s="108">
        <f>VLOOKUP(B174&amp;C174,base!$C$2:$E$27,3,0)</f>
        <v>55</v>
      </c>
      <c r="J174" s="108">
        <f>VLOOKUP(B174&amp;C174,base!$C$2:$F$27,4,0)</f>
        <v>9.295454545454546E-3</v>
      </c>
      <c r="K174">
        <f>+'Base personal'!$H174*'Base personal'!$J174*'Base personal'!$L174</f>
        <v>5.7678295454545463</v>
      </c>
      <c r="L174" s="91">
        <v>10</v>
      </c>
      <c r="M174" s="7">
        <f t="shared" ref="M174:M175" si="4">G174/L174</f>
        <v>62.05</v>
      </c>
      <c r="N174" s="94">
        <f>M174/VLOOKUP(B174&amp;C174,base!$C$2:$E$27,3,0)</f>
        <v>1.1281818181818182</v>
      </c>
      <c r="Q174">
        <f t="shared" si="1"/>
        <v>10</v>
      </c>
    </row>
    <row r="175" spans="1:17" x14ac:dyDescent="0.25">
      <c r="A175" s="92">
        <v>44172</v>
      </c>
      <c r="B175" s="91" t="s">
        <v>112</v>
      </c>
      <c r="C175" s="91" t="s">
        <v>55</v>
      </c>
      <c r="D175" s="22">
        <v>775</v>
      </c>
      <c r="E175" s="91" t="s">
        <v>57</v>
      </c>
      <c r="F175" t="s">
        <v>13</v>
      </c>
      <c r="G175" s="91">
        <f>1241/2</f>
        <v>620.5</v>
      </c>
      <c r="H175" s="90">
        <f>+'Base personal'!$G175/'Base personal'!$L175</f>
        <v>62.05</v>
      </c>
      <c r="I175" s="108">
        <f>VLOOKUP(B175&amp;C175,base!$C$2:$E$27,3,0)</f>
        <v>55</v>
      </c>
      <c r="J175" s="108">
        <f>VLOOKUP(B175&amp;C175,base!$C$2:$F$27,4,0)</f>
        <v>9.295454545454546E-3</v>
      </c>
      <c r="K175">
        <f>+'Base personal'!$H175*'Base personal'!$J175*'Base personal'!$L175</f>
        <v>5.7678295454545463</v>
      </c>
      <c r="L175" s="91">
        <v>10</v>
      </c>
      <c r="M175" s="7">
        <f t="shared" si="4"/>
        <v>62.05</v>
      </c>
      <c r="N175" s="94">
        <f>M175/VLOOKUP(B175&amp;C175,base!$C$2:$E$27,3,0)</f>
        <v>1.1281818181818182</v>
      </c>
      <c r="Q175">
        <f t="shared" si="1"/>
        <v>10</v>
      </c>
    </row>
    <row r="176" spans="1:17" x14ac:dyDescent="0.25">
      <c r="A176" s="92">
        <v>44172</v>
      </c>
      <c r="B176" s="91" t="s">
        <v>111</v>
      </c>
      <c r="C176" s="91" t="s">
        <v>62</v>
      </c>
      <c r="D176" s="91">
        <v>774</v>
      </c>
      <c r="E176" s="91" t="s">
        <v>64</v>
      </c>
      <c r="F176" t="s">
        <v>13</v>
      </c>
      <c r="G176" s="91">
        <f>1813/2</f>
        <v>906.5</v>
      </c>
      <c r="H176" s="90">
        <f>+'Base personal'!$G176/'Base personal'!$L176</f>
        <v>90.65</v>
      </c>
      <c r="I176" s="108">
        <f>VLOOKUP(B176&amp;C176,base!$C$2:$E$27,3,0)</f>
        <v>92</v>
      </c>
      <c r="J176" s="108">
        <f>VLOOKUP(B176&amp;C176,base!$C$2:$F$27,4,0)</f>
        <v>5.5570652173913045E-3</v>
      </c>
      <c r="K176">
        <f>+'Base personal'!$H176*'Base personal'!$J176*'Base personal'!$L176</f>
        <v>5.0374796195652181</v>
      </c>
      <c r="L176" s="91">
        <v>10</v>
      </c>
      <c r="M176" s="7">
        <f>G175/L176</f>
        <v>62.05</v>
      </c>
      <c r="N176" s="94">
        <f>M176/VLOOKUP(B176&amp;C176,base!$C$2:$E$27,3,0)</f>
        <v>0.6744565217391304</v>
      </c>
      <c r="Q176">
        <f t="shared" si="1"/>
        <v>10</v>
      </c>
    </row>
    <row r="177" spans="1:17" x14ac:dyDescent="0.25">
      <c r="A177" s="92">
        <v>44172</v>
      </c>
      <c r="B177" s="91" t="s">
        <v>111</v>
      </c>
      <c r="C177" s="91" t="s">
        <v>62</v>
      </c>
      <c r="D177" s="91">
        <v>774</v>
      </c>
      <c r="E177" s="91" t="s">
        <v>12</v>
      </c>
      <c r="F177" t="s">
        <v>13</v>
      </c>
      <c r="G177" s="91">
        <f>1813/2</f>
        <v>906.5</v>
      </c>
      <c r="H177" s="90">
        <f>+'Base personal'!$G177/'Base personal'!$L177</f>
        <v>90.65</v>
      </c>
      <c r="I177" s="108">
        <f>VLOOKUP(B177&amp;C177,base!$C$2:$E$27,3,0)</f>
        <v>92</v>
      </c>
      <c r="J177" s="108">
        <f>VLOOKUP(B177&amp;C177,base!$C$2:$F$27,4,0)</f>
        <v>5.5570652173913045E-3</v>
      </c>
      <c r="K177">
        <f>+'Base personal'!$H177*'Base personal'!$J177*'Base personal'!$L177</f>
        <v>5.0374796195652181</v>
      </c>
      <c r="L177" s="91">
        <v>10</v>
      </c>
      <c r="M177" s="7">
        <f t="shared" ref="M177:M217" si="5">G177/L177</f>
        <v>90.65</v>
      </c>
      <c r="N177" s="94">
        <f>M177/VLOOKUP(B177&amp;C177,base!$C$2:$E$27,3,0)</f>
        <v>0.9853260869565218</v>
      </c>
      <c r="Q177">
        <f t="shared" si="1"/>
        <v>10</v>
      </c>
    </row>
    <row r="178" spans="1:17" x14ac:dyDescent="0.25">
      <c r="A178" s="92">
        <v>44172</v>
      </c>
      <c r="B178" s="91" t="s">
        <v>29</v>
      </c>
      <c r="C178" s="91" t="s">
        <v>86</v>
      </c>
      <c r="D178" s="91">
        <v>154</v>
      </c>
      <c r="E178" s="91" t="s">
        <v>56</v>
      </c>
      <c r="F178" t="s">
        <v>13</v>
      </c>
      <c r="G178" s="91">
        <v>768</v>
      </c>
      <c r="H178" s="90">
        <f>+'Base personal'!$G178/'Base personal'!$L178</f>
        <v>69.818181818181813</v>
      </c>
      <c r="I178" s="108">
        <f>VLOOKUP(B178&amp;C178,base!$C$2:$E$27,3,0)</f>
        <v>75</v>
      </c>
      <c r="J178" s="108">
        <f>VLOOKUP(B178&amp;C178,base!$C$2:$F$27,4,0)</f>
        <v>1.0225333333333333E-2</v>
      </c>
      <c r="K178">
        <f>+'Base personal'!$H178*'Base personal'!$J178*'Base personal'!$L178</f>
        <v>7.8530559999999996</v>
      </c>
      <c r="L178" s="91">
        <v>11</v>
      </c>
      <c r="M178" s="7">
        <f t="shared" si="5"/>
        <v>69.818181818181813</v>
      </c>
      <c r="N178" s="94">
        <f>M178/VLOOKUP(B178&amp;C178,base!$C$2:$E$27,3,0)</f>
        <v>0.9309090909090908</v>
      </c>
      <c r="Q178">
        <f t="shared" si="1"/>
        <v>11</v>
      </c>
    </row>
    <row r="179" spans="1:17" x14ac:dyDescent="0.25">
      <c r="A179" s="92">
        <v>44172</v>
      </c>
      <c r="B179" s="91" t="s">
        <v>36</v>
      </c>
      <c r="C179" s="91" t="s">
        <v>45</v>
      </c>
      <c r="D179" s="91">
        <v>368</v>
      </c>
      <c r="E179" s="91" t="s">
        <v>58</v>
      </c>
      <c r="F179" t="s">
        <v>13</v>
      </c>
      <c r="G179" s="91">
        <v>2130</v>
      </c>
      <c r="H179" s="90">
        <f>+'Base personal'!$G179/'Base personal'!$L179</f>
        <v>213</v>
      </c>
      <c r="I179" s="108">
        <f>VLOOKUP(B179&amp;C179,base!$C$2:$E$27,3,0)</f>
        <v>500</v>
      </c>
      <c r="J179" s="108">
        <f>VLOOKUP(B179&amp;C179,base!$C$2:$F$27,4,0)</f>
        <v>1.0225E-3</v>
      </c>
      <c r="K179">
        <f>+'Base personal'!$H179*'Base personal'!$J179*'Base personal'!$L179</f>
        <v>2.1779250000000001</v>
      </c>
      <c r="L179" s="91">
        <v>10</v>
      </c>
      <c r="M179" s="7">
        <f t="shared" si="5"/>
        <v>213</v>
      </c>
      <c r="N179" s="94">
        <f>M179/VLOOKUP(B179&amp;C179,base!$C$2:$E$27,3,0)</f>
        <v>0.42599999999999999</v>
      </c>
      <c r="Q179">
        <f t="shared" si="1"/>
        <v>10</v>
      </c>
    </row>
    <row r="180" spans="1:17" x14ac:dyDescent="0.25">
      <c r="A180" s="92">
        <v>44172</v>
      </c>
      <c r="B180" s="91" t="s">
        <v>33</v>
      </c>
      <c r="C180" s="91" t="s">
        <v>47</v>
      </c>
      <c r="D180" s="91">
        <v>1268</v>
      </c>
      <c r="E180" s="91" t="s">
        <v>75</v>
      </c>
      <c r="F180" t="s">
        <v>13</v>
      </c>
      <c r="G180" s="113">
        <f>548/3</f>
        <v>182.66666666666666</v>
      </c>
      <c r="H180" s="90">
        <f>+'Base personal'!$G180/'Base personal'!$L180</f>
        <v>30.444444444444443</v>
      </c>
      <c r="I180" s="108">
        <f>VLOOKUP(B180&amp;C180,base!$C$2:$E$27,3,0)</f>
        <v>70</v>
      </c>
      <c r="J180" s="108">
        <f>VLOOKUP(B180&amp;C180,base!$C$2:$F$27,4,0)</f>
        <v>2.1911428571428572E-3</v>
      </c>
      <c r="K180" s="91">
        <f>+'Base personal'!$H180*'Base personal'!$J180*'Base personal'!$L180</f>
        <v>0.40024876190476188</v>
      </c>
      <c r="L180" s="91">
        <v>6</v>
      </c>
      <c r="M180" s="7">
        <f t="shared" si="5"/>
        <v>30.444444444444443</v>
      </c>
      <c r="N180" s="94">
        <f>M180/VLOOKUP(B180&amp;C180,base!$C$2:$E$27,3,0)</f>
        <v>0.43492063492063487</v>
      </c>
    </row>
    <row r="181" spans="1:17" x14ac:dyDescent="0.25">
      <c r="A181" s="92">
        <v>44172</v>
      </c>
      <c r="B181" s="91" t="s">
        <v>33</v>
      </c>
      <c r="C181" s="91" t="s">
        <v>47</v>
      </c>
      <c r="D181" s="91">
        <v>1268</v>
      </c>
      <c r="E181" s="91" t="s">
        <v>63</v>
      </c>
      <c r="F181" t="s">
        <v>13</v>
      </c>
      <c r="G181" s="113">
        <f>548/3</f>
        <v>182.66666666666666</v>
      </c>
      <c r="H181" s="90">
        <f>+'Base personal'!$G181/'Base personal'!$L181</f>
        <v>30.444444444444443</v>
      </c>
      <c r="I181" s="108">
        <f>VLOOKUP(B181&amp;C181,base!$C$2:$E$27,3,0)</f>
        <v>70</v>
      </c>
      <c r="J181" s="108">
        <f>VLOOKUP(B181&amp;C181,base!$C$2:$F$27,4,0)</f>
        <v>2.1911428571428572E-3</v>
      </c>
      <c r="K181" s="91">
        <f>+'Base personal'!$H181*'Base personal'!$J181*'Base personal'!$L181</f>
        <v>0.40024876190476188</v>
      </c>
      <c r="L181" s="91">
        <v>6</v>
      </c>
      <c r="M181" s="7">
        <f t="shared" si="5"/>
        <v>30.444444444444443</v>
      </c>
      <c r="N181" s="94">
        <f>M181/VLOOKUP(B181&amp;C181,base!$C$2:$E$27,3,0)</f>
        <v>0.43492063492063487</v>
      </c>
    </row>
    <row r="182" spans="1:17" x14ac:dyDescent="0.25">
      <c r="A182" s="92">
        <v>44172</v>
      </c>
      <c r="B182" s="91" t="s">
        <v>33</v>
      </c>
      <c r="C182" s="91" t="s">
        <v>47</v>
      </c>
      <c r="D182" s="91">
        <v>1268</v>
      </c>
      <c r="E182" s="91" t="s">
        <v>43</v>
      </c>
      <c r="F182" t="s">
        <v>13</v>
      </c>
      <c r="G182" s="113">
        <f>548/3</f>
        <v>182.66666666666666</v>
      </c>
      <c r="H182" s="90">
        <f>+'Base personal'!$G182/'Base personal'!$L182</f>
        <v>30.444444444444443</v>
      </c>
      <c r="I182" s="108">
        <f>VLOOKUP(B182&amp;C182,base!$C$2:$E$27,3,0)</f>
        <v>70</v>
      </c>
      <c r="J182" s="108">
        <f>VLOOKUP(B182&amp;C182,base!$C$2:$F$27,4,0)</f>
        <v>2.1911428571428572E-3</v>
      </c>
      <c r="K182">
        <f>+'Base personal'!$H182*'Base personal'!$J182*'Base personal'!$L182</f>
        <v>0.40024876190476188</v>
      </c>
      <c r="L182" s="91">
        <v>6</v>
      </c>
      <c r="M182" s="7">
        <f t="shared" si="5"/>
        <v>30.444444444444443</v>
      </c>
      <c r="N182" s="94">
        <f>M182/VLOOKUP(B182&amp;C182,base!$C$2:$E$27,3,0)</f>
        <v>0.43492063492063487</v>
      </c>
    </row>
    <row r="183" spans="1:17" s="91" customFormat="1" x14ac:dyDescent="0.25">
      <c r="A183" s="92">
        <v>44172</v>
      </c>
      <c r="B183" s="91" t="s">
        <v>115</v>
      </c>
      <c r="E183" s="91" t="s">
        <v>75</v>
      </c>
      <c r="F183" s="91" t="s">
        <v>13</v>
      </c>
      <c r="H183" s="90">
        <v>1</v>
      </c>
      <c r="I183" s="108">
        <v>1</v>
      </c>
      <c r="J183" s="75">
        <v>0.3483</v>
      </c>
      <c r="K183" s="91">
        <f>+'Base personal'!$H183*'Base personal'!$J183*'Base personal'!$L183</f>
        <v>1.3932</v>
      </c>
      <c r="L183" s="91">
        <v>4</v>
      </c>
      <c r="M183" s="93">
        <f>G183/L183</f>
        <v>0</v>
      </c>
      <c r="N183" s="94" t="e">
        <f>M183/VLOOKUP(B183&amp;C183,base!$C$2:$E$27,3,0)</f>
        <v>#N/A</v>
      </c>
      <c r="P183" s="91" t="s">
        <v>176</v>
      </c>
    </row>
    <row r="184" spans="1:17" s="91" customFormat="1" x14ac:dyDescent="0.25">
      <c r="A184" s="92">
        <v>44172</v>
      </c>
      <c r="B184" s="91" t="s">
        <v>115</v>
      </c>
      <c r="E184" s="91" t="s">
        <v>63</v>
      </c>
      <c r="F184" s="91" t="s">
        <v>13</v>
      </c>
      <c r="H184" s="90">
        <v>1</v>
      </c>
      <c r="I184" s="108">
        <v>1</v>
      </c>
      <c r="J184" s="75">
        <v>0.3483</v>
      </c>
      <c r="K184" s="91">
        <f>+'Base personal'!$H184*'Base personal'!$J184*'Base personal'!$L184</f>
        <v>1.3932</v>
      </c>
      <c r="L184" s="91">
        <v>4</v>
      </c>
      <c r="M184" s="93">
        <f t="shared" ref="M184:M185" si="6">G184/L184</f>
        <v>0</v>
      </c>
      <c r="N184" s="94" t="e">
        <f>M184/VLOOKUP(B184&amp;C184,base!$C$2:$E$27,3,0)</f>
        <v>#N/A</v>
      </c>
      <c r="P184" s="91" t="s">
        <v>176</v>
      </c>
    </row>
    <row r="185" spans="1:17" s="91" customFormat="1" x14ac:dyDescent="0.25">
      <c r="A185" s="92">
        <v>44172</v>
      </c>
      <c r="B185" s="91" t="s">
        <v>115</v>
      </c>
      <c r="E185" s="91" t="s">
        <v>43</v>
      </c>
      <c r="F185" s="91" t="s">
        <v>13</v>
      </c>
      <c r="H185" s="90">
        <v>1</v>
      </c>
      <c r="I185" s="108">
        <v>1</v>
      </c>
      <c r="J185" s="75">
        <v>0.3483</v>
      </c>
      <c r="K185" s="91">
        <f>+'Base personal'!$H185*'Base personal'!$J185*'Base personal'!$L185</f>
        <v>1.3932</v>
      </c>
      <c r="L185" s="91">
        <v>4</v>
      </c>
      <c r="M185" s="93">
        <f t="shared" si="6"/>
        <v>0</v>
      </c>
      <c r="N185" s="94" t="e">
        <f>M185/VLOOKUP(B185&amp;C185,base!$C$2:$E$27,3,0)</f>
        <v>#N/A</v>
      </c>
      <c r="P185" s="91" t="s">
        <v>176</v>
      </c>
    </row>
    <row r="186" spans="1:17" s="91" customFormat="1" x14ac:dyDescent="0.25">
      <c r="A186" s="92">
        <v>44172</v>
      </c>
      <c r="B186" s="91" t="s">
        <v>33</v>
      </c>
      <c r="C186" s="91" t="s">
        <v>45</v>
      </c>
      <c r="D186" s="91">
        <v>1240</v>
      </c>
      <c r="E186" s="91" t="s">
        <v>194</v>
      </c>
      <c r="F186" s="91" t="s">
        <v>13</v>
      </c>
      <c r="G186" s="91">
        <v>2008</v>
      </c>
      <c r="H186" s="90">
        <f>+'Base personal'!$G186/'Base personal'!$L186</f>
        <v>182.54545454545453</v>
      </c>
      <c r="I186" s="108">
        <f>VLOOKUP(B186&amp;C186,base!$C$2:$E$27,3,0)</f>
        <v>700</v>
      </c>
      <c r="J186" s="108">
        <f>VLOOKUP(B186&amp;C186,base!$C$2:$F$27,4,0)</f>
        <v>1.0955714285714286E-3</v>
      </c>
      <c r="K186" s="91">
        <f>+'Base personal'!$H186*'Base personal'!$J186*'Base personal'!$L186</f>
        <v>2.1999074285714286</v>
      </c>
      <c r="L186" s="91">
        <v>11</v>
      </c>
      <c r="M186" s="93">
        <f t="shared" si="5"/>
        <v>182.54545454545453</v>
      </c>
      <c r="N186" s="94"/>
      <c r="P186" s="91" t="s">
        <v>176</v>
      </c>
    </row>
    <row r="187" spans="1:17" x14ac:dyDescent="0.25">
      <c r="A187" s="92">
        <v>44173</v>
      </c>
      <c r="B187" s="91" t="s">
        <v>113</v>
      </c>
      <c r="C187" s="91" t="s">
        <v>71</v>
      </c>
      <c r="D187" s="91">
        <v>125</v>
      </c>
      <c r="E187" s="91" t="s">
        <v>72</v>
      </c>
      <c r="F187" t="s">
        <v>13</v>
      </c>
      <c r="G187" s="91">
        <v>337.5</v>
      </c>
      <c r="H187" s="90">
        <f>+'Base personal'!$G187/'Base personal'!$L187</f>
        <v>37.5</v>
      </c>
      <c r="I187" s="108">
        <f>VLOOKUP(B187&amp;C187,base!$C$2:$E$27,3,0)</f>
        <v>45</v>
      </c>
      <c r="J187" s="108">
        <f>VLOOKUP(B187&amp;C187,base!$C$2:$F$27,4,0)</f>
        <v>1.1361111111111112E-2</v>
      </c>
      <c r="K187">
        <f>+'Base personal'!$H187*'Base personal'!$J187*'Base personal'!$L187</f>
        <v>3.8343750000000005</v>
      </c>
      <c r="L187" s="91">
        <v>9</v>
      </c>
      <c r="M187" s="7">
        <f t="shared" si="5"/>
        <v>37.5</v>
      </c>
      <c r="N187" s="94">
        <f>M187/VLOOKUP(B187&amp;C187,base!$C$2:$E$27,3,0)</f>
        <v>0.83333333333333337</v>
      </c>
      <c r="P187" t="s">
        <v>176</v>
      </c>
      <c r="Q187">
        <f t="shared" ref="Q187:Q190" si="7">+L187+O187</f>
        <v>9</v>
      </c>
    </row>
    <row r="188" spans="1:17" x14ac:dyDescent="0.25">
      <c r="A188" s="92">
        <v>44173</v>
      </c>
      <c r="B188" s="91" t="s">
        <v>113</v>
      </c>
      <c r="C188" s="91" t="s">
        <v>71</v>
      </c>
      <c r="D188" s="91">
        <v>125</v>
      </c>
      <c r="E188" s="91" t="s">
        <v>102</v>
      </c>
      <c r="F188" t="s">
        <v>170</v>
      </c>
      <c r="G188" s="91">
        <v>337.5</v>
      </c>
      <c r="H188" s="90">
        <f>+'Base personal'!$G188/'Base personal'!$L188</f>
        <v>37.5</v>
      </c>
      <c r="I188" s="108">
        <f>VLOOKUP(B188&amp;C188,base!$C$2:$E$27,3,0)</f>
        <v>45</v>
      </c>
      <c r="J188" s="108">
        <f>VLOOKUP(B188&amp;C188,base!$C$2:$F$27,4,0)</f>
        <v>1.1361111111111112E-2</v>
      </c>
      <c r="K188">
        <f>+'Base personal'!$H188*'Base personal'!$J188*'Base personal'!$L188</f>
        <v>3.8343750000000005</v>
      </c>
      <c r="L188" s="91">
        <v>9</v>
      </c>
      <c r="M188" s="7">
        <f t="shared" si="5"/>
        <v>37.5</v>
      </c>
      <c r="N188" s="94">
        <f>M188/VLOOKUP(B188&amp;C188,base!$C$2:$E$27,3,0)</f>
        <v>0.83333333333333337</v>
      </c>
      <c r="Q188">
        <f t="shared" si="7"/>
        <v>9</v>
      </c>
    </row>
    <row r="189" spans="1:17" x14ac:dyDescent="0.25">
      <c r="A189" s="92">
        <v>44173</v>
      </c>
      <c r="B189" s="91" t="s">
        <v>111</v>
      </c>
      <c r="C189" s="91" t="s">
        <v>62</v>
      </c>
      <c r="D189" s="91">
        <v>776</v>
      </c>
      <c r="E189" s="91" t="s">
        <v>64</v>
      </c>
      <c r="F189" t="s">
        <v>13</v>
      </c>
      <c r="G189" s="113">
        <v>787.33333333333337</v>
      </c>
      <c r="H189" s="90">
        <f>+'Base personal'!$G189/'Base personal'!$L189</f>
        <v>78.733333333333334</v>
      </c>
      <c r="I189" s="108">
        <f>VLOOKUP(B189&amp;C189,base!$C$2:$E$27,3,0)</f>
        <v>92</v>
      </c>
      <c r="J189" s="108">
        <f>VLOOKUP(B189&amp;C189,base!$C$2:$F$27,4,0)</f>
        <v>5.5570652173913045E-3</v>
      </c>
      <c r="K189" s="91">
        <f>+'Base personal'!$H189*'Base personal'!$J189*'Base personal'!$L189</f>
        <v>4.3752626811594206</v>
      </c>
      <c r="L189" s="91">
        <v>10</v>
      </c>
      <c r="M189" s="7">
        <f t="shared" si="5"/>
        <v>78.733333333333334</v>
      </c>
      <c r="N189" s="94">
        <f>M189/VLOOKUP(B189&amp;C189,base!$C$2:$E$27,3,0)</f>
        <v>0.85579710144927534</v>
      </c>
      <c r="Q189">
        <f t="shared" si="7"/>
        <v>10</v>
      </c>
    </row>
    <row r="190" spans="1:17" x14ac:dyDescent="0.25">
      <c r="A190" s="92">
        <v>44173</v>
      </c>
      <c r="B190" s="91" t="s">
        <v>111</v>
      </c>
      <c r="C190" s="91" t="s">
        <v>62</v>
      </c>
      <c r="D190" s="91">
        <v>776</v>
      </c>
      <c r="E190" s="91" t="s">
        <v>12</v>
      </c>
      <c r="F190" t="s">
        <v>13</v>
      </c>
      <c r="G190" s="113">
        <v>787.33333333333337</v>
      </c>
      <c r="H190" s="90">
        <f>+'Base personal'!$G190/'Base personal'!$L190</f>
        <v>78.733333333333334</v>
      </c>
      <c r="I190" s="108">
        <f>VLOOKUP(B190&amp;C190,base!$C$2:$E$27,3,0)</f>
        <v>92</v>
      </c>
      <c r="J190" s="108">
        <f>VLOOKUP(B190&amp;C190,base!$C$2:$F$27,4,0)</f>
        <v>5.5570652173913045E-3</v>
      </c>
      <c r="K190">
        <f>+'Base personal'!$H190*'Base personal'!$J190*'Base personal'!$L190</f>
        <v>4.3752626811594206</v>
      </c>
      <c r="L190" s="91">
        <v>10</v>
      </c>
      <c r="M190" s="7">
        <f t="shared" si="5"/>
        <v>78.733333333333334</v>
      </c>
      <c r="N190" s="94">
        <f>M190/VLOOKUP(B190&amp;C190,base!$C$2:$E$27,3,0)</f>
        <v>0.85579710144927534</v>
      </c>
      <c r="Q190">
        <f t="shared" si="7"/>
        <v>10</v>
      </c>
    </row>
    <row r="191" spans="1:17" x14ac:dyDescent="0.25">
      <c r="A191" s="92">
        <v>44173</v>
      </c>
      <c r="B191" s="91" t="s">
        <v>111</v>
      </c>
      <c r="C191" s="91" t="s">
        <v>62</v>
      </c>
      <c r="D191" s="91">
        <v>776</v>
      </c>
      <c r="E191" s="91" t="s">
        <v>69</v>
      </c>
      <c r="F191" t="s">
        <v>13</v>
      </c>
      <c r="G191" s="113">
        <v>787.33333333333337</v>
      </c>
      <c r="H191" s="90">
        <f>+'Base personal'!$G191/'Base personal'!$L191</f>
        <v>78.733333333333334</v>
      </c>
      <c r="I191" s="108">
        <f>VLOOKUP(B191&amp;C191,base!$C$2:$E$27,3,0)</f>
        <v>92</v>
      </c>
      <c r="J191" s="108">
        <f>VLOOKUP(B191&amp;C191,base!$C$2:$F$27,4,0)</f>
        <v>5.5570652173913045E-3</v>
      </c>
      <c r="K191">
        <f>+'Base personal'!$H191*'Base personal'!$J191*'Base personal'!$L191</f>
        <v>4.3752626811594206</v>
      </c>
      <c r="L191" s="91">
        <v>10</v>
      </c>
      <c r="M191" s="7">
        <f t="shared" si="5"/>
        <v>78.733333333333334</v>
      </c>
      <c r="N191" s="94">
        <f>M191/VLOOKUP(B191&amp;C191,base!$C$2:$E$27,3,0)</f>
        <v>0.85579710144927534</v>
      </c>
    </row>
    <row r="192" spans="1:17" x14ac:dyDescent="0.25">
      <c r="A192" s="92">
        <v>44173</v>
      </c>
      <c r="B192" s="91" t="s">
        <v>112</v>
      </c>
      <c r="C192" s="91" t="s">
        <v>55</v>
      </c>
      <c r="D192" s="91">
        <v>777</v>
      </c>
      <c r="E192" s="91" t="s">
        <v>96</v>
      </c>
      <c r="F192" t="s">
        <v>13</v>
      </c>
      <c r="G192" s="91">
        <f>1240/2</f>
        <v>620</v>
      </c>
      <c r="H192" s="90">
        <f>+'Base personal'!$G192/'Base personal'!$L192</f>
        <v>62</v>
      </c>
      <c r="I192" s="108">
        <f>VLOOKUP(B192&amp;C192,base!$C$2:$E$27,3,0)</f>
        <v>55</v>
      </c>
      <c r="J192" s="108">
        <f>VLOOKUP(B192&amp;C192,base!$C$2:$F$27,4,0)</f>
        <v>9.295454545454546E-3</v>
      </c>
      <c r="K192">
        <f>+'Base personal'!$H192*'Base personal'!$J192*'Base personal'!$L192</f>
        <v>5.7631818181818186</v>
      </c>
      <c r="L192" s="91">
        <v>10</v>
      </c>
      <c r="M192" s="7">
        <f t="shared" si="5"/>
        <v>62</v>
      </c>
      <c r="N192" s="94">
        <f>M192/VLOOKUP(B192&amp;C192,base!$C$2:$E$27,3,0)</f>
        <v>1.1272727272727272</v>
      </c>
    </row>
    <row r="193" spans="1:17" x14ac:dyDescent="0.25">
      <c r="A193" s="92">
        <v>44173</v>
      </c>
      <c r="B193" s="91" t="s">
        <v>112</v>
      </c>
      <c r="C193" s="91" t="s">
        <v>55</v>
      </c>
      <c r="D193" s="91">
        <v>777</v>
      </c>
      <c r="E193" s="91" t="s">
        <v>57</v>
      </c>
      <c r="F193" t="s">
        <v>13</v>
      </c>
      <c r="G193" s="91">
        <f>1240/2</f>
        <v>620</v>
      </c>
      <c r="H193" s="90">
        <f>+'Base personal'!$G193/'Base personal'!$L193</f>
        <v>62</v>
      </c>
      <c r="I193" s="108">
        <f>VLOOKUP(B193&amp;C193,base!$C$2:$E$27,3,0)</f>
        <v>55</v>
      </c>
      <c r="J193" s="108">
        <f>VLOOKUP(B193&amp;C193,base!$C$2:$F$27,4,0)</f>
        <v>9.295454545454546E-3</v>
      </c>
      <c r="K193">
        <f>+'Base personal'!$H193*'Base personal'!$J193*'Base personal'!$L193</f>
        <v>5.7631818181818186</v>
      </c>
      <c r="L193" s="91">
        <v>10</v>
      </c>
      <c r="M193" s="7">
        <f t="shared" si="5"/>
        <v>62</v>
      </c>
      <c r="N193" s="94">
        <f>M193/VLOOKUP(B193&amp;C193,base!$C$2:$E$27,3,0)</f>
        <v>1.1272727272727272</v>
      </c>
    </row>
    <row r="194" spans="1:17" x14ac:dyDescent="0.25">
      <c r="A194" s="92">
        <v>44173</v>
      </c>
      <c r="B194" s="91" t="s">
        <v>29</v>
      </c>
      <c r="C194" s="91" t="s">
        <v>86</v>
      </c>
      <c r="D194" s="91">
        <v>155</v>
      </c>
      <c r="E194" s="91" t="s">
        <v>56</v>
      </c>
      <c r="F194" t="s">
        <v>13</v>
      </c>
      <c r="G194" s="91">
        <v>704</v>
      </c>
      <c r="H194" s="90">
        <f>+'Base personal'!$G194/'Base personal'!$L194</f>
        <v>64</v>
      </c>
      <c r="I194" s="108">
        <f>VLOOKUP(B194&amp;C194,base!$C$2:$E$27,3,0)</f>
        <v>75</v>
      </c>
      <c r="J194" s="108">
        <f>VLOOKUP(B194&amp;C194,base!$C$2:$F$27,4,0)</f>
        <v>1.0225333333333333E-2</v>
      </c>
      <c r="K194">
        <f>+'Base personal'!$H194*'Base personal'!$J194*'Base personal'!$L194</f>
        <v>7.1986346666666661</v>
      </c>
      <c r="L194" s="91">
        <v>11</v>
      </c>
      <c r="M194" s="7">
        <f t="shared" si="5"/>
        <v>64</v>
      </c>
      <c r="N194" s="94">
        <f>M194/VLOOKUP(B194&amp;C194,base!$C$2:$E$27,3,0)</f>
        <v>0.85333333333333339</v>
      </c>
    </row>
    <row r="195" spans="1:17" x14ac:dyDescent="0.25">
      <c r="A195" s="92">
        <v>44173</v>
      </c>
      <c r="B195" s="91" t="s">
        <v>113</v>
      </c>
      <c r="C195" s="91" t="s">
        <v>71</v>
      </c>
      <c r="D195" s="91">
        <v>126</v>
      </c>
      <c r="E195" s="91" t="s">
        <v>43</v>
      </c>
      <c r="F195" t="s">
        <v>13</v>
      </c>
      <c r="G195" s="91">
        <f>641/2</f>
        <v>320.5</v>
      </c>
      <c r="H195" s="90">
        <f>+'Base personal'!$G195/'Base personal'!$L195</f>
        <v>32.049999999999997</v>
      </c>
      <c r="I195" s="108">
        <f>VLOOKUP(B195&amp;C195,base!$C$2:$E$27,3,0)</f>
        <v>45</v>
      </c>
      <c r="J195" s="108">
        <f>VLOOKUP(B195&amp;C195,base!$C$2:$F$27,4,0)</f>
        <v>1.1361111111111112E-2</v>
      </c>
      <c r="K195">
        <f>+'Base personal'!$H195*'Base personal'!$J195*'Base personal'!$L195</f>
        <v>3.6412361111111107</v>
      </c>
      <c r="L195" s="91">
        <v>10</v>
      </c>
      <c r="M195" s="7">
        <f t="shared" si="5"/>
        <v>32.049999999999997</v>
      </c>
      <c r="N195" s="94">
        <f>M195/VLOOKUP(B195&amp;C195,base!$C$2:$E$27,3,0)</f>
        <v>0.7122222222222222</v>
      </c>
    </row>
    <row r="196" spans="1:17" x14ac:dyDescent="0.25">
      <c r="A196" s="92">
        <v>44173</v>
      </c>
      <c r="B196" s="91" t="s">
        <v>113</v>
      </c>
      <c r="C196" s="91" t="s">
        <v>71</v>
      </c>
      <c r="D196" s="91">
        <v>126</v>
      </c>
      <c r="E196" s="91" t="s">
        <v>236</v>
      </c>
      <c r="F196" t="s">
        <v>13</v>
      </c>
      <c r="G196" s="91">
        <f>641/2</f>
        <v>320.5</v>
      </c>
      <c r="H196" s="90">
        <f>+'Base personal'!$G196/'Base personal'!$L196</f>
        <v>32.049999999999997</v>
      </c>
      <c r="I196" s="108">
        <f>VLOOKUP(B196&amp;C196,base!$C$2:$E$27,3,0)</f>
        <v>45</v>
      </c>
      <c r="J196" s="108">
        <f>VLOOKUP(B196&amp;C196,base!$C$2:$F$27,4,0)</f>
        <v>1.1361111111111112E-2</v>
      </c>
      <c r="K196" s="91">
        <f>+'Base personal'!$H196*'Base personal'!$J196*'Base personal'!$L196</f>
        <v>3.6412361111111107</v>
      </c>
      <c r="L196" s="91">
        <v>10</v>
      </c>
      <c r="M196" s="7">
        <f t="shared" si="5"/>
        <v>32.049999999999997</v>
      </c>
      <c r="N196" s="94">
        <f>M196/VLOOKUP(B196&amp;C196,base!$C$2:$E$27,3,0)</f>
        <v>0.7122222222222222</v>
      </c>
    </row>
    <row r="197" spans="1:17" x14ac:dyDescent="0.25">
      <c r="A197" s="92">
        <v>44173</v>
      </c>
      <c r="B197" s="91" t="s">
        <v>36</v>
      </c>
      <c r="C197" s="91" t="s">
        <v>45</v>
      </c>
      <c r="D197" s="91">
        <v>373</v>
      </c>
      <c r="E197" s="91" t="s">
        <v>58</v>
      </c>
      <c r="F197" t="s">
        <v>13</v>
      </c>
      <c r="G197" s="91">
        <f>435+432+582+411+556+310</f>
        <v>2726</v>
      </c>
      <c r="H197" s="90">
        <f>+'Base personal'!$G197/'Base personal'!$L197</f>
        <v>272.60000000000002</v>
      </c>
      <c r="I197" s="108">
        <f>VLOOKUP(B197&amp;C197,base!$C$2:$E$27,3,0)</f>
        <v>500</v>
      </c>
      <c r="J197" s="108">
        <f>VLOOKUP(B197&amp;C197,base!$C$2:$F$27,4,0)</f>
        <v>1.0225E-3</v>
      </c>
      <c r="K197">
        <f>+'Base personal'!$H197*'Base personal'!$J197*'Base personal'!$L197</f>
        <v>2.7873350000000001</v>
      </c>
      <c r="L197" s="91">
        <v>10</v>
      </c>
      <c r="M197" s="7">
        <f t="shared" si="5"/>
        <v>272.60000000000002</v>
      </c>
      <c r="N197" s="94">
        <f>M197/VLOOKUP(B197&amp;C197,base!$C$2:$E$27,3,0)</f>
        <v>0.54520000000000002</v>
      </c>
    </row>
    <row r="198" spans="1:17" x14ac:dyDescent="0.25">
      <c r="A198" s="92">
        <v>44173</v>
      </c>
      <c r="B198" s="91" t="s">
        <v>33</v>
      </c>
      <c r="C198" s="91" t="s">
        <v>47</v>
      </c>
      <c r="D198" s="91" t="s">
        <v>237</v>
      </c>
      <c r="E198" s="91" t="s">
        <v>233</v>
      </c>
      <c r="F198" t="s">
        <v>13</v>
      </c>
      <c r="G198" s="91">
        <v>548</v>
      </c>
      <c r="H198" s="90">
        <f>+'Base personal'!$G198/'Base personal'!$L198</f>
        <v>68.5</v>
      </c>
      <c r="I198" s="108">
        <f>VLOOKUP(B198&amp;C198,base!$C$2:$E$27,3,0)</f>
        <v>70</v>
      </c>
      <c r="J198" s="108">
        <f>VLOOKUP(B198&amp;C198,base!$C$2:$F$27,4,0)</f>
        <v>2.1911428571428572E-3</v>
      </c>
      <c r="K198">
        <f>+'Base personal'!$H198*'Base personal'!$J198*'Base personal'!$L198</f>
        <v>1.2007462857142857</v>
      </c>
      <c r="L198" s="91">
        <v>8</v>
      </c>
      <c r="M198" s="7">
        <f t="shared" si="5"/>
        <v>68.5</v>
      </c>
      <c r="N198" s="94">
        <f>M198/VLOOKUP(B198&amp;C198,base!$C$2:$E$27,3,0)</f>
        <v>0.97857142857142854</v>
      </c>
    </row>
    <row r="199" spans="1:17" x14ac:dyDescent="0.25">
      <c r="A199" s="92">
        <v>44173</v>
      </c>
      <c r="B199" s="91" t="s">
        <v>33</v>
      </c>
      <c r="C199" s="91" t="s">
        <v>47</v>
      </c>
      <c r="D199" s="91" t="s">
        <v>237</v>
      </c>
      <c r="E199" s="91" t="s">
        <v>75</v>
      </c>
      <c r="F199" t="s">
        <v>170</v>
      </c>
      <c r="G199" s="93">
        <v>548</v>
      </c>
      <c r="H199" s="90">
        <f>+'Base personal'!$G199/'Base personal'!$L199</f>
        <v>68.5</v>
      </c>
      <c r="I199" s="108">
        <f>VLOOKUP(B199&amp;C199,base!$C$2:$E$27,3,0)</f>
        <v>70</v>
      </c>
      <c r="J199" s="108">
        <f>VLOOKUP(B199&amp;C199,base!$C$2:$F$27,4,0)</f>
        <v>2.1911428571428572E-3</v>
      </c>
      <c r="K199">
        <f>+'Base personal'!$H199*'Base personal'!$J199*'Base personal'!$L199</f>
        <v>1.2007462857142857</v>
      </c>
      <c r="L199" s="91">
        <v>8</v>
      </c>
      <c r="M199" s="7">
        <f t="shared" si="5"/>
        <v>68.5</v>
      </c>
      <c r="N199" s="94">
        <f>M199/VLOOKUP(B199&amp;C199,base!$C$2:$E$27,3,0)</f>
        <v>0.97857142857142854</v>
      </c>
    </row>
    <row r="200" spans="1:17" x14ac:dyDescent="0.25">
      <c r="A200" s="92">
        <v>44173</v>
      </c>
      <c r="B200" s="91" t="s">
        <v>33</v>
      </c>
      <c r="C200" s="91" t="s">
        <v>47</v>
      </c>
      <c r="D200" s="91" t="s">
        <v>237</v>
      </c>
      <c r="E200" s="91" t="s">
        <v>97</v>
      </c>
      <c r="F200" t="s">
        <v>170</v>
      </c>
      <c r="G200" s="93">
        <v>548</v>
      </c>
      <c r="H200" s="90">
        <f>+'Base personal'!$G200/'Base personal'!$L200</f>
        <v>68.5</v>
      </c>
      <c r="I200" s="108">
        <f>VLOOKUP(B200&amp;C200,base!$C$2:$E$27,3,0)</f>
        <v>70</v>
      </c>
      <c r="J200" s="108">
        <f>VLOOKUP(B200&amp;C200,base!$C$2:$F$27,4,0)</f>
        <v>2.1911428571428572E-3</v>
      </c>
      <c r="K200">
        <f>+'Base personal'!$H200*'Base personal'!$J200*'Base personal'!$L200</f>
        <v>1.2007462857142857</v>
      </c>
      <c r="L200" s="91">
        <v>8</v>
      </c>
      <c r="M200" s="7">
        <f t="shared" si="5"/>
        <v>68.5</v>
      </c>
      <c r="N200" s="94">
        <f>M200/VLOOKUP(B200&amp;C200,base!$C$2:$E$27,3,0)</f>
        <v>0.97857142857142854</v>
      </c>
    </row>
    <row r="201" spans="1:17" x14ac:dyDescent="0.25">
      <c r="A201" s="92">
        <v>44173</v>
      </c>
      <c r="B201" s="91" t="s">
        <v>33</v>
      </c>
      <c r="C201" s="91" t="s">
        <v>45</v>
      </c>
      <c r="D201" s="91">
        <v>1243</v>
      </c>
      <c r="E201" s="91" t="s">
        <v>194</v>
      </c>
      <c r="F201" t="s">
        <v>170</v>
      </c>
      <c r="G201" s="93">
        <v>2855</v>
      </c>
      <c r="H201" s="90">
        <f>+'Base personal'!$G201/'Base personal'!$L201</f>
        <v>475.83333333333331</v>
      </c>
      <c r="I201" s="108">
        <f>VLOOKUP(B201&amp;C201,base!$C$2:$E$27,3,0)</f>
        <v>700</v>
      </c>
      <c r="J201" s="108">
        <f>VLOOKUP(B201&amp;C201,base!$C$2:$F$27,4,0)</f>
        <v>1.0955714285714286E-3</v>
      </c>
      <c r="K201" s="91">
        <f>+'Base personal'!$H201*'Base personal'!$J201*'Base personal'!$L201</f>
        <v>3.1278564285714285</v>
      </c>
      <c r="L201" s="91">
        <v>6</v>
      </c>
      <c r="M201" s="7">
        <f t="shared" si="5"/>
        <v>475.83333333333331</v>
      </c>
      <c r="N201" s="94">
        <f>M201/VLOOKUP(B201&amp;C201,base!$C$2:$E$27,3,0)</f>
        <v>0.67976190476190479</v>
      </c>
    </row>
    <row r="202" spans="1:17" x14ac:dyDescent="0.25">
      <c r="A202" s="92">
        <v>44173</v>
      </c>
      <c r="B202" s="91" t="s">
        <v>115</v>
      </c>
      <c r="C202" s="91"/>
      <c r="D202" s="91"/>
      <c r="E202" s="91" t="s">
        <v>194</v>
      </c>
      <c r="F202" t="s">
        <v>13</v>
      </c>
      <c r="G202" s="93"/>
      <c r="H202" s="90">
        <v>1</v>
      </c>
      <c r="I202" s="108">
        <v>1</v>
      </c>
      <c r="J202" s="75">
        <v>0.3483</v>
      </c>
      <c r="K202">
        <f>+'Base personal'!$H202*'Base personal'!$J202*'Base personal'!$L202</f>
        <v>1.7415</v>
      </c>
      <c r="L202" s="91">
        <v>5</v>
      </c>
      <c r="M202" s="93">
        <f>G202/L202</f>
        <v>0</v>
      </c>
      <c r="N202" s="94" t="e">
        <f>M202/VLOOKUP(B202&amp;C202,base!$C$2:$E$27,3,0)</f>
        <v>#N/A</v>
      </c>
    </row>
    <row r="203" spans="1:17" x14ac:dyDescent="0.25">
      <c r="A203" s="92">
        <v>44174</v>
      </c>
      <c r="B203" s="91" t="s">
        <v>113</v>
      </c>
      <c r="C203" s="91" t="s">
        <v>71</v>
      </c>
      <c r="D203" s="91">
        <v>128</v>
      </c>
      <c r="E203" s="91" t="s">
        <v>58</v>
      </c>
      <c r="F203" t="s">
        <v>13</v>
      </c>
      <c r="G203" s="91">
        <f>1513/4</f>
        <v>378.25</v>
      </c>
      <c r="H203" s="90">
        <f>+'Base personal'!$G203/'Base personal'!$L203</f>
        <v>37.825000000000003</v>
      </c>
      <c r="I203" s="108">
        <f>VLOOKUP(B203&amp;C203,base!$C$2:$E$27,3,0)</f>
        <v>45</v>
      </c>
      <c r="J203" s="108">
        <f>VLOOKUP(B203&amp;C203,base!$C$2:$F$27,4,0)</f>
        <v>1.1361111111111112E-2</v>
      </c>
      <c r="K203">
        <f>+'Base personal'!$H203*'Base personal'!$J203*'Base personal'!$L203</f>
        <v>4.2973402777777787</v>
      </c>
      <c r="L203" s="91">
        <v>10</v>
      </c>
      <c r="M203" s="7">
        <f t="shared" si="5"/>
        <v>37.825000000000003</v>
      </c>
      <c r="N203" s="94">
        <f>M203/VLOOKUP(B203&amp;C203,base!$C$2:$E$27,3,0)</f>
        <v>0.84055555555555561</v>
      </c>
    </row>
    <row r="204" spans="1:17" x14ac:dyDescent="0.25">
      <c r="A204" s="92">
        <v>44174</v>
      </c>
      <c r="B204" s="91" t="s">
        <v>113</v>
      </c>
      <c r="C204" s="91" t="s">
        <v>71</v>
      </c>
      <c r="D204" s="91">
        <v>128</v>
      </c>
      <c r="E204" s="91" t="s">
        <v>236</v>
      </c>
      <c r="F204" t="s">
        <v>13</v>
      </c>
      <c r="G204" s="91">
        <f>1513/4</f>
        <v>378.25</v>
      </c>
      <c r="H204" s="90">
        <f>+'Base personal'!$G204/'Base personal'!$L204</f>
        <v>37.825000000000003</v>
      </c>
      <c r="I204" s="108">
        <f>VLOOKUP(B204&amp;C204,base!$C$2:$E$27,3,0)</f>
        <v>45</v>
      </c>
      <c r="J204" s="108">
        <f>VLOOKUP(B204&amp;C204,base!$C$2:$F$27,4,0)</f>
        <v>1.1361111111111112E-2</v>
      </c>
      <c r="K204">
        <f>+'Base personal'!$H204*'Base personal'!$J204*'Base personal'!$L204</f>
        <v>4.2973402777777787</v>
      </c>
      <c r="L204" s="91">
        <v>10</v>
      </c>
      <c r="M204" s="7">
        <f t="shared" si="5"/>
        <v>37.825000000000003</v>
      </c>
      <c r="N204" s="94">
        <f>M204/VLOOKUP(B204&amp;C204,base!$C$2:$E$27,3,0)</f>
        <v>0.84055555555555561</v>
      </c>
      <c r="Q204">
        <f t="shared" ref="Q204" si="8">+L204+O204</f>
        <v>10</v>
      </c>
    </row>
    <row r="205" spans="1:17" x14ac:dyDescent="0.25">
      <c r="A205" s="92">
        <v>44174</v>
      </c>
      <c r="B205" s="91" t="s">
        <v>113</v>
      </c>
      <c r="C205" s="91" t="s">
        <v>71</v>
      </c>
      <c r="D205" s="91">
        <v>128</v>
      </c>
      <c r="E205" s="91" t="s">
        <v>72</v>
      </c>
      <c r="F205" t="s">
        <v>13</v>
      </c>
      <c r="G205" s="91">
        <f>1513/4</f>
        <v>378.25</v>
      </c>
      <c r="H205" s="90">
        <f>+'Base personal'!$G205/'Base personal'!$L205</f>
        <v>37.825000000000003</v>
      </c>
      <c r="I205" s="108">
        <f>VLOOKUP(B205&amp;C205,base!$C$2:$E$27,3,0)</f>
        <v>45</v>
      </c>
      <c r="J205" s="108">
        <f>VLOOKUP(B205&amp;C205,base!$C$2:$F$27,4,0)</f>
        <v>1.1361111111111112E-2</v>
      </c>
      <c r="K205">
        <f>+'Base personal'!$H205*'Base personal'!$J205*'Base personal'!$L205</f>
        <v>4.2973402777777787</v>
      </c>
      <c r="L205" s="91">
        <v>10</v>
      </c>
      <c r="M205" s="7">
        <f t="shared" si="5"/>
        <v>37.825000000000003</v>
      </c>
      <c r="N205" s="94">
        <f>M205/VLOOKUP(B205&amp;C205,base!$C$2:$E$27,3,0)</f>
        <v>0.84055555555555561</v>
      </c>
    </row>
    <row r="206" spans="1:17" x14ac:dyDescent="0.25">
      <c r="A206" s="92">
        <v>44174</v>
      </c>
      <c r="B206" s="91" t="s">
        <v>113</v>
      </c>
      <c r="C206" s="91" t="s">
        <v>71</v>
      </c>
      <c r="D206" s="91">
        <v>128</v>
      </c>
      <c r="E206" s="91" t="s">
        <v>44</v>
      </c>
      <c r="F206" t="s">
        <v>13</v>
      </c>
      <c r="G206" s="91">
        <f>1513/4</f>
        <v>378.25</v>
      </c>
      <c r="H206" s="90">
        <f>+'Base personal'!$G206/'Base personal'!$L206</f>
        <v>37.825000000000003</v>
      </c>
      <c r="I206" s="108">
        <f>VLOOKUP(B206&amp;C206,base!$C$2:$E$27,3,0)</f>
        <v>45</v>
      </c>
      <c r="J206" s="108">
        <f>VLOOKUP(B206&amp;C206,base!$C$2:$F$27,4,0)</f>
        <v>1.1361111111111112E-2</v>
      </c>
      <c r="K206">
        <f>+'Base personal'!$H206*'Base personal'!$J206*'Base personal'!$L206</f>
        <v>4.2973402777777787</v>
      </c>
      <c r="L206" s="91">
        <v>10</v>
      </c>
      <c r="M206" s="7">
        <f t="shared" si="5"/>
        <v>37.825000000000003</v>
      </c>
      <c r="N206" s="94">
        <f>M206/VLOOKUP(B206&amp;C206,base!$C$2:$E$27,3,0)</f>
        <v>0.84055555555555561</v>
      </c>
    </row>
    <row r="207" spans="1:17" x14ac:dyDescent="0.25">
      <c r="A207" s="92">
        <v>44174</v>
      </c>
      <c r="B207" s="91" t="s">
        <v>36</v>
      </c>
      <c r="C207" s="91" t="s">
        <v>45</v>
      </c>
      <c r="D207" s="91">
        <v>369</v>
      </c>
      <c r="E207" s="91" t="s">
        <v>69</v>
      </c>
      <c r="F207" t="s">
        <v>13</v>
      </c>
      <c r="G207" s="91">
        <f>122+244+260+220+237</f>
        <v>1083</v>
      </c>
      <c r="H207" s="90">
        <f>+'Base personal'!$G207/'Base personal'!$L207</f>
        <v>108.3</v>
      </c>
      <c r="I207" s="108">
        <f>VLOOKUP(B207&amp;C207,base!$C$2:$E$27,3,0)</f>
        <v>500</v>
      </c>
      <c r="J207" s="108">
        <f>VLOOKUP(B207&amp;C207,base!$C$2:$F$27,4,0)</f>
        <v>1.0225E-3</v>
      </c>
      <c r="K207">
        <f>+'Base personal'!$H207*'Base personal'!$J207*'Base personal'!$L207</f>
        <v>1.1073675000000001</v>
      </c>
      <c r="L207" s="91">
        <v>10</v>
      </c>
      <c r="M207" s="7">
        <f t="shared" si="5"/>
        <v>108.3</v>
      </c>
      <c r="N207" s="94">
        <f>M207/VLOOKUP(B207&amp;C207,base!$C$2:$E$27,3,0)</f>
        <v>0.21659999999999999</v>
      </c>
    </row>
    <row r="208" spans="1:17" x14ac:dyDescent="0.25">
      <c r="A208" s="92">
        <v>44174</v>
      </c>
      <c r="B208" s="91" t="s">
        <v>33</v>
      </c>
      <c r="C208" s="91" t="s">
        <v>45</v>
      </c>
      <c r="D208" s="91" t="s">
        <v>238</v>
      </c>
      <c r="E208" s="91" t="s">
        <v>233</v>
      </c>
      <c r="F208" t="s">
        <v>13</v>
      </c>
      <c r="G208" s="93">
        <v>5465</v>
      </c>
      <c r="H208" s="90">
        <f>+'Base personal'!$G208/'Base personal'!$L208</f>
        <v>546.5</v>
      </c>
      <c r="I208" s="108">
        <f>VLOOKUP(B208&amp;C208,base!$C$2:$E$27,3,0)</f>
        <v>700</v>
      </c>
      <c r="J208" s="108">
        <f>VLOOKUP(B208&amp;C208,base!$C$2:$F$27,4,0)</f>
        <v>1.0955714285714286E-3</v>
      </c>
      <c r="K208">
        <f>+'Base personal'!$H208*'Base personal'!$J208*'Base personal'!$L208</f>
        <v>5.987297857142857</v>
      </c>
      <c r="L208" s="91">
        <v>10</v>
      </c>
      <c r="M208" s="7">
        <f t="shared" si="5"/>
        <v>546.5</v>
      </c>
      <c r="N208" s="94">
        <f>M208/VLOOKUP(B208&amp;C208,base!$C$2:$E$27,3,0)</f>
        <v>0.78071428571428569</v>
      </c>
    </row>
    <row r="209" spans="1:17" x14ac:dyDescent="0.25">
      <c r="A209" s="92">
        <v>44174</v>
      </c>
      <c r="B209" s="91" t="s">
        <v>33</v>
      </c>
      <c r="C209" s="91" t="s">
        <v>45</v>
      </c>
      <c r="D209" s="91" t="s">
        <v>239</v>
      </c>
      <c r="E209" s="91" t="s">
        <v>75</v>
      </c>
      <c r="F209" t="s">
        <v>13</v>
      </c>
      <c r="G209" s="91">
        <v>5880</v>
      </c>
      <c r="H209" s="90">
        <f>+'Base personal'!$G209/'Base personal'!$L209</f>
        <v>534.5454545454545</v>
      </c>
      <c r="I209" s="108">
        <f>VLOOKUP(B209&amp;C209,base!$C$2:$E$27,3,0)</f>
        <v>700</v>
      </c>
      <c r="J209" s="108">
        <f>VLOOKUP(B209&amp;C209,base!$C$2:$F$27,4,0)</f>
        <v>1.0955714285714286E-3</v>
      </c>
      <c r="K209">
        <f>+'Base personal'!$H209*'Base personal'!$J209*'Base personal'!$L209</f>
        <v>6.441959999999999</v>
      </c>
      <c r="L209" s="91">
        <v>11</v>
      </c>
      <c r="M209" s="7">
        <f t="shared" si="5"/>
        <v>534.5454545454545</v>
      </c>
      <c r="N209" s="94">
        <f>M209/VLOOKUP(B209&amp;C209,base!$C$2:$E$27,3,0)</f>
        <v>0.76363636363636356</v>
      </c>
    </row>
    <row r="210" spans="1:17" x14ac:dyDescent="0.25">
      <c r="A210" s="92">
        <v>44175</v>
      </c>
      <c r="B210" s="91" t="s">
        <v>111</v>
      </c>
      <c r="C210" s="91" t="s">
        <v>62</v>
      </c>
      <c r="D210" s="91" t="s">
        <v>240</v>
      </c>
      <c r="E210" s="91" t="s">
        <v>63</v>
      </c>
      <c r="F210" t="s">
        <v>13</v>
      </c>
      <c r="G210" s="91">
        <v>756.4</v>
      </c>
      <c r="H210" s="90">
        <f>+'Base personal'!$G210/'Base personal'!$L210</f>
        <v>252.13333333333333</v>
      </c>
      <c r="I210" s="108">
        <f>VLOOKUP(B210&amp;C210,base!$C$2:$E$27,3,0)</f>
        <v>92</v>
      </c>
      <c r="J210" s="108">
        <f>VLOOKUP(B210&amp;C210,base!$C$2:$F$27,4,0)</f>
        <v>5.5570652173913045E-3</v>
      </c>
      <c r="K210">
        <f>+'Base personal'!$H210*'Base personal'!$J210*'Base personal'!$L210</f>
        <v>4.2033641304347826</v>
      </c>
      <c r="L210" s="91">
        <v>3</v>
      </c>
      <c r="M210" s="7">
        <f t="shared" si="5"/>
        <v>252.13333333333333</v>
      </c>
      <c r="N210" s="94">
        <f>M210/VLOOKUP(B210&amp;C210,base!$C$2:$E$27,3,0)</f>
        <v>2.7405797101449276</v>
      </c>
    </row>
    <row r="211" spans="1:17" x14ac:dyDescent="0.25">
      <c r="A211" s="92">
        <v>44175</v>
      </c>
      <c r="B211" s="91" t="s">
        <v>111</v>
      </c>
      <c r="C211" s="91" t="s">
        <v>62</v>
      </c>
      <c r="D211" s="91" t="s">
        <v>240</v>
      </c>
      <c r="E211" s="91" t="s">
        <v>57</v>
      </c>
      <c r="F211" t="s">
        <v>13</v>
      </c>
      <c r="G211" s="91">
        <v>756.4</v>
      </c>
      <c r="H211" s="90">
        <f>+'Base personal'!$G211/'Base personal'!$L211</f>
        <v>75.64</v>
      </c>
      <c r="I211" s="108">
        <f>VLOOKUP(B211&amp;C211,base!$C$2:$E$27,3,0)</f>
        <v>92</v>
      </c>
      <c r="J211" s="108">
        <f>VLOOKUP(B211&amp;C211,base!$C$2:$F$27,4,0)</f>
        <v>5.5570652173913045E-3</v>
      </c>
      <c r="K211">
        <f>+'Base personal'!$H211*'Base personal'!$J211*'Base personal'!$L211</f>
        <v>4.2033641304347826</v>
      </c>
      <c r="L211" s="91">
        <v>10</v>
      </c>
      <c r="M211" s="7">
        <f t="shared" si="5"/>
        <v>75.64</v>
      </c>
      <c r="N211" s="94">
        <f>M211/VLOOKUP(B211&amp;C211,base!$C$2:$E$27,3,0)</f>
        <v>0.82217391304347831</v>
      </c>
    </row>
    <row r="212" spans="1:17" x14ac:dyDescent="0.25">
      <c r="A212" s="92">
        <v>44175</v>
      </c>
      <c r="B212" s="91" t="s">
        <v>111</v>
      </c>
      <c r="C212" s="91" t="s">
        <v>62</v>
      </c>
      <c r="D212" s="91" t="s">
        <v>240</v>
      </c>
      <c r="E212" s="91" t="s">
        <v>64</v>
      </c>
      <c r="F212" t="s">
        <v>13</v>
      </c>
      <c r="G212" s="91">
        <v>756.4</v>
      </c>
      <c r="H212" s="90">
        <f>+'Base personal'!$G212/'Base personal'!$L212</f>
        <v>75.64</v>
      </c>
      <c r="I212" s="108">
        <f>VLOOKUP(B212&amp;C212,base!$C$2:$E$27,3,0)</f>
        <v>92</v>
      </c>
      <c r="J212" s="108">
        <f>VLOOKUP(B212&amp;C212,base!$C$2:$F$27,4,0)</f>
        <v>5.5570652173913045E-3</v>
      </c>
      <c r="K212">
        <f>+'Base personal'!$H212*'Base personal'!$J212*'Base personal'!$L212</f>
        <v>4.2033641304347826</v>
      </c>
      <c r="L212" s="91">
        <v>10</v>
      </c>
      <c r="M212" s="7">
        <f t="shared" si="5"/>
        <v>75.64</v>
      </c>
      <c r="N212" s="94">
        <f>M212/VLOOKUP(B212&amp;C212,base!$C$2:$E$27,3,0)</f>
        <v>0.82217391304347831</v>
      </c>
    </row>
    <row r="213" spans="1:17" x14ac:dyDescent="0.25">
      <c r="A213" s="92">
        <v>44175</v>
      </c>
      <c r="B213" s="91" t="s">
        <v>111</v>
      </c>
      <c r="C213" s="91" t="s">
        <v>62</v>
      </c>
      <c r="D213" s="91" t="s">
        <v>240</v>
      </c>
      <c r="E213" s="91" t="s">
        <v>12</v>
      </c>
      <c r="F213" t="s">
        <v>13</v>
      </c>
      <c r="G213" s="91">
        <v>756.4</v>
      </c>
      <c r="H213" s="90">
        <f>+'Base personal'!$G213/'Base personal'!$L213</f>
        <v>75.64</v>
      </c>
      <c r="I213" s="108">
        <f>VLOOKUP(B213&amp;C213,base!$C$2:$E$27,3,0)</f>
        <v>92</v>
      </c>
      <c r="J213" s="108">
        <f>VLOOKUP(B213&amp;C213,base!$C$2:$F$27,4,0)</f>
        <v>5.5570652173913045E-3</v>
      </c>
      <c r="K213">
        <f>+'Base personal'!$H213*'Base personal'!$J213*'Base personal'!$L213</f>
        <v>4.2033641304347826</v>
      </c>
      <c r="L213" s="91">
        <v>10</v>
      </c>
      <c r="M213" s="7">
        <f t="shared" si="5"/>
        <v>75.64</v>
      </c>
      <c r="N213" s="94">
        <f>M213/VLOOKUP(B213&amp;C213,base!$C$2:$E$27,3,0)</f>
        <v>0.82217391304347831</v>
      </c>
    </row>
    <row r="214" spans="1:17" x14ac:dyDescent="0.25">
      <c r="A214" s="92">
        <v>44175</v>
      </c>
      <c r="B214" s="91" t="s">
        <v>111</v>
      </c>
      <c r="C214" s="91" t="s">
        <v>62</v>
      </c>
      <c r="D214" s="91" t="s">
        <v>240</v>
      </c>
      <c r="E214" s="91" t="s">
        <v>69</v>
      </c>
      <c r="F214" t="s">
        <v>13</v>
      </c>
      <c r="G214" s="91">
        <v>756.4</v>
      </c>
      <c r="H214" s="90">
        <f>+'Base personal'!$G214/'Base personal'!$L214</f>
        <v>75.64</v>
      </c>
      <c r="I214" s="108">
        <f>VLOOKUP(B214&amp;C214,base!$C$2:$E$27,3,0)</f>
        <v>92</v>
      </c>
      <c r="J214" s="108">
        <f>VLOOKUP(B214&amp;C214,base!$C$2:$F$27,4,0)</f>
        <v>5.5570652173913045E-3</v>
      </c>
      <c r="K214">
        <f>+'Base personal'!$H214*'Base personal'!$J214*'Base personal'!$L214</f>
        <v>4.2033641304347826</v>
      </c>
      <c r="L214" s="91">
        <v>10</v>
      </c>
      <c r="M214" s="7">
        <f t="shared" si="5"/>
        <v>75.64</v>
      </c>
      <c r="N214" s="94">
        <f>M214/VLOOKUP(B214&amp;C214,base!$C$2:$E$27,3,0)</f>
        <v>0.82217391304347831</v>
      </c>
      <c r="Q214">
        <f t="shared" ref="Q214" si="9">+L214+O214</f>
        <v>10</v>
      </c>
    </row>
    <row r="215" spans="1:17" x14ac:dyDescent="0.25">
      <c r="A215" s="92">
        <v>44175</v>
      </c>
      <c r="B215" s="91" t="s">
        <v>112</v>
      </c>
      <c r="C215" s="91" t="s">
        <v>55</v>
      </c>
      <c r="D215" s="91">
        <v>780</v>
      </c>
      <c r="E215" s="91" t="s">
        <v>96</v>
      </c>
      <c r="F215" t="s">
        <v>13</v>
      </c>
      <c r="G215" s="93">
        <v>616.5</v>
      </c>
      <c r="H215" s="90">
        <f>+'Base personal'!$G215/'Base personal'!$L215</f>
        <v>61.65</v>
      </c>
      <c r="I215" s="108">
        <f>VLOOKUP(B215&amp;C215,base!$C$2:$E$27,3,0)</f>
        <v>55</v>
      </c>
      <c r="J215" s="108">
        <f>VLOOKUP(B215&amp;C215,base!$C$2:$F$27,4,0)</f>
        <v>9.295454545454546E-3</v>
      </c>
      <c r="K215">
        <f>+'Base personal'!$H215*'Base personal'!$J215*'Base personal'!$L215</f>
        <v>5.7306477272727276</v>
      </c>
      <c r="L215" s="91">
        <v>10</v>
      </c>
      <c r="M215" s="7">
        <f t="shared" si="5"/>
        <v>61.65</v>
      </c>
      <c r="N215" s="94">
        <f>M215/VLOOKUP(B215&amp;C215,base!$C$2:$E$27,3,0)</f>
        <v>1.1209090909090909</v>
      </c>
    </row>
    <row r="216" spans="1:17" x14ac:dyDescent="0.25">
      <c r="A216" s="92">
        <v>44175</v>
      </c>
      <c r="B216" s="91" t="s">
        <v>112</v>
      </c>
      <c r="C216" s="91" t="s">
        <v>55</v>
      </c>
      <c r="D216" s="91">
        <v>780</v>
      </c>
      <c r="E216" s="91" t="s">
        <v>97</v>
      </c>
      <c r="F216" t="s">
        <v>13</v>
      </c>
      <c r="G216" s="93">
        <v>616.5</v>
      </c>
      <c r="H216" s="90">
        <f>+'Base personal'!$G216/'Base personal'!$L216</f>
        <v>61.65</v>
      </c>
      <c r="I216" s="108">
        <f>VLOOKUP(B216&amp;C216,base!$C$2:$E$27,3,0)</f>
        <v>55</v>
      </c>
      <c r="J216" s="108">
        <f>VLOOKUP(B216&amp;C216,base!$C$2:$F$27,4,0)</f>
        <v>9.295454545454546E-3</v>
      </c>
      <c r="K216">
        <f>+'Base personal'!$H216*'Base personal'!$J216*'Base personal'!$L216</f>
        <v>5.7306477272727276</v>
      </c>
      <c r="L216" s="91">
        <v>10</v>
      </c>
      <c r="M216" s="7">
        <f t="shared" si="5"/>
        <v>61.65</v>
      </c>
      <c r="N216" s="94">
        <f>M216/VLOOKUP(B216&amp;C216,base!$C$2:$E$27,3,0)</f>
        <v>1.1209090909090909</v>
      </c>
      <c r="Q216">
        <f t="shared" ref="Q216" si="10">+L216+O216</f>
        <v>10</v>
      </c>
    </row>
    <row r="217" spans="1:17" x14ac:dyDescent="0.25">
      <c r="A217" s="92">
        <v>44175</v>
      </c>
      <c r="B217" s="91" t="s">
        <v>36</v>
      </c>
      <c r="C217" s="91" t="s">
        <v>234</v>
      </c>
      <c r="D217" s="91">
        <v>371</v>
      </c>
      <c r="E217" s="91" t="s">
        <v>56</v>
      </c>
      <c r="F217" t="s">
        <v>13</v>
      </c>
      <c r="G217" s="93">
        <f>230+210</f>
        <v>440</v>
      </c>
      <c r="H217" s="90">
        <f>+'Base personal'!$G217/'Base personal'!$L217</f>
        <v>55</v>
      </c>
      <c r="I217" s="108">
        <f>VLOOKUP(B217&amp;C217,base!$C$2:$E$27,3,0)</f>
        <v>300</v>
      </c>
      <c r="J217" s="108">
        <f>VLOOKUP(B217&amp;C217,base!$C$2:$F$27,4,0)</f>
        <v>1.7041666666666668E-3</v>
      </c>
      <c r="K217">
        <f>+'Base personal'!$H217*'Base personal'!$J217*'Base personal'!$L217</f>
        <v>0.74983333333333335</v>
      </c>
      <c r="L217" s="91">
        <v>8</v>
      </c>
      <c r="M217" s="7">
        <f t="shared" si="5"/>
        <v>55</v>
      </c>
      <c r="N217" s="94">
        <f>M217/VLOOKUP(B217&amp;C217,base!$C$2:$E$27,3,0)</f>
        <v>0.18333333333333332</v>
      </c>
    </row>
    <row r="218" spans="1:17" s="91" customFormat="1" x14ac:dyDescent="0.25">
      <c r="A218" s="92">
        <v>44175</v>
      </c>
      <c r="B218" s="91" t="s">
        <v>36</v>
      </c>
      <c r="C218" s="91" t="s">
        <v>45</v>
      </c>
      <c r="D218" s="91">
        <v>372</v>
      </c>
      <c r="E218" s="91" t="s">
        <v>56</v>
      </c>
      <c r="F218" s="91" t="s">
        <v>13</v>
      </c>
      <c r="G218" s="93">
        <f>392+120+325</f>
        <v>837</v>
      </c>
      <c r="H218" s="90">
        <f>+'Base personal'!$G218/'Base personal'!$L218</f>
        <v>418.5</v>
      </c>
      <c r="I218" s="108">
        <f>VLOOKUP(B218&amp;C218,base!$C$2:$E$27,3,0)</f>
        <v>500</v>
      </c>
      <c r="J218" s="108">
        <f>VLOOKUP(B218&amp;C218,base!$C$2:$F$27,4,0)</f>
        <v>1.0225E-3</v>
      </c>
      <c r="K218" s="91">
        <f>+'Base personal'!$H218*'Base personal'!$J218*'Base personal'!$L218</f>
        <v>0.8558325</v>
      </c>
      <c r="L218" s="91">
        <v>2</v>
      </c>
      <c r="M218" s="93">
        <f t="shared" ref="M218:M283" si="11">G218/L218</f>
        <v>418.5</v>
      </c>
      <c r="N218" s="94">
        <f>M218/VLOOKUP(B218&amp;C218,base!$C$2:$E$27,3,0)</f>
        <v>0.83699999999999997</v>
      </c>
    </row>
    <row r="219" spans="1:17" x14ac:dyDescent="0.25">
      <c r="A219" s="92">
        <v>44175</v>
      </c>
      <c r="B219" s="91" t="s">
        <v>36</v>
      </c>
      <c r="C219" s="91" t="s">
        <v>45</v>
      </c>
      <c r="D219" s="91">
        <v>370</v>
      </c>
      <c r="E219" s="91" t="s">
        <v>44</v>
      </c>
      <c r="F219" t="s">
        <v>13</v>
      </c>
      <c r="G219" s="91">
        <f>380+375+355+385+383+362+392+499+415</f>
        <v>3546</v>
      </c>
      <c r="H219" s="90">
        <f>+'Base personal'!$G219/'Base personal'!$L219</f>
        <v>354.6</v>
      </c>
      <c r="I219" s="108">
        <f>VLOOKUP(B219&amp;C219,base!$C$2:$E$27,3,0)</f>
        <v>500</v>
      </c>
      <c r="J219" s="108">
        <f>VLOOKUP(B219&amp;C219,base!$C$2:$F$27,4,0)</f>
        <v>1.0225E-3</v>
      </c>
      <c r="K219" s="91">
        <f>+'Base personal'!$H219*'Base personal'!$J219*'Base personal'!$L219</f>
        <v>3.6257850000000005</v>
      </c>
      <c r="L219" s="91">
        <v>10</v>
      </c>
      <c r="M219" s="7">
        <f t="shared" si="11"/>
        <v>354.6</v>
      </c>
      <c r="N219" s="94">
        <f>M219/VLOOKUP(B219&amp;C219,base!$C$2:$E$27,3,0)</f>
        <v>0.70920000000000005</v>
      </c>
    </row>
    <row r="220" spans="1:17" x14ac:dyDescent="0.25">
      <c r="A220" s="92">
        <v>44175</v>
      </c>
      <c r="B220" s="91" t="s">
        <v>33</v>
      </c>
      <c r="C220" s="91" t="s">
        <v>45</v>
      </c>
      <c r="D220" s="91" t="s">
        <v>241</v>
      </c>
      <c r="E220" s="91" t="s">
        <v>233</v>
      </c>
      <c r="F220" t="s">
        <v>13</v>
      </c>
      <c r="G220" s="91">
        <v>5512</v>
      </c>
      <c r="H220" s="90">
        <f>+'Base personal'!$G220/'Base personal'!$L220</f>
        <v>551.20000000000005</v>
      </c>
      <c r="I220" s="108">
        <f>VLOOKUP(B220&amp;C220,base!$C$2:$E$27,3,0)</f>
        <v>700</v>
      </c>
      <c r="J220" s="108">
        <f>VLOOKUP(B220&amp;C220,base!$C$2:$F$27,4,0)</f>
        <v>1.0955714285714286E-3</v>
      </c>
      <c r="K220">
        <f>+'Base personal'!$H220*'Base personal'!$J220*'Base personal'!$L220</f>
        <v>6.0387897142857145</v>
      </c>
      <c r="L220" s="91">
        <v>10</v>
      </c>
      <c r="M220" s="7">
        <f t="shared" si="11"/>
        <v>551.20000000000005</v>
      </c>
      <c r="N220" s="94">
        <f>M220/VLOOKUP(B220&amp;C220,base!$C$2:$E$27,3,0)</f>
        <v>0.78742857142857148</v>
      </c>
    </row>
    <row r="221" spans="1:17" x14ac:dyDescent="0.25">
      <c r="A221" s="92">
        <v>44175</v>
      </c>
      <c r="B221" s="91" t="s">
        <v>33</v>
      </c>
      <c r="C221" s="91" t="s">
        <v>45</v>
      </c>
      <c r="D221" s="91" t="s">
        <v>242</v>
      </c>
      <c r="E221" s="91" t="s">
        <v>75</v>
      </c>
      <c r="F221" t="s">
        <v>13</v>
      </c>
      <c r="G221" s="91">
        <v>4761</v>
      </c>
      <c r="H221" s="90">
        <f>+'Base personal'!$G221/'Base personal'!$L221</f>
        <v>432.81818181818181</v>
      </c>
      <c r="I221" s="108">
        <f>VLOOKUP(B221&amp;C221,base!$C$2:$E$27,3,0)</f>
        <v>700</v>
      </c>
      <c r="J221" s="108">
        <f>VLOOKUP(B221&amp;C221,base!$C$2:$F$27,4,0)</f>
        <v>1.0955714285714286E-3</v>
      </c>
      <c r="K221">
        <f>+'Base personal'!$H221*'Base personal'!$J221*'Base personal'!$L221</f>
        <v>5.2160155714285716</v>
      </c>
      <c r="L221" s="91">
        <v>11</v>
      </c>
      <c r="M221" s="7">
        <f t="shared" si="11"/>
        <v>432.81818181818181</v>
      </c>
      <c r="N221" s="94">
        <f>M221/VLOOKUP(B221&amp;C221,base!$C$2:$E$27,3,0)</f>
        <v>0.61831168831168826</v>
      </c>
    </row>
    <row r="222" spans="1:17" x14ac:dyDescent="0.25">
      <c r="A222" s="92">
        <v>44176</v>
      </c>
      <c r="B222" s="91" t="s">
        <v>113</v>
      </c>
      <c r="C222" s="91" t="s">
        <v>71</v>
      </c>
      <c r="D222" s="91">
        <v>201</v>
      </c>
      <c r="E222" s="91" t="s">
        <v>72</v>
      </c>
      <c r="G222" s="91">
        <v>218.75</v>
      </c>
      <c r="H222" s="90">
        <f>+'Base personal'!$G222/'Base personal'!$L222</f>
        <v>31.25</v>
      </c>
      <c r="I222" s="108">
        <f>VLOOKUP(B222&amp;C222,base!$C$2:$E$27,3,0)</f>
        <v>45</v>
      </c>
      <c r="J222" s="108">
        <f>VLOOKUP(B222&amp;C222,base!$C$2:$F$27,4,0)</f>
        <v>1.1361111111111112E-2</v>
      </c>
      <c r="K222">
        <f>+'Base personal'!$H222*'Base personal'!$J222*'Base personal'!$L222</f>
        <v>2.4852430555555558</v>
      </c>
      <c r="L222" s="91">
        <v>7</v>
      </c>
      <c r="M222" s="7">
        <f t="shared" si="11"/>
        <v>31.25</v>
      </c>
      <c r="N222" s="94">
        <f>M222/VLOOKUP(B222&amp;C222,base!$C$2:$E$27,3,0)</f>
        <v>0.69444444444444442</v>
      </c>
    </row>
    <row r="223" spans="1:17" x14ac:dyDescent="0.25">
      <c r="A223" s="92">
        <v>44176</v>
      </c>
      <c r="B223" s="91" t="s">
        <v>115</v>
      </c>
      <c r="C223" s="91"/>
      <c r="D223" s="91"/>
      <c r="E223" s="91" t="s">
        <v>72</v>
      </c>
      <c r="G223" s="91"/>
      <c r="H223" s="90">
        <v>1</v>
      </c>
      <c r="I223" s="108">
        <v>1</v>
      </c>
      <c r="J223" s="75">
        <v>0.3483</v>
      </c>
      <c r="K223">
        <f>+'Base personal'!$H223*'Base personal'!$J223*'Base personal'!$L223</f>
        <v>1.0448999999999999</v>
      </c>
      <c r="L223" s="91">
        <v>3</v>
      </c>
      <c r="M223" s="93">
        <f>G223/L223</f>
        <v>0</v>
      </c>
      <c r="N223" s="94" t="e">
        <f>M223/VLOOKUP(B223&amp;C223,base!$C$2:$E$27,3,0)</f>
        <v>#N/A</v>
      </c>
    </row>
    <row r="224" spans="1:17" x14ac:dyDescent="0.25">
      <c r="A224" s="92">
        <v>44176</v>
      </c>
      <c r="B224" s="91" t="s">
        <v>113</v>
      </c>
      <c r="C224" s="91" t="s">
        <v>71</v>
      </c>
      <c r="D224" s="91">
        <v>201</v>
      </c>
      <c r="E224" s="91" t="s">
        <v>236</v>
      </c>
      <c r="G224" s="91">
        <v>406.25</v>
      </c>
      <c r="H224" s="90">
        <f>+'Base personal'!$G224/'Base personal'!$L224</f>
        <v>40.625</v>
      </c>
      <c r="I224" s="108">
        <f>VLOOKUP(B224&amp;C224,base!$C$2:$E$27,3,0)</f>
        <v>45</v>
      </c>
      <c r="J224" s="108">
        <f>VLOOKUP(B224&amp;C224,base!$C$2:$F$27,4,0)</f>
        <v>1.1361111111111112E-2</v>
      </c>
      <c r="K224">
        <f>+'Base personal'!$H224*'Base personal'!$J224*'Base personal'!$L224</f>
        <v>4.6154513888888893</v>
      </c>
      <c r="L224" s="91">
        <v>10</v>
      </c>
      <c r="M224" s="7">
        <f t="shared" si="11"/>
        <v>40.625</v>
      </c>
      <c r="N224" s="94">
        <f>M224/VLOOKUP(B224&amp;C224,base!$C$2:$E$27,3,0)</f>
        <v>0.90277777777777779</v>
      </c>
    </row>
    <row r="225" spans="1:17" x14ac:dyDescent="0.25">
      <c r="A225" s="92">
        <v>44176</v>
      </c>
      <c r="B225" s="91" t="s">
        <v>111</v>
      </c>
      <c r="C225" s="91" t="s">
        <v>62</v>
      </c>
      <c r="D225" s="91">
        <v>784</v>
      </c>
      <c r="E225" s="91" t="s">
        <v>69</v>
      </c>
      <c r="F225" t="s">
        <v>13</v>
      </c>
      <c r="G225" s="91">
        <v>566.75</v>
      </c>
      <c r="H225" s="90">
        <f>+'Base personal'!$G225/'Base personal'!$L225</f>
        <v>70.84375</v>
      </c>
      <c r="I225" s="108">
        <f>VLOOKUP(B225&amp;C225,base!$C$2:$E$27,3,0)</f>
        <v>92</v>
      </c>
      <c r="J225" s="108">
        <f>VLOOKUP(B225&amp;C225,base!$C$2:$F$27,4,0)</f>
        <v>5.5570652173913045E-3</v>
      </c>
      <c r="K225">
        <f>+'Base personal'!$H225*'Base personal'!$J225*'Base personal'!$L225</f>
        <v>3.1494667119565221</v>
      </c>
      <c r="L225" s="91">
        <v>8</v>
      </c>
      <c r="M225" s="7">
        <f t="shared" si="11"/>
        <v>70.84375</v>
      </c>
      <c r="N225" s="94">
        <f>M225/VLOOKUP(B225&amp;C225,base!$C$2:$E$27,3,0)</f>
        <v>0.77004076086956519</v>
      </c>
    </row>
    <row r="226" spans="1:17" x14ac:dyDescent="0.25">
      <c r="A226" s="92">
        <v>44176</v>
      </c>
      <c r="B226" s="91" t="s">
        <v>111</v>
      </c>
      <c r="C226" s="91" t="s">
        <v>62</v>
      </c>
      <c r="D226" s="91">
        <v>784</v>
      </c>
      <c r="E226" s="91" t="s">
        <v>57</v>
      </c>
      <c r="F226" t="s">
        <v>13</v>
      </c>
      <c r="G226" s="91">
        <v>566.75</v>
      </c>
      <c r="H226" s="90">
        <f>+'Base personal'!$G226/'Base personal'!$L226</f>
        <v>70.84375</v>
      </c>
      <c r="I226" s="108">
        <f>VLOOKUP(B226&amp;C226,base!$C$2:$E$27,3,0)</f>
        <v>92</v>
      </c>
      <c r="J226" s="108">
        <f>VLOOKUP(B226&amp;C226,base!$C$2:$F$27,4,0)</f>
        <v>5.5570652173913045E-3</v>
      </c>
      <c r="K226">
        <f>+'Base personal'!$H226*'Base personal'!$J226*'Base personal'!$L226</f>
        <v>3.1494667119565221</v>
      </c>
      <c r="L226" s="91">
        <v>8</v>
      </c>
      <c r="M226" s="7">
        <f t="shared" si="11"/>
        <v>70.84375</v>
      </c>
      <c r="N226" s="94">
        <f>M226/VLOOKUP(B226&amp;C226,base!$C$2:$E$27,3,0)</f>
        <v>0.77004076086956519</v>
      </c>
    </row>
    <row r="227" spans="1:17" x14ac:dyDescent="0.25">
      <c r="A227" s="92">
        <v>44176</v>
      </c>
      <c r="B227" s="91" t="s">
        <v>111</v>
      </c>
      <c r="C227" s="91" t="s">
        <v>62</v>
      </c>
      <c r="D227" s="91">
        <v>784</v>
      </c>
      <c r="E227" s="91" t="s">
        <v>64</v>
      </c>
      <c r="F227" t="s">
        <v>13</v>
      </c>
      <c r="G227" s="91">
        <v>566.75</v>
      </c>
      <c r="H227" s="90">
        <f>+'Base personal'!$G227/'Base personal'!$L227</f>
        <v>70.84375</v>
      </c>
      <c r="I227" s="108">
        <f>VLOOKUP(B227&amp;C227,base!$C$2:$E$27,3,0)</f>
        <v>92</v>
      </c>
      <c r="J227" s="108">
        <f>VLOOKUP(B227&amp;C227,base!$C$2:$F$27,4,0)</f>
        <v>5.5570652173913045E-3</v>
      </c>
      <c r="K227" s="23">
        <f>+'Base personal'!$H227*'Base personal'!$J227*'Base personal'!$L227</f>
        <v>3.1494667119565221</v>
      </c>
      <c r="L227" s="91">
        <v>8</v>
      </c>
      <c r="M227" s="7">
        <f t="shared" si="11"/>
        <v>70.84375</v>
      </c>
      <c r="N227" s="94">
        <f>M227/VLOOKUP(B227&amp;C227,base!$C$2:$E$27,3,0)</f>
        <v>0.77004076086956519</v>
      </c>
    </row>
    <row r="228" spans="1:17" x14ac:dyDescent="0.25">
      <c r="A228" s="92">
        <v>44176</v>
      </c>
      <c r="B228" s="91" t="s">
        <v>111</v>
      </c>
      <c r="C228" s="91" t="s">
        <v>62</v>
      </c>
      <c r="D228" s="91">
        <v>784</v>
      </c>
      <c r="E228" s="91" t="s">
        <v>12</v>
      </c>
      <c r="F228" t="s">
        <v>13</v>
      </c>
      <c r="G228" s="91">
        <v>566.75</v>
      </c>
      <c r="H228" s="90">
        <f>+'Base personal'!$G228/'Base personal'!$L228</f>
        <v>70.84375</v>
      </c>
      <c r="I228" s="108">
        <f>VLOOKUP(B228&amp;C228,base!$C$2:$E$27,3,0)</f>
        <v>92</v>
      </c>
      <c r="J228" s="108">
        <f>VLOOKUP(B228&amp;C228,base!$C$2:$F$27,4,0)</f>
        <v>5.5570652173913045E-3</v>
      </c>
      <c r="K228" s="23">
        <f>+'Base personal'!$H228*'Base personal'!$J228*'Base personal'!$L228</f>
        <v>3.1494667119565221</v>
      </c>
      <c r="L228" s="91">
        <v>8</v>
      </c>
      <c r="M228" s="7">
        <f t="shared" si="11"/>
        <v>70.84375</v>
      </c>
      <c r="N228" s="94">
        <f>M228/VLOOKUP(B228&amp;C228,base!$C$2:$E$27,3,0)</f>
        <v>0.77004076086956519</v>
      </c>
    </row>
    <row r="229" spans="1:17" x14ac:dyDescent="0.25">
      <c r="A229" s="92">
        <v>44176</v>
      </c>
      <c r="B229" s="91" t="s">
        <v>112</v>
      </c>
      <c r="C229" s="91" t="s">
        <v>55</v>
      </c>
      <c r="D229" s="91">
        <v>783</v>
      </c>
      <c r="E229" s="91" t="s">
        <v>58</v>
      </c>
      <c r="F229" t="s">
        <v>13</v>
      </c>
      <c r="G229" s="98">
        <v>357.5</v>
      </c>
      <c r="H229" s="90">
        <f>+'Base personal'!$G229/'Base personal'!$L229</f>
        <v>44.6875</v>
      </c>
      <c r="I229" s="108">
        <f>VLOOKUP(B229&amp;C229,base!$C$2:$E$27,3,0)</f>
        <v>55</v>
      </c>
      <c r="J229" s="108">
        <f>VLOOKUP(B229&amp;C229,base!$C$2:$F$27,4,0)</f>
        <v>9.295454545454546E-3</v>
      </c>
      <c r="K229" s="23">
        <f>+'Base personal'!$H229*'Base personal'!$J229*'Base personal'!$L229</f>
        <v>3.3231250000000001</v>
      </c>
      <c r="L229" s="91">
        <v>8</v>
      </c>
      <c r="M229" s="7">
        <f t="shared" si="11"/>
        <v>44.6875</v>
      </c>
      <c r="N229" s="94">
        <f>M229/VLOOKUP(B229&amp;C229,base!$C$2:$E$27,3,0)</f>
        <v>0.8125</v>
      </c>
    </row>
    <row r="230" spans="1:17" x14ac:dyDescent="0.25">
      <c r="A230" s="92">
        <v>44176</v>
      </c>
      <c r="B230" s="91" t="s">
        <v>112</v>
      </c>
      <c r="C230" s="91" t="s">
        <v>55</v>
      </c>
      <c r="D230" s="91">
        <v>783</v>
      </c>
      <c r="E230" s="91" t="s">
        <v>96</v>
      </c>
      <c r="F230" t="s">
        <v>13</v>
      </c>
      <c r="G230" s="93">
        <v>357.5</v>
      </c>
      <c r="H230" s="90">
        <f>+'Base personal'!$G230/'Base personal'!$L230</f>
        <v>44.6875</v>
      </c>
      <c r="I230" s="108">
        <f>VLOOKUP(B230&amp;C230,base!$C$2:$E$27,3,0)</f>
        <v>55</v>
      </c>
      <c r="J230" s="108">
        <f>VLOOKUP(B230&amp;C230,base!$C$2:$F$27,4,0)</f>
        <v>9.295454545454546E-3</v>
      </c>
      <c r="K230" s="23">
        <f>+'Base personal'!$H230*'Base personal'!$J230*'Base personal'!$L230</f>
        <v>3.3231250000000001</v>
      </c>
      <c r="L230" s="91">
        <v>8</v>
      </c>
      <c r="M230" s="7">
        <f t="shared" si="11"/>
        <v>44.6875</v>
      </c>
      <c r="N230" s="94">
        <f>M230/VLOOKUP(B230&amp;C230,base!$C$2:$E$27,3,0)</f>
        <v>0.8125</v>
      </c>
    </row>
    <row r="231" spans="1:17" x14ac:dyDescent="0.25">
      <c r="A231" s="92">
        <v>44176</v>
      </c>
      <c r="B231" s="91" t="s">
        <v>36</v>
      </c>
      <c r="C231" s="91" t="s">
        <v>45</v>
      </c>
      <c r="D231" s="91">
        <v>374</v>
      </c>
      <c r="E231" s="91" t="s">
        <v>56</v>
      </c>
      <c r="F231" t="s">
        <v>13</v>
      </c>
      <c r="G231" s="91">
        <f>446+372+440+466+425+397+468</f>
        <v>3014</v>
      </c>
      <c r="H231" s="90">
        <f>+'Base personal'!$G231/'Base personal'!$L231</f>
        <v>301.39999999999998</v>
      </c>
      <c r="I231" s="108">
        <f>VLOOKUP(B231&amp;C231,base!$C$2:$E$27,3,0)</f>
        <v>500</v>
      </c>
      <c r="J231" s="108">
        <f>VLOOKUP(B231&amp;C231,base!$C$2:$F$27,4,0)</f>
        <v>1.0225E-3</v>
      </c>
      <c r="K231" s="23">
        <f>+'Base personal'!$H231*'Base personal'!$J231*'Base personal'!$L231</f>
        <v>3.0818149999999993</v>
      </c>
      <c r="L231" s="91">
        <v>10</v>
      </c>
      <c r="M231" s="7">
        <f t="shared" si="11"/>
        <v>301.39999999999998</v>
      </c>
      <c r="N231" s="94">
        <f>M231/VLOOKUP(B231&amp;C231,base!$C$2:$E$27,3,0)</f>
        <v>0.6028</v>
      </c>
    </row>
    <row r="232" spans="1:17" x14ac:dyDescent="0.25">
      <c r="A232" s="92">
        <v>44176</v>
      </c>
      <c r="B232" s="91" t="s">
        <v>36</v>
      </c>
      <c r="C232" s="91" t="s">
        <v>45</v>
      </c>
      <c r="D232" s="91">
        <v>375</v>
      </c>
      <c r="E232" s="91" t="s">
        <v>44</v>
      </c>
      <c r="F232" t="s">
        <v>13</v>
      </c>
      <c r="G232" s="91">
        <f>197+454+171+429+434+170+371+425+538+332</f>
        <v>3521</v>
      </c>
      <c r="H232" s="90">
        <f>+'Base personal'!$G232/'Base personal'!$L232</f>
        <v>320.09090909090907</v>
      </c>
      <c r="I232" s="108">
        <f>VLOOKUP(B232&amp;C232,base!$C$2:$E$27,3,0)</f>
        <v>500</v>
      </c>
      <c r="J232" s="108">
        <f>VLOOKUP(B232&amp;C232,base!$C$2:$F$27,4,0)</f>
        <v>1.0225E-3</v>
      </c>
      <c r="K232" s="23">
        <f>+'Base personal'!$H232*'Base personal'!$J232*'Base personal'!$L232</f>
        <v>3.6002224999999992</v>
      </c>
      <c r="L232" s="91">
        <v>11</v>
      </c>
      <c r="M232" s="7">
        <f t="shared" si="11"/>
        <v>320.09090909090907</v>
      </c>
      <c r="N232" s="94">
        <f>M232/VLOOKUP(B232&amp;C232,base!$C$2:$E$27,3,0)</f>
        <v>0.64018181818181819</v>
      </c>
    </row>
    <row r="233" spans="1:17" x14ac:dyDescent="0.25">
      <c r="A233" s="92">
        <v>44176</v>
      </c>
      <c r="B233" s="91" t="s">
        <v>33</v>
      </c>
      <c r="C233" s="91" t="s">
        <v>45</v>
      </c>
      <c r="D233" s="91" t="s">
        <v>243</v>
      </c>
      <c r="E233" s="91" t="s">
        <v>233</v>
      </c>
      <c r="F233" t="s">
        <v>13</v>
      </c>
      <c r="G233" s="91">
        <v>3058</v>
      </c>
      <c r="H233" s="90">
        <f>+'Base personal'!$G233/'Base personal'!$L233</f>
        <v>382.25</v>
      </c>
      <c r="I233" s="108">
        <f>VLOOKUP(B233&amp;C233,base!$C$2:$E$27,3,0)</f>
        <v>700</v>
      </c>
      <c r="J233" s="108">
        <f>VLOOKUP(B233&amp;C233,base!$C$2:$F$27,4,0)</f>
        <v>1.0955714285714286E-3</v>
      </c>
      <c r="K233" s="23">
        <f>+'Base personal'!$H233*'Base personal'!$J233*'Base personal'!$L233</f>
        <v>3.3502574285714286</v>
      </c>
      <c r="L233" s="91">
        <v>8</v>
      </c>
      <c r="M233" s="7">
        <f t="shared" si="11"/>
        <v>382.25</v>
      </c>
      <c r="N233" s="94">
        <f>M233/VLOOKUP(B233&amp;C233,base!$C$2:$E$27,3,0)</f>
        <v>0.54607142857142854</v>
      </c>
      <c r="Q233">
        <f t="shared" ref="Q233:Q234" si="12">+L233+O233</f>
        <v>8</v>
      </c>
    </row>
    <row r="234" spans="1:17" x14ac:dyDescent="0.25">
      <c r="A234" s="92">
        <v>44176</v>
      </c>
      <c r="B234" s="91" t="s">
        <v>33</v>
      </c>
      <c r="C234" s="91" t="s">
        <v>45</v>
      </c>
      <c r="D234" s="91" t="s">
        <v>244</v>
      </c>
      <c r="E234" s="91" t="s">
        <v>75</v>
      </c>
      <c r="F234" t="s">
        <v>13</v>
      </c>
      <c r="G234" s="91">
        <v>2706</v>
      </c>
      <c r="H234" s="90">
        <f>+'Base personal'!$G234/'Base personal'!$L234</f>
        <v>676.5</v>
      </c>
      <c r="I234" s="108">
        <f>VLOOKUP(B234&amp;C234,base!$C$2:$E$27,3,0)</f>
        <v>700</v>
      </c>
      <c r="J234" s="108">
        <f>VLOOKUP(B234&amp;C234,base!$C$2:$F$27,4,0)</f>
        <v>1.0955714285714286E-3</v>
      </c>
      <c r="K234" s="23">
        <f>+'Base personal'!$H234*'Base personal'!$J234*'Base personal'!$L234</f>
        <v>2.9646162857142859</v>
      </c>
      <c r="L234" s="91">
        <v>4</v>
      </c>
      <c r="M234" s="7">
        <f t="shared" si="11"/>
        <v>676.5</v>
      </c>
      <c r="N234" s="94">
        <f>M234/VLOOKUP(B234&amp;C234,base!$C$2:$E$27,3,0)</f>
        <v>0.96642857142857141</v>
      </c>
      <c r="Q234">
        <f t="shared" si="12"/>
        <v>4</v>
      </c>
    </row>
    <row r="235" spans="1:17" x14ac:dyDescent="0.25">
      <c r="A235" s="92">
        <v>44176</v>
      </c>
      <c r="B235" s="91" t="s">
        <v>115</v>
      </c>
      <c r="C235" s="91"/>
      <c r="D235" s="91"/>
      <c r="E235" s="91" t="s">
        <v>75</v>
      </c>
      <c r="F235" t="s">
        <v>13</v>
      </c>
      <c r="G235" s="91"/>
      <c r="H235" s="90">
        <v>1</v>
      </c>
      <c r="I235" s="108">
        <v>1</v>
      </c>
      <c r="J235" s="75">
        <v>0.3483</v>
      </c>
      <c r="K235" s="23">
        <f>+'Base personal'!$H235*'Base personal'!$J235*'Base personal'!$L235</f>
        <v>2.0897999999999999</v>
      </c>
      <c r="L235" s="91">
        <v>6</v>
      </c>
      <c r="M235" s="93">
        <f>G235/L235</f>
        <v>0</v>
      </c>
      <c r="N235" s="94" t="e">
        <f>M235/VLOOKUP(B235&amp;C235,base!$C$2:$E$27,3,0)</f>
        <v>#N/A</v>
      </c>
    </row>
    <row r="236" spans="1:17" x14ac:dyDescent="0.25">
      <c r="A236" s="92">
        <v>44177</v>
      </c>
      <c r="B236" s="91" t="s">
        <v>111</v>
      </c>
      <c r="C236" s="91" t="s">
        <v>62</v>
      </c>
      <c r="D236" s="91">
        <v>785</v>
      </c>
      <c r="E236" s="91" t="s">
        <v>64</v>
      </c>
      <c r="F236" t="s">
        <v>13</v>
      </c>
      <c r="G236" s="91">
        <v>837</v>
      </c>
      <c r="H236" s="90">
        <f>+'Base personal'!$G236/'Base personal'!$L236</f>
        <v>83.7</v>
      </c>
      <c r="I236" s="108">
        <f>VLOOKUP(B236&amp;C236,base!$C$2:$E$27,3,0)</f>
        <v>92</v>
      </c>
      <c r="J236" s="108">
        <f>VLOOKUP(B236&amp;C236,base!$C$2:$F$27,4,0)</f>
        <v>5.5570652173913045E-3</v>
      </c>
      <c r="K236" s="23">
        <f>+'Base personal'!$H236*'Base personal'!$J236*'Base personal'!$L236</f>
        <v>4.6512635869565226</v>
      </c>
      <c r="L236" s="91">
        <v>10</v>
      </c>
      <c r="M236" s="7">
        <f t="shared" si="11"/>
        <v>83.7</v>
      </c>
      <c r="N236" s="94">
        <f>M236/VLOOKUP(B236&amp;C236,base!$C$2:$E$27,3,0)</f>
        <v>0.9097826086956522</v>
      </c>
    </row>
    <row r="237" spans="1:17" x14ac:dyDescent="0.25">
      <c r="A237" s="92">
        <v>44177</v>
      </c>
      <c r="B237" s="91" t="s">
        <v>36</v>
      </c>
      <c r="C237" s="91" t="s">
        <v>45</v>
      </c>
      <c r="D237" s="91">
        <v>376</v>
      </c>
      <c r="E237" s="91" t="s">
        <v>69</v>
      </c>
      <c r="F237" t="s">
        <v>13</v>
      </c>
      <c r="G237" s="91">
        <f>42+296+300+317+319+329+393+345+277</f>
        <v>2618</v>
      </c>
      <c r="H237" s="90">
        <f>+'Base personal'!$G237/'Base personal'!$L237</f>
        <v>290.88888888888891</v>
      </c>
      <c r="I237" s="108">
        <f>VLOOKUP(B237&amp;C237,base!$C$2:$E$27,3,0)</f>
        <v>500</v>
      </c>
      <c r="J237" s="108">
        <f>VLOOKUP(B237&amp;C237,base!$C$2:$F$27,4,0)</f>
        <v>1.0225E-3</v>
      </c>
      <c r="K237" s="23">
        <f>+'Base personal'!$H237*'Base personal'!$J237*'Base personal'!$L237</f>
        <v>2.6769050000000001</v>
      </c>
      <c r="L237" s="91">
        <v>9</v>
      </c>
      <c r="M237" s="7">
        <f t="shared" si="11"/>
        <v>290.88888888888891</v>
      </c>
      <c r="N237" s="94">
        <f>M237/VLOOKUP(B237&amp;C237,base!$C$2:$E$27,3,0)</f>
        <v>0.58177777777777784</v>
      </c>
    </row>
    <row r="238" spans="1:17" x14ac:dyDescent="0.25">
      <c r="A238" s="92">
        <v>44179</v>
      </c>
      <c r="B238" s="91" t="s">
        <v>113</v>
      </c>
      <c r="C238" s="91" t="s">
        <v>71</v>
      </c>
      <c r="D238" s="91">
        <v>202</v>
      </c>
      <c r="E238" s="91" t="s">
        <v>56</v>
      </c>
      <c r="F238" t="s">
        <v>13</v>
      </c>
      <c r="G238" s="91">
        <f>92+92+90</f>
        <v>274</v>
      </c>
      <c r="H238" s="90">
        <f>+'Base personal'!$G238/'Base personal'!$L238</f>
        <v>34.25</v>
      </c>
      <c r="I238" s="108">
        <f>VLOOKUP(B238&amp;C238,base!$C$2:$E$27,3,0)</f>
        <v>45</v>
      </c>
      <c r="J238" s="108">
        <f>VLOOKUP(B238&amp;C238,base!$C$2:$F$27,4,0)</f>
        <v>1.1361111111111112E-2</v>
      </c>
      <c r="K238" s="23">
        <f>+'Base personal'!$H238*'Base personal'!$J238*'Base personal'!$L238</f>
        <v>3.1129444444444445</v>
      </c>
      <c r="L238" s="91">
        <v>8</v>
      </c>
      <c r="M238" s="7">
        <f t="shared" si="11"/>
        <v>34.25</v>
      </c>
      <c r="N238" s="94">
        <f>M238/VLOOKUP(B238&amp;C238,base!$C$2:$E$27,3,0)</f>
        <v>0.76111111111111107</v>
      </c>
    </row>
    <row r="239" spans="1:17" x14ac:dyDescent="0.25">
      <c r="A239" s="92">
        <v>44179</v>
      </c>
      <c r="B239" s="91" t="s">
        <v>38</v>
      </c>
      <c r="C239" s="91"/>
      <c r="D239" s="91"/>
      <c r="E239" s="91" t="s">
        <v>56</v>
      </c>
      <c r="F239" t="s">
        <v>13</v>
      </c>
      <c r="G239" s="91"/>
      <c r="H239" s="90">
        <v>1</v>
      </c>
      <c r="I239" s="108">
        <v>1</v>
      </c>
      <c r="J239" s="75">
        <v>0.3483</v>
      </c>
      <c r="K239" s="23">
        <f>+'Base personal'!$H239*'Base personal'!$J239*'Base personal'!$L239</f>
        <v>0.6966</v>
      </c>
      <c r="L239" s="91">
        <v>2</v>
      </c>
      <c r="M239" s="93">
        <f>G239/L239</f>
        <v>0</v>
      </c>
      <c r="N239" s="94" t="e">
        <f>M239/VLOOKUP(B239&amp;C239,base!$C$2:$E$27,3,0)</f>
        <v>#N/A</v>
      </c>
    </row>
    <row r="240" spans="1:17" x14ac:dyDescent="0.25">
      <c r="A240" s="92">
        <v>44179</v>
      </c>
      <c r="B240" s="91" t="s">
        <v>111</v>
      </c>
      <c r="C240" s="91" t="s">
        <v>62</v>
      </c>
      <c r="D240" s="91" t="s">
        <v>245</v>
      </c>
      <c r="E240" s="91" t="s">
        <v>12</v>
      </c>
      <c r="F240" t="s">
        <v>13</v>
      </c>
      <c r="G240" s="91">
        <v>683</v>
      </c>
      <c r="H240" s="90">
        <f>+'Base personal'!$G240/'Base personal'!$L240</f>
        <v>68.3</v>
      </c>
      <c r="I240" s="108">
        <f>VLOOKUP(B240&amp;C240,base!$C$2:$E$27,3,0)</f>
        <v>92</v>
      </c>
      <c r="J240" s="108">
        <f>VLOOKUP(B240&amp;C240,base!$C$2:$F$27,4,0)</f>
        <v>5.5570652173913045E-3</v>
      </c>
      <c r="K240">
        <f>+'Base personal'!$H240*'Base personal'!$J240*'Base personal'!$L240</f>
        <v>3.7954755434782612</v>
      </c>
      <c r="L240" s="91">
        <v>10</v>
      </c>
      <c r="M240" s="7">
        <f t="shared" si="11"/>
        <v>68.3</v>
      </c>
      <c r="N240" s="94">
        <f>M240/VLOOKUP(B240&amp;C240,base!$C$2:$E$27,3,0)</f>
        <v>0.74239130434782608</v>
      </c>
    </row>
    <row r="241" spans="1:14" x14ac:dyDescent="0.25">
      <c r="A241" s="92">
        <v>44179</v>
      </c>
      <c r="B241" s="91" t="s">
        <v>111</v>
      </c>
      <c r="C241" s="91" t="s">
        <v>62</v>
      </c>
      <c r="D241" s="91" t="s">
        <v>245</v>
      </c>
      <c r="E241" s="91" t="s">
        <v>64</v>
      </c>
      <c r="F241" t="s">
        <v>13</v>
      </c>
      <c r="G241" s="91">
        <v>683</v>
      </c>
      <c r="H241" s="90">
        <f>+'Base personal'!$G241/'Base personal'!$L241</f>
        <v>68.3</v>
      </c>
      <c r="I241" s="108">
        <f>VLOOKUP(B241&amp;C241,base!$C$2:$E$27,3,0)</f>
        <v>92</v>
      </c>
      <c r="J241" s="108">
        <f>VLOOKUP(B241&amp;C241,base!$C$2:$F$27,4,0)</f>
        <v>5.5570652173913045E-3</v>
      </c>
      <c r="K241">
        <f>+'Base personal'!$H241*'Base personal'!$J241*'Base personal'!$L241</f>
        <v>3.7954755434782612</v>
      </c>
      <c r="L241" s="91">
        <v>10</v>
      </c>
      <c r="M241" s="7">
        <f t="shared" si="11"/>
        <v>68.3</v>
      </c>
      <c r="N241" s="94">
        <f>M241/VLOOKUP(B241&amp;C241,base!$C$2:$E$27,3,0)</f>
        <v>0.74239130434782608</v>
      </c>
    </row>
    <row r="242" spans="1:14" x14ac:dyDescent="0.25">
      <c r="A242" s="92">
        <v>44179</v>
      </c>
      <c r="B242" s="91" t="s">
        <v>111</v>
      </c>
      <c r="C242" s="91" t="s">
        <v>62</v>
      </c>
      <c r="D242" s="91" t="s">
        <v>245</v>
      </c>
      <c r="E242" s="91" t="s">
        <v>69</v>
      </c>
      <c r="F242" t="s">
        <v>13</v>
      </c>
      <c r="G242" s="91">
        <v>683</v>
      </c>
      <c r="H242" s="90">
        <f>+'Base personal'!$G242/'Base personal'!$L242</f>
        <v>68.3</v>
      </c>
      <c r="I242" s="108">
        <f>VLOOKUP(B242&amp;C242,base!$C$2:$E$27,3,0)</f>
        <v>92</v>
      </c>
      <c r="J242" s="108">
        <f>VLOOKUP(B242&amp;C242,base!$C$2:$F$27,4,0)</f>
        <v>5.5570652173913045E-3</v>
      </c>
      <c r="K242">
        <f>+'Base personal'!$H242*'Base personal'!$J242*'Base personal'!$L242</f>
        <v>3.7954755434782612</v>
      </c>
      <c r="L242" s="91">
        <v>10</v>
      </c>
      <c r="M242" s="7">
        <f t="shared" si="11"/>
        <v>68.3</v>
      </c>
      <c r="N242" s="94">
        <f>M242/VLOOKUP(B242&amp;C242,base!$C$2:$E$27,3,0)</f>
        <v>0.74239130434782608</v>
      </c>
    </row>
    <row r="243" spans="1:14" x14ac:dyDescent="0.25">
      <c r="A243" s="92">
        <v>44179</v>
      </c>
      <c r="B243" s="91" t="s">
        <v>111</v>
      </c>
      <c r="C243" s="91" t="s">
        <v>62</v>
      </c>
      <c r="D243" s="91" t="s">
        <v>245</v>
      </c>
      <c r="E243" s="91" t="s">
        <v>63</v>
      </c>
      <c r="F243" t="s">
        <v>13</v>
      </c>
      <c r="G243" s="91">
        <v>683</v>
      </c>
      <c r="H243" s="90">
        <f>+'Base personal'!$G243/'Base personal'!$L243</f>
        <v>68.3</v>
      </c>
      <c r="I243" s="108">
        <f>VLOOKUP(B243&amp;C243,base!$C$2:$E$27,3,0)</f>
        <v>92</v>
      </c>
      <c r="J243" s="108">
        <f>VLOOKUP(B243&amp;C243,base!$C$2:$F$27,4,0)</f>
        <v>5.5570652173913045E-3</v>
      </c>
      <c r="K243">
        <f>+'Base personal'!$H243*'Base personal'!$J243*'Base personal'!$L243</f>
        <v>3.7954755434782612</v>
      </c>
      <c r="L243" s="91">
        <v>10</v>
      </c>
      <c r="M243" s="7">
        <f t="shared" si="11"/>
        <v>68.3</v>
      </c>
      <c r="N243" s="94">
        <f>M243/VLOOKUP(B243&amp;C243,base!$C$2:$E$27,3,0)</f>
        <v>0.74239130434782608</v>
      </c>
    </row>
    <row r="244" spans="1:14" x14ac:dyDescent="0.25">
      <c r="A244" s="92">
        <v>44179</v>
      </c>
      <c r="B244" s="91" t="s">
        <v>112</v>
      </c>
      <c r="C244" s="91" t="s">
        <v>55</v>
      </c>
      <c r="D244" s="91">
        <v>786</v>
      </c>
      <c r="E244" s="91" t="s">
        <v>57</v>
      </c>
      <c r="F244" t="s">
        <v>13</v>
      </c>
      <c r="G244" s="91">
        <v>605</v>
      </c>
      <c r="H244" s="90">
        <f>+'Base personal'!$G244/'Base personal'!$L244</f>
        <v>60.5</v>
      </c>
      <c r="I244" s="108">
        <f>VLOOKUP(B244&amp;C244,base!$C$2:$E$27,3,0)</f>
        <v>55</v>
      </c>
      <c r="J244" s="108">
        <f>VLOOKUP(B244&amp;C244,base!$C$2:$F$27,4,0)</f>
        <v>9.295454545454546E-3</v>
      </c>
      <c r="K244">
        <f>+'Base personal'!$H244*'Base personal'!$J244*'Base personal'!$L244</f>
        <v>5.6237500000000011</v>
      </c>
      <c r="L244" s="91">
        <v>10</v>
      </c>
      <c r="M244" s="7">
        <f t="shared" si="11"/>
        <v>60.5</v>
      </c>
      <c r="N244" s="94">
        <f>M244/VLOOKUP(B244&amp;C244,base!$C$2:$E$27,3,0)</f>
        <v>1.1000000000000001</v>
      </c>
    </row>
    <row r="245" spans="1:14" x14ac:dyDescent="0.25">
      <c r="A245" s="92">
        <v>44179</v>
      </c>
      <c r="B245" s="91" t="s">
        <v>112</v>
      </c>
      <c r="C245" s="91" t="s">
        <v>55</v>
      </c>
      <c r="D245" s="91">
        <v>786</v>
      </c>
      <c r="E245" s="91" t="s">
        <v>96</v>
      </c>
      <c r="F245" t="s">
        <v>13</v>
      </c>
      <c r="G245" s="91">
        <v>605</v>
      </c>
      <c r="H245" s="90">
        <f>+'Base personal'!$G245/'Base personal'!$L245</f>
        <v>60.5</v>
      </c>
      <c r="I245" s="108">
        <f>VLOOKUP(B245&amp;C245,base!$C$2:$E$27,3,0)</f>
        <v>55</v>
      </c>
      <c r="J245" s="108">
        <f>VLOOKUP(B245&amp;C245,base!$C$2:$F$27,4,0)</f>
        <v>9.295454545454546E-3</v>
      </c>
      <c r="K245">
        <f>+'Base personal'!$H245*'Base personal'!$J245*'Base personal'!$L245</f>
        <v>5.6237500000000011</v>
      </c>
      <c r="L245" s="91">
        <v>10</v>
      </c>
      <c r="M245" s="7">
        <f t="shared" si="11"/>
        <v>60.5</v>
      </c>
      <c r="N245" s="94">
        <f>M245/VLOOKUP(B245&amp;C245,base!$C$2:$E$27,3,0)</f>
        <v>1.1000000000000001</v>
      </c>
    </row>
    <row r="246" spans="1:14" x14ac:dyDescent="0.25">
      <c r="A246" s="92">
        <v>44179</v>
      </c>
      <c r="B246" s="91" t="s">
        <v>36</v>
      </c>
      <c r="C246" s="91" t="s">
        <v>234</v>
      </c>
      <c r="D246" s="91">
        <v>377</v>
      </c>
      <c r="E246" s="91" t="s">
        <v>58</v>
      </c>
      <c r="F246" t="s">
        <v>13</v>
      </c>
      <c r="G246" s="113">
        <v>910</v>
      </c>
      <c r="H246" s="90">
        <f>+'Base personal'!$G246/'Base personal'!$L246</f>
        <v>82.727272727272734</v>
      </c>
      <c r="I246" s="108">
        <f>VLOOKUP(B246&amp;C246,base!$C$2:$E$27,3,0)</f>
        <v>300</v>
      </c>
      <c r="J246" s="108">
        <f>VLOOKUP(B246&amp;C246,base!$C$2:$F$27,4,0)</f>
        <v>1.7041666666666668E-3</v>
      </c>
      <c r="K246">
        <f>+'Base personal'!$H246*'Base personal'!$J246*'Base personal'!$L246</f>
        <v>1.550791666666667</v>
      </c>
      <c r="L246" s="91">
        <v>11</v>
      </c>
      <c r="M246" s="7">
        <f t="shared" si="11"/>
        <v>82.727272727272734</v>
      </c>
      <c r="N246" s="94">
        <f>M246/VLOOKUP(B246&amp;C246,base!$C$2:$E$27,3,0)</f>
        <v>0.27575757575757576</v>
      </c>
    </row>
    <row r="247" spans="1:14" x14ac:dyDescent="0.25">
      <c r="A247" s="92">
        <v>44179</v>
      </c>
      <c r="B247" s="91" t="s">
        <v>36</v>
      </c>
      <c r="C247" s="91" t="s">
        <v>234</v>
      </c>
      <c r="D247" s="91">
        <v>378</v>
      </c>
      <c r="E247" s="91" t="s">
        <v>44</v>
      </c>
      <c r="F247" t="s">
        <v>170</v>
      </c>
      <c r="G247" s="113">
        <f>183+227+232+241+222+234</f>
        <v>1339</v>
      </c>
      <c r="H247" s="90">
        <f>+'Base personal'!$G247/'Base personal'!$L247</f>
        <v>133.9</v>
      </c>
      <c r="I247" s="108">
        <f>VLOOKUP(B247&amp;C247,base!$C$2:$E$27,3,0)</f>
        <v>300</v>
      </c>
      <c r="J247" s="108">
        <f>VLOOKUP(B247&amp;C247,base!$C$2:$F$27,4,0)</f>
        <v>1.7041666666666668E-3</v>
      </c>
      <c r="K247">
        <f>+'Base personal'!$H247*'Base personal'!$J247*'Base personal'!$L247</f>
        <v>2.2818791666666667</v>
      </c>
      <c r="L247" s="91">
        <v>10</v>
      </c>
      <c r="M247" s="7">
        <f t="shared" si="11"/>
        <v>133.9</v>
      </c>
      <c r="N247" s="94">
        <f>M247/VLOOKUP(B247&amp;C247,base!$C$2:$E$27,3,0)</f>
        <v>0.44633333333333336</v>
      </c>
    </row>
    <row r="248" spans="1:14" x14ac:dyDescent="0.25">
      <c r="A248" s="92">
        <v>44179</v>
      </c>
      <c r="B248" s="91" t="s">
        <v>33</v>
      </c>
      <c r="C248" s="91" t="s">
        <v>45</v>
      </c>
      <c r="D248" s="91">
        <v>1267</v>
      </c>
      <c r="E248" s="91" t="s">
        <v>75</v>
      </c>
      <c r="F248" t="s">
        <v>170</v>
      </c>
      <c r="G248" s="91">
        <v>2617</v>
      </c>
      <c r="H248" s="90">
        <f>+'Base personal'!$G248/'Base personal'!$L248</f>
        <v>654.25</v>
      </c>
      <c r="I248" s="108">
        <f>VLOOKUP(B248&amp;C248,base!$C$2:$E$27,3,0)</f>
        <v>700</v>
      </c>
      <c r="J248" s="108">
        <f>VLOOKUP(B248&amp;C248,base!$C$2:$F$27,4,0)</f>
        <v>1.0955714285714286E-3</v>
      </c>
      <c r="K248">
        <f>+'Base personal'!$H248*'Base personal'!$J248*'Base personal'!$L248</f>
        <v>2.8671104285714288</v>
      </c>
      <c r="L248" s="91">
        <v>4</v>
      </c>
      <c r="M248" s="7">
        <f t="shared" si="11"/>
        <v>654.25</v>
      </c>
      <c r="N248" s="94">
        <f>M248/VLOOKUP(B248&amp;C248,base!$C$2:$E$27,3,0)</f>
        <v>0.93464285714285711</v>
      </c>
    </row>
    <row r="249" spans="1:14" x14ac:dyDescent="0.25">
      <c r="A249" s="92">
        <v>44179</v>
      </c>
      <c r="B249" s="91" t="s">
        <v>115</v>
      </c>
      <c r="C249" s="91"/>
      <c r="D249" s="91"/>
      <c r="E249" s="91" t="s">
        <v>75</v>
      </c>
      <c r="F249" t="s">
        <v>170</v>
      </c>
      <c r="G249" s="91"/>
      <c r="H249" s="90">
        <v>1</v>
      </c>
      <c r="I249" s="108">
        <v>1</v>
      </c>
      <c r="J249" s="75">
        <v>0.3483</v>
      </c>
      <c r="K249">
        <f>+'Base personal'!$H249*'Base personal'!$J249*'Base personal'!$L249</f>
        <v>2.0897999999999999</v>
      </c>
      <c r="L249" s="91">
        <v>6</v>
      </c>
      <c r="M249" s="93">
        <f>G249/L249</f>
        <v>0</v>
      </c>
      <c r="N249" s="94" t="e">
        <f>M249/VLOOKUP(B249&amp;C249,base!$C$2:$E$27,3,0)</f>
        <v>#N/A</v>
      </c>
    </row>
    <row r="250" spans="1:14" x14ac:dyDescent="0.25">
      <c r="A250" s="92">
        <v>44179</v>
      </c>
      <c r="B250" s="91" t="s">
        <v>33</v>
      </c>
      <c r="C250" s="91" t="s">
        <v>47</v>
      </c>
      <c r="D250" s="91">
        <v>1269</v>
      </c>
      <c r="E250" s="91" t="s">
        <v>233</v>
      </c>
      <c r="F250" t="s">
        <v>13</v>
      </c>
      <c r="G250" s="91">
        <v>775.5</v>
      </c>
      <c r="H250" s="90">
        <f>+'Base personal'!$G250/'Base personal'!$L250</f>
        <v>70.5</v>
      </c>
      <c r="I250" s="108">
        <f>VLOOKUP(B250&amp;C250,base!$C$2:$E$27,3,0)</f>
        <v>70</v>
      </c>
      <c r="J250" s="108">
        <f>VLOOKUP(B250&amp;C250,base!$C$2:$F$27,4,0)</f>
        <v>2.1911428571428572E-3</v>
      </c>
      <c r="K250">
        <f>+'Base personal'!$H250*'Base personal'!$J250*'Base personal'!$L250</f>
        <v>1.6992312857142857</v>
      </c>
      <c r="L250" s="91">
        <v>11</v>
      </c>
      <c r="M250" s="7">
        <f t="shared" si="11"/>
        <v>70.5</v>
      </c>
      <c r="N250" s="94">
        <f>M250/VLOOKUP(B250&amp;C250,base!$C$2:$E$27,3,0)</f>
        <v>1.0071428571428571</v>
      </c>
    </row>
    <row r="251" spans="1:14" x14ac:dyDescent="0.25">
      <c r="A251" s="92">
        <v>44179</v>
      </c>
      <c r="B251" s="91" t="s">
        <v>33</v>
      </c>
      <c r="C251" s="91" t="s">
        <v>47</v>
      </c>
      <c r="D251" s="91">
        <v>1269</v>
      </c>
      <c r="E251" s="91" t="s">
        <v>97</v>
      </c>
      <c r="F251" t="s">
        <v>13</v>
      </c>
      <c r="G251" s="91">
        <v>775.5</v>
      </c>
      <c r="H251" s="90">
        <f>+'Base personal'!$G251/'Base personal'!$L251</f>
        <v>70.5</v>
      </c>
      <c r="I251" s="108">
        <f>VLOOKUP(B251&amp;C251,base!$C$2:$E$27,3,0)</f>
        <v>70</v>
      </c>
      <c r="J251" s="108">
        <f>VLOOKUP(B251&amp;C251,base!$C$2:$F$27,4,0)</f>
        <v>2.1911428571428572E-3</v>
      </c>
      <c r="K251">
        <f>+'Base personal'!$H251*'Base personal'!$J251*'Base personal'!$L251</f>
        <v>1.6992312857142857</v>
      </c>
      <c r="L251" s="91">
        <v>11</v>
      </c>
      <c r="M251" s="7">
        <f t="shared" si="11"/>
        <v>70.5</v>
      </c>
      <c r="N251" s="94">
        <f>M251/VLOOKUP(B251&amp;C251,base!$C$2:$E$27,3,0)</f>
        <v>1.0071428571428571</v>
      </c>
    </row>
    <row r="252" spans="1:14" x14ac:dyDescent="0.25">
      <c r="A252" s="92">
        <v>44179</v>
      </c>
      <c r="B252" s="91" t="s">
        <v>33</v>
      </c>
      <c r="C252" s="91" t="s">
        <v>47</v>
      </c>
      <c r="D252" s="91">
        <v>1269</v>
      </c>
      <c r="E252" s="91" t="s">
        <v>102</v>
      </c>
      <c r="F252" t="s">
        <v>13</v>
      </c>
      <c r="G252" s="91">
        <v>775.5</v>
      </c>
      <c r="H252" s="90">
        <f>+'Base personal'!$G252/'Base personal'!$L252</f>
        <v>70.5</v>
      </c>
      <c r="I252" s="108">
        <f>VLOOKUP(B252&amp;C252,base!$C$2:$E$27,3,0)</f>
        <v>70</v>
      </c>
      <c r="J252" s="108">
        <f>VLOOKUP(B252&amp;C252,base!$C$2:$F$27,4,0)</f>
        <v>2.1911428571428572E-3</v>
      </c>
      <c r="K252">
        <f>+'Base personal'!$H252*'Base personal'!$J252*'Base personal'!$L252</f>
        <v>1.6992312857142857</v>
      </c>
      <c r="L252" s="91">
        <v>11</v>
      </c>
      <c r="M252" s="7">
        <f t="shared" si="11"/>
        <v>70.5</v>
      </c>
      <c r="N252" s="94">
        <f>M252/VLOOKUP(B252&amp;C252,base!$C$2:$E$27,3,0)</f>
        <v>1.0071428571428571</v>
      </c>
    </row>
    <row r="253" spans="1:14" x14ac:dyDescent="0.25">
      <c r="A253" s="92">
        <v>44179</v>
      </c>
      <c r="B253" s="91" t="s">
        <v>33</v>
      </c>
      <c r="C253" s="91" t="s">
        <v>47</v>
      </c>
      <c r="D253" s="91">
        <v>1269</v>
      </c>
      <c r="E253" s="91" t="s">
        <v>72</v>
      </c>
      <c r="F253" t="s">
        <v>13</v>
      </c>
      <c r="G253" s="91">
        <v>775.5</v>
      </c>
      <c r="H253" s="90">
        <f>+'Base personal'!$G253/'Base personal'!$L253</f>
        <v>70.5</v>
      </c>
      <c r="I253" s="108">
        <f>VLOOKUP(B253&amp;C253,base!$C$2:$E$27,3,0)</f>
        <v>70</v>
      </c>
      <c r="J253" s="108">
        <f>VLOOKUP(B253&amp;C253,base!$C$2:$F$27,4,0)</f>
        <v>2.1911428571428572E-3</v>
      </c>
      <c r="K253">
        <f>+'Base personal'!$H253*'Base personal'!$J253*'Base personal'!$L253</f>
        <v>1.6992312857142857</v>
      </c>
      <c r="L253" s="91">
        <v>11</v>
      </c>
      <c r="M253" s="7">
        <f t="shared" si="11"/>
        <v>70.5</v>
      </c>
      <c r="N253" s="94">
        <f>M253/VLOOKUP(B253&amp;C253,base!$C$2:$E$27,3,0)</f>
        <v>1.0071428571428571</v>
      </c>
    </row>
    <row r="254" spans="1:14" x14ac:dyDescent="0.25">
      <c r="A254" s="92">
        <v>44180</v>
      </c>
      <c r="B254" s="91" t="s">
        <v>113</v>
      </c>
      <c r="C254" s="91" t="s">
        <v>71</v>
      </c>
      <c r="D254" s="91">
        <v>205</v>
      </c>
      <c r="E254" s="91" t="s">
        <v>58</v>
      </c>
      <c r="F254" t="s">
        <v>13</v>
      </c>
      <c r="G254" s="91">
        <f>67+120+125</f>
        <v>312</v>
      </c>
      <c r="H254" s="90">
        <f>+'Base personal'!$G254/'Base personal'!$L254</f>
        <v>28.363636363636363</v>
      </c>
      <c r="I254" s="108">
        <f>VLOOKUP(B254&amp;C254,base!$C$2:$E$27,3,0)</f>
        <v>45</v>
      </c>
      <c r="J254" s="108">
        <f>VLOOKUP(B254&amp;C254,base!$C$2:$F$27,4,0)</f>
        <v>1.1361111111111112E-2</v>
      </c>
      <c r="K254">
        <f>+'Base personal'!$H254*'Base personal'!$J254*'Base personal'!$L254</f>
        <v>3.5446666666666671</v>
      </c>
      <c r="L254" s="91">
        <v>11</v>
      </c>
      <c r="M254" s="7">
        <f t="shared" si="11"/>
        <v>28.363636363636363</v>
      </c>
      <c r="N254" s="94">
        <f>M254/VLOOKUP(B254&amp;C254,base!$C$2:$E$27,3,0)</f>
        <v>0.63030303030303025</v>
      </c>
    </row>
    <row r="255" spans="1:14" x14ac:dyDescent="0.25">
      <c r="A255" s="92">
        <v>44180</v>
      </c>
      <c r="B255" s="91" t="s">
        <v>113</v>
      </c>
      <c r="C255" s="91" t="s">
        <v>71</v>
      </c>
      <c r="D255" s="91">
        <v>203</v>
      </c>
      <c r="E255" s="91" t="s">
        <v>236</v>
      </c>
      <c r="F255" t="s">
        <v>13</v>
      </c>
      <c r="G255" s="91">
        <v>265</v>
      </c>
      <c r="H255" s="90">
        <f>+'Base personal'!$G255/'Base personal'!$L255</f>
        <v>44.166666666666664</v>
      </c>
      <c r="I255" s="108">
        <f>VLOOKUP(B255&amp;C255,base!$C$2:$E$27,3,0)</f>
        <v>45</v>
      </c>
      <c r="J255" s="108">
        <f>VLOOKUP(B255&amp;C255,base!$C$2:$F$27,4,0)</f>
        <v>1.1361111111111112E-2</v>
      </c>
      <c r="K255">
        <f>+'Base personal'!$H255*'Base personal'!$J255*'Base personal'!$L255</f>
        <v>3.0106944444444448</v>
      </c>
      <c r="L255" s="91">
        <v>6</v>
      </c>
      <c r="M255" s="7">
        <f t="shared" si="11"/>
        <v>44.166666666666664</v>
      </c>
      <c r="N255" s="94">
        <f>M255/VLOOKUP(B255&amp;C255,base!$C$2:$E$27,3,0)</f>
        <v>0.9814814814814814</v>
      </c>
    </row>
    <row r="256" spans="1:14" x14ac:dyDescent="0.25">
      <c r="A256" s="92">
        <v>44180</v>
      </c>
      <c r="B256" s="91" t="s">
        <v>115</v>
      </c>
      <c r="C256" s="91"/>
      <c r="D256" s="91"/>
      <c r="E256" s="91" t="s">
        <v>236</v>
      </c>
      <c r="F256" t="s">
        <v>13</v>
      </c>
      <c r="G256" s="91"/>
      <c r="H256" s="90">
        <v>1</v>
      </c>
      <c r="I256" s="108">
        <v>1</v>
      </c>
      <c r="J256" s="75">
        <v>0.3483</v>
      </c>
      <c r="K256">
        <f>+'Base personal'!$H256*'Base personal'!$J256*'Base personal'!$L256</f>
        <v>1.3932</v>
      </c>
      <c r="L256" s="91">
        <v>4</v>
      </c>
      <c r="M256" s="93">
        <f>G256/L256</f>
        <v>0</v>
      </c>
      <c r="N256" s="94" t="e">
        <f>M256/VLOOKUP(B256&amp;C256,base!$C$2:$E$27,3,0)</f>
        <v>#N/A</v>
      </c>
    </row>
    <row r="257" spans="1:14" x14ac:dyDescent="0.25">
      <c r="A257" s="92">
        <v>44180</v>
      </c>
      <c r="B257" s="91" t="s">
        <v>111</v>
      </c>
      <c r="C257" s="91" t="s">
        <v>62</v>
      </c>
      <c r="D257" s="91">
        <v>789</v>
      </c>
      <c r="E257" s="91" t="s">
        <v>64</v>
      </c>
      <c r="F257" t="s">
        <v>13</v>
      </c>
      <c r="G257" s="91">
        <f>1644/2</f>
        <v>822</v>
      </c>
      <c r="H257" s="90">
        <f>+'Base personal'!$G257/'Base personal'!$L257</f>
        <v>82.2</v>
      </c>
      <c r="I257" s="108">
        <f>VLOOKUP(B257&amp;C257,base!$C$2:$E$27,3,0)</f>
        <v>92</v>
      </c>
      <c r="J257" s="108">
        <f>VLOOKUP(B257&amp;C257,base!$C$2:$F$27,4,0)</f>
        <v>5.5570652173913045E-3</v>
      </c>
      <c r="K257">
        <f>+'Base personal'!$H257*'Base personal'!$J257*'Base personal'!$L257</f>
        <v>4.5679076086956529</v>
      </c>
      <c r="L257" s="91">
        <v>10</v>
      </c>
      <c r="M257" s="7">
        <f t="shared" si="11"/>
        <v>82.2</v>
      </c>
      <c r="N257" s="94">
        <f>M257/VLOOKUP(B257&amp;C257,base!$C$2:$E$27,3,0)</f>
        <v>0.89347826086956528</v>
      </c>
    </row>
    <row r="258" spans="1:14" x14ac:dyDescent="0.25">
      <c r="A258" s="92">
        <v>44180</v>
      </c>
      <c r="B258" s="91" t="s">
        <v>111</v>
      </c>
      <c r="C258" s="91" t="s">
        <v>62</v>
      </c>
      <c r="D258" s="91">
        <v>789</v>
      </c>
      <c r="E258" s="91" t="s">
        <v>63</v>
      </c>
      <c r="F258" t="s">
        <v>13</v>
      </c>
      <c r="G258" s="91">
        <f>1644/2</f>
        <v>822</v>
      </c>
      <c r="H258" s="90">
        <f>+'Base personal'!$G258/'Base personal'!$L258</f>
        <v>82.2</v>
      </c>
      <c r="I258" s="108">
        <f>VLOOKUP(B258&amp;C258,base!$C$2:$E$27,3,0)</f>
        <v>92</v>
      </c>
      <c r="J258" s="108">
        <f>VLOOKUP(B258&amp;C258,base!$C$2:$F$27,4,0)</f>
        <v>5.5570652173913045E-3</v>
      </c>
      <c r="K258">
        <f>+'Base personal'!$H258*'Base personal'!$J258*'Base personal'!$L258</f>
        <v>4.5679076086956529</v>
      </c>
      <c r="L258" s="91">
        <v>10</v>
      </c>
      <c r="M258" s="7">
        <f t="shared" si="11"/>
        <v>82.2</v>
      </c>
      <c r="N258" s="94">
        <f>M258/VLOOKUP(B258&amp;C258,base!$C$2:$E$27,3,0)</f>
        <v>0.89347826086956528</v>
      </c>
    </row>
    <row r="259" spans="1:14" x14ac:dyDescent="0.25">
      <c r="A259" s="92">
        <v>44180</v>
      </c>
      <c r="B259" s="91" t="s">
        <v>112</v>
      </c>
      <c r="C259" s="91" t="s">
        <v>55</v>
      </c>
      <c r="D259" s="91">
        <v>791</v>
      </c>
      <c r="E259" s="91" t="s">
        <v>57</v>
      </c>
      <c r="F259" t="s">
        <v>13</v>
      </c>
      <c r="G259" s="91">
        <f>196+150+134+178+74+157-G260</f>
        <v>577.85</v>
      </c>
      <c r="H259" s="90">
        <f>+'Base personal'!$G259/'Base personal'!$L259</f>
        <v>57.785000000000004</v>
      </c>
      <c r="I259" s="108">
        <f>VLOOKUP(B259&amp;C259,base!$C$2:$E$27,3,0)</f>
        <v>55</v>
      </c>
      <c r="J259" s="108">
        <f>VLOOKUP(B259&amp;C259,base!$C$2:$F$27,4,0)</f>
        <v>9.295454545454546E-3</v>
      </c>
      <c r="K259">
        <f>+'Base personal'!$H259*'Base personal'!$J259*'Base personal'!$L259</f>
        <v>5.3713784090909105</v>
      </c>
      <c r="L259" s="91">
        <v>10</v>
      </c>
      <c r="M259" s="7">
        <f t="shared" si="11"/>
        <v>57.785000000000004</v>
      </c>
      <c r="N259" s="94">
        <f>M259/VLOOKUP(B259&amp;C259,base!$C$2:$E$27,3,0)</f>
        <v>1.0506363636363638</v>
      </c>
    </row>
    <row r="260" spans="1:14" x14ac:dyDescent="0.25">
      <c r="A260" s="92">
        <v>44180</v>
      </c>
      <c r="B260" s="91" t="s">
        <v>112</v>
      </c>
      <c r="C260" s="91" t="s">
        <v>55</v>
      </c>
      <c r="D260" s="91">
        <v>791</v>
      </c>
      <c r="E260" s="91" t="s">
        <v>96</v>
      </c>
      <c r="F260" t="s">
        <v>170</v>
      </c>
      <c r="G260" s="91">
        <v>311.14999999999998</v>
      </c>
      <c r="H260" s="90">
        <f>+'Base personal'!$G260/'Base personal'!$L260</f>
        <v>44.449999999999996</v>
      </c>
      <c r="I260" s="108">
        <f>VLOOKUP(B260&amp;C260,base!$C$2:$E$27,3,0)</f>
        <v>55</v>
      </c>
      <c r="J260" s="108">
        <f>VLOOKUP(B260&amp;C260,base!$C$2:$F$27,4,0)</f>
        <v>9.295454545454546E-3</v>
      </c>
      <c r="K260">
        <f>+'Base personal'!$H260*'Base personal'!$J260*'Base personal'!$L260</f>
        <v>2.8922806818181814</v>
      </c>
      <c r="L260" s="91">
        <v>7</v>
      </c>
      <c r="M260" s="7">
        <f t="shared" si="11"/>
        <v>44.449999999999996</v>
      </c>
      <c r="N260" s="94">
        <f>M260/VLOOKUP(B260&amp;C260,base!$C$2:$E$27,3,0)</f>
        <v>0.80818181818181811</v>
      </c>
    </row>
    <row r="261" spans="1:14" x14ac:dyDescent="0.25">
      <c r="A261" s="92">
        <v>44180</v>
      </c>
      <c r="B261" s="91" t="s">
        <v>37</v>
      </c>
      <c r="C261" s="91"/>
      <c r="D261" s="91"/>
      <c r="E261" s="91" t="s">
        <v>96</v>
      </c>
      <c r="F261" t="s">
        <v>170</v>
      </c>
      <c r="G261" s="91"/>
      <c r="H261" s="90">
        <v>1</v>
      </c>
      <c r="I261" s="108">
        <v>1</v>
      </c>
      <c r="J261" s="75">
        <v>0.3483</v>
      </c>
      <c r="K261">
        <f>+'Base personal'!$H261*'Base personal'!$J261*'Base personal'!$L261</f>
        <v>1.0448999999999999</v>
      </c>
      <c r="L261" s="91">
        <v>3</v>
      </c>
      <c r="M261" s="93">
        <f>G261/L261</f>
        <v>0</v>
      </c>
      <c r="N261" s="94" t="e">
        <f>M261/VLOOKUP(B261&amp;C261,base!$C$2:$E$27,3,0)</f>
        <v>#N/A</v>
      </c>
    </row>
    <row r="262" spans="1:14" x14ac:dyDescent="0.25">
      <c r="A262" s="92">
        <v>44180</v>
      </c>
      <c r="B262" s="91" t="s">
        <v>36</v>
      </c>
      <c r="C262" s="91" t="s">
        <v>234</v>
      </c>
      <c r="D262" s="91">
        <v>379</v>
      </c>
      <c r="E262" s="91" t="s">
        <v>44</v>
      </c>
      <c r="F262" t="s">
        <v>13</v>
      </c>
      <c r="G262" s="113">
        <v>864</v>
      </c>
      <c r="H262" s="90">
        <f>+'Base personal'!$G262/'Base personal'!$L262</f>
        <v>123.42857142857143</v>
      </c>
      <c r="I262" s="108">
        <f>VLOOKUP(B262&amp;C262,base!$C$2:$E$27,3,0)</f>
        <v>300</v>
      </c>
      <c r="J262" s="108">
        <f>VLOOKUP(B262&amp;C262,base!$C$2:$F$27,4,0)</f>
        <v>1.7041666666666668E-3</v>
      </c>
      <c r="K262">
        <f>+'Base personal'!$H262*'Base personal'!$J262*'Base personal'!$L262</f>
        <v>1.4724000000000002</v>
      </c>
      <c r="L262" s="91">
        <v>7</v>
      </c>
      <c r="M262" s="7">
        <f t="shared" si="11"/>
        <v>123.42857142857143</v>
      </c>
      <c r="N262" s="94">
        <f>M262/VLOOKUP(B262&amp;C262,base!$C$2:$E$27,3,0)</f>
        <v>0.41142857142857142</v>
      </c>
    </row>
    <row r="263" spans="1:14" x14ac:dyDescent="0.25">
      <c r="A263" s="92">
        <v>44180</v>
      </c>
      <c r="B263" s="91" t="s">
        <v>33</v>
      </c>
      <c r="C263" s="91" t="s">
        <v>47</v>
      </c>
      <c r="D263" s="91" t="s">
        <v>246</v>
      </c>
      <c r="E263" s="91" t="s">
        <v>75</v>
      </c>
      <c r="F263" t="s">
        <v>13</v>
      </c>
      <c r="G263" s="113">
        <f>2799/4</f>
        <v>699.75</v>
      </c>
      <c r="H263" s="90">
        <f>+'Base personal'!$G263/'Base personal'!$L263</f>
        <v>69.974999999999994</v>
      </c>
      <c r="I263" s="108">
        <f>VLOOKUP(B263&amp;C263,base!$C$2:$E$27,3,0)</f>
        <v>70</v>
      </c>
      <c r="J263" s="108">
        <f>VLOOKUP(B263&amp;C263,base!$C$2:$F$27,4,0)</f>
        <v>2.1911428571428572E-3</v>
      </c>
      <c r="K263">
        <f>+'Base personal'!$H263*'Base personal'!$J263*'Base personal'!$L263</f>
        <v>1.5332522142857141</v>
      </c>
      <c r="L263" s="91">
        <v>10</v>
      </c>
      <c r="M263" s="7">
        <f t="shared" si="11"/>
        <v>69.974999999999994</v>
      </c>
      <c r="N263" s="94">
        <f>M263/VLOOKUP(B263&amp;C263,base!$C$2:$E$27,3,0)</f>
        <v>0.99964285714285706</v>
      </c>
    </row>
    <row r="264" spans="1:14" x14ac:dyDescent="0.25">
      <c r="A264" s="92">
        <v>44180</v>
      </c>
      <c r="B264" s="91" t="s">
        <v>33</v>
      </c>
      <c r="C264" s="91" t="s">
        <v>47</v>
      </c>
      <c r="D264" s="91" t="s">
        <v>246</v>
      </c>
      <c r="E264" s="91" t="s">
        <v>43</v>
      </c>
      <c r="F264" t="s">
        <v>170</v>
      </c>
      <c r="G264" s="113">
        <f>2799/4</f>
        <v>699.75</v>
      </c>
      <c r="H264" s="90">
        <f>+'Base personal'!$G264/'Base personal'!$L264</f>
        <v>69.974999999999994</v>
      </c>
      <c r="I264" s="108">
        <f>VLOOKUP(B264&amp;C264,base!$C$2:$E$27,3,0)</f>
        <v>70</v>
      </c>
      <c r="J264" s="108">
        <f>VLOOKUP(B264&amp;C264,base!$C$2:$F$27,4,0)</f>
        <v>2.1911428571428572E-3</v>
      </c>
      <c r="K264">
        <f>+'Base personal'!$H264*'Base personal'!$J264*'Base personal'!$L264</f>
        <v>1.5332522142857141</v>
      </c>
      <c r="L264" s="91">
        <v>10</v>
      </c>
      <c r="M264" s="7">
        <f t="shared" si="11"/>
        <v>69.974999999999994</v>
      </c>
      <c r="N264" s="94">
        <f>M264/VLOOKUP(B264&amp;C264,base!$C$2:$E$27,3,0)</f>
        <v>0.99964285714285706</v>
      </c>
    </row>
    <row r="265" spans="1:14" x14ac:dyDescent="0.25">
      <c r="A265" s="92">
        <v>44180</v>
      </c>
      <c r="B265" s="91" t="s">
        <v>33</v>
      </c>
      <c r="C265" s="91" t="s">
        <v>47</v>
      </c>
      <c r="D265" s="91" t="s">
        <v>246</v>
      </c>
      <c r="E265" s="91" t="s">
        <v>169</v>
      </c>
      <c r="F265" t="s">
        <v>13</v>
      </c>
      <c r="G265" s="113">
        <f>2799/4</f>
        <v>699.75</v>
      </c>
      <c r="H265" s="90">
        <f>+'Base personal'!$G265/'Base personal'!$L265</f>
        <v>69.974999999999994</v>
      </c>
      <c r="I265" s="108">
        <f>VLOOKUP(B265&amp;C265,base!$C$2:$E$27,3,0)</f>
        <v>70</v>
      </c>
      <c r="J265" s="108">
        <f>VLOOKUP(B265&amp;C265,base!$C$2:$F$27,4,0)</f>
        <v>2.1911428571428572E-3</v>
      </c>
      <c r="K265">
        <f>+'Base personal'!$H265*'Base personal'!$J265*'Base personal'!$L265</f>
        <v>1.5332522142857141</v>
      </c>
      <c r="L265" s="91">
        <v>10</v>
      </c>
      <c r="M265" s="7">
        <f t="shared" si="11"/>
        <v>69.974999999999994</v>
      </c>
      <c r="N265" s="94">
        <f>M265/VLOOKUP(B265&amp;C265,base!$C$2:$E$27,3,0)</f>
        <v>0.99964285714285706</v>
      </c>
    </row>
    <row r="266" spans="1:14" x14ac:dyDescent="0.25">
      <c r="A266" s="92">
        <v>44180</v>
      </c>
      <c r="B266" s="91" t="s">
        <v>33</v>
      </c>
      <c r="C266" s="91" t="s">
        <v>47</v>
      </c>
      <c r="D266" s="91" t="s">
        <v>246</v>
      </c>
      <c r="E266" s="91" t="s">
        <v>69</v>
      </c>
      <c r="F266" t="s">
        <v>13</v>
      </c>
      <c r="G266" s="113">
        <f>2799/4</f>
        <v>699.75</v>
      </c>
      <c r="H266" s="90">
        <f>+'Base personal'!$G266/'Base personal'!$L266</f>
        <v>69.974999999999994</v>
      </c>
      <c r="I266" s="108">
        <f>VLOOKUP(B266&amp;C266,base!$C$2:$E$27,3,0)</f>
        <v>70</v>
      </c>
      <c r="J266" s="108">
        <f>VLOOKUP(B266&amp;C266,base!$C$2:$F$27,4,0)</f>
        <v>2.1911428571428572E-3</v>
      </c>
      <c r="K266">
        <f>+'Base personal'!$H266*'Base personal'!$J266*'Base personal'!$L266</f>
        <v>1.5332522142857141</v>
      </c>
      <c r="L266" s="91">
        <v>10</v>
      </c>
      <c r="M266" s="7">
        <f t="shared" si="11"/>
        <v>69.974999999999994</v>
      </c>
      <c r="N266" s="94">
        <f>M266/VLOOKUP(B266&amp;C266,base!$C$2:$E$27,3,0)</f>
        <v>0.99964285714285706</v>
      </c>
    </row>
    <row r="267" spans="1:14" s="91" customFormat="1" x14ac:dyDescent="0.25">
      <c r="A267" s="92">
        <v>44180</v>
      </c>
      <c r="B267" s="91" t="s">
        <v>33</v>
      </c>
      <c r="C267" s="91" t="s">
        <v>47</v>
      </c>
      <c r="D267" s="91" t="s">
        <v>247</v>
      </c>
      <c r="E267" s="91" t="s">
        <v>77</v>
      </c>
      <c r="F267" s="91" t="s">
        <v>13</v>
      </c>
      <c r="G267" s="91">
        <f>3454/4</f>
        <v>863.5</v>
      </c>
      <c r="H267" s="90">
        <f>+'Base personal'!$G267/'Base personal'!$L267</f>
        <v>78.5</v>
      </c>
      <c r="I267" s="108">
        <f>VLOOKUP(B267&amp;C267,base!$C$2:$E$27,3,0)</f>
        <v>70</v>
      </c>
      <c r="J267" s="108">
        <f>VLOOKUP(B267&amp;C267,base!$C$2:$F$27,4,0)</f>
        <v>2.1911428571428572E-3</v>
      </c>
      <c r="K267" s="91">
        <f>+'Base personal'!$H267*'Base personal'!$J267*'Base personal'!$L267</f>
        <v>1.8920518571428571</v>
      </c>
      <c r="L267" s="91">
        <v>11</v>
      </c>
      <c r="M267" s="93">
        <f t="shared" si="11"/>
        <v>78.5</v>
      </c>
      <c r="N267" s="94"/>
    </row>
    <row r="268" spans="1:14" s="91" customFormat="1" x14ac:dyDescent="0.25">
      <c r="A268" s="92">
        <v>44180</v>
      </c>
      <c r="B268" s="91" t="s">
        <v>33</v>
      </c>
      <c r="C268" s="91" t="s">
        <v>47</v>
      </c>
      <c r="D268" s="91" t="s">
        <v>247</v>
      </c>
      <c r="E268" s="91" t="s">
        <v>72</v>
      </c>
      <c r="F268" s="91" t="s">
        <v>13</v>
      </c>
      <c r="G268" s="91">
        <f>3454/4</f>
        <v>863.5</v>
      </c>
      <c r="H268" s="90">
        <f>+'Base personal'!$G268/'Base personal'!$L268</f>
        <v>78.5</v>
      </c>
      <c r="I268" s="108">
        <f>VLOOKUP(B268&amp;C268,base!$C$2:$E$27,3,0)</f>
        <v>70</v>
      </c>
      <c r="J268" s="108">
        <f>VLOOKUP(B268&amp;C268,base!$C$2:$F$27,4,0)</f>
        <v>2.1911428571428572E-3</v>
      </c>
      <c r="K268" s="91">
        <f>+'Base personal'!$H268*'Base personal'!$J268*'Base personal'!$L268</f>
        <v>1.8920518571428571</v>
      </c>
      <c r="L268" s="91">
        <v>11</v>
      </c>
      <c r="M268" s="93">
        <f t="shared" si="11"/>
        <v>78.5</v>
      </c>
      <c r="N268" s="94"/>
    </row>
    <row r="269" spans="1:14" x14ac:dyDescent="0.25">
      <c r="A269" s="92">
        <v>44180</v>
      </c>
      <c r="B269" s="91" t="s">
        <v>33</v>
      </c>
      <c r="C269" s="91" t="s">
        <v>47</v>
      </c>
      <c r="D269" s="91" t="s">
        <v>247</v>
      </c>
      <c r="E269" s="91" t="s">
        <v>102</v>
      </c>
      <c r="F269" t="s">
        <v>13</v>
      </c>
      <c r="G269" s="91">
        <f>3454/4</f>
        <v>863.5</v>
      </c>
      <c r="H269" s="90">
        <f>+'Base personal'!$G269/'Base personal'!$L269</f>
        <v>78.5</v>
      </c>
      <c r="I269" s="108">
        <f>VLOOKUP(B269&amp;C269,base!$C$2:$E$27,3,0)</f>
        <v>70</v>
      </c>
      <c r="J269" s="108">
        <f>VLOOKUP(B269&amp;C269,base!$C$2:$F$27,4,0)</f>
        <v>2.1911428571428572E-3</v>
      </c>
      <c r="K269">
        <f>+'Base personal'!$H269*'Base personal'!$J269*'Base personal'!$L269</f>
        <v>1.8920518571428571</v>
      </c>
      <c r="L269" s="91">
        <v>11</v>
      </c>
      <c r="M269" s="7">
        <f t="shared" si="11"/>
        <v>78.5</v>
      </c>
      <c r="N269" s="94">
        <f>M269/VLOOKUP(B269&amp;C269,base!$C$2:$E$27,3,0)</f>
        <v>1.1214285714285714</v>
      </c>
    </row>
    <row r="270" spans="1:14" x14ac:dyDescent="0.25">
      <c r="A270" s="92">
        <v>44180</v>
      </c>
      <c r="B270" s="91" t="s">
        <v>33</v>
      </c>
      <c r="C270" s="91" t="s">
        <v>47</v>
      </c>
      <c r="D270" s="91" t="s">
        <v>247</v>
      </c>
      <c r="E270" s="91" t="s">
        <v>97</v>
      </c>
      <c r="F270" t="s">
        <v>13</v>
      </c>
      <c r="G270" s="91">
        <f>3454/4</f>
        <v>863.5</v>
      </c>
      <c r="H270" s="90">
        <f>+'Base personal'!$G270/'Base personal'!$L270</f>
        <v>78.5</v>
      </c>
      <c r="I270" s="108">
        <f>VLOOKUP(B270&amp;C270,base!$C$2:$E$27,3,0)</f>
        <v>70</v>
      </c>
      <c r="J270" s="108">
        <f>VLOOKUP(B270&amp;C270,base!$C$2:$F$27,4,0)</f>
        <v>2.1911428571428572E-3</v>
      </c>
      <c r="K270">
        <f>+'Base personal'!$H270*'Base personal'!$J270*'Base personal'!$L270</f>
        <v>1.8920518571428571</v>
      </c>
      <c r="L270" s="91">
        <v>11</v>
      </c>
      <c r="M270" s="7">
        <f t="shared" si="11"/>
        <v>78.5</v>
      </c>
      <c r="N270" s="94">
        <f>M270/VLOOKUP(B270&amp;C270,base!$C$2:$E$27,3,0)</f>
        <v>1.1214285714285714</v>
      </c>
    </row>
    <row r="271" spans="1:14" x14ac:dyDescent="0.25">
      <c r="A271" s="92">
        <v>44181</v>
      </c>
      <c r="B271" s="91" t="s">
        <v>113</v>
      </c>
      <c r="C271" s="91" t="s">
        <v>71</v>
      </c>
      <c r="D271" s="91">
        <v>206</v>
      </c>
      <c r="E271" s="91" t="s">
        <v>44</v>
      </c>
      <c r="F271" t="s">
        <v>13</v>
      </c>
      <c r="G271" s="91">
        <f>140+107+99+68+93</f>
        <v>507</v>
      </c>
      <c r="H271" s="90">
        <f>+'Base personal'!$G271/'Base personal'!$L271</f>
        <v>63.375</v>
      </c>
      <c r="I271" s="108">
        <f>VLOOKUP(B271&amp;C271,base!$C$2:$E$27,3,0)</f>
        <v>45</v>
      </c>
      <c r="J271" s="108">
        <f>VLOOKUP(B271&amp;C271,base!$C$2:$F$27,4,0)</f>
        <v>1.1361111111111112E-2</v>
      </c>
      <c r="K271">
        <f>+'Base personal'!$H271*'Base personal'!$J271*'Base personal'!$L271</f>
        <v>5.7600833333333332</v>
      </c>
      <c r="L271" s="91">
        <v>8</v>
      </c>
      <c r="M271" s="7">
        <f t="shared" si="11"/>
        <v>63.375</v>
      </c>
      <c r="N271" s="94">
        <f>M271/VLOOKUP(B271&amp;C271,base!$C$2:$E$27,3,0)</f>
        <v>1.4083333333333334</v>
      </c>
    </row>
    <row r="272" spans="1:14" x14ac:dyDescent="0.25">
      <c r="A272" s="92">
        <v>44181</v>
      </c>
      <c r="B272" s="91" t="s">
        <v>111</v>
      </c>
      <c r="C272" s="91" t="s">
        <v>62</v>
      </c>
      <c r="D272" s="91">
        <v>793</v>
      </c>
      <c r="E272" s="91" t="s">
        <v>64</v>
      </c>
      <c r="F272" t="s">
        <v>170</v>
      </c>
      <c r="G272" s="91">
        <f>1224/2</f>
        <v>612</v>
      </c>
      <c r="H272" s="90">
        <f>+'Base personal'!$G272/'Base personal'!$L272</f>
        <v>122.4</v>
      </c>
      <c r="I272" s="108">
        <f>VLOOKUP(B272&amp;C272,base!$C$2:$E$27,3,0)</f>
        <v>92</v>
      </c>
      <c r="J272" s="108">
        <f>VLOOKUP(B272&amp;C272,base!$C$2:$F$27,4,0)</f>
        <v>5.5570652173913045E-3</v>
      </c>
      <c r="K272">
        <f>+'Base personal'!$H272*'Base personal'!$J272*'Base personal'!$L272</f>
        <v>3.4009239130434787</v>
      </c>
      <c r="L272" s="91">
        <v>5</v>
      </c>
      <c r="M272" s="7">
        <f t="shared" si="11"/>
        <v>122.4</v>
      </c>
      <c r="N272" s="94">
        <f>M272/VLOOKUP(B272&amp;C272,base!$C$2:$E$27,3,0)</f>
        <v>1.3304347826086957</v>
      </c>
    </row>
    <row r="273" spans="1:14" x14ac:dyDescent="0.25">
      <c r="A273" s="92">
        <v>44181</v>
      </c>
      <c r="B273" s="91" t="s">
        <v>111</v>
      </c>
      <c r="C273" s="91" t="s">
        <v>62</v>
      </c>
      <c r="D273" s="91">
        <v>793</v>
      </c>
      <c r="E273" s="91" t="s">
        <v>63</v>
      </c>
      <c r="F273" t="s">
        <v>13</v>
      </c>
      <c r="G273" s="91">
        <f>1224/2</f>
        <v>612</v>
      </c>
      <c r="H273" s="90">
        <f>+'Base personal'!$G273/'Base personal'!$L273</f>
        <v>122.4</v>
      </c>
      <c r="I273" s="108">
        <f>VLOOKUP(B273&amp;C273,base!$C$2:$E$27,3,0)</f>
        <v>92</v>
      </c>
      <c r="J273" s="108">
        <f>VLOOKUP(B273&amp;C273,base!$C$2:$F$27,4,0)</f>
        <v>5.5570652173913045E-3</v>
      </c>
      <c r="K273">
        <f>+'Base personal'!$H273*'Base personal'!$J273*'Base personal'!$L273</f>
        <v>3.4009239130434787</v>
      </c>
      <c r="L273" s="91">
        <v>5</v>
      </c>
      <c r="M273" s="7">
        <f t="shared" si="11"/>
        <v>122.4</v>
      </c>
      <c r="N273" s="94">
        <f>M273/VLOOKUP(B273&amp;C273,base!$C$2:$E$27,3,0)</f>
        <v>1.3304347826086957</v>
      </c>
    </row>
    <row r="274" spans="1:14" x14ac:dyDescent="0.25">
      <c r="A274" s="92">
        <v>44181</v>
      </c>
      <c r="B274" s="91" t="s">
        <v>38</v>
      </c>
      <c r="C274" s="91"/>
      <c r="D274" s="91"/>
      <c r="E274" s="91" t="s">
        <v>64</v>
      </c>
      <c r="F274" t="s">
        <v>13</v>
      </c>
      <c r="G274" s="91"/>
      <c r="H274" s="90">
        <v>1</v>
      </c>
      <c r="I274" s="108">
        <v>1</v>
      </c>
      <c r="J274" s="75">
        <v>0.3483</v>
      </c>
      <c r="K274">
        <f>+'Base personal'!$H274*'Base personal'!$J274*'Base personal'!$L274</f>
        <v>1.0448999999999999</v>
      </c>
      <c r="L274" s="91">
        <v>3</v>
      </c>
      <c r="M274" s="93">
        <f t="shared" si="11"/>
        <v>0</v>
      </c>
      <c r="N274" s="94" t="e">
        <f>M274/VLOOKUP(B274&amp;C274,base!$C$2:$E$27,3,0)</f>
        <v>#N/A</v>
      </c>
    </row>
    <row r="275" spans="1:14" x14ac:dyDescent="0.25">
      <c r="A275" s="92">
        <v>44181</v>
      </c>
      <c r="B275" s="91" t="s">
        <v>38</v>
      </c>
      <c r="C275" s="91"/>
      <c r="D275" s="91"/>
      <c r="E275" s="91" t="s">
        <v>63</v>
      </c>
      <c r="F275" t="s">
        <v>13</v>
      </c>
      <c r="G275" s="98"/>
      <c r="H275" s="90">
        <v>1</v>
      </c>
      <c r="I275" s="108">
        <v>1</v>
      </c>
      <c r="J275" s="75">
        <v>0.3483</v>
      </c>
      <c r="K275">
        <f>+'Base personal'!$H275*'Base personal'!$J275*'Base personal'!$L275</f>
        <v>1.0448999999999999</v>
      </c>
      <c r="L275" s="91">
        <v>3</v>
      </c>
      <c r="M275" s="93">
        <f t="shared" si="11"/>
        <v>0</v>
      </c>
      <c r="N275" s="94" t="e">
        <f>M275/VLOOKUP(B275&amp;C275,base!$C$2:$E$27,3,0)</f>
        <v>#N/A</v>
      </c>
    </row>
    <row r="276" spans="1:14" x14ac:dyDescent="0.25">
      <c r="A276" s="92">
        <v>44181</v>
      </c>
      <c r="B276" s="91" t="s">
        <v>112</v>
      </c>
      <c r="C276" s="91" t="s">
        <v>55</v>
      </c>
      <c r="D276" s="91">
        <v>790</v>
      </c>
      <c r="E276" s="91" t="s">
        <v>57</v>
      </c>
      <c r="F276" t="s">
        <v>13</v>
      </c>
      <c r="G276" s="91">
        <f>181+170+176</f>
        <v>527</v>
      </c>
      <c r="H276" s="90">
        <f>+'Base personal'!$G276/'Base personal'!$L276</f>
        <v>65.875</v>
      </c>
      <c r="I276" s="108">
        <f>VLOOKUP(B276&amp;C276,base!$C$2:$E$27,3,0)</f>
        <v>55</v>
      </c>
      <c r="J276" s="108">
        <f>VLOOKUP(B276&amp;C276,base!$C$2:$F$27,4,0)</f>
        <v>9.295454545454546E-3</v>
      </c>
      <c r="K276">
        <f>+'Base personal'!$H276*'Base personal'!$J276*'Base personal'!$L276</f>
        <v>4.8987045454545459</v>
      </c>
      <c r="L276" s="91">
        <v>8</v>
      </c>
      <c r="M276" s="7">
        <f t="shared" si="11"/>
        <v>65.875</v>
      </c>
      <c r="N276" s="94">
        <f>M276/VLOOKUP(B276&amp;C276,base!$C$2:$E$27,3,0)</f>
        <v>1.1977272727272728</v>
      </c>
    </row>
    <row r="277" spans="1:14" x14ac:dyDescent="0.25">
      <c r="A277" s="92">
        <v>44181</v>
      </c>
      <c r="B277" s="91" t="s">
        <v>29</v>
      </c>
      <c r="C277" s="91" t="s">
        <v>86</v>
      </c>
      <c r="D277" s="91">
        <v>156</v>
      </c>
      <c r="E277" s="91" t="s">
        <v>56</v>
      </c>
      <c r="F277" t="s">
        <v>13</v>
      </c>
      <c r="G277" s="91">
        <v>585</v>
      </c>
      <c r="H277" s="90">
        <f>+'Base personal'!$G277/'Base personal'!$L277</f>
        <v>58.5</v>
      </c>
      <c r="I277" s="108">
        <f>VLOOKUP(B277&amp;C277,base!$C$2:$E$27,3,0)</f>
        <v>75</v>
      </c>
      <c r="J277" s="108">
        <f>VLOOKUP(B277&amp;C277,base!$C$2:$F$27,4,0)</f>
        <v>1.0225333333333333E-2</v>
      </c>
      <c r="K277">
        <f>+'Base personal'!$H277*'Base personal'!$J277*'Base personal'!$L277</f>
        <v>5.9818199999999999</v>
      </c>
      <c r="L277" s="91">
        <v>10</v>
      </c>
      <c r="M277" s="7">
        <f t="shared" si="11"/>
        <v>58.5</v>
      </c>
      <c r="N277" s="94">
        <f>M277/VLOOKUP(B277&amp;C277,base!$C$2:$E$27,3,0)</f>
        <v>0.78</v>
      </c>
    </row>
    <row r="278" spans="1:14" x14ac:dyDescent="0.25">
      <c r="A278" s="92">
        <v>44181</v>
      </c>
      <c r="B278" s="91" t="s">
        <v>33</v>
      </c>
      <c r="C278" s="91" t="s">
        <v>47</v>
      </c>
      <c r="D278" s="91" t="s">
        <v>287</v>
      </c>
      <c r="E278" s="91" t="s">
        <v>194</v>
      </c>
      <c r="F278" t="s">
        <v>13</v>
      </c>
      <c r="G278" s="93">
        <v>750.83333333333337</v>
      </c>
      <c r="H278" s="90">
        <f>+'Base personal'!$G278/'Base personal'!$L278</f>
        <v>83.425925925925924</v>
      </c>
      <c r="I278" s="108">
        <f>VLOOKUP(B278&amp;C278,base!$C$2:$E$27,3,0)</f>
        <v>70</v>
      </c>
      <c r="J278" s="108">
        <f>VLOOKUP(B278&amp;C278,base!$C$2:$F$27,4,0)</f>
        <v>2.1911428571428572E-3</v>
      </c>
      <c r="K278">
        <f>+'Base personal'!$H278*'Base personal'!$J278*'Base personal'!$L278</f>
        <v>1.6451830952380955</v>
      </c>
      <c r="L278" s="91">
        <v>9</v>
      </c>
      <c r="M278" s="7">
        <f t="shared" si="11"/>
        <v>83.425925925925924</v>
      </c>
      <c r="N278" s="94">
        <f>M278/VLOOKUP(B278&amp;C278,base!$C$2:$E$27,3,0)</f>
        <v>1.1917989417989419</v>
      </c>
    </row>
    <row r="279" spans="1:14" x14ac:dyDescent="0.25">
      <c r="A279" s="92">
        <v>44181</v>
      </c>
      <c r="B279" s="91" t="s">
        <v>33</v>
      </c>
      <c r="C279" s="91" t="s">
        <v>47</v>
      </c>
      <c r="D279" s="91" t="s">
        <v>287</v>
      </c>
      <c r="E279" s="91" t="s">
        <v>69</v>
      </c>
      <c r="F279" t="s">
        <v>13</v>
      </c>
      <c r="G279" s="93">
        <v>750.83333333333337</v>
      </c>
      <c r="H279" s="90">
        <f>+'Base personal'!$G279/'Base personal'!$L279</f>
        <v>83.425925925925924</v>
      </c>
      <c r="I279" s="108">
        <f>VLOOKUP(B279&amp;C279,base!$C$2:$E$27,3,0)</f>
        <v>70</v>
      </c>
      <c r="J279" s="108">
        <f>VLOOKUP(B279&amp;C279,base!$C$2:$F$27,4,0)</f>
        <v>2.1911428571428572E-3</v>
      </c>
      <c r="K279">
        <f>+'Base personal'!$H279*'Base personal'!$J279*'Base personal'!$L279</f>
        <v>1.6451830952380955</v>
      </c>
      <c r="L279" s="91">
        <v>9</v>
      </c>
      <c r="M279" s="7">
        <f t="shared" si="11"/>
        <v>83.425925925925924</v>
      </c>
      <c r="N279" s="94">
        <f>M279/VLOOKUP(B279&amp;C279,base!$C$2:$E$27,3,0)</f>
        <v>1.1917989417989419</v>
      </c>
    </row>
    <row r="280" spans="1:14" x14ac:dyDescent="0.25">
      <c r="A280" s="92">
        <v>44181</v>
      </c>
      <c r="B280" s="91" t="s">
        <v>33</v>
      </c>
      <c r="C280" s="91" t="s">
        <v>47</v>
      </c>
      <c r="D280" s="91" t="s">
        <v>287</v>
      </c>
      <c r="E280" s="91" t="s">
        <v>96</v>
      </c>
      <c r="F280" t="s">
        <v>13</v>
      </c>
      <c r="G280" s="93">
        <v>750.83333333333337</v>
      </c>
      <c r="H280" s="90">
        <f>+'Base personal'!$G280/'Base personal'!$L280</f>
        <v>83.425925925925924</v>
      </c>
      <c r="I280" s="108">
        <f>VLOOKUP(B280&amp;C280,base!$C$2:$E$27,3,0)</f>
        <v>70</v>
      </c>
      <c r="J280" s="108">
        <f>VLOOKUP(B280&amp;C280,base!$C$2:$F$27,4,0)</f>
        <v>2.1911428571428572E-3</v>
      </c>
      <c r="K280">
        <f>+'Base personal'!$H280*'Base personal'!$J280*'Base personal'!$L280</f>
        <v>1.6451830952380955</v>
      </c>
      <c r="L280" s="91">
        <v>9</v>
      </c>
      <c r="M280" s="7">
        <f t="shared" si="11"/>
        <v>83.425925925925924</v>
      </c>
      <c r="N280" s="94">
        <f>M280/VLOOKUP(B280&amp;C280,base!$C$2:$E$27,3,0)</f>
        <v>1.1917989417989419</v>
      </c>
    </row>
    <row r="281" spans="1:14" x14ac:dyDescent="0.25">
      <c r="A281" s="92">
        <v>44181</v>
      </c>
      <c r="B281" s="91" t="s">
        <v>33</v>
      </c>
      <c r="C281" s="91" t="s">
        <v>47</v>
      </c>
      <c r="D281" s="91" t="s">
        <v>287</v>
      </c>
      <c r="E281" s="91" t="s">
        <v>169</v>
      </c>
      <c r="F281" t="s">
        <v>13</v>
      </c>
      <c r="G281" s="91">
        <v>397.5</v>
      </c>
      <c r="H281" s="90">
        <f>+'Base personal'!$G281/'Base personal'!$L281</f>
        <v>44.166666666666664</v>
      </c>
      <c r="I281" s="108">
        <f>VLOOKUP(B281&amp;C281,base!$C$2:$E$27,3,0)</f>
        <v>70</v>
      </c>
      <c r="J281" s="108">
        <f>VLOOKUP(B281&amp;C281,base!$C$2:$F$27,4,0)</f>
        <v>2.1911428571428572E-3</v>
      </c>
      <c r="K281">
        <f>+'Base personal'!$H281*'Base personal'!$J281*'Base personal'!$L281</f>
        <v>0.87097928571428573</v>
      </c>
      <c r="L281" s="91">
        <v>9</v>
      </c>
      <c r="M281" s="7">
        <f t="shared" si="11"/>
        <v>44.166666666666664</v>
      </c>
      <c r="N281" s="94">
        <f>M281/VLOOKUP(B281&amp;C281,base!$C$2:$E$27,3,0)</f>
        <v>0.63095238095238093</v>
      </c>
    </row>
    <row r="282" spans="1:14" x14ac:dyDescent="0.25">
      <c r="A282" s="92">
        <v>44181</v>
      </c>
      <c r="B282" s="91" t="s">
        <v>33</v>
      </c>
      <c r="C282" s="91" t="s">
        <v>47</v>
      </c>
      <c r="D282" s="91" t="s">
        <v>248</v>
      </c>
      <c r="E282" s="91" t="s">
        <v>77</v>
      </c>
      <c r="F282" t="s">
        <v>13</v>
      </c>
      <c r="G282" s="91">
        <f>3341/4</f>
        <v>835.25</v>
      </c>
      <c r="H282" s="90">
        <f>+'Base personal'!$G282/'Base personal'!$L282</f>
        <v>75.931818181818187</v>
      </c>
      <c r="I282" s="108">
        <f>VLOOKUP(B282&amp;C282,base!$C$2:$E$27,3,0)</f>
        <v>70</v>
      </c>
      <c r="J282" s="108">
        <f>VLOOKUP(B282&amp;C282,base!$C$2:$F$27,4,0)</f>
        <v>2.1911428571428572E-3</v>
      </c>
      <c r="K282">
        <f>+'Base personal'!$H282*'Base personal'!$J282*'Base personal'!$L282</f>
        <v>1.8301520714285717</v>
      </c>
      <c r="L282" s="91">
        <v>11</v>
      </c>
      <c r="M282" s="7">
        <f t="shared" si="11"/>
        <v>75.931818181818187</v>
      </c>
      <c r="N282" s="94">
        <f>M282/VLOOKUP(B282&amp;C282,base!$C$2:$E$27,3,0)</f>
        <v>1.0847402597402598</v>
      </c>
    </row>
    <row r="283" spans="1:14" x14ac:dyDescent="0.25">
      <c r="A283" s="92">
        <v>44181</v>
      </c>
      <c r="B283" s="91" t="s">
        <v>33</v>
      </c>
      <c r="C283" s="91" t="s">
        <v>47</v>
      </c>
      <c r="D283" s="91" t="s">
        <v>248</v>
      </c>
      <c r="E283" s="91" t="s">
        <v>43</v>
      </c>
      <c r="F283" t="s">
        <v>13</v>
      </c>
      <c r="G283" s="91">
        <f>3341/4</f>
        <v>835.25</v>
      </c>
      <c r="H283" s="90">
        <f>+'Base personal'!$G283/'Base personal'!$L283</f>
        <v>75.931818181818187</v>
      </c>
      <c r="I283" s="108">
        <f>VLOOKUP(B283&amp;C283,base!$C$2:$E$27,3,0)</f>
        <v>70</v>
      </c>
      <c r="J283" s="108">
        <f>VLOOKUP(B283&amp;C283,base!$C$2:$F$27,4,0)</f>
        <v>2.1911428571428572E-3</v>
      </c>
      <c r="K283">
        <f>+'Base personal'!$H283*'Base personal'!$J283*'Base personal'!$L283</f>
        <v>1.8301520714285717</v>
      </c>
      <c r="L283" s="91">
        <v>11</v>
      </c>
      <c r="M283" s="7">
        <f t="shared" si="11"/>
        <v>75.931818181818187</v>
      </c>
      <c r="N283" s="94">
        <f>M283/VLOOKUP(B283&amp;C283,base!$C$2:$E$27,3,0)</f>
        <v>1.0847402597402598</v>
      </c>
    </row>
    <row r="284" spans="1:14" x14ac:dyDescent="0.25">
      <c r="A284" s="92">
        <v>44181</v>
      </c>
      <c r="B284" s="91" t="s">
        <v>33</v>
      </c>
      <c r="C284" s="91" t="s">
        <v>47</v>
      </c>
      <c r="D284" s="91" t="s">
        <v>248</v>
      </c>
      <c r="E284" s="91" t="s">
        <v>97</v>
      </c>
      <c r="F284" t="s">
        <v>13</v>
      </c>
      <c r="G284" s="91">
        <f>3341/4</f>
        <v>835.25</v>
      </c>
      <c r="H284" s="90">
        <f>+'Base personal'!$G284/'Base personal'!$L284</f>
        <v>75.931818181818187</v>
      </c>
      <c r="I284" s="108">
        <f>VLOOKUP(B284&amp;C284,base!$C$2:$E$27,3,0)</f>
        <v>70</v>
      </c>
      <c r="J284" s="108">
        <f>VLOOKUP(B284&amp;C284,base!$C$2:$F$27,4,0)</f>
        <v>2.1911428571428572E-3</v>
      </c>
      <c r="K284">
        <f>+'Base personal'!$H284*'Base personal'!$J284*'Base personal'!$L284</f>
        <v>1.8301520714285717</v>
      </c>
      <c r="L284" s="91">
        <v>11</v>
      </c>
      <c r="M284" s="7">
        <f t="shared" ref="M284:M306" si="13">G284/L284</f>
        <v>75.931818181818187</v>
      </c>
      <c r="N284" s="94">
        <f>M284/VLOOKUP(B284&amp;C284,base!$C$2:$E$27,3,0)</f>
        <v>1.0847402597402598</v>
      </c>
    </row>
    <row r="285" spans="1:14" x14ac:dyDescent="0.25">
      <c r="A285" s="92">
        <v>44181</v>
      </c>
      <c r="B285" s="91" t="s">
        <v>33</v>
      </c>
      <c r="C285" s="91" t="s">
        <v>47</v>
      </c>
      <c r="D285" s="91" t="s">
        <v>248</v>
      </c>
      <c r="E285" s="91" t="s">
        <v>102</v>
      </c>
      <c r="F285" t="s">
        <v>13</v>
      </c>
      <c r="G285" s="91">
        <f>3341/4</f>
        <v>835.25</v>
      </c>
      <c r="H285" s="90">
        <f>+'Base personal'!$G285/'Base personal'!$L285</f>
        <v>75.931818181818187</v>
      </c>
      <c r="I285" s="108">
        <f>VLOOKUP(B285&amp;C285,base!$C$2:$E$27,3,0)</f>
        <v>70</v>
      </c>
      <c r="J285" s="108">
        <f>VLOOKUP(B285&amp;C285,base!$C$2:$F$27,4,0)</f>
        <v>2.1911428571428572E-3</v>
      </c>
      <c r="K285">
        <f>+'Base personal'!$H285*'Base personal'!$J285*'Base personal'!$L285</f>
        <v>1.8301520714285717</v>
      </c>
      <c r="L285" s="91">
        <v>11</v>
      </c>
      <c r="M285" s="7">
        <f t="shared" si="13"/>
        <v>75.931818181818187</v>
      </c>
      <c r="N285" s="94">
        <f>M285/VLOOKUP(B285&amp;C285,base!$C$2:$E$27,3,0)</f>
        <v>1.0847402597402598</v>
      </c>
    </row>
    <row r="286" spans="1:14" x14ac:dyDescent="0.25">
      <c r="A286" s="92">
        <v>44182</v>
      </c>
      <c r="B286" s="91" t="s">
        <v>113</v>
      </c>
      <c r="C286" s="91" t="s">
        <v>71</v>
      </c>
      <c r="D286" s="91">
        <v>207</v>
      </c>
      <c r="E286" s="91" t="s">
        <v>96</v>
      </c>
      <c r="F286" t="s">
        <v>13</v>
      </c>
      <c r="G286" s="91">
        <f>89+52+96+51+36+81</f>
        <v>405</v>
      </c>
      <c r="H286" s="90">
        <f>+'Base personal'!$G286/'Base personal'!$L286</f>
        <v>40.5</v>
      </c>
      <c r="I286" s="108">
        <f>VLOOKUP(B286&amp;C286,base!$C$2:$E$27,3,0)</f>
        <v>45</v>
      </c>
      <c r="J286" s="108">
        <f>VLOOKUP(B286&amp;C286,base!$C$2:$F$27,4,0)</f>
        <v>1.1361111111111112E-2</v>
      </c>
      <c r="K286">
        <f>+'Base personal'!$H286*'Base personal'!$J286*'Base personal'!$L286</f>
        <v>4.6012500000000003</v>
      </c>
      <c r="L286" s="91">
        <v>10</v>
      </c>
      <c r="M286" s="7">
        <f t="shared" si="13"/>
        <v>40.5</v>
      </c>
      <c r="N286" s="94">
        <f>M286/VLOOKUP(B286&amp;C286,base!$C$2:$E$27,3,0)</f>
        <v>0.9</v>
      </c>
    </row>
    <row r="287" spans="1:14" s="91" customFormat="1" x14ac:dyDescent="0.25">
      <c r="A287" s="92">
        <v>44182</v>
      </c>
      <c r="B287" s="91" t="s">
        <v>111</v>
      </c>
      <c r="C287" s="91" t="s">
        <v>62</v>
      </c>
      <c r="D287" s="91">
        <v>794</v>
      </c>
      <c r="E287" s="91" t="s">
        <v>64</v>
      </c>
      <c r="F287" s="91" t="s">
        <v>13</v>
      </c>
      <c r="G287" s="98">
        <f>1577/2</f>
        <v>788.5</v>
      </c>
      <c r="H287" s="90">
        <f>+'Base personal'!$G287/'Base personal'!$L287</f>
        <v>78.849999999999994</v>
      </c>
      <c r="I287" s="108">
        <f>VLOOKUP(B287&amp;C287,base!$C$2:$E$27,3,0)</f>
        <v>92</v>
      </c>
      <c r="J287" s="108">
        <f>VLOOKUP(B287&amp;C287,base!$C$2:$F$27,4,0)</f>
        <v>5.5570652173913045E-3</v>
      </c>
      <c r="K287" s="91">
        <f>+'Base personal'!$H287*'Base personal'!$J287*'Base personal'!$L287</f>
        <v>4.3817459239130434</v>
      </c>
      <c r="L287" s="91">
        <v>10</v>
      </c>
      <c r="M287" s="93">
        <f t="shared" si="13"/>
        <v>78.849999999999994</v>
      </c>
      <c r="N287" s="94"/>
    </row>
    <row r="288" spans="1:14" s="91" customFormat="1" x14ac:dyDescent="0.25">
      <c r="A288" s="92">
        <v>44182</v>
      </c>
      <c r="B288" s="91" t="s">
        <v>111</v>
      </c>
      <c r="C288" s="91" t="s">
        <v>62</v>
      </c>
      <c r="D288" s="91">
        <v>794</v>
      </c>
      <c r="E288" s="91" t="s">
        <v>63</v>
      </c>
      <c r="F288" s="91" t="s">
        <v>13</v>
      </c>
      <c r="G288" s="98">
        <f>1577/2</f>
        <v>788.5</v>
      </c>
      <c r="H288" s="90">
        <f>+'Base personal'!$G288/'Base personal'!$L288</f>
        <v>78.849999999999994</v>
      </c>
      <c r="I288" s="108">
        <f>VLOOKUP(B288&amp;C288,base!$C$2:$E$27,3,0)</f>
        <v>92</v>
      </c>
      <c r="J288" s="108">
        <f>VLOOKUP(B288&amp;C288,base!$C$2:$F$27,4,0)</f>
        <v>5.5570652173913045E-3</v>
      </c>
      <c r="K288" s="91">
        <f>+'Base personal'!$H288*'Base personal'!$J288*'Base personal'!$L288</f>
        <v>4.3817459239130434</v>
      </c>
      <c r="L288" s="91">
        <v>10</v>
      </c>
      <c r="M288" s="93">
        <f t="shared" si="13"/>
        <v>78.849999999999994</v>
      </c>
      <c r="N288" s="94"/>
    </row>
    <row r="289" spans="1:14" x14ac:dyDescent="0.25">
      <c r="A289" s="92">
        <v>44182</v>
      </c>
      <c r="B289" s="91" t="s">
        <v>29</v>
      </c>
      <c r="C289" s="91" t="s">
        <v>85</v>
      </c>
      <c r="D289" s="91">
        <v>161</v>
      </c>
      <c r="E289" s="91" t="s">
        <v>56</v>
      </c>
      <c r="F289" t="s">
        <v>13</v>
      </c>
      <c r="G289" s="91">
        <v>263</v>
      </c>
      <c r="H289" s="90">
        <f>+'Base personal'!$G289/'Base personal'!$L289</f>
        <v>65.75</v>
      </c>
      <c r="I289" s="108">
        <f>VLOOKUP(B289&amp;C289,base!$C$2:$E$27,3,0)</f>
        <v>90</v>
      </c>
      <c r="J289" s="108">
        <f>VLOOKUP(B289&amp;C289,base!$C$2:$F$27,4,0)</f>
        <v>8.5211111111111112E-3</v>
      </c>
      <c r="K289">
        <f>+'Base personal'!$H289*'Base personal'!$J289*'Base personal'!$L289</f>
        <v>2.2410522222222222</v>
      </c>
      <c r="L289" s="91">
        <v>4</v>
      </c>
      <c r="M289" s="7">
        <f t="shared" si="13"/>
        <v>65.75</v>
      </c>
      <c r="N289" s="94">
        <f>M289/VLOOKUP(B289&amp;C289,base!$C$2:$E$27,3,0)</f>
        <v>0.73055555555555551</v>
      </c>
    </row>
    <row r="290" spans="1:14" x14ac:dyDescent="0.25">
      <c r="A290" s="92">
        <v>44182</v>
      </c>
      <c r="B290" s="91" t="s">
        <v>29</v>
      </c>
      <c r="C290" s="91" t="s">
        <v>86</v>
      </c>
      <c r="D290" s="91">
        <v>159</v>
      </c>
      <c r="E290" s="91" t="s">
        <v>56</v>
      </c>
      <c r="F290" t="s">
        <v>13</v>
      </c>
      <c r="G290" s="91">
        <v>191</v>
      </c>
      <c r="H290" s="90">
        <f>+'Base personal'!$G290/'Base personal'!$L290</f>
        <v>63.666666666666664</v>
      </c>
      <c r="I290" s="108">
        <f>VLOOKUP(B290&amp;C290,base!$C$2:$E$27,3,0)</f>
        <v>75</v>
      </c>
      <c r="J290" s="108">
        <f>VLOOKUP(B290&amp;C290,base!$C$2:$F$27,4,0)</f>
        <v>1.0225333333333333E-2</v>
      </c>
      <c r="K290">
        <f>+'Base personal'!$H290*'Base personal'!$J290*'Base personal'!$L290</f>
        <v>1.9530386666666666</v>
      </c>
      <c r="L290" s="91">
        <v>3</v>
      </c>
      <c r="M290" s="7">
        <f t="shared" si="13"/>
        <v>63.666666666666664</v>
      </c>
      <c r="N290" s="94">
        <f>M290/VLOOKUP(B290&amp;C290,base!$C$2:$E$27,3,0)</f>
        <v>0.8488888888888888</v>
      </c>
    </row>
    <row r="291" spans="1:14" x14ac:dyDescent="0.25">
      <c r="A291" s="92">
        <v>44182</v>
      </c>
      <c r="B291" s="91" t="s">
        <v>33</v>
      </c>
      <c r="C291" s="91" t="s">
        <v>47</v>
      </c>
      <c r="D291" s="91" t="s">
        <v>288</v>
      </c>
      <c r="E291" s="91" t="s">
        <v>194</v>
      </c>
      <c r="F291" s="91" t="s">
        <v>13</v>
      </c>
      <c r="G291" s="91">
        <v>527.25</v>
      </c>
      <c r="H291" s="90">
        <f>+'Base personal'!$G291/'Base personal'!$L291</f>
        <v>65.90625</v>
      </c>
      <c r="I291" s="108">
        <f>VLOOKUP(B291&amp;C291,base!$C$2:$E$27,3,0)</f>
        <v>70</v>
      </c>
      <c r="J291" s="108">
        <f>VLOOKUP(B291&amp;C291,base!$C$2:$F$27,4,0)</f>
        <v>2.1911428571428572E-3</v>
      </c>
      <c r="K291">
        <f>+'Base personal'!$H291*'Base personal'!$J291*'Base personal'!$L291</f>
        <v>1.1552800714285714</v>
      </c>
      <c r="L291" s="91">
        <v>8</v>
      </c>
      <c r="M291" s="7">
        <f t="shared" si="13"/>
        <v>65.90625</v>
      </c>
      <c r="N291" s="94">
        <f>M291/VLOOKUP(B291&amp;C291,base!$C$2:$E$27,3,0)</f>
        <v>0.94151785714285718</v>
      </c>
    </row>
    <row r="292" spans="1:14" x14ac:dyDescent="0.25">
      <c r="A292" s="92">
        <v>44182</v>
      </c>
      <c r="B292" s="91" t="s">
        <v>33</v>
      </c>
      <c r="C292" s="91" t="s">
        <v>47</v>
      </c>
      <c r="D292" s="91" t="s">
        <v>288</v>
      </c>
      <c r="E292" s="91" t="s">
        <v>69</v>
      </c>
      <c r="F292" t="s">
        <v>13</v>
      </c>
      <c r="G292" s="91">
        <f>1209/4</f>
        <v>302.25</v>
      </c>
      <c r="H292" s="90">
        <f>+'Base personal'!$G292/'Base personal'!$L292</f>
        <v>37.78125</v>
      </c>
      <c r="I292" s="108">
        <f>VLOOKUP(B292&amp;C292,base!$C$2:$E$27,3,0)</f>
        <v>70</v>
      </c>
      <c r="J292" s="108">
        <f>VLOOKUP(B292&amp;C292,base!$C$2:$F$27,4,0)</f>
        <v>2.1911428571428572E-3</v>
      </c>
      <c r="K292">
        <f>+'Base personal'!$H292*'Base personal'!$J292*'Base personal'!$L292</f>
        <v>0.66227292857142861</v>
      </c>
      <c r="L292" s="91">
        <v>8</v>
      </c>
      <c r="M292" s="7">
        <f t="shared" si="13"/>
        <v>37.78125</v>
      </c>
      <c r="N292" s="94">
        <f>M292/VLOOKUP(B292&amp;C292,base!$C$2:$E$27,3,0)</f>
        <v>0.53973214285714288</v>
      </c>
    </row>
    <row r="293" spans="1:14" x14ac:dyDescent="0.25">
      <c r="A293" s="92">
        <v>44182</v>
      </c>
      <c r="B293" s="91" t="s">
        <v>33</v>
      </c>
      <c r="C293" s="91" t="s">
        <v>47</v>
      </c>
      <c r="D293" s="91" t="s">
        <v>288</v>
      </c>
      <c r="E293" s="91" t="s">
        <v>57</v>
      </c>
      <c r="F293" t="s">
        <v>13</v>
      </c>
      <c r="G293" s="91">
        <f>1209/4</f>
        <v>302.25</v>
      </c>
      <c r="H293" s="90">
        <f>+'Base personal'!$G293/'Base personal'!$L293</f>
        <v>37.78125</v>
      </c>
      <c r="I293" s="108">
        <f>VLOOKUP(B293&amp;C293,base!$C$2:$E$27,3,0)</f>
        <v>70</v>
      </c>
      <c r="J293" s="108">
        <f>VLOOKUP(B293&amp;C293,base!$C$2:$F$27,4,0)</f>
        <v>2.1911428571428572E-3</v>
      </c>
      <c r="K293">
        <f>+'Base personal'!$H293*'Base personal'!$J293*'Base personal'!$L293</f>
        <v>0.66227292857142861</v>
      </c>
      <c r="L293" s="91">
        <v>8</v>
      </c>
      <c r="M293" s="7">
        <f t="shared" si="13"/>
        <v>37.78125</v>
      </c>
      <c r="N293" s="94">
        <f>M293/VLOOKUP(B293&amp;C293,base!$C$2:$E$27,3,0)</f>
        <v>0.53973214285714288</v>
      </c>
    </row>
    <row r="294" spans="1:14" x14ac:dyDescent="0.25">
      <c r="A294" s="92">
        <v>44182</v>
      </c>
      <c r="B294" s="91" t="s">
        <v>33</v>
      </c>
      <c r="C294" s="91" t="s">
        <v>47</v>
      </c>
      <c r="D294" s="91" t="s">
        <v>288</v>
      </c>
      <c r="E294" s="91" t="s">
        <v>44</v>
      </c>
      <c r="F294" t="s">
        <v>13</v>
      </c>
      <c r="G294" s="91">
        <f>1209/4</f>
        <v>302.25</v>
      </c>
      <c r="H294" s="90">
        <f>+'Base personal'!$G294/'Base personal'!$L294</f>
        <v>37.78125</v>
      </c>
      <c r="I294" s="108">
        <f>VLOOKUP(B294&amp;C294,base!$C$2:$E$27,3,0)</f>
        <v>70</v>
      </c>
      <c r="J294" s="108">
        <f>VLOOKUP(B294&amp;C294,base!$C$2:$F$27,4,0)</f>
        <v>2.1911428571428572E-3</v>
      </c>
      <c r="K294">
        <f>+'Base personal'!$H294*'Base personal'!$J294*'Base personal'!$L294</f>
        <v>0.66227292857142861</v>
      </c>
      <c r="L294" s="91">
        <v>8</v>
      </c>
      <c r="M294" s="7">
        <f t="shared" si="13"/>
        <v>37.78125</v>
      </c>
      <c r="N294" s="94">
        <f>M294/VLOOKUP(B294&amp;C294,base!$C$2:$E$27,3,0)</f>
        <v>0.53973214285714288</v>
      </c>
    </row>
    <row r="295" spans="1:14" x14ac:dyDescent="0.25">
      <c r="A295" s="92">
        <v>44182</v>
      </c>
      <c r="B295" s="91" t="s">
        <v>115</v>
      </c>
      <c r="C295" s="91"/>
      <c r="D295" s="91"/>
      <c r="E295" s="91" t="s">
        <v>194</v>
      </c>
      <c r="F295" t="s">
        <v>13</v>
      </c>
      <c r="G295" s="91"/>
      <c r="H295" s="90">
        <v>1</v>
      </c>
      <c r="I295" s="108">
        <v>1</v>
      </c>
      <c r="J295" s="75">
        <v>0.3483</v>
      </c>
      <c r="K295">
        <f>+'Base personal'!$H295*'Base personal'!$J295*'Base personal'!$L295</f>
        <v>0.6966</v>
      </c>
      <c r="L295" s="91">
        <v>2</v>
      </c>
      <c r="M295" s="93">
        <f t="shared" si="13"/>
        <v>0</v>
      </c>
      <c r="N295" s="94" t="e">
        <f>M295/VLOOKUP(B295&amp;C295,base!$C$2:$E$27,3,0)</f>
        <v>#N/A</v>
      </c>
    </row>
    <row r="296" spans="1:14" s="91" customFormat="1" x14ac:dyDescent="0.25">
      <c r="A296" s="92">
        <v>44182</v>
      </c>
      <c r="B296" s="91" t="s">
        <v>115</v>
      </c>
      <c r="E296" s="91" t="s">
        <v>69</v>
      </c>
      <c r="F296" s="91" t="s">
        <v>13</v>
      </c>
      <c r="H296" s="90">
        <v>1</v>
      </c>
      <c r="I296" s="108">
        <v>1</v>
      </c>
      <c r="J296" s="75">
        <v>0.3483</v>
      </c>
      <c r="K296" s="91">
        <f>+'Base personal'!$H296*'Base personal'!$J296*'Base personal'!$L296</f>
        <v>0.6966</v>
      </c>
      <c r="L296" s="91">
        <v>2</v>
      </c>
      <c r="M296" s="93">
        <f t="shared" si="13"/>
        <v>0</v>
      </c>
      <c r="N296" s="94" t="e">
        <f>M296/VLOOKUP(B296&amp;C296,base!$C$2:$E$27,3,0)</f>
        <v>#N/A</v>
      </c>
    </row>
    <row r="297" spans="1:14" x14ac:dyDescent="0.25">
      <c r="A297" s="92">
        <v>44182</v>
      </c>
      <c r="B297" s="91" t="s">
        <v>115</v>
      </c>
      <c r="C297" s="91"/>
      <c r="D297" s="91"/>
      <c r="E297" s="91" t="s">
        <v>57</v>
      </c>
      <c r="F297" t="s">
        <v>13</v>
      </c>
      <c r="G297" s="91"/>
      <c r="H297" s="90">
        <v>1</v>
      </c>
      <c r="I297" s="108">
        <v>1</v>
      </c>
      <c r="J297" s="75">
        <v>0.3483</v>
      </c>
      <c r="K297" s="91">
        <f>+'Base personal'!$H297*'Base personal'!$J297*'Base personal'!$L297</f>
        <v>0.6966</v>
      </c>
      <c r="L297" s="91">
        <v>2</v>
      </c>
      <c r="M297" s="93">
        <f t="shared" si="13"/>
        <v>0</v>
      </c>
      <c r="N297" s="94" t="e">
        <f>M297/VLOOKUP(B297&amp;C297,base!$C$2:$E$27,3,0)</f>
        <v>#N/A</v>
      </c>
    </row>
    <row r="298" spans="1:14" s="91" customFormat="1" x14ac:dyDescent="0.25">
      <c r="A298" s="92">
        <v>44182</v>
      </c>
      <c r="B298" s="91" t="s">
        <v>115</v>
      </c>
      <c r="E298" s="91" t="s">
        <v>44</v>
      </c>
      <c r="F298" s="91" t="s">
        <v>13</v>
      </c>
      <c r="H298" s="90">
        <v>1</v>
      </c>
      <c r="I298" s="108">
        <v>1</v>
      </c>
      <c r="J298" s="75">
        <v>0.3483</v>
      </c>
      <c r="K298" s="91">
        <f>+'Base personal'!$H298*'Base personal'!$J298*'Base personal'!$L298</f>
        <v>0.6966</v>
      </c>
      <c r="L298" s="91">
        <v>2</v>
      </c>
      <c r="M298" s="93">
        <f t="shared" si="13"/>
        <v>0</v>
      </c>
      <c r="N298" s="94" t="e">
        <f>M298/VLOOKUP(B298&amp;C298,base!$C$2:$E$27,3,0)</f>
        <v>#N/A</v>
      </c>
    </row>
    <row r="299" spans="1:14" s="91" customFormat="1" x14ac:dyDescent="0.25">
      <c r="A299" s="92">
        <v>44183</v>
      </c>
      <c r="B299" s="91" t="s">
        <v>33</v>
      </c>
      <c r="C299" s="91" t="s">
        <v>45</v>
      </c>
      <c r="D299" s="91" t="s">
        <v>249</v>
      </c>
      <c r="E299" s="91" t="s">
        <v>75</v>
      </c>
      <c r="F299" s="91" t="s">
        <v>13</v>
      </c>
      <c r="G299" s="91">
        <f>876+826+678+848+808+910+808+813+405</f>
        <v>6972</v>
      </c>
      <c r="H299" s="90">
        <f>+'Base personal'!$G299/'Base personal'!$L299</f>
        <v>633.81818181818187</v>
      </c>
      <c r="I299" s="108">
        <f>VLOOKUP(B299&amp;C299,base!$C$2:$E$27,3,0)</f>
        <v>700</v>
      </c>
      <c r="J299" s="108">
        <f>VLOOKUP(B299&amp;C299,base!$C$2:$F$27,4,0)</f>
        <v>1.0955714285714286E-3</v>
      </c>
      <c r="K299" s="91">
        <f>+'Base personal'!$H299*'Base personal'!$J299*'Base personal'!$L299</f>
        <v>7.6383240000000008</v>
      </c>
      <c r="L299" s="91">
        <v>11</v>
      </c>
      <c r="M299" s="93"/>
      <c r="N299" s="94"/>
    </row>
    <row r="300" spans="1:14" s="91" customFormat="1" x14ac:dyDescent="0.25">
      <c r="A300" s="92">
        <v>44184</v>
      </c>
      <c r="B300" s="91" t="s">
        <v>33</v>
      </c>
      <c r="C300" s="91" t="s">
        <v>45</v>
      </c>
      <c r="D300" s="91" t="s">
        <v>250</v>
      </c>
      <c r="E300" s="91" t="s">
        <v>97</v>
      </c>
      <c r="F300" s="91" t="s">
        <v>13</v>
      </c>
      <c r="G300" s="91">
        <f>775+799+740+465</f>
        <v>2779</v>
      </c>
      <c r="H300" s="90">
        <f>+'Base personal'!$G300/'Base personal'!$L300</f>
        <v>555.79999999999995</v>
      </c>
      <c r="I300" s="108">
        <f>VLOOKUP(B300&amp;C300,base!$C$2:$E$27,3,0)</f>
        <v>700</v>
      </c>
      <c r="J300" s="108">
        <f>VLOOKUP(B300&amp;C300,base!$C$2:$F$27,4,0)</f>
        <v>1.0955714285714286E-3</v>
      </c>
      <c r="K300" s="91">
        <f>+'Base personal'!$H300*'Base personal'!$J300*'Base personal'!$L300</f>
        <v>3.0445929999999999</v>
      </c>
      <c r="L300" s="91">
        <v>5</v>
      </c>
      <c r="M300" s="93"/>
      <c r="N300" s="94"/>
    </row>
    <row r="301" spans="1:14" s="91" customFormat="1" x14ac:dyDescent="0.25">
      <c r="A301" s="92">
        <v>44184</v>
      </c>
      <c r="B301" s="91" t="s">
        <v>33</v>
      </c>
      <c r="C301" s="91" t="s">
        <v>47</v>
      </c>
      <c r="D301" s="91">
        <v>1288</v>
      </c>
      <c r="E301" s="91" t="s">
        <v>97</v>
      </c>
      <c r="F301" s="91" t="s">
        <v>13</v>
      </c>
      <c r="G301" s="91">
        <v>306</v>
      </c>
      <c r="H301" s="90">
        <f>+'Base personal'!$G301/'Base personal'!$L301</f>
        <v>153</v>
      </c>
      <c r="I301" s="108">
        <f>VLOOKUP(B301&amp;C301,base!$C$2:$E$27,3,0)</f>
        <v>70</v>
      </c>
      <c r="J301" s="108">
        <f>VLOOKUP(B301&amp;C301,base!$C$2:$F$27,4,0)</f>
        <v>2.1911428571428572E-3</v>
      </c>
      <c r="K301" s="91">
        <f>+'Base personal'!$H301*'Base personal'!$J301*'Base personal'!$L301</f>
        <v>0.67048971428571436</v>
      </c>
      <c r="L301" s="91">
        <v>2</v>
      </c>
      <c r="M301" s="93">
        <f t="shared" si="13"/>
        <v>153</v>
      </c>
      <c r="N301" s="94">
        <f>M301/VLOOKUP(B301&amp;C301,base!$C$2:$E$27,3,0)</f>
        <v>2.1857142857142855</v>
      </c>
    </row>
    <row r="302" spans="1:14" s="91" customFormat="1" x14ac:dyDescent="0.25">
      <c r="A302" s="92">
        <v>44184</v>
      </c>
      <c r="B302" s="91" t="s">
        <v>115</v>
      </c>
      <c r="E302" s="91" t="s">
        <v>97</v>
      </c>
      <c r="F302" s="91" t="s">
        <v>13</v>
      </c>
      <c r="H302" s="90">
        <v>1</v>
      </c>
      <c r="I302" s="108">
        <v>1</v>
      </c>
      <c r="J302" s="75">
        <v>0.3483</v>
      </c>
      <c r="K302" s="91">
        <f>+'Base personal'!$H302*'Base personal'!$J302*'Base personal'!$L302</f>
        <v>1.0448999999999999</v>
      </c>
      <c r="L302" s="91">
        <v>3</v>
      </c>
      <c r="M302" s="93">
        <f>G302/L302</f>
        <v>0</v>
      </c>
      <c r="N302" s="94" t="e">
        <f>M302/VLOOKUP(B302&amp;C302,base!$C$2:$E$27,3,0)</f>
        <v>#N/A</v>
      </c>
    </row>
    <row r="303" spans="1:14" x14ac:dyDescent="0.25">
      <c r="A303" s="92">
        <v>44184</v>
      </c>
      <c r="B303" s="91" t="s">
        <v>33</v>
      </c>
      <c r="C303" s="91" t="s">
        <v>45</v>
      </c>
      <c r="D303" s="91" t="s">
        <v>251</v>
      </c>
      <c r="E303" s="91" t="s">
        <v>75</v>
      </c>
      <c r="F303" t="s">
        <v>13</v>
      </c>
      <c r="G303" s="91">
        <f>2046/2</f>
        <v>1023</v>
      </c>
      <c r="H303" s="90">
        <f>+'Base personal'!$G303/'Base personal'!$L303</f>
        <v>93</v>
      </c>
      <c r="I303" s="108">
        <f>VLOOKUP(B303&amp;C303,base!$C$2:$E$27,3,0)</f>
        <v>700</v>
      </c>
      <c r="J303" s="108">
        <f>VLOOKUP(B303&amp;C303,base!$C$2:$F$27,4,0)</f>
        <v>1.0955714285714286E-3</v>
      </c>
      <c r="K303">
        <f>+'Base personal'!$H303*'Base personal'!$J303*'Base personal'!$L303</f>
        <v>1.1207695714285715</v>
      </c>
      <c r="L303" s="91">
        <v>11</v>
      </c>
      <c r="M303" s="7">
        <f t="shared" si="13"/>
        <v>93</v>
      </c>
      <c r="N303" s="94">
        <f>M303/VLOOKUP(B303&amp;C303,base!$C$2:$E$27,3,0)</f>
        <v>0.13285714285714287</v>
      </c>
    </row>
    <row r="304" spans="1:14" x14ac:dyDescent="0.25">
      <c r="A304" s="92">
        <v>44184</v>
      </c>
      <c r="B304" s="91" t="s">
        <v>33</v>
      </c>
      <c r="C304" s="91" t="s">
        <v>45</v>
      </c>
      <c r="D304" s="91" t="s">
        <v>251</v>
      </c>
      <c r="E304" s="91" t="s">
        <v>44</v>
      </c>
      <c r="F304" s="91" t="s">
        <v>13</v>
      </c>
      <c r="G304" s="91">
        <f>2046/2</f>
        <v>1023</v>
      </c>
      <c r="H304" s="90">
        <f>+'Base personal'!$G304/'Base personal'!$L304</f>
        <v>93</v>
      </c>
      <c r="I304" s="108">
        <f>VLOOKUP(B304&amp;C304,base!$C$2:$E$27,3,0)</f>
        <v>700</v>
      </c>
      <c r="J304" s="108">
        <f>VLOOKUP(B304&amp;C304,base!$C$2:$F$27,4,0)</f>
        <v>1.0955714285714286E-3</v>
      </c>
      <c r="K304" s="91">
        <f>+'Base personal'!$H304*'Base personal'!$J304*'Base personal'!$L304</f>
        <v>1.1207695714285715</v>
      </c>
      <c r="L304" s="91">
        <v>11</v>
      </c>
      <c r="M304" s="7">
        <f t="shared" si="13"/>
        <v>93</v>
      </c>
      <c r="N304" s="94">
        <f>M304/VLOOKUP(B304&amp;C304,base!$C$2:$E$27,3,0)</f>
        <v>0.13285714285714287</v>
      </c>
    </row>
    <row r="305" spans="1:15" x14ac:dyDescent="0.25">
      <c r="A305" s="92">
        <v>44186</v>
      </c>
      <c r="B305" s="91" t="s">
        <v>33</v>
      </c>
      <c r="C305" s="91" t="s">
        <v>45</v>
      </c>
      <c r="D305" s="91" t="s">
        <v>252</v>
      </c>
      <c r="E305" s="91" t="s">
        <v>75</v>
      </c>
      <c r="F305" s="91" t="s">
        <v>13</v>
      </c>
      <c r="G305" s="91">
        <f>5379/2</f>
        <v>2689.5</v>
      </c>
      <c r="H305" s="90">
        <f>+'Base personal'!$G305/'Base personal'!$L305</f>
        <v>268.95</v>
      </c>
      <c r="I305" s="108">
        <f>VLOOKUP(B305&amp;C305,base!$C$2:$E$27,3,0)</f>
        <v>700</v>
      </c>
      <c r="J305" s="108">
        <f>VLOOKUP(B305&amp;C305,base!$C$2:$F$27,4,0)</f>
        <v>1.0955714285714286E-3</v>
      </c>
      <c r="K305" s="91">
        <f>+'Base personal'!$H305*'Base personal'!$J305*'Base personal'!$L305</f>
        <v>2.9465393571428571</v>
      </c>
      <c r="L305" s="91">
        <v>10</v>
      </c>
      <c r="M305" s="7">
        <f t="shared" si="13"/>
        <v>268.95</v>
      </c>
      <c r="N305" s="94">
        <f>M305/VLOOKUP(B305&amp;C305,base!$C$2:$E$27,3,0)</f>
        <v>0.38421428571428567</v>
      </c>
    </row>
    <row r="306" spans="1:15" x14ac:dyDescent="0.25">
      <c r="A306" s="92">
        <v>44186</v>
      </c>
      <c r="B306" s="91" t="s">
        <v>33</v>
      </c>
      <c r="C306" s="91" t="s">
        <v>45</v>
      </c>
      <c r="D306" s="91" t="s">
        <v>252</v>
      </c>
      <c r="E306" s="91" t="s">
        <v>63</v>
      </c>
      <c r="F306" s="91" t="s">
        <v>13</v>
      </c>
      <c r="G306" s="91">
        <f>5379/2</f>
        <v>2689.5</v>
      </c>
      <c r="H306" s="90">
        <f>+'Base personal'!$G306/'Base personal'!$L306</f>
        <v>268.95</v>
      </c>
      <c r="I306" s="108">
        <f>VLOOKUP(B306&amp;C306,base!$C$2:$E$27,3,0)</f>
        <v>700</v>
      </c>
      <c r="J306" s="108">
        <f>VLOOKUP(B306&amp;C306,base!$C$2:$F$27,4,0)</f>
        <v>1.0955714285714286E-3</v>
      </c>
      <c r="K306" s="91">
        <f>+'Base personal'!$H306*'Base personal'!$J306*'Base personal'!$L306</f>
        <v>2.9465393571428571</v>
      </c>
      <c r="L306" s="91">
        <v>10</v>
      </c>
      <c r="M306" s="7">
        <f t="shared" si="13"/>
        <v>268.95</v>
      </c>
      <c r="N306" s="94">
        <f>M306/VLOOKUP(B306&amp;C306,base!$C$2:$E$27,3,0)</f>
        <v>0.38421428571428567</v>
      </c>
    </row>
    <row r="307" spans="1:15" x14ac:dyDescent="0.25">
      <c r="A307" s="92">
        <v>44166</v>
      </c>
      <c r="B307" s="91" t="s">
        <v>34</v>
      </c>
      <c r="C307" s="91" t="s">
        <v>45</v>
      </c>
      <c r="D307" s="91">
        <v>908</v>
      </c>
      <c r="E307" s="91" t="s">
        <v>56</v>
      </c>
      <c r="F307" s="91" t="s">
        <v>13</v>
      </c>
      <c r="G307" s="91">
        <v>850</v>
      </c>
      <c r="H307" s="90">
        <f>+'Base personal'!$G307/'Base personal'!$L307</f>
        <v>283.33333333333331</v>
      </c>
      <c r="I307" s="108">
        <f>VLOOKUP(B307&amp;C307,base!$C$2:$E$27,3,0)</f>
        <v>700</v>
      </c>
      <c r="J307" s="108">
        <f>VLOOKUP(B307&amp;C307,base!$C$2:$F$27,4,0)</f>
        <v>1.0955714285714286E-3</v>
      </c>
      <c r="K307" s="91">
        <f>+'Base personal'!$H307*'Base personal'!$J307*'Base personal'!$L307</f>
        <v>0.93123571428571439</v>
      </c>
      <c r="L307" s="91">
        <v>3</v>
      </c>
      <c r="M307" s="93">
        <f t="shared" ref="M307:M468" si="14">G307/L307</f>
        <v>283.33333333333331</v>
      </c>
      <c r="N307" s="94">
        <f>M307/VLOOKUP(B307&amp;C307,base!$C$2:$E$27,3,0)</f>
        <v>0.40476190476190471</v>
      </c>
    </row>
    <row r="308" spans="1:15" x14ac:dyDescent="0.25">
      <c r="A308" s="92">
        <v>44166</v>
      </c>
      <c r="B308" s="91" t="s">
        <v>34</v>
      </c>
      <c r="C308" s="91" t="s">
        <v>45</v>
      </c>
      <c r="D308" s="91">
        <v>910</v>
      </c>
      <c r="E308" s="91" t="s">
        <v>56</v>
      </c>
      <c r="F308" s="91" t="s">
        <v>13</v>
      </c>
      <c r="G308" s="91">
        <v>825</v>
      </c>
      <c r="H308" s="90">
        <f>+'Base personal'!$G308/'Base personal'!$L308</f>
        <v>275</v>
      </c>
      <c r="I308" s="108">
        <f>VLOOKUP(B308&amp;C308,base!$C$2:$E$27,3,0)</f>
        <v>700</v>
      </c>
      <c r="J308" s="108">
        <f>VLOOKUP(B308&amp;C308,base!$C$2:$F$27,4,0)</f>
        <v>1.0955714285714286E-3</v>
      </c>
      <c r="K308" s="91">
        <f>+'Base personal'!$H308*'Base personal'!$J308*'Base personal'!$L308</f>
        <v>0.90384642857142872</v>
      </c>
      <c r="L308" s="91">
        <v>3</v>
      </c>
      <c r="M308" s="93">
        <f t="shared" si="14"/>
        <v>275</v>
      </c>
      <c r="N308" s="94">
        <f>M308/VLOOKUP(B308&amp;C308,base!$C$2:$E$27,3,0)</f>
        <v>0.39285714285714285</v>
      </c>
    </row>
    <row r="309" spans="1:15" x14ac:dyDescent="0.25">
      <c r="A309" s="92">
        <v>44167</v>
      </c>
      <c r="B309" s="91" t="s">
        <v>34</v>
      </c>
      <c r="C309" s="91" t="s">
        <v>73</v>
      </c>
      <c r="D309" s="91">
        <v>911</v>
      </c>
      <c r="E309" s="91" t="s">
        <v>194</v>
      </c>
      <c r="F309" s="91" t="s">
        <v>13</v>
      </c>
      <c r="G309" s="91">
        <v>825</v>
      </c>
      <c r="H309" s="90">
        <f>+'Base personal'!$G309/'Base personal'!$L309</f>
        <v>412.5</v>
      </c>
      <c r="I309" s="108">
        <f>VLOOKUP(B309&amp;C309,base!$C$2:$E$27,3,0)</f>
        <v>400</v>
      </c>
      <c r="J309" s="108">
        <f>VLOOKUP(B309&amp;C309,base!$C$2:$F$27,4,0)</f>
        <v>1.9172499999999999E-3</v>
      </c>
      <c r="K309" s="91">
        <f>+'Base personal'!$H309*'Base personal'!$J309*'Base personal'!$L309</f>
        <v>1.5817312499999998</v>
      </c>
      <c r="L309" s="91">
        <v>2</v>
      </c>
      <c r="M309" s="93">
        <f t="shared" si="14"/>
        <v>412.5</v>
      </c>
      <c r="N309" s="94">
        <f>M309/VLOOKUP(B309&amp;C309,base!$C$2:$E$27,3,0)</f>
        <v>1.03125</v>
      </c>
      <c r="O309" t="s">
        <v>262</v>
      </c>
    </row>
    <row r="310" spans="1:15" x14ac:dyDescent="0.25">
      <c r="A310" s="92">
        <v>44167</v>
      </c>
      <c r="B310" s="91" t="s">
        <v>34</v>
      </c>
      <c r="C310" s="91" t="s">
        <v>73</v>
      </c>
      <c r="D310" s="91">
        <v>912</v>
      </c>
      <c r="E310" s="91" t="s">
        <v>43</v>
      </c>
      <c r="F310" s="91" t="s">
        <v>170</v>
      </c>
      <c r="G310" s="91">
        <v>3800</v>
      </c>
      <c r="H310" s="90">
        <f>+'Base personal'!$G310/'Base personal'!$L310</f>
        <v>380</v>
      </c>
      <c r="I310" s="108">
        <f>VLOOKUP(B310&amp;C310,base!$C$2:$E$27,3,0)</f>
        <v>400</v>
      </c>
      <c r="J310" s="108">
        <f>VLOOKUP(B310&amp;C310,base!$C$2:$F$27,4,0)</f>
        <v>1.9172499999999999E-3</v>
      </c>
      <c r="K310" s="91">
        <f>+'Base personal'!$H310*'Base personal'!$J310*'Base personal'!$L310</f>
        <v>7.2855499999999997</v>
      </c>
      <c r="L310" s="91">
        <v>10</v>
      </c>
      <c r="M310" s="93">
        <f t="shared" si="14"/>
        <v>380</v>
      </c>
      <c r="N310" s="94">
        <f>M310/VLOOKUP(B310&amp;C310,base!$C$2:$E$27,3,0)</f>
        <v>0.95</v>
      </c>
      <c r="O310" s="91" t="s">
        <v>262</v>
      </c>
    </row>
    <row r="311" spans="1:15" x14ac:dyDescent="0.25">
      <c r="A311" s="92">
        <v>44168</v>
      </c>
      <c r="B311" s="91" t="s">
        <v>34</v>
      </c>
      <c r="C311" s="91" t="s">
        <v>45</v>
      </c>
      <c r="D311" s="91" t="s">
        <v>253</v>
      </c>
      <c r="E311" s="91" t="s">
        <v>194</v>
      </c>
      <c r="F311" s="91" t="s">
        <v>13</v>
      </c>
      <c r="G311" s="91">
        <v>4425</v>
      </c>
      <c r="H311" s="90">
        <f>+'Base personal'!$G311/'Base personal'!$L311</f>
        <v>442.5</v>
      </c>
      <c r="I311" s="108">
        <f>VLOOKUP(B311&amp;C311,base!$C$2:$E$27,3,0)</f>
        <v>700</v>
      </c>
      <c r="J311" s="108">
        <f>VLOOKUP(B311&amp;C311,base!$C$2:$F$27,4,0)</f>
        <v>1.0955714285714286E-3</v>
      </c>
      <c r="K311" s="91">
        <f>+'Base personal'!$H311*'Base personal'!$J311*'Base personal'!$L311</f>
        <v>4.8479035714285716</v>
      </c>
      <c r="L311" s="91">
        <v>10</v>
      </c>
      <c r="M311" s="93">
        <f t="shared" si="14"/>
        <v>442.5</v>
      </c>
      <c r="N311" s="94">
        <f>M311/VLOOKUP(B311&amp;C311,base!$C$2:$E$27,3,0)</f>
        <v>0.63214285714285712</v>
      </c>
    </row>
    <row r="312" spans="1:15" x14ac:dyDescent="0.25">
      <c r="A312" s="92">
        <v>44168</v>
      </c>
      <c r="B312" s="91" t="s">
        <v>34</v>
      </c>
      <c r="C312" s="91" t="s">
        <v>45</v>
      </c>
      <c r="D312" s="91" t="s">
        <v>254</v>
      </c>
      <c r="E312" s="91" t="s">
        <v>43</v>
      </c>
      <c r="F312" s="91" t="s">
        <v>170</v>
      </c>
      <c r="G312" s="91">
        <v>4250</v>
      </c>
      <c r="H312" s="90">
        <f>+'Base personal'!$G312/'Base personal'!$L312</f>
        <v>425</v>
      </c>
      <c r="I312" s="108">
        <f>VLOOKUP(B312&amp;C312,base!$C$2:$E$27,3,0)</f>
        <v>700</v>
      </c>
      <c r="J312" s="108">
        <f>VLOOKUP(B312&amp;C312,base!$C$2:$F$27,4,0)</f>
        <v>1.0955714285714286E-3</v>
      </c>
      <c r="K312" s="91">
        <f>+'Base personal'!$H312*'Base personal'!$J312*'Base personal'!$L312</f>
        <v>4.6561785714285717</v>
      </c>
      <c r="L312" s="91">
        <v>10</v>
      </c>
      <c r="M312" s="93">
        <f t="shared" si="14"/>
        <v>425</v>
      </c>
      <c r="N312" s="94">
        <f>M312/VLOOKUP(B312&amp;C312,base!$C$2:$E$27,3,0)</f>
        <v>0.6071428571428571</v>
      </c>
    </row>
    <row r="313" spans="1:15" x14ac:dyDescent="0.25">
      <c r="A313" s="92">
        <v>44169</v>
      </c>
      <c r="B313" s="91" t="s">
        <v>34</v>
      </c>
      <c r="C313" s="91" t="s">
        <v>45</v>
      </c>
      <c r="D313" s="91">
        <v>921</v>
      </c>
      <c r="E313" s="91" t="s">
        <v>194</v>
      </c>
      <c r="F313" s="91" t="s">
        <v>13</v>
      </c>
      <c r="G313" s="91">
        <v>3475</v>
      </c>
      <c r="H313" s="90">
        <f>+'Base personal'!$G313/'Base personal'!$L313</f>
        <v>347.5</v>
      </c>
      <c r="I313" s="108">
        <f>VLOOKUP(B313&amp;C313,base!$C$2:$E$27,3,0)</f>
        <v>700</v>
      </c>
      <c r="J313" s="108">
        <f>VLOOKUP(B313&amp;C313,base!$C$2:$F$27,4,0)</f>
        <v>1.0955714285714286E-3</v>
      </c>
      <c r="K313" s="91">
        <f>+'Base personal'!$H313*'Base personal'!$J313*'Base personal'!$L313</f>
        <v>3.8071107142857148</v>
      </c>
      <c r="L313" s="91">
        <v>10</v>
      </c>
      <c r="M313" s="93">
        <f t="shared" si="14"/>
        <v>347.5</v>
      </c>
      <c r="N313" s="94">
        <f>M313/VLOOKUP(B313&amp;C313,base!$C$2:$E$27,3,0)</f>
        <v>0.49642857142857144</v>
      </c>
    </row>
    <row r="314" spans="1:15" x14ac:dyDescent="0.25">
      <c r="A314" s="92">
        <v>44174</v>
      </c>
      <c r="B314" s="91" t="s">
        <v>34</v>
      </c>
      <c r="C314" s="91" t="s">
        <v>45</v>
      </c>
      <c r="D314" s="91">
        <v>923</v>
      </c>
      <c r="E314" s="91" t="s">
        <v>43</v>
      </c>
      <c r="F314" s="91" t="s">
        <v>13</v>
      </c>
      <c r="G314" s="91">
        <v>3425</v>
      </c>
      <c r="H314" s="90">
        <f>+'Base personal'!$G314/'Base personal'!$L314</f>
        <v>342.5</v>
      </c>
      <c r="I314" s="108">
        <f>VLOOKUP(B314&amp;C314,base!$C$2:$E$27,3,0)</f>
        <v>700</v>
      </c>
      <c r="J314" s="108">
        <f>VLOOKUP(B314&amp;C314,base!$C$2:$F$27,4,0)</f>
        <v>1.0955714285714286E-3</v>
      </c>
      <c r="K314" s="91">
        <f>+'Base personal'!$H314*'Base personal'!$J314*'Base personal'!$L314</f>
        <v>3.752332142857143</v>
      </c>
      <c r="L314" s="91">
        <v>10</v>
      </c>
      <c r="M314" s="93">
        <f t="shared" si="14"/>
        <v>342.5</v>
      </c>
      <c r="N314" s="94">
        <f>M314/VLOOKUP(B314&amp;C314,base!$C$2:$E$27,3,0)</f>
        <v>0.48928571428571427</v>
      </c>
    </row>
    <row r="315" spans="1:15" x14ac:dyDescent="0.25">
      <c r="A315" s="92">
        <v>44174</v>
      </c>
      <c r="B315" s="91" t="s">
        <v>34</v>
      </c>
      <c r="C315" s="91" t="s">
        <v>45</v>
      </c>
      <c r="D315" s="91" t="s">
        <v>255</v>
      </c>
      <c r="E315" s="91" t="s">
        <v>194</v>
      </c>
      <c r="F315" s="91" t="s">
        <v>170</v>
      </c>
      <c r="G315" s="91">
        <v>3325</v>
      </c>
      <c r="H315" s="90">
        <f>+'Base personal'!$G315/'Base personal'!$L315</f>
        <v>475</v>
      </c>
      <c r="I315" s="108">
        <f>VLOOKUP(B315&amp;C315,base!$C$2:$E$27,3,0)</f>
        <v>700</v>
      </c>
      <c r="J315" s="108">
        <f>VLOOKUP(B315&amp;C315,base!$C$2:$F$27,4,0)</f>
        <v>1.0955714285714286E-3</v>
      </c>
      <c r="K315" s="91">
        <f>+'Base personal'!$H315*'Base personal'!$J315*'Base personal'!$L315</f>
        <v>3.6427749999999999</v>
      </c>
      <c r="L315" s="91">
        <v>7</v>
      </c>
      <c r="M315" s="93">
        <f t="shared" si="14"/>
        <v>475</v>
      </c>
      <c r="N315" s="94">
        <f>M315/VLOOKUP(B315&amp;C315,base!$C$2:$E$27,3,0)</f>
        <v>0.6785714285714286</v>
      </c>
    </row>
    <row r="316" spans="1:15" x14ac:dyDescent="0.25">
      <c r="A316" s="92">
        <v>44175</v>
      </c>
      <c r="B316" s="91" t="s">
        <v>34</v>
      </c>
      <c r="C316" s="91" t="s">
        <v>45</v>
      </c>
      <c r="D316" s="91" t="s">
        <v>256</v>
      </c>
      <c r="E316" s="91" t="s">
        <v>43</v>
      </c>
      <c r="F316" s="91" t="s">
        <v>13</v>
      </c>
      <c r="G316" s="91">
        <v>3325</v>
      </c>
      <c r="H316" s="90">
        <f>+'Base personal'!$G316/'Base personal'!$L316</f>
        <v>554.16666666666663</v>
      </c>
      <c r="I316" s="108">
        <f>VLOOKUP(B316&amp;C316,base!$C$2:$E$27,3,0)</f>
        <v>700</v>
      </c>
      <c r="J316" s="108">
        <f>VLOOKUP(B316&amp;C316,base!$C$2:$F$27,4,0)</f>
        <v>1.0955714285714286E-3</v>
      </c>
      <c r="K316" s="91">
        <f>+'Base personal'!$H316*'Base personal'!$J316*'Base personal'!$L316</f>
        <v>3.6427749999999994</v>
      </c>
      <c r="L316" s="91">
        <v>6</v>
      </c>
      <c r="M316" s="93">
        <f t="shared" si="14"/>
        <v>554.16666666666663</v>
      </c>
      <c r="N316" s="94">
        <f>M316/VLOOKUP(B316&amp;C316,base!$C$2:$E$27,3,0)</f>
        <v>0.79166666666666663</v>
      </c>
    </row>
    <row r="317" spans="1:15" x14ac:dyDescent="0.25">
      <c r="A317" s="92">
        <v>44175</v>
      </c>
      <c r="B317" s="91" t="s">
        <v>34</v>
      </c>
      <c r="C317" s="91" t="s">
        <v>45</v>
      </c>
      <c r="D317" s="91" t="s">
        <v>257</v>
      </c>
      <c r="E317" s="91" t="s">
        <v>194</v>
      </c>
      <c r="F317" s="91" t="s">
        <v>170</v>
      </c>
      <c r="G317" s="91">
        <v>5825</v>
      </c>
      <c r="H317" s="90">
        <f>+'Base personal'!$G317/'Base personal'!$L317</f>
        <v>529.5454545454545</v>
      </c>
      <c r="I317" s="108">
        <f>VLOOKUP(B317&amp;C317,base!$C$2:$E$27,3,0)</f>
        <v>700</v>
      </c>
      <c r="J317" s="108">
        <f>VLOOKUP(B317&amp;C317,base!$C$2:$F$27,4,0)</f>
        <v>1.0955714285714286E-3</v>
      </c>
      <c r="K317" s="91">
        <f>+'Base personal'!$H317*'Base personal'!$J317*'Base personal'!$L317</f>
        <v>6.381703571428571</v>
      </c>
      <c r="L317" s="91">
        <v>11</v>
      </c>
      <c r="M317" s="93">
        <f t="shared" si="14"/>
        <v>529.5454545454545</v>
      </c>
      <c r="N317" s="94">
        <f>M317/VLOOKUP(B317&amp;C317,base!$C$2:$E$27,3,0)</f>
        <v>0.75649350649350644</v>
      </c>
    </row>
    <row r="318" spans="1:15" x14ac:dyDescent="0.25">
      <c r="A318" s="92">
        <v>44176</v>
      </c>
      <c r="B318" s="91" t="s">
        <v>34</v>
      </c>
      <c r="C318" s="91" t="s">
        <v>45</v>
      </c>
      <c r="D318" s="91" t="s">
        <v>258</v>
      </c>
      <c r="E318" s="91" t="s">
        <v>43</v>
      </c>
      <c r="F318" s="91" t="s">
        <v>13</v>
      </c>
      <c r="G318" s="91">
        <v>5775</v>
      </c>
      <c r="H318" s="90">
        <f>+'Base personal'!$G318/'Base personal'!$L318</f>
        <v>577.5</v>
      </c>
      <c r="I318" s="108">
        <f>VLOOKUP(B318&amp;C318,base!$C$2:$E$27,3,0)</f>
        <v>700</v>
      </c>
      <c r="J318" s="108">
        <f>VLOOKUP(B318&amp;C318,base!$C$2:$F$27,4,0)</f>
        <v>1.0955714285714286E-3</v>
      </c>
      <c r="K318" s="91">
        <f>+'Base personal'!$H318*'Base personal'!$J318*'Base personal'!$L318</f>
        <v>6.3269250000000001</v>
      </c>
      <c r="L318" s="91">
        <v>10</v>
      </c>
      <c r="M318" s="93">
        <f t="shared" si="14"/>
        <v>577.5</v>
      </c>
      <c r="N318" s="94">
        <f>M318/VLOOKUP(B318&amp;C318,base!$C$2:$E$27,3,0)</f>
        <v>0.82499999999999996</v>
      </c>
    </row>
    <row r="319" spans="1:15" x14ac:dyDescent="0.25">
      <c r="A319" s="92">
        <v>44176</v>
      </c>
      <c r="B319" s="91" t="s">
        <v>34</v>
      </c>
      <c r="C319" s="91" t="s">
        <v>45</v>
      </c>
      <c r="D319" s="91" t="s">
        <v>259</v>
      </c>
      <c r="E319" s="91" t="s">
        <v>194</v>
      </c>
      <c r="F319" s="91" t="s">
        <v>170</v>
      </c>
      <c r="G319" s="91">
        <v>6150</v>
      </c>
      <c r="H319" s="90">
        <f>+'Base personal'!$G319/'Base personal'!$L319</f>
        <v>559.09090909090912</v>
      </c>
      <c r="I319" s="108">
        <f>VLOOKUP(B319&amp;C319,base!$C$2:$E$27,3,0)</f>
        <v>700</v>
      </c>
      <c r="J319" s="108">
        <f>VLOOKUP(B319&amp;C319,base!$C$2:$F$27,4,0)</f>
        <v>1.0955714285714286E-3</v>
      </c>
      <c r="K319" s="91">
        <f>+'Base personal'!$H319*'Base personal'!$J319*'Base personal'!$L319</f>
        <v>6.7377642857142863</v>
      </c>
      <c r="L319" s="91">
        <v>11</v>
      </c>
      <c r="M319" s="93">
        <f t="shared" si="14"/>
        <v>559.09090909090912</v>
      </c>
      <c r="N319" s="94">
        <f>M319/VLOOKUP(B319&amp;C319,base!$C$2:$E$27,3,0)</f>
        <v>0.7987012987012988</v>
      </c>
    </row>
    <row r="320" spans="1:15" x14ac:dyDescent="0.25">
      <c r="A320" s="92">
        <v>44177</v>
      </c>
      <c r="B320" s="91" t="s">
        <v>34</v>
      </c>
      <c r="C320" s="91" t="s">
        <v>45</v>
      </c>
      <c r="D320" s="91" t="s">
        <v>260</v>
      </c>
      <c r="E320" s="91" t="s">
        <v>43</v>
      </c>
      <c r="F320" s="91" t="s">
        <v>13</v>
      </c>
      <c r="G320" s="91">
        <v>6300</v>
      </c>
      <c r="H320" s="90">
        <f>+'Base personal'!$G320/'Base personal'!$L320</f>
        <v>630</v>
      </c>
      <c r="I320" s="108">
        <f>VLOOKUP(B320&amp;C320,base!$C$2:$E$27,3,0)</f>
        <v>700</v>
      </c>
      <c r="J320" s="108">
        <f>VLOOKUP(B320&amp;C320,base!$C$2:$F$27,4,0)</f>
        <v>1.0955714285714286E-3</v>
      </c>
      <c r="K320" s="91">
        <f>+'Base personal'!$H320*'Base personal'!$J320*'Base personal'!$L320</f>
        <v>6.9020999999999999</v>
      </c>
      <c r="L320" s="91">
        <v>10</v>
      </c>
      <c r="M320" s="93">
        <f t="shared" si="14"/>
        <v>630</v>
      </c>
      <c r="N320" s="94">
        <f>M320/VLOOKUP(B320&amp;C320,base!$C$2:$E$27,3,0)</f>
        <v>0.9</v>
      </c>
    </row>
    <row r="321" spans="1:14" x14ac:dyDescent="0.25">
      <c r="A321" s="92">
        <v>44185</v>
      </c>
      <c r="B321" s="91" t="s">
        <v>34</v>
      </c>
      <c r="C321" s="91" t="s">
        <v>101</v>
      </c>
      <c r="D321" s="91">
        <v>943</v>
      </c>
      <c r="E321" s="91" t="s">
        <v>194</v>
      </c>
      <c r="F321" s="91" t="s">
        <v>13</v>
      </c>
      <c r="G321" s="91">
        <v>875</v>
      </c>
      <c r="H321" s="90">
        <f>+'Base personal'!$G321/'Base personal'!$L321</f>
        <v>145.83333333333334</v>
      </c>
      <c r="I321" s="108">
        <f>VLOOKUP(B321&amp;C321,base!$C$2:$E$27,3,0)</f>
        <v>400</v>
      </c>
      <c r="J321" s="108">
        <f>VLOOKUP(B321&amp;C321,base!$C$2:$F$27,4,0)</f>
        <v>1.9172499999999999E-3</v>
      </c>
      <c r="K321" s="91">
        <f>+'Base personal'!$H321*'Base personal'!$J321*'Base personal'!$L321</f>
        <v>1.6775937499999998</v>
      </c>
      <c r="L321" s="91">
        <v>6</v>
      </c>
      <c r="M321" s="93">
        <f t="shared" si="14"/>
        <v>145.83333333333334</v>
      </c>
      <c r="N321" s="94">
        <f>M321/VLOOKUP(B321&amp;C321,base!$C$2:$E$27,3,0)</f>
        <v>0.36458333333333337</v>
      </c>
    </row>
    <row r="322" spans="1:14" x14ac:dyDescent="0.25">
      <c r="A322" s="92">
        <v>44185</v>
      </c>
      <c r="B322" s="91" t="s">
        <v>34</v>
      </c>
      <c r="C322" s="91" t="s">
        <v>45</v>
      </c>
      <c r="D322" s="91">
        <v>942</v>
      </c>
      <c r="E322" s="91" t="s">
        <v>194</v>
      </c>
      <c r="F322" s="91" t="s">
        <v>13</v>
      </c>
      <c r="G322" s="91">
        <v>225</v>
      </c>
      <c r="H322" s="90">
        <f>+'Base personal'!$G322/'Base personal'!$L322</f>
        <v>112.5</v>
      </c>
      <c r="I322" s="108">
        <f>VLOOKUP(B322&amp;C322,base!$C$2:$E$27,3,0)</f>
        <v>700</v>
      </c>
      <c r="J322" s="108">
        <f>VLOOKUP(B322&amp;C322,base!$C$2:$F$27,4,0)</f>
        <v>1.0955714285714286E-3</v>
      </c>
      <c r="K322" s="91">
        <f>+'Base personal'!$H322*'Base personal'!$J322*'Base personal'!$L322</f>
        <v>0.24650357142857143</v>
      </c>
      <c r="L322" s="91">
        <v>2</v>
      </c>
      <c r="M322" s="93">
        <f t="shared" si="14"/>
        <v>112.5</v>
      </c>
      <c r="N322" s="94">
        <f>M322/VLOOKUP(B322&amp;C322,base!$C$2:$E$27,3,0)</f>
        <v>0.16071428571428573</v>
      </c>
    </row>
    <row r="323" spans="1:14" x14ac:dyDescent="0.25">
      <c r="A323" s="92">
        <v>44185</v>
      </c>
      <c r="B323" s="91" t="s">
        <v>34</v>
      </c>
      <c r="C323" s="91" t="s">
        <v>101</v>
      </c>
      <c r="D323" s="91">
        <v>944</v>
      </c>
      <c r="E323" s="91" t="s">
        <v>43</v>
      </c>
      <c r="F323" s="91" t="s">
        <v>170</v>
      </c>
      <c r="G323" s="91">
        <v>675</v>
      </c>
      <c r="H323" s="90">
        <f>+'Base personal'!$G323/'Base personal'!$L323</f>
        <v>337.5</v>
      </c>
      <c r="I323" s="108">
        <f>VLOOKUP(B323&amp;C323,base!$C$2:$E$27,3,0)</f>
        <v>400</v>
      </c>
      <c r="J323" s="108">
        <f>VLOOKUP(B323&amp;C323,base!$C$2:$F$27,4,0)</f>
        <v>1.9172499999999999E-3</v>
      </c>
      <c r="K323" s="91">
        <f>+'Base personal'!$H323*'Base personal'!$J323*'Base personal'!$L323</f>
        <v>1.2941437499999999</v>
      </c>
      <c r="L323" s="91">
        <v>2</v>
      </c>
      <c r="M323" s="93">
        <f t="shared" si="14"/>
        <v>337.5</v>
      </c>
      <c r="N323" s="94">
        <f>M323/VLOOKUP(B323&amp;C323,base!$C$2:$E$27,3,0)</f>
        <v>0.84375</v>
      </c>
    </row>
    <row r="324" spans="1:14" x14ac:dyDescent="0.25">
      <c r="A324" s="92">
        <v>44185</v>
      </c>
      <c r="B324" s="91" t="s">
        <v>34</v>
      </c>
      <c r="C324" s="91" t="s">
        <v>73</v>
      </c>
      <c r="D324" s="91">
        <v>945</v>
      </c>
      <c r="E324" s="91" t="s">
        <v>43</v>
      </c>
      <c r="F324" s="91" t="s">
        <v>170</v>
      </c>
      <c r="G324" s="91">
        <v>1525</v>
      </c>
      <c r="H324" s="90">
        <f>+'Base personal'!$G324/'Base personal'!$L324</f>
        <v>305</v>
      </c>
      <c r="I324" s="108">
        <f>VLOOKUP(B324&amp;C324,base!$C$2:$E$27,3,0)</f>
        <v>400</v>
      </c>
      <c r="J324" s="108">
        <f>VLOOKUP(B324&amp;C324,base!$C$2:$F$27,4,0)</f>
        <v>1.9172499999999999E-3</v>
      </c>
      <c r="K324" s="91">
        <f>+'Base personal'!$H324*'Base personal'!$J324*'Base personal'!$L324</f>
        <v>2.9238062500000002</v>
      </c>
      <c r="L324" s="91">
        <v>5</v>
      </c>
      <c r="M324" s="93">
        <f t="shared" si="14"/>
        <v>305</v>
      </c>
      <c r="N324" s="94">
        <f>M324/VLOOKUP(B324&amp;C324,base!$C$2:$E$27,3,0)</f>
        <v>0.76249999999999996</v>
      </c>
    </row>
    <row r="325" spans="1:14" x14ac:dyDescent="0.25">
      <c r="A325" s="92">
        <v>44185</v>
      </c>
      <c r="B325" s="91" t="s">
        <v>34</v>
      </c>
      <c r="C325" s="91" t="s">
        <v>45</v>
      </c>
      <c r="D325" s="91">
        <v>946</v>
      </c>
      <c r="E325" s="91" t="s">
        <v>43</v>
      </c>
      <c r="F325" s="91" t="s">
        <v>170</v>
      </c>
      <c r="G325" s="91">
        <v>2200</v>
      </c>
      <c r="H325" s="90">
        <f>+'Base personal'!$G325/'Base personal'!$L325</f>
        <v>550</v>
      </c>
      <c r="I325" s="108">
        <f>VLOOKUP(B325&amp;C325,base!$C$2:$E$27,3,0)</f>
        <v>700</v>
      </c>
      <c r="J325" s="108">
        <f>VLOOKUP(B325&amp;C325,base!$C$2:$F$27,4,0)</f>
        <v>1.0955714285714286E-3</v>
      </c>
      <c r="K325" s="91">
        <f>+'Base personal'!$H325*'Base personal'!$J325*'Base personal'!$L325</f>
        <v>2.4102571428571431</v>
      </c>
      <c r="L325" s="91">
        <v>4</v>
      </c>
      <c r="M325" s="93">
        <f t="shared" si="14"/>
        <v>550</v>
      </c>
      <c r="N325" s="94">
        <f>M325/VLOOKUP(B325&amp;C325,base!$C$2:$E$27,3,0)</f>
        <v>0.7857142857142857</v>
      </c>
    </row>
    <row r="326" spans="1:14" x14ac:dyDescent="0.25">
      <c r="A326" s="92">
        <v>44186</v>
      </c>
      <c r="B326" s="91" t="s">
        <v>34</v>
      </c>
      <c r="C326" s="91" t="s">
        <v>101</v>
      </c>
      <c r="D326" s="91">
        <v>947</v>
      </c>
      <c r="E326" s="91" t="s">
        <v>194</v>
      </c>
      <c r="F326" s="91" t="s">
        <v>13</v>
      </c>
      <c r="G326" s="91">
        <v>575</v>
      </c>
      <c r="H326" s="90">
        <f>+'Base personal'!$G326/'Base personal'!$L326</f>
        <v>287.5</v>
      </c>
      <c r="I326" s="108">
        <f>VLOOKUP(B326&amp;C326,base!$C$2:$E$27,3,0)</f>
        <v>400</v>
      </c>
      <c r="J326" s="108">
        <f>VLOOKUP(B326&amp;C326,base!$C$2:$F$27,4,0)</f>
        <v>1.9172499999999999E-3</v>
      </c>
      <c r="K326" s="91">
        <f>+'Base personal'!$H326*'Base personal'!$J326*'Base personal'!$L326</f>
        <v>1.10241875</v>
      </c>
      <c r="L326" s="91">
        <v>2</v>
      </c>
      <c r="M326" s="93">
        <f t="shared" si="14"/>
        <v>287.5</v>
      </c>
      <c r="N326" s="94">
        <f>M326/VLOOKUP(B326&amp;C326,base!$C$2:$E$27,3,0)</f>
        <v>0.71875</v>
      </c>
    </row>
    <row r="327" spans="1:14" x14ac:dyDescent="0.25">
      <c r="A327" s="92">
        <v>44186</v>
      </c>
      <c r="B327" s="91" t="s">
        <v>34</v>
      </c>
      <c r="C327" s="91" t="s">
        <v>73</v>
      </c>
      <c r="D327" s="91">
        <v>948</v>
      </c>
      <c r="E327" s="91" t="s">
        <v>194</v>
      </c>
      <c r="F327" s="91" t="s">
        <v>13</v>
      </c>
      <c r="G327" s="91">
        <v>1525</v>
      </c>
      <c r="H327" s="90">
        <f>+'Base personal'!$G327/'Base personal'!$L327</f>
        <v>305</v>
      </c>
      <c r="I327" s="108">
        <f>VLOOKUP(B327&amp;C327,base!$C$2:$E$27,3,0)</f>
        <v>400</v>
      </c>
      <c r="J327" s="108">
        <f>VLOOKUP(B327&amp;C327,base!$C$2:$F$27,4,0)</f>
        <v>1.9172499999999999E-3</v>
      </c>
      <c r="K327" s="91">
        <f>+'Base personal'!$H327*'Base personal'!$J327*'Base personal'!$L327</f>
        <v>2.9238062500000002</v>
      </c>
      <c r="L327" s="91">
        <v>5</v>
      </c>
      <c r="M327" s="93">
        <f t="shared" si="14"/>
        <v>305</v>
      </c>
      <c r="N327" s="94">
        <f>M327/VLOOKUP(B327&amp;C327,base!$C$2:$E$27,3,0)</f>
        <v>0.76249999999999996</v>
      </c>
    </row>
    <row r="328" spans="1:14" x14ac:dyDescent="0.25">
      <c r="A328" s="92">
        <v>44186</v>
      </c>
      <c r="B328" s="91" t="s">
        <v>34</v>
      </c>
      <c r="C328" s="91" t="s">
        <v>45</v>
      </c>
      <c r="D328" s="91" t="s">
        <v>261</v>
      </c>
      <c r="E328" s="91" t="s">
        <v>43</v>
      </c>
      <c r="F328" s="91" t="s">
        <v>170</v>
      </c>
      <c r="G328" s="91">
        <v>6200</v>
      </c>
      <c r="H328" s="90">
        <f>+'Base personal'!$G328/'Base personal'!$L328</f>
        <v>563.63636363636363</v>
      </c>
      <c r="I328" s="108">
        <f>VLOOKUP(B328&amp;C328,base!$C$2:$E$27,3,0)</f>
        <v>700</v>
      </c>
      <c r="J328" s="108">
        <f>VLOOKUP(B328&amp;C328,base!$C$2:$F$27,4,0)</f>
        <v>1.0955714285714286E-3</v>
      </c>
      <c r="K328" s="91">
        <f>+'Base personal'!$H328*'Base personal'!$J328*'Base personal'!$L328</f>
        <v>6.7925428571428572</v>
      </c>
      <c r="L328" s="91">
        <v>11</v>
      </c>
      <c r="M328" s="93">
        <f t="shared" si="14"/>
        <v>563.63636363636363</v>
      </c>
      <c r="N328" s="94">
        <f>M328/VLOOKUP(B328&amp;C328,base!$C$2:$E$27,3,0)</f>
        <v>0.80519480519480513</v>
      </c>
    </row>
    <row r="329" spans="1:14" x14ac:dyDescent="0.25">
      <c r="A329" s="92">
        <v>44162</v>
      </c>
      <c r="B329" s="91" t="s">
        <v>32</v>
      </c>
      <c r="C329" s="91" t="s">
        <v>55</v>
      </c>
      <c r="E329" s="115" t="s">
        <v>102</v>
      </c>
      <c r="G329">
        <v>74</v>
      </c>
      <c r="H329" s="90">
        <f>+'Base personal'!$G329/'Base personal'!$L329</f>
        <v>18.5</v>
      </c>
      <c r="I329" s="108">
        <f>VLOOKUP(B329&amp;C329,base!$C$2:$E$27,3,0)</f>
        <v>17</v>
      </c>
      <c r="J329" s="108">
        <f>VLOOKUP(B329&amp;C329,base!$C$2:$F$27,4,0)</f>
        <v>3.0073529411764707E-2</v>
      </c>
      <c r="K329" s="91">
        <f>+'Base personal'!$H329*'Base personal'!$J329*'Base personal'!$L329</f>
        <v>2.2254411764705884</v>
      </c>
      <c r="L329" s="91">
        <v>4</v>
      </c>
      <c r="M329" s="93">
        <f t="shared" si="14"/>
        <v>18.5</v>
      </c>
      <c r="N329" s="94">
        <f>M329/VLOOKUP(B329&amp;C329,base!$C$2:$E$27,3,0)</f>
        <v>1.088235294117647</v>
      </c>
    </row>
    <row r="330" spans="1:14" s="91" customFormat="1" x14ac:dyDescent="0.25">
      <c r="A330" s="92">
        <v>44174</v>
      </c>
      <c r="B330" s="91" t="s">
        <v>32</v>
      </c>
      <c r="C330" s="91" t="s">
        <v>55</v>
      </c>
      <c r="E330" s="91" t="s">
        <v>102</v>
      </c>
      <c r="F330" s="91" t="s">
        <v>13</v>
      </c>
      <c r="G330" s="91">
        <v>235</v>
      </c>
      <c r="H330" s="90">
        <f>+'Base personal'!$G330/'Base personal'!$L330</f>
        <v>29.375</v>
      </c>
      <c r="I330" s="108">
        <f>VLOOKUP(B330&amp;C330,base!$C$2:$E$27,3,0)</f>
        <v>17</v>
      </c>
      <c r="J330" s="108">
        <f>VLOOKUP(B330&amp;C330,base!$C$2:$F$27,4,0)</f>
        <v>3.0073529411764707E-2</v>
      </c>
      <c r="K330" s="91">
        <f>+'Base personal'!$H330*'Base personal'!$J330*'Base personal'!$L330</f>
        <v>7.067279411764706</v>
      </c>
      <c r="L330" s="91">
        <v>8</v>
      </c>
      <c r="M330" s="93">
        <f t="shared" si="14"/>
        <v>29.375</v>
      </c>
      <c r="N330" s="94">
        <f>M330/VLOOKUP(B330&amp;C330,base!$C$2:$E$27,3,0)</f>
        <v>1.7279411764705883</v>
      </c>
    </row>
    <row r="331" spans="1:14" s="91" customFormat="1" x14ac:dyDescent="0.25">
      <c r="A331" s="92">
        <v>44174</v>
      </c>
      <c r="B331" s="91" t="s">
        <v>38</v>
      </c>
      <c r="E331" s="91" t="s">
        <v>102</v>
      </c>
      <c r="F331" s="91" t="s">
        <v>13</v>
      </c>
      <c r="H331" s="90">
        <v>1</v>
      </c>
      <c r="I331" s="108">
        <v>1</v>
      </c>
      <c r="J331" s="75">
        <v>0.3483</v>
      </c>
      <c r="K331" s="91">
        <f>+'Base personal'!$H331*'Base personal'!$J331*'Base personal'!$L331</f>
        <v>0.6966</v>
      </c>
      <c r="L331" s="91">
        <v>2</v>
      </c>
      <c r="M331" s="93">
        <f t="shared" si="14"/>
        <v>0</v>
      </c>
      <c r="N331" s="94" t="e">
        <f>M331/VLOOKUP(B331&amp;C331,base!$C$2:$E$27,3,0)</f>
        <v>#N/A</v>
      </c>
    </row>
    <row r="332" spans="1:14" s="91" customFormat="1" x14ac:dyDescent="0.25">
      <c r="A332" s="92">
        <v>44181</v>
      </c>
      <c r="B332" s="91" t="s">
        <v>32</v>
      </c>
      <c r="C332" s="91" t="s">
        <v>55</v>
      </c>
      <c r="E332" s="91" t="s">
        <v>169</v>
      </c>
      <c r="F332" s="91" t="s">
        <v>13</v>
      </c>
      <c r="G332" s="91">
        <v>44</v>
      </c>
      <c r="H332" s="90">
        <f>+'Base personal'!$G332/'Base personal'!$L332</f>
        <v>22</v>
      </c>
      <c r="I332" s="108">
        <f>VLOOKUP(B332&amp;C332,base!$C$2:$E$27,3,0)</f>
        <v>17</v>
      </c>
      <c r="J332" s="108">
        <f>VLOOKUP(B332&amp;C332,base!$C$2:$F$27,4,0)</f>
        <v>3.0073529411764707E-2</v>
      </c>
      <c r="K332" s="91">
        <f>+'Base personal'!$H332*'Base personal'!$J332*'Base personal'!$L332</f>
        <v>1.3232352941176471</v>
      </c>
      <c r="L332" s="91">
        <v>2</v>
      </c>
      <c r="M332" s="93">
        <f t="shared" si="14"/>
        <v>22</v>
      </c>
      <c r="N332" s="94">
        <f>M332/VLOOKUP(B332&amp;C332,base!$C$2:$E$27,3,0)</f>
        <v>1.2941176470588236</v>
      </c>
    </row>
    <row r="333" spans="1:14" s="91" customFormat="1" x14ac:dyDescent="0.25">
      <c r="A333" s="92">
        <v>44182</v>
      </c>
      <c r="B333" s="91" t="s">
        <v>32</v>
      </c>
      <c r="C333" s="91" t="s">
        <v>55</v>
      </c>
      <c r="E333" s="91" t="s">
        <v>169</v>
      </c>
      <c r="F333" s="91" t="s">
        <v>13</v>
      </c>
      <c r="G333" s="91">
        <v>206</v>
      </c>
      <c r="H333" s="90">
        <f>+'Base personal'!$G333/'Base personal'!$L333</f>
        <v>29.428571428571427</v>
      </c>
      <c r="I333" s="108">
        <f>VLOOKUP(B333&amp;C333,base!$C$2:$E$27,3,0)</f>
        <v>17</v>
      </c>
      <c r="J333" s="108">
        <f>VLOOKUP(B333&amp;C333,base!$C$2:$F$27,4,0)</f>
        <v>3.0073529411764707E-2</v>
      </c>
      <c r="K333" s="91">
        <f>+'Base personal'!$H333*'Base personal'!$J333*'Base personal'!$L333</f>
        <v>6.1951470588235287</v>
      </c>
      <c r="L333" s="91">
        <v>7</v>
      </c>
      <c r="M333" s="93">
        <f t="shared" si="14"/>
        <v>29.428571428571427</v>
      </c>
      <c r="N333" s="94">
        <f>M333/VLOOKUP(B333&amp;C333,base!$C$2:$E$27,3,0)</f>
        <v>1.7310924369747898</v>
      </c>
    </row>
    <row r="334" spans="1:14" s="91" customFormat="1" x14ac:dyDescent="0.25">
      <c r="A334" s="92">
        <v>44182</v>
      </c>
      <c r="B334" s="91" t="s">
        <v>38</v>
      </c>
      <c r="E334" s="91" t="s">
        <v>169</v>
      </c>
      <c r="F334" s="91" t="s">
        <v>13</v>
      </c>
      <c r="H334" s="90">
        <v>1</v>
      </c>
      <c r="I334" s="108">
        <v>1</v>
      </c>
      <c r="J334" s="75">
        <v>0.3483</v>
      </c>
      <c r="K334" s="91">
        <f>+'Base personal'!$H334*'Base personal'!$J334*'Base personal'!$L334</f>
        <v>1.0448999999999999</v>
      </c>
      <c r="L334" s="91">
        <v>3</v>
      </c>
      <c r="M334" s="93">
        <f t="shared" si="14"/>
        <v>0</v>
      </c>
      <c r="N334" s="94" t="e">
        <f>M334/VLOOKUP(B334&amp;C334,base!$C$2:$E$27,3,0)</f>
        <v>#N/A</v>
      </c>
    </row>
    <row r="335" spans="1:14" s="91" customFormat="1" x14ac:dyDescent="0.25">
      <c r="A335" s="92">
        <v>44187</v>
      </c>
      <c r="B335" s="91" t="s">
        <v>32</v>
      </c>
      <c r="C335" s="91" t="s">
        <v>55</v>
      </c>
      <c r="E335" s="91" t="s">
        <v>102</v>
      </c>
      <c r="F335" s="91" t="s">
        <v>13</v>
      </c>
      <c r="G335" s="91">
        <f>18.8*3</f>
        <v>56.400000000000006</v>
      </c>
      <c r="H335" s="90">
        <f>+'Base personal'!$G335/'Base personal'!$L335</f>
        <v>18.8</v>
      </c>
      <c r="I335" s="108">
        <f>VLOOKUP(B335&amp;C335,base!$C$2:$E$27,3,0)</f>
        <v>17</v>
      </c>
      <c r="J335" s="108">
        <f>VLOOKUP(B335&amp;C335,base!$C$2:$F$27,4,0)</f>
        <v>3.0073529411764707E-2</v>
      </c>
      <c r="K335" s="91">
        <f>+'Base personal'!$H335*'Base personal'!$J335*'Base personal'!$L335</f>
        <v>1.6961470588235297</v>
      </c>
      <c r="L335" s="91">
        <v>3</v>
      </c>
      <c r="M335" s="93">
        <f t="shared" si="14"/>
        <v>18.8</v>
      </c>
      <c r="N335" s="94">
        <f>M335/VLOOKUP(B335&amp;C335,base!$C$2:$E$27,3,0)</f>
        <v>1.1058823529411765</v>
      </c>
    </row>
    <row r="336" spans="1:14" s="91" customFormat="1" x14ac:dyDescent="0.25">
      <c r="A336" s="92">
        <v>44187</v>
      </c>
      <c r="B336" s="91" t="s">
        <v>32</v>
      </c>
      <c r="C336" s="91" t="s">
        <v>55</v>
      </c>
      <c r="E336" s="91" t="s">
        <v>277</v>
      </c>
      <c r="F336" s="91" t="s">
        <v>13</v>
      </c>
      <c r="G336" s="91">
        <f>18.8*7</f>
        <v>131.6</v>
      </c>
      <c r="H336" s="90">
        <f>+'Base personal'!$G336/'Base personal'!$L336</f>
        <v>18.8</v>
      </c>
      <c r="I336" s="108">
        <f>VLOOKUP(B336&amp;C336,base!$C$2:$E$27,3,0)</f>
        <v>17</v>
      </c>
      <c r="J336" s="108">
        <f>VLOOKUP(B336&amp;C336,base!$C$2:$F$27,4,0)</f>
        <v>3.0073529411764707E-2</v>
      </c>
      <c r="K336" s="91">
        <f>+'Base personal'!$H336*'Base personal'!$J336*'Base personal'!$L336</f>
        <v>3.9576764705882361</v>
      </c>
      <c r="L336" s="91">
        <v>7</v>
      </c>
      <c r="M336" s="93">
        <f t="shared" si="14"/>
        <v>18.8</v>
      </c>
      <c r="N336" s="94">
        <f>M336/VLOOKUP(B336&amp;C336,base!$C$2:$E$27,3,0)</f>
        <v>1.1058823529411765</v>
      </c>
    </row>
    <row r="337" spans="1:14" s="91" customFormat="1" x14ac:dyDescent="0.25">
      <c r="A337" s="92">
        <v>44187</v>
      </c>
      <c r="B337" s="91" t="s">
        <v>41</v>
      </c>
      <c r="E337" s="91" t="s">
        <v>277</v>
      </c>
      <c r="F337" s="91" t="s">
        <v>13</v>
      </c>
      <c r="H337" s="90">
        <v>1</v>
      </c>
      <c r="I337" s="108">
        <v>1</v>
      </c>
      <c r="J337" s="75">
        <v>0.3483</v>
      </c>
      <c r="K337" s="91">
        <f>+'Base personal'!$H337*'Base personal'!$J337*'Base personal'!$L337</f>
        <v>1.0448999999999999</v>
      </c>
      <c r="L337" s="91">
        <v>3</v>
      </c>
      <c r="M337" s="93">
        <f t="shared" si="14"/>
        <v>0</v>
      </c>
      <c r="N337" s="94" t="e">
        <f>M337/VLOOKUP(B337&amp;C337,base!$C$2:$E$27,3,0)</f>
        <v>#N/A</v>
      </c>
    </row>
    <row r="338" spans="1:14" s="91" customFormat="1" x14ac:dyDescent="0.25">
      <c r="A338" s="92">
        <v>44182</v>
      </c>
      <c r="B338" s="91" t="s">
        <v>33</v>
      </c>
      <c r="C338" s="91" t="s">
        <v>45</v>
      </c>
      <c r="D338" s="91" t="s">
        <v>278</v>
      </c>
      <c r="E338" s="91" t="s">
        <v>75</v>
      </c>
      <c r="F338" s="91" t="s">
        <v>170</v>
      </c>
      <c r="G338" s="91">
        <f>3398+1208+1755</f>
        <v>6361</v>
      </c>
      <c r="H338" s="90">
        <f>+'Base personal'!$G338/'Base personal'!$L338</f>
        <v>636.1</v>
      </c>
      <c r="I338" s="108">
        <f>VLOOKUP(B338&amp;C338,base!$C$2:$E$27,3,0)</f>
        <v>700</v>
      </c>
      <c r="J338" s="108">
        <f>VLOOKUP(B338&amp;C338,base!$C$2:$F$27,4,0)</f>
        <v>1.0955714285714286E-3</v>
      </c>
      <c r="K338" s="91">
        <f>+'Base personal'!$H338*'Base personal'!$J338*'Base personal'!$L338</f>
        <v>6.9689298571428582</v>
      </c>
      <c r="L338" s="91">
        <v>10</v>
      </c>
      <c r="M338" s="93">
        <f t="shared" si="14"/>
        <v>636.1</v>
      </c>
      <c r="N338" s="94">
        <f>M338/VLOOKUP(B338&amp;C338,base!$C$2:$E$27,3,0)</f>
        <v>0.9087142857142857</v>
      </c>
    </row>
    <row r="339" spans="1:14" s="91" customFormat="1" x14ac:dyDescent="0.25">
      <c r="A339" s="92">
        <v>44182</v>
      </c>
      <c r="B339" s="91" t="s">
        <v>115</v>
      </c>
      <c r="E339" s="91" t="s">
        <v>75</v>
      </c>
      <c r="F339" s="91" t="s">
        <v>170</v>
      </c>
      <c r="H339" s="90">
        <v>1</v>
      </c>
      <c r="I339" s="108">
        <v>1</v>
      </c>
      <c r="J339" s="75">
        <v>0.3483</v>
      </c>
      <c r="K339" s="91">
        <f>+'Base personal'!$H339*'Base personal'!$J339*'Base personal'!$L339</f>
        <v>0.3483</v>
      </c>
      <c r="L339" s="91">
        <v>1</v>
      </c>
      <c r="M339" s="93">
        <f t="shared" si="14"/>
        <v>0</v>
      </c>
      <c r="N339" s="94" t="e">
        <f>M339/VLOOKUP(B339&amp;C339,base!$C$2:$E$27,3,0)</f>
        <v>#N/A</v>
      </c>
    </row>
    <row r="340" spans="1:14" s="91" customFormat="1" x14ac:dyDescent="0.25">
      <c r="A340" s="92">
        <v>44168</v>
      </c>
      <c r="B340" s="91" t="s">
        <v>115</v>
      </c>
      <c r="E340" s="91" t="s">
        <v>44</v>
      </c>
      <c r="F340" s="91" t="s">
        <v>13</v>
      </c>
      <c r="H340" s="90">
        <v>1</v>
      </c>
      <c r="I340" s="108">
        <v>1</v>
      </c>
      <c r="J340" s="75">
        <v>0.3483</v>
      </c>
      <c r="K340" s="91">
        <f>+'Base personal'!$H340*'Base personal'!$J340*'Base personal'!$L340</f>
        <v>3.4830000000000001</v>
      </c>
      <c r="L340" s="91">
        <v>10</v>
      </c>
      <c r="M340" s="93">
        <f t="shared" si="14"/>
        <v>0</v>
      </c>
      <c r="N340" s="94" t="e">
        <f>M340/VLOOKUP(B340&amp;C340,base!$C$2:$E$27,3,0)</f>
        <v>#N/A</v>
      </c>
    </row>
    <row r="341" spans="1:14" s="91" customFormat="1" x14ac:dyDescent="0.25">
      <c r="A341" s="92">
        <v>44181</v>
      </c>
      <c r="B341" s="91" t="s">
        <v>29</v>
      </c>
      <c r="C341" s="91" t="s">
        <v>85</v>
      </c>
      <c r="D341" s="91">
        <v>157</v>
      </c>
      <c r="E341" s="91" t="s">
        <v>72</v>
      </c>
      <c r="F341" s="91" t="s">
        <v>13</v>
      </c>
      <c r="G341" s="91">
        <v>820</v>
      </c>
      <c r="H341" s="90">
        <f>+'Base personal'!$G341/'Base personal'!$L341</f>
        <v>82</v>
      </c>
      <c r="I341" s="108">
        <f>VLOOKUP(B341&amp;C341,base!$C$2:$E$27,3,0)</f>
        <v>90</v>
      </c>
      <c r="J341" s="108">
        <f>VLOOKUP(B341&amp;C341,base!$C$2:$F$27,4,0)</f>
        <v>8.5211111111111112E-3</v>
      </c>
      <c r="K341" s="91">
        <f>+'Base personal'!$H341*'Base personal'!$J341*'Base personal'!$L341</f>
        <v>6.9873111111111106</v>
      </c>
      <c r="L341" s="91">
        <v>10</v>
      </c>
      <c r="M341" s="93">
        <f t="shared" si="14"/>
        <v>82</v>
      </c>
      <c r="N341" s="94">
        <f>M341/VLOOKUP(B341&amp;C341,base!$C$2:$E$27,3,0)</f>
        <v>0.91111111111111109</v>
      </c>
    </row>
    <row r="342" spans="1:14" s="91" customFormat="1" x14ac:dyDescent="0.25">
      <c r="A342" s="92">
        <v>44181</v>
      </c>
      <c r="B342" s="91" t="s">
        <v>29</v>
      </c>
      <c r="C342" s="91" t="s">
        <v>86</v>
      </c>
      <c r="D342" s="91">
        <v>158</v>
      </c>
      <c r="E342" s="91" t="s">
        <v>72</v>
      </c>
      <c r="F342" s="91" t="s">
        <v>13</v>
      </c>
      <c r="G342" s="91">
        <v>50</v>
      </c>
      <c r="H342" s="90">
        <f>+'Base personal'!$G342/'Base personal'!$L342</f>
        <v>50</v>
      </c>
      <c r="I342" s="108">
        <f>VLOOKUP(B342&amp;C342,base!$C$2:$E$27,3,0)</f>
        <v>75</v>
      </c>
      <c r="J342" s="108">
        <f>VLOOKUP(B342&amp;C342,base!$C$2:$F$27,4,0)</f>
        <v>1.0225333333333333E-2</v>
      </c>
      <c r="K342" s="91">
        <f>+'Base personal'!$H342*'Base personal'!$J342*'Base personal'!$L342</f>
        <v>0.51126666666666665</v>
      </c>
      <c r="L342" s="91">
        <v>1</v>
      </c>
      <c r="M342" s="93">
        <f t="shared" si="14"/>
        <v>50</v>
      </c>
      <c r="N342" s="94">
        <f>M342/VLOOKUP(B342&amp;C342,base!$C$2:$E$27,3,0)</f>
        <v>0.66666666666666663</v>
      </c>
    </row>
    <row r="343" spans="1:14" s="91" customFormat="1" x14ac:dyDescent="0.25">
      <c r="A343" s="92">
        <v>44183</v>
      </c>
      <c r="B343" s="91" t="s">
        <v>113</v>
      </c>
      <c r="C343" s="91" t="s">
        <v>71</v>
      </c>
      <c r="D343" s="91">
        <v>208</v>
      </c>
      <c r="E343" s="91" t="s">
        <v>102</v>
      </c>
      <c r="F343" s="91" t="s">
        <v>13</v>
      </c>
      <c r="G343" s="91">
        <v>540</v>
      </c>
      <c r="H343" s="90">
        <f>+'Base personal'!$G343/'Base personal'!$L343</f>
        <v>54</v>
      </c>
      <c r="I343" s="108">
        <f>VLOOKUP(B343&amp;C343,base!$C$2:$E$27,3,0)</f>
        <v>45</v>
      </c>
      <c r="J343" s="108">
        <f>VLOOKUP(B343&amp;C343,base!$C$2:$F$27,4,0)</f>
        <v>1.1361111111111112E-2</v>
      </c>
      <c r="K343" s="91">
        <f>+'Base personal'!$H343*'Base personal'!$J343*'Base personal'!$L343</f>
        <v>6.1350000000000007</v>
      </c>
      <c r="L343" s="91">
        <v>10</v>
      </c>
      <c r="M343" s="93">
        <f t="shared" si="14"/>
        <v>54</v>
      </c>
      <c r="N343" s="94">
        <f>M343/VLOOKUP(B343&amp;C343,base!$C$2:$E$27,3,0)</f>
        <v>1.2</v>
      </c>
    </row>
    <row r="344" spans="1:14" s="91" customFormat="1" x14ac:dyDescent="0.25">
      <c r="A344" s="92">
        <v>44183</v>
      </c>
      <c r="B344" s="91" t="s">
        <v>36</v>
      </c>
      <c r="C344" s="91" t="s">
        <v>45</v>
      </c>
      <c r="D344" s="91">
        <v>381</v>
      </c>
      <c r="E344" s="91" t="s">
        <v>69</v>
      </c>
      <c r="F344" s="91" t="s">
        <v>13</v>
      </c>
      <c r="G344" s="91">
        <v>512</v>
      </c>
      <c r="H344" s="90">
        <f>+'Base personal'!$G344/'Base personal'!$L344</f>
        <v>256</v>
      </c>
      <c r="I344" s="108">
        <f>VLOOKUP(B344&amp;C344,base!$C$2:$E$27,3,0)</f>
        <v>500</v>
      </c>
      <c r="J344" s="108">
        <f>VLOOKUP(B344&amp;C344,base!$C$2:$F$27,4,0)</f>
        <v>1.0225E-3</v>
      </c>
      <c r="K344" s="91">
        <f>+'Base personal'!$H344*'Base personal'!$J344*'Base personal'!$L344</f>
        <v>0.52351999999999999</v>
      </c>
      <c r="L344" s="91">
        <v>2</v>
      </c>
      <c r="M344" s="93">
        <f t="shared" si="14"/>
        <v>256</v>
      </c>
      <c r="N344" s="94">
        <f>M344/VLOOKUP(B344&amp;C344,base!$C$2:$E$27,3,0)</f>
        <v>0.51200000000000001</v>
      </c>
    </row>
    <row r="345" spans="1:14" s="91" customFormat="1" x14ac:dyDescent="0.25">
      <c r="A345" s="92">
        <v>44183</v>
      </c>
      <c r="B345" s="91" t="s">
        <v>111</v>
      </c>
      <c r="C345" s="91" t="s">
        <v>62</v>
      </c>
      <c r="D345" s="91" t="s">
        <v>279</v>
      </c>
      <c r="E345" s="91" t="s">
        <v>69</v>
      </c>
      <c r="F345" s="91" t="s">
        <v>13</v>
      </c>
      <c r="G345" s="113">
        <v>498.66666666666669</v>
      </c>
      <c r="H345" s="90">
        <f>+'Base personal'!$G345/'Base personal'!$L345</f>
        <v>62.333333333333336</v>
      </c>
      <c r="I345" s="108">
        <f>VLOOKUP(B345&amp;C345,base!$C$2:$E$27,3,0)</f>
        <v>92</v>
      </c>
      <c r="J345" s="108">
        <f>VLOOKUP(B345&amp;C345,base!$C$2:$F$27,4,0)</f>
        <v>5.5570652173913045E-3</v>
      </c>
      <c r="K345" s="91">
        <f>+'Base personal'!$H345*'Base personal'!$J345*'Base personal'!$L345</f>
        <v>2.7711231884057974</v>
      </c>
      <c r="L345" s="91">
        <v>8</v>
      </c>
      <c r="M345" s="93">
        <f t="shared" si="14"/>
        <v>62.333333333333336</v>
      </c>
      <c r="N345" s="94">
        <f>M345/VLOOKUP(B345&amp;C345,base!$C$2:$E$27,3,0)</f>
        <v>0.67753623188405798</v>
      </c>
    </row>
    <row r="346" spans="1:14" s="91" customFormat="1" x14ac:dyDescent="0.25">
      <c r="A346" s="92">
        <v>44183</v>
      </c>
      <c r="B346" s="91" t="s">
        <v>111</v>
      </c>
      <c r="C346" s="91" t="s">
        <v>62</v>
      </c>
      <c r="D346" s="91" t="s">
        <v>279</v>
      </c>
      <c r="E346" s="91" t="s">
        <v>63</v>
      </c>
      <c r="F346" s="91" t="s">
        <v>13</v>
      </c>
      <c r="G346" s="113">
        <v>748</v>
      </c>
      <c r="H346" s="90">
        <f>+'Base personal'!$G346/'Base personal'!$L346</f>
        <v>74.8</v>
      </c>
      <c r="I346" s="108">
        <f>VLOOKUP(B346&amp;C346,base!$C$2:$E$27,3,0)</f>
        <v>92</v>
      </c>
      <c r="J346" s="108">
        <f>VLOOKUP(B346&amp;C346,base!$C$2:$F$27,4,0)</f>
        <v>5.5570652173913045E-3</v>
      </c>
      <c r="K346" s="91">
        <f>+'Base personal'!$H346*'Base personal'!$J346*'Base personal'!$L346</f>
        <v>4.1566847826086954</v>
      </c>
      <c r="L346" s="91">
        <v>10</v>
      </c>
      <c r="M346" s="93">
        <f t="shared" si="14"/>
        <v>74.8</v>
      </c>
      <c r="N346" s="94">
        <f>M346/VLOOKUP(B346&amp;C346,base!$C$2:$E$27,3,0)</f>
        <v>0.81304347826086953</v>
      </c>
    </row>
    <row r="347" spans="1:14" s="91" customFormat="1" x14ac:dyDescent="0.25">
      <c r="A347" s="92">
        <v>44183</v>
      </c>
      <c r="B347" s="91" t="s">
        <v>111</v>
      </c>
      <c r="C347" s="91" t="s">
        <v>62</v>
      </c>
      <c r="D347" s="91" t="s">
        <v>279</v>
      </c>
      <c r="E347" s="91" t="s">
        <v>64</v>
      </c>
      <c r="F347" s="91" t="s">
        <v>13</v>
      </c>
      <c r="G347" s="113">
        <v>748</v>
      </c>
      <c r="H347" s="90">
        <f>+'Base personal'!$G347/'Base personal'!$L347</f>
        <v>74.8</v>
      </c>
      <c r="I347" s="108">
        <f>VLOOKUP(B347&amp;C347,base!$C$2:$E$27,3,0)</f>
        <v>92</v>
      </c>
      <c r="J347" s="108">
        <f>VLOOKUP(B347&amp;C347,base!$C$2:$F$27,4,0)</f>
        <v>5.5570652173913045E-3</v>
      </c>
      <c r="K347" s="91">
        <f>+'Base personal'!$H347*'Base personal'!$J347*'Base personal'!$L347</f>
        <v>4.1566847826086954</v>
      </c>
      <c r="L347" s="91">
        <v>10</v>
      </c>
      <c r="M347" s="93">
        <f t="shared" si="14"/>
        <v>74.8</v>
      </c>
      <c r="N347" s="94">
        <f>M347/VLOOKUP(B347&amp;C347,base!$C$2:$E$27,3,0)</f>
        <v>0.81304347826086953</v>
      </c>
    </row>
    <row r="348" spans="1:14" s="91" customFormat="1" x14ac:dyDescent="0.25">
      <c r="A348" s="92">
        <v>44183</v>
      </c>
      <c r="B348" s="91" t="s">
        <v>111</v>
      </c>
      <c r="C348" s="91" t="s">
        <v>62</v>
      </c>
      <c r="D348" s="91" t="s">
        <v>279</v>
      </c>
      <c r="E348" s="91" t="s">
        <v>57</v>
      </c>
      <c r="F348" s="91" t="s">
        <v>13</v>
      </c>
      <c r="G348" s="113">
        <v>748</v>
      </c>
      <c r="H348" s="90">
        <f>+'Base personal'!$G348/'Base personal'!$L348</f>
        <v>74.8</v>
      </c>
      <c r="I348" s="108">
        <f>VLOOKUP(B348&amp;C348,base!$C$2:$E$27,3,0)</f>
        <v>92</v>
      </c>
      <c r="J348" s="108">
        <f>VLOOKUP(B348&amp;C348,base!$C$2:$F$27,4,0)</f>
        <v>5.5570652173913045E-3</v>
      </c>
      <c r="K348" s="91">
        <f>+'Base personal'!$H348*'Base personal'!$J348*'Base personal'!$L348</f>
        <v>4.1566847826086954</v>
      </c>
      <c r="L348" s="91">
        <v>10</v>
      </c>
      <c r="M348" s="93">
        <f t="shared" si="14"/>
        <v>74.8</v>
      </c>
      <c r="N348" s="94">
        <f>M348/VLOOKUP(B348&amp;C348,base!$C$2:$E$27,3,0)</f>
        <v>0.81304347826086953</v>
      </c>
    </row>
    <row r="349" spans="1:14" s="91" customFormat="1" x14ac:dyDescent="0.25">
      <c r="A349" s="92">
        <v>44183</v>
      </c>
      <c r="B349" s="91" t="s">
        <v>111</v>
      </c>
      <c r="C349" s="91" t="s">
        <v>62</v>
      </c>
      <c r="D349" s="91" t="s">
        <v>279</v>
      </c>
      <c r="E349" s="91" t="s">
        <v>43</v>
      </c>
      <c r="F349" s="91" t="s">
        <v>13</v>
      </c>
      <c r="G349" s="113">
        <v>498.66666666666669</v>
      </c>
      <c r="H349" s="90">
        <f>+'Base personal'!$G349/'Base personal'!$L349</f>
        <v>62.333333333333336</v>
      </c>
      <c r="I349" s="108">
        <f>VLOOKUP(B349&amp;C349,base!$C$2:$E$27,3,0)</f>
        <v>92</v>
      </c>
      <c r="J349" s="108">
        <f>VLOOKUP(B349&amp;C349,base!$C$2:$F$27,4,0)</f>
        <v>5.5570652173913045E-3</v>
      </c>
      <c r="K349" s="91">
        <f>+'Base personal'!$H349*'Base personal'!$J349*'Base personal'!$L349</f>
        <v>2.7711231884057974</v>
      </c>
      <c r="L349" s="91">
        <v>8</v>
      </c>
      <c r="M349" s="93">
        <f t="shared" si="14"/>
        <v>62.333333333333336</v>
      </c>
      <c r="N349" s="94">
        <f>M349/VLOOKUP(B349&amp;C349,base!$C$2:$E$27,3,0)</f>
        <v>0.67753623188405798</v>
      </c>
    </row>
    <row r="350" spans="1:14" s="91" customFormat="1" x14ac:dyDescent="0.25">
      <c r="A350" s="92">
        <v>44183</v>
      </c>
      <c r="B350" s="91" t="s">
        <v>111</v>
      </c>
      <c r="C350" s="91" t="s">
        <v>62</v>
      </c>
      <c r="D350" s="91" t="s">
        <v>279</v>
      </c>
      <c r="E350" s="91" t="s">
        <v>56</v>
      </c>
      <c r="F350" s="91" t="s">
        <v>13</v>
      </c>
      <c r="G350" s="113">
        <v>498.66666666666669</v>
      </c>
      <c r="H350" s="90">
        <f>+'Base personal'!$G350/'Base personal'!$L350</f>
        <v>62.333333333333336</v>
      </c>
      <c r="I350" s="108">
        <f>VLOOKUP(B350&amp;C350,base!$C$2:$E$27,3,0)</f>
        <v>92</v>
      </c>
      <c r="J350" s="108">
        <f>VLOOKUP(B350&amp;C350,base!$C$2:$F$27,4,0)</f>
        <v>5.5570652173913045E-3</v>
      </c>
      <c r="K350" s="91">
        <f>+'Base personal'!$H350*'Base personal'!$J350*'Base personal'!$L350</f>
        <v>2.7711231884057974</v>
      </c>
      <c r="L350" s="91">
        <v>8</v>
      </c>
      <c r="M350" s="93">
        <f t="shared" si="14"/>
        <v>62.333333333333336</v>
      </c>
      <c r="N350" s="94">
        <f>M350/VLOOKUP(B350&amp;C350,base!$C$2:$E$27,3,0)</f>
        <v>0.67753623188405798</v>
      </c>
    </row>
    <row r="351" spans="1:14" s="91" customFormat="1" x14ac:dyDescent="0.25">
      <c r="A351" s="92">
        <v>44184</v>
      </c>
      <c r="B351" s="91" t="s">
        <v>111</v>
      </c>
      <c r="C351" s="91" t="s">
        <v>62</v>
      </c>
      <c r="D351" s="91">
        <v>798</v>
      </c>
      <c r="E351" s="91" t="s">
        <v>56</v>
      </c>
      <c r="F351" s="91" t="s">
        <v>13</v>
      </c>
      <c r="G351" s="91">
        <v>711.6</v>
      </c>
      <c r="H351" s="90">
        <f>+'Base personal'!$G351/'Base personal'!$L351</f>
        <v>71.16</v>
      </c>
      <c r="I351" s="108">
        <f>VLOOKUP(B351&amp;C351,base!$C$2:$E$27,3,0)</f>
        <v>92</v>
      </c>
      <c r="J351" s="108">
        <f>VLOOKUP(B351&amp;C351,base!$C$2:$F$27,4,0)</f>
        <v>5.5570652173913045E-3</v>
      </c>
      <c r="K351" s="91">
        <f>+'Base personal'!$H351*'Base personal'!$J351*'Base personal'!$L351</f>
        <v>3.9544076086956519</v>
      </c>
      <c r="L351" s="91">
        <v>10</v>
      </c>
      <c r="M351" s="93">
        <f t="shared" si="14"/>
        <v>71.16</v>
      </c>
      <c r="N351" s="94">
        <f>M351/VLOOKUP(B351&amp;C351,base!$C$2:$E$27,3,0)</f>
        <v>0.77347826086956517</v>
      </c>
    </row>
    <row r="352" spans="1:14" s="91" customFormat="1" x14ac:dyDescent="0.25">
      <c r="A352" s="92">
        <v>44184</v>
      </c>
      <c r="B352" s="91" t="s">
        <v>111</v>
      </c>
      <c r="C352" s="91" t="s">
        <v>62</v>
      </c>
      <c r="D352" s="91">
        <v>798</v>
      </c>
      <c r="E352" s="91" t="s">
        <v>57</v>
      </c>
      <c r="F352" s="91" t="s">
        <v>13</v>
      </c>
      <c r="G352" s="91">
        <v>711.6</v>
      </c>
      <c r="H352" s="90">
        <f>+'Base personal'!$G352/'Base personal'!$L352</f>
        <v>71.16</v>
      </c>
      <c r="I352" s="108">
        <f>VLOOKUP(B352&amp;C352,base!$C$2:$E$27,3,0)</f>
        <v>92</v>
      </c>
      <c r="J352" s="108">
        <f>VLOOKUP(B352&amp;C352,base!$C$2:$F$27,4,0)</f>
        <v>5.5570652173913045E-3</v>
      </c>
      <c r="K352" s="91">
        <f>+'Base personal'!$H352*'Base personal'!$J352*'Base personal'!$L352</f>
        <v>3.9544076086956519</v>
      </c>
      <c r="L352" s="91">
        <v>10</v>
      </c>
      <c r="M352" s="93">
        <f t="shared" si="14"/>
        <v>71.16</v>
      </c>
      <c r="N352" s="94">
        <f>M352/VLOOKUP(B352&amp;C352,base!$C$2:$E$27,3,0)</f>
        <v>0.77347826086956517</v>
      </c>
    </row>
    <row r="353" spans="1:14" s="91" customFormat="1" x14ac:dyDescent="0.25">
      <c r="A353" s="92">
        <v>44184</v>
      </c>
      <c r="B353" s="91" t="s">
        <v>111</v>
      </c>
      <c r="C353" s="91" t="s">
        <v>62</v>
      </c>
      <c r="D353" s="91">
        <v>798</v>
      </c>
      <c r="E353" s="91" t="s">
        <v>69</v>
      </c>
      <c r="F353" s="91" t="s">
        <v>13</v>
      </c>
      <c r="G353" s="91">
        <v>355.79999999999995</v>
      </c>
      <c r="H353" s="90">
        <f>+'Base personal'!$G353/'Base personal'!$L353</f>
        <v>59.29999999999999</v>
      </c>
      <c r="I353" s="108">
        <f>VLOOKUP(B353&amp;C353,base!$C$2:$E$27,3,0)</f>
        <v>92</v>
      </c>
      <c r="J353" s="108">
        <f>VLOOKUP(B353&amp;C353,base!$C$2:$F$27,4,0)</f>
        <v>5.5570652173913045E-3</v>
      </c>
      <c r="K353" s="91">
        <f>+'Base personal'!$H353*'Base personal'!$J353*'Base personal'!$L353</f>
        <v>1.9772038043478259</v>
      </c>
      <c r="L353" s="91">
        <v>6</v>
      </c>
      <c r="M353" s="93">
        <f t="shared" si="14"/>
        <v>59.29999999999999</v>
      </c>
      <c r="N353" s="94">
        <f>M353/VLOOKUP(B353&amp;C353,base!$C$2:$E$27,3,0)</f>
        <v>0.64456521739130423</v>
      </c>
    </row>
    <row r="354" spans="1:14" s="91" customFormat="1" x14ac:dyDescent="0.25">
      <c r="A354" s="92">
        <v>44186</v>
      </c>
      <c r="B354" s="91" t="s">
        <v>111</v>
      </c>
      <c r="C354" s="91" t="s">
        <v>62</v>
      </c>
      <c r="D354" s="91">
        <v>800</v>
      </c>
      <c r="E354" s="91" t="s">
        <v>57</v>
      </c>
      <c r="F354" s="91" t="s">
        <v>13</v>
      </c>
      <c r="G354" s="113">
        <v>731.26666666666677</v>
      </c>
      <c r="H354" s="90">
        <f>+'Base personal'!$G354/'Base personal'!$L354</f>
        <v>73.126666666666679</v>
      </c>
      <c r="I354" s="108">
        <f>VLOOKUP(B354&amp;C354,base!$C$2:$E$27,3,0)</f>
        <v>92</v>
      </c>
      <c r="J354" s="108">
        <f>VLOOKUP(B354&amp;C354,base!$C$2:$F$27,4,0)</f>
        <v>5.5570652173913045E-3</v>
      </c>
      <c r="K354" s="91">
        <f>+'Base personal'!$H354*'Base personal'!$J354*'Base personal'!$L354</f>
        <v>4.0636965579710154</v>
      </c>
      <c r="L354" s="91">
        <v>10</v>
      </c>
      <c r="M354" s="93">
        <f t="shared" si="14"/>
        <v>73.126666666666679</v>
      </c>
      <c r="N354" s="94">
        <f>M354/VLOOKUP(B354&amp;C354,base!$C$2:$E$27,3,0)</f>
        <v>0.7948550724637683</v>
      </c>
    </row>
    <row r="355" spans="1:14" s="91" customFormat="1" x14ac:dyDescent="0.25">
      <c r="A355" s="92">
        <v>44186</v>
      </c>
      <c r="B355" s="91" t="s">
        <v>111</v>
      </c>
      <c r="C355" s="91" t="s">
        <v>62</v>
      </c>
      <c r="D355" s="91">
        <v>800</v>
      </c>
      <c r="E355" s="91" t="s">
        <v>69</v>
      </c>
      <c r="F355" s="91" t="s">
        <v>13</v>
      </c>
      <c r="G355" s="113">
        <v>731.26666666666677</v>
      </c>
      <c r="H355" s="90">
        <f>+'Base personal'!$G355/'Base personal'!$L355</f>
        <v>73.126666666666679</v>
      </c>
      <c r="I355" s="108">
        <f>VLOOKUP(B355&amp;C355,base!$C$2:$E$27,3,0)</f>
        <v>92</v>
      </c>
      <c r="J355" s="108">
        <f>VLOOKUP(B355&amp;C355,base!$C$2:$F$27,4,0)</f>
        <v>5.5570652173913045E-3</v>
      </c>
      <c r="K355" s="91">
        <f>+'Base personal'!$H355*'Base personal'!$J355*'Base personal'!$L355</f>
        <v>4.0636965579710154</v>
      </c>
      <c r="L355" s="91">
        <v>10</v>
      </c>
      <c r="M355" s="93">
        <f t="shared" si="14"/>
        <v>73.126666666666679</v>
      </c>
      <c r="N355" s="94">
        <f>M355/VLOOKUP(B355&amp;C355,base!$C$2:$E$27,3,0)</f>
        <v>0.7948550724637683</v>
      </c>
    </row>
    <row r="356" spans="1:14" s="91" customFormat="1" x14ac:dyDescent="0.25">
      <c r="A356" s="92">
        <v>44186</v>
      </c>
      <c r="B356" s="91" t="s">
        <v>111</v>
      </c>
      <c r="C356" s="91" t="s">
        <v>62</v>
      </c>
      <c r="D356" s="91">
        <v>800</v>
      </c>
      <c r="E356" s="91" t="s">
        <v>64</v>
      </c>
      <c r="F356" s="91" t="s">
        <v>13</v>
      </c>
      <c r="G356" s="113">
        <v>731.26666666666677</v>
      </c>
      <c r="H356" s="90">
        <f>+'Base personal'!$G356/'Base personal'!$L356</f>
        <v>73.126666666666679</v>
      </c>
      <c r="I356" s="108">
        <f>VLOOKUP(B356&amp;C356,base!$C$2:$E$27,3,0)</f>
        <v>92</v>
      </c>
      <c r="J356" s="108">
        <f>VLOOKUP(B356&amp;C356,base!$C$2:$F$27,4,0)</f>
        <v>5.5570652173913045E-3</v>
      </c>
      <c r="K356" s="91">
        <f>+'Base personal'!$H356*'Base personal'!$J356*'Base personal'!$L356</f>
        <v>4.0636965579710154</v>
      </c>
      <c r="L356" s="91">
        <v>10</v>
      </c>
      <c r="M356" s="93">
        <f t="shared" si="14"/>
        <v>73.126666666666679</v>
      </c>
      <c r="N356" s="94">
        <f>M356/VLOOKUP(B356&amp;C356,base!$C$2:$E$27,3,0)</f>
        <v>0.7948550724637683</v>
      </c>
    </row>
    <row r="357" spans="1:14" s="91" customFormat="1" x14ac:dyDescent="0.25">
      <c r="A357" s="92">
        <v>44186</v>
      </c>
      <c r="B357" s="91" t="s">
        <v>111</v>
      </c>
      <c r="C357" s="91" t="s">
        <v>62</v>
      </c>
      <c r="D357" s="91">
        <v>800</v>
      </c>
      <c r="E357" s="91" t="s">
        <v>96</v>
      </c>
      <c r="F357" s="91" t="s">
        <v>13</v>
      </c>
      <c r="G357" s="91">
        <v>438.75999999999993</v>
      </c>
      <c r="H357" s="90">
        <f>+'Base personal'!$G357/'Base personal'!$L357</f>
        <v>62.679999999999993</v>
      </c>
      <c r="I357" s="108">
        <f>VLOOKUP(B357&amp;C357,base!$C$2:$E$27,3,0)</f>
        <v>92</v>
      </c>
      <c r="J357" s="108">
        <f>VLOOKUP(B357&amp;C357,base!$C$2:$F$27,4,0)</f>
        <v>5.5570652173913045E-3</v>
      </c>
      <c r="K357" s="91">
        <f>+'Base personal'!$H357*'Base personal'!$J357*'Base personal'!$L357</f>
        <v>2.4382179347826085</v>
      </c>
      <c r="L357" s="91">
        <v>7</v>
      </c>
      <c r="M357" s="93">
        <f t="shared" si="14"/>
        <v>62.679999999999993</v>
      </c>
      <c r="N357" s="94">
        <f>M357/VLOOKUP(B357&amp;C357,base!$C$2:$E$27,3,0)</f>
        <v>0.68130434782608684</v>
      </c>
    </row>
    <row r="358" spans="1:14" s="91" customFormat="1" x14ac:dyDescent="0.25">
      <c r="A358" s="92">
        <v>44186</v>
      </c>
      <c r="B358" s="91" t="s">
        <v>115</v>
      </c>
      <c r="E358" s="91" t="s">
        <v>96</v>
      </c>
      <c r="F358" s="91" t="s">
        <v>13</v>
      </c>
      <c r="H358" s="90">
        <v>1</v>
      </c>
      <c r="I358" s="108">
        <v>1</v>
      </c>
      <c r="J358" s="75">
        <v>0.3483</v>
      </c>
      <c r="K358" s="91">
        <f>+'Base personal'!$H358*'Base personal'!$J358*'Base personal'!$L358</f>
        <v>1.0448999999999999</v>
      </c>
      <c r="L358" s="91">
        <v>3</v>
      </c>
      <c r="M358" s="93">
        <f t="shared" si="14"/>
        <v>0</v>
      </c>
      <c r="N358" s="94" t="e">
        <f>M358/VLOOKUP(B358&amp;C358,base!$C$2:$E$27,3,0)</f>
        <v>#N/A</v>
      </c>
    </row>
    <row r="359" spans="1:14" s="91" customFormat="1" x14ac:dyDescent="0.25">
      <c r="A359" s="92">
        <v>44186</v>
      </c>
      <c r="B359" s="91" t="s">
        <v>111</v>
      </c>
      <c r="C359" s="91" t="s">
        <v>62</v>
      </c>
      <c r="D359" s="91">
        <v>800</v>
      </c>
      <c r="E359" s="91" t="s">
        <v>56</v>
      </c>
      <c r="F359" s="91" t="s">
        <v>13</v>
      </c>
      <c r="G359" s="91">
        <v>501.43999999999994</v>
      </c>
      <c r="H359" s="90">
        <f>+'Base personal'!$G359/'Base personal'!$L359</f>
        <v>62.679999999999993</v>
      </c>
      <c r="I359" s="108">
        <f>VLOOKUP(B359&amp;C359,base!$C$2:$E$27,3,0)</f>
        <v>92</v>
      </c>
      <c r="J359" s="108">
        <f>VLOOKUP(B359&amp;C359,base!$C$2:$F$27,4,0)</f>
        <v>5.5570652173913045E-3</v>
      </c>
      <c r="K359" s="91">
        <f>+'Base personal'!$H359*'Base personal'!$J359*'Base personal'!$L359</f>
        <v>2.7865347826086952</v>
      </c>
      <c r="L359" s="91">
        <v>8</v>
      </c>
      <c r="M359" s="93">
        <f t="shared" si="14"/>
        <v>62.679999999999993</v>
      </c>
      <c r="N359" s="94">
        <f>M359/VLOOKUP(B359&amp;C359,base!$C$2:$E$27,3,0)</f>
        <v>0.68130434782608684</v>
      </c>
    </row>
    <row r="360" spans="1:14" s="91" customFormat="1" x14ac:dyDescent="0.25">
      <c r="A360" s="92">
        <v>44186</v>
      </c>
      <c r="B360" s="91" t="s">
        <v>38</v>
      </c>
      <c r="E360" s="91" t="s">
        <v>56</v>
      </c>
      <c r="F360" s="91" t="s">
        <v>13</v>
      </c>
      <c r="H360" s="90">
        <v>1</v>
      </c>
      <c r="I360" s="108">
        <v>1</v>
      </c>
      <c r="J360" s="75">
        <v>0.3483</v>
      </c>
      <c r="K360" s="91">
        <f>+'Base personal'!$H360*'Base personal'!$J360*'Base personal'!$L360</f>
        <v>0.6966</v>
      </c>
      <c r="L360" s="91">
        <v>2</v>
      </c>
      <c r="M360" s="93">
        <f t="shared" si="14"/>
        <v>0</v>
      </c>
      <c r="N360" s="94" t="e">
        <f>M360/VLOOKUP(B360&amp;C360,base!$C$2:$E$27,3,0)</f>
        <v>#N/A</v>
      </c>
    </row>
    <row r="361" spans="1:14" s="91" customFormat="1" x14ac:dyDescent="0.25">
      <c r="A361" s="92">
        <v>44186</v>
      </c>
      <c r="B361" s="91" t="s">
        <v>113</v>
      </c>
      <c r="C361" s="91" t="s">
        <v>71</v>
      </c>
      <c r="E361" s="91" t="s">
        <v>44</v>
      </c>
      <c r="F361" s="91" t="s">
        <v>13</v>
      </c>
      <c r="G361" s="91">
        <v>161.5</v>
      </c>
      <c r="H361" s="90">
        <f>+'Base personal'!$G361/'Base personal'!$L361</f>
        <v>16.149999999999999</v>
      </c>
      <c r="I361" s="108">
        <f>VLOOKUP(B361&amp;C361,base!$C$2:$E$27,3,0)</f>
        <v>45</v>
      </c>
      <c r="J361" s="108">
        <f>VLOOKUP(B361&amp;C361,base!$C$2:$F$27,4,0)</f>
        <v>1.1361111111111112E-2</v>
      </c>
      <c r="K361" s="91">
        <f>+'Base personal'!$H361*'Base personal'!$J361*'Base personal'!$L361</f>
        <v>1.8348194444444443</v>
      </c>
      <c r="L361" s="91">
        <v>10</v>
      </c>
      <c r="M361" s="93">
        <f t="shared" si="14"/>
        <v>16.149999999999999</v>
      </c>
      <c r="N361" s="94">
        <f>M361/VLOOKUP(B361&amp;C361,base!$C$2:$E$27,3,0)</f>
        <v>0.35888888888888887</v>
      </c>
    </row>
    <row r="362" spans="1:14" s="91" customFormat="1" x14ac:dyDescent="0.25">
      <c r="A362" s="92">
        <v>44186</v>
      </c>
      <c r="B362" s="91" t="s">
        <v>113</v>
      </c>
      <c r="C362" s="91" t="s">
        <v>71</v>
      </c>
      <c r="E362" s="91" t="s">
        <v>58</v>
      </c>
      <c r="F362" s="91" t="s">
        <v>13</v>
      </c>
      <c r="G362" s="91">
        <v>161.5</v>
      </c>
      <c r="H362" s="90">
        <f>+'Base personal'!$G362/'Base personal'!$L362</f>
        <v>16.149999999999999</v>
      </c>
      <c r="I362" s="108">
        <f>VLOOKUP(B362&amp;C362,base!$C$2:$E$27,3,0)</f>
        <v>45</v>
      </c>
      <c r="J362" s="108">
        <f>VLOOKUP(B362&amp;C362,base!$C$2:$F$27,4,0)</f>
        <v>1.1361111111111112E-2</v>
      </c>
      <c r="K362" s="91">
        <f>+'Base personal'!$H362*'Base personal'!$J362*'Base personal'!$L362</f>
        <v>1.8348194444444443</v>
      </c>
      <c r="L362" s="91">
        <v>10</v>
      </c>
      <c r="M362" s="93">
        <f t="shared" si="14"/>
        <v>16.149999999999999</v>
      </c>
      <c r="N362" s="94">
        <f>M362/VLOOKUP(B362&amp;C362,base!$C$2:$E$27,3,0)</f>
        <v>0.35888888888888887</v>
      </c>
    </row>
    <row r="363" spans="1:14" s="91" customFormat="1" x14ac:dyDescent="0.25">
      <c r="A363" s="92">
        <v>44186</v>
      </c>
      <c r="B363" s="91" t="s">
        <v>40</v>
      </c>
      <c r="E363" s="91" t="s">
        <v>169</v>
      </c>
      <c r="F363" s="91" t="s">
        <v>13</v>
      </c>
      <c r="H363" s="90">
        <v>1</v>
      </c>
      <c r="I363" s="108">
        <v>1</v>
      </c>
      <c r="J363" s="75">
        <v>0.3483</v>
      </c>
      <c r="K363" s="91">
        <f>+'Base personal'!$H363*'Base personal'!$J363*'Base personal'!$L363</f>
        <v>3.4830000000000001</v>
      </c>
      <c r="L363" s="91">
        <v>10</v>
      </c>
      <c r="M363" s="93">
        <f t="shared" si="14"/>
        <v>0</v>
      </c>
      <c r="N363" s="94" t="e">
        <f>M363/VLOOKUP(B363&amp;C363,base!$C$2:$E$27,3,0)</f>
        <v>#N/A</v>
      </c>
    </row>
    <row r="364" spans="1:14" s="91" customFormat="1" x14ac:dyDescent="0.25">
      <c r="A364" s="92">
        <v>44186</v>
      </c>
      <c r="B364" s="91" t="s">
        <v>115</v>
      </c>
      <c r="C364" s="91" t="s">
        <v>280</v>
      </c>
      <c r="E364" s="91" t="s">
        <v>281</v>
      </c>
      <c r="F364" s="91" t="s">
        <v>13</v>
      </c>
      <c r="H364" s="90">
        <v>1</v>
      </c>
      <c r="I364" s="108">
        <v>1</v>
      </c>
      <c r="J364" s="75">
        <v>0.3483</v>
      </c>
      <c r="K364" s="91">
        <f>+'Base personal'!$H364*'Base personal'!$J364*'Base personal'!$L364</f>
        <v>3.4830000000000001</v>
      </c>
      <c r="L364" s="91">
        <v>10</v>
      </c>
      <c r="M364" s="93">
        <f t="shared" si="14"/>
        <v>0</v>
      </c>
      <c r="N364" s="94" t="e">
        <f>M364/VLOOKUP(B364&amp;C364,base!$C$2:$E$27,3,0)</f>
        <v>#N/A</v>
      </c>
    </row>
    <row r="365" spans="1:14" s="91" customFormat="1" x14ac:dyDescent="0.25">
      <c r="A365" s="92">
        <v>44186</v>
      </c>
      <c r="B365" s="91" t="s">
        <v>41</v>
      </c>
      <c r="E365" s="91" t="s">
        <v>168</v>
      </c>
      <c r="F365" s="91" t="s">
        <v>13</v>
      </c>
      <c r="H365" s="90">
        <v>1</v>
      </c>
      <c r="I365" s="108">
        <v>1</v>
      </c>
      <c r="J365" s="75">
        <v>0.3483</v>
      </c>
      <c r="K365" s="91">
        <f>+'Base personal'!$H365*'Base personal'!$J365*'Base personal'!$L365</f>
        <v>3.4830000000000001</v>
      </c>
      <c r="L365" s="91">
        <v>10</v>
      </c>
      <c r="M365" s="93">
        <f t="shared" si="14"/>
        <v>0</v>
      </c>
      <c r="N365" s="94" t="e">
        <f>M365/VLOOKUP(B365&amp;C365,base!$C$2:$E$27,3,0)</f>
        <v>#N/A</v>
      </c>
    </row>
    <row r="366" spans="1:14" s="91" customFormat="1" x14ac:dyDescent="0.25">
      <c r="A366" s="92">
        <v>44187</v>
      </c>
      <c r="B366" s="91" t="s">
        <v>111</v>
      </c>
      <c r="C366" s="91" t="s">
        <v>62</v>
      </c>
      <c r="D366" s="91">
        <v>801</v>
      </c>
      <c r="E366" s="91" t="s">
        <v>12</v>
      </c>
      <c r="F366" s="91" t="s">
        <v>13</v>
      </c>
      <c r="G366" s="91">
        <f>1416/2</f>
        <v>708</v>
      </c>
      <c r="H366" s="90">
        <f>+'Base personal'!$G366/'Base personal'!$L366</f>
        <v>94.4</v>
      </c>
      <c r="I366" s="108">
        <f>VLOOKUP(B366&amp;C366,base!$C$2:$E$27,3,0)</f>
        <v>92</v>
      </c>
      <c r="J366" s="108">
        <f>VLOOKUP(B366&amp;C366,base!$C$2:$F$27,4,0)</f>
        <v>5.5570652173913045E-3</v>
      </c>
      <c r="K366" s="91">
        <f>+'Base personal'!$H366*'Base personal'!$J366*'Base personal'!$L366</f>
        <v>3.9344021739130435</v>
      </c>
      <c r="L366" s="91">
        <v>7.5</v>
      </c>
      <c r="M366" s="93">
        <f t="shared" si="14"/>
        <v>94.4</v>
      </c>
      <c r="N366" s="94">
        <f>M366/VLOOKUP(B366&amp;C366,base!$C$2:$E$27,3,0)</f>
        <v>1.0260869565217392</v>
      </c>
    </row>
    <row r="367" spans="1:14" s="91" customFormat="1" x14ac:dyDescent="0.25">
      <c r="A367" s="92">
        <v>44187</v>
      </c>
      <c r="B367" s="91" t="s">
        <v>38</v>
      </c>
      <c r="E367" s="91" t="s">
        <v>12</v>
      </c>
      <c r="F367" s="91" t="s">
        <v>13</v>
      </c>
      <c r="H367" s="90">
        <v>1</v>
      </c>
      <c r="I367" s="108">
        <v>1</v>
      </c>
      <c r="J367" s="75">
        <v>0.3483</v>
      </c>
      <c r="K367" s="91">
        <f>+'Base personal'!$H367*'Base personal'!$J367*'Base personal'!$L367</f>
        <v>0.3483</v>
      </c>
      <c r="L367" s="91">
        <v>1</v>
      </c>
      <c r="M367" s="93">
        <f t="shared" si="14"/>
        <v>0</v>
      </c>
      <c r="N367" s="94" t="e">
        <f>M367/VLOOKUP(B367&amp;C367,base!$C$2:$E$27,3,0)</f>
        <v>#N/A</v>
      </c>
    </row>
    <row r="368" spans="1:14" s="91" customFormat="1" x14ac:dyDescent="0.25">
      <c r="A368" s="92">
        <v>44187</v>
      </c>
      <c r="B368" s="91" t="s">
        <v>111</v>
      </c>
      <c r="C368" s="91" t="s">
        <v>62</v>
      </c>
      <c r="D368" s="91">
        <v>801</v>
      </c>
      <c r="E368" s="91" t="s">
        <v>69</v>
      </c>
      <c r="F368" s="91" t="s">
        <v>13</v>
      </c>
      <c r="G368" s="91">
        <f>1416/2</f>
        <v>708</v>
      </c>
      <c r="H368" s="90">
        <f>+'Base personal'!$G368/'Base personal'!$L368</f>
        <v>94.4</v>
      </c>
      <c r="I368" s="108">
        <f>VLOOKUP(B368&amp;C368,base!$C$2:$E$27,3,0)</f>
        <v>92</v>
      </c>
      <c r="J368" s="108">
        <f>VLOOKUP(B368&amp;C368,base!$C$2:$F$27,4,0)</f>
        <v>5.5570652173913045E-3</v>
      </c>
      <c r="K368" s="91">
        <f>+'Base personal'!$H368*'Base personal'!$J368*'Base personal'!$L368</f>
        <v>3.9344021739130435</v>
      </c>
      <c r="L368" s="91">
        <v>7.5</v>
      </c>
      <c r="M368" s="93">
        <f t="shared" si="14"/>
        <v>94.4</v>
      </c>
      <c r="N368" s="94">
        <f>M368/VLOOKUP(B368&amp;C368,base!$C$2:$E$27,3,0)</f>
        <v>1.0260869565217392</v>
      </c>
    </row>
    <row r="369" spans="1:14" s="91" customFormat="1" x14ac:dyDescent="0.25">
      <c r="A369" s="92">
        <v>44187</v>
      </c>
      <c r="B369" s="91" t="s">
        <v>38</v>
      </c>
      <c r="E369" s="91" t="s">
        <v>69</v>
      </c>
      <c r="F369" s="91" t="s">
        <v>13</v>
      </c>
      <c r="H369" s="90">
        <v>1</v>
      </c>
      <c r="I369" s="108">
        <v>1</v>
      </c>
      <c r="J369" s="75">
        <v>0.3483</v>
      </c>
      <c r="K369" s="91">
        <f>+'Base personal'!$H369*'Base personal'!$J369*'Base personal'!$L369</f>
        <v>0.3483</v>
      </c>
      <c r="L369" s="91">
        <v>1</v>
      </c>
      <c r="M369" s="93">
        <f t="shared" si="14"/>
        <v>0</v>
      </c>
      <c r="N369" s="94" t="e">
        <f>M369/VLOOKUP(B369&amp;C369,base!$C$2:$E$27,3,0)</f>
        <v>#N/A</v>
      </c>
    </row>
    <row r="370" spans="1:14" s="91" customFormat="1" x14ac:dyDescent="0.25">
      <c r="A370" s="92">
        <v>44187</v>
      </c>
      <c r="B370" s="91" t="s">
        <v>33</v>
      </c>
      <c r="C370" s="91" t="s">
        <v>45</v>
      </c>
      <c r="D370" s="91" t="s">
        <v>282</v>
      </c>
      <c r="E370" s="91" t="s">
        <v>44</v>
      </c>
      <c r="F370" s="91" t="s">
        <v>13</v>
      </c>
      <c r="G370" s="91">
        <f>706+1536</f>
        <v>2242</v>
      </c>
      <c r="H370" s="90">
        <f>+'Base personal'!$G370/'Base personal'!$L370</f>
        <v>407.63636363636363</v>
      </c>
      <c r="I370" s="108">
        <f>VLOOKUP(B370&amp;C370,base!$C$2:$E$27,3,0)</f>
        <v>700</v>
      </c>
      <c r="J370" s="108">
        <f>VLOOKUP(B370&amp;C370,base!$C$2:$F$27,4,0)</f>
        <v>1.0955714285714286E-3</v>
      </c>
      <c r="K370" s="91">
        <f>+'Base personal'!$H370*'Base personal'!$J370*'Base personal'!$L370</f>
        <v>2.4562711428571427</v>
      </c>
      <c r="L370" s="91">
        <v>5.5</v>
      </c>
      <c r="M370" s="93">
        <f t="shared" si="14"/>
        <v>407.63636363636363</v>
      </c>
      <c r="N370" s="94">
        <f>M370/VLOOKUP(B370&amp;C370,base!$C$2:$E$27,3,0)</f>
        <v>0.58233766233766238</v>
      </c>
    </row>
    <row r="371" spans="1:14" s="91" customFormat="1" x14ac:dyDescent="0.25">
      <c r="A371" s="92">
        <v>44187</v>
      </c>
      <c r="B371" s="91" t="s">
        <v>115</v>
      </c>
      <c r="E371" s="91" t="s">
        <v>44</v>
      </c>
      <c r="F371" s="91" t="s">
        <v>13</v>
      </c>
      <c r="H371" s="90">
        <v>1</v>
      </c>
      <c r="I371" s="108">
        <v>1</v>
      </c>
      <c r="J371" s="75">
        <v>0.3483</v>
      </c>
      <c r="K371" s="91">
        <f>+'Base personal'!$H371*'Base personal'!$J371*'Base personal'!$L371</f>
        <v>1.0448999999999999</v>
      </c>
      <c r="L371" s="91">
        <v>3</v>
      </c>
      <c r="M371" s="93">
        <f t="shared" si="14"/>
        <v>0</v>
      </c>
      <c r="N371" s="94" t="e">
        <f>M371/VLOOKUP(B371&amp;C371,base!$C$2:$E$27,3,0)</f>
        <v>#N/A</v>
      </c>
    </row>
    <row r="372" spans="1:14" s="91" customFormat="1" x14ac:dyDescent="0.25">
      <c r="A372" s="92">
        <v>44187</v>
      </c>
      <c r="B372" s="91" t="s">
        <v>34</v>
      </c>
      <c r="C372" s="91" t="s">
        <v>45</v>
      </c>
      <c r="D372" s="91" t="s">
        <v>283</v>
      </c>
      <c r="E372" s="91" t="s">
        <v>194</v>
      </c>
      <c r="F372" s="91" t="s">
        <v>13</v>
      </c>
      <c r="G372" s="91">
        <f>1225+2775</f>
        <v>4000</v>
      </c>
      <c r="H372" s="90">
        <f>+'Base personal'!$G372/'Base personal'!$L372</f>
        <v>533.33333333333337</v>
      </c>
      <c r="I372" s="108">
        <f>VLOOKUP(B372&amp;C372,base!$C$2:$E$27,3,0)</f>
        <v>700</v>
      </c>
      <c r="J372" s="108">
        <f>VLOOKUP(B372&amp;C372,base!$C$2:$F$27,4,0)</f>
        <v>1.0955714285714286E-3</v>
      </c>
      <c r="K372" s="91">
        <f>+'Base personal'!$H372*'Base personal'!$J372*'Base personal'!$L372</f>
        <v>4.3822857142857146</v>
      </c>
      <c r="L372" s="91">
        <v>7.5</v>
      </c>
      <c r="M372" s="93">
        <f t="shared" si="14"/>
        <v>533.33333333333337</v>
      </c>
      <c r="N372" s="94">
        <f>M372/VLOOKUP(B372&amp;C372,base!$C$2:$E$27,3,0)</f>
        <v>0.76190476190476197</v>
      </c>
    </row>
    <row r="373" spans="1:14" s="91" customFormat="1" x14ac:dyDescent="0.25">
      <c r="A373" s="92">
        <v>44187</v>
      </c>
      <c r="B373" s="91" t="s">
        <v>34</v>
      </c>
      <c r="C373" s="91" t="s">
        <v>45</v>
      </c>
      <c r="D373" s="91" t="s">
        <v>284</v>
      </c>
      <c r="E373" s="91" t="s">
        <v>43</v>
      </c>
      <c r="F373" s="91" t="s">
        <v>170</v>
      </c>
      <c r="G373" s="91">
        <f>325+2825+3750</f>
        <v>6900</v>
      </c>
      <c r="H373" s="90">
        <f>+'Base personal'!$G373/'Base personal'!$L373</f>
        <v>627.27272727272725</v>
      </c>
      <c r="I373" s="108">
        <f>VLOOKUP(B373&amp;C373,base!$C$2:$E$27,3,0)</f>
        <v>700</v>
      </c>
      <c r="J373" s="108">
        <f>VLOOKUP(B373&amp;C373,base!$C$2:$F$27,4,0)</f>
        <v>1.0955714285714286E-3</v>
      </c>
      <c r="K373" s="91">
        <f>+'Base personal'!$H373*'Base personal'!$J373*'Base personal'!$L373</f>
        <v>7.5594428571428569</v>
      </c>
      <c r="L373" s="91">
        <v>11</v>
      </c>
      <c r="M373" s="93">
        <f t="shared" si="14"/>
        <v>627.27272727272725</v>
      </c>
      <c r="N373" s="94">
        <f>M373/VLOOKUP(B373&amp;C373,base!$C$2:$E$27,3,0)</f>
        <v>0.89610389610389607</v>
      </c>
    </row>
    <row r="374" spans="1:14" s="91" customFormat="1" x14ac:dyDescent="0.25">
      <c r="A374" s="92">
        <v>44187</v>
      </c>
      <c r="B374" s="91" t="s">
        <v>115</v>
      </c>
      <c r="E374" s="91" t="s">
        <v>56</v>
      </c>
      <c r="F374" s="91" t="s">
        <v>13</v>
      </c>
      <c r="H374" s="90">
        <v>1</v>
      </c>
      <c r="I374" s="108">
        <v>1</v>
      </c>
      <c r="J374" s="75">
        <v>0.3483</v>
      </c>
      <c r="K374" s="91">
        <f>+'Base personal'!$H374*'Base personal'!$J374*'Base personal'!$L374</f>
        <v>2.96055</v>
      </c>
      <c r="L374" s="91">
        <v>8.5</v>
      </c>
      <c r="M374" s="93">
        <f t="shared" si="14"/>
        <v>0</v>
      </c>
      <c r="N374" s="94" t="e">
        <f>M374/VLOOKUP(B374&amp;C374,base!$C$2:$E$27,3,0)</f>
        <v>#N/A</v>
      </c>
    </row>
    <row r="375" spans="1:14" s="91" customFormat="1" x14ac:dyDescent="0.25">
      <c r="A375" s="92">
        <v>44187</v>
      </c>
      <c r="B375" s="91" t="s">
        <v>115</v>
      </c>
      <c r="C375" s="91" t="s">
        <v>71</v>
      </c>
      <c r="E375" s="91" t="s">
        <v>58</v>
      </c>
      <c r="F375" s="91" t="s">
        <v>13</v>
      </c>
      <c r="H375" s="90">
        <v>1</v>
      </c>
      <c r="I375" s="108">
        <v>1</v>
      </c>
      <c r="J375" s="75">
        <v>0.3483</v>
      </c>
      <c r="K375" s="91">
        <f>+'Base personal'!$H375*'Base personal'!$J375*'Base personal'!$L375</f>
        <v>1.9156500000000001</v>
      </c>
      <c r="L375" s="91">
        <v>5.5</v>
      </c>
      <c r="M375" s="93">
        <f t="shared" si="14"/>
        <v>0</v>
      </c>
      <c r="N375" s="94" t="e">
        <f>M375/VLOOKUP(B375&amp;C375,base!$C$2:$E$27,3,0)</f>
        <v>#N/A</v>
      </c>
    </row>
    <row r="376" spans="1:14" s="91" customFormat="1" x14ac:dyDescent="0.25">
      <c r="A376" s="92">
        <v>44187</v>
      </c>
      <c r="B376" s="91" t="s">
        <v>115</v>
      </c>
      <c r="C376" s="91" t="s">
        <v>71</v>
      </c>
      <c r="E376" s="91" t="s">
        <v>236</v>
      </c>
      <c r="F376" s="91" t="s">
        <v>13</v>
      </c>
      <c r="H376" s="90">
        <v>1</v>
      </c>
      <c r="I376" s="108">
        <v>1</v>
      </c>
      <c r="J376" s="75">
        <v>0.3483</v>
      </c>
      <c r="K376" s="91">
        <f>+'Base personal'!$H376*'Base personal'!$J376*'Base personal'!$L376</f>
        <v>1.9156500000000001</v>
      </c>
      <c r="L376" s="91">
        <v>5.5</v>
      </c>
      <c r="M376" s="93">
        <f t="shared" si="14"/>
        <v>0</v>
      </c>
      <c r="N376" s="94" t="e">
        <f>M376/VLOOKUP(B376&amp;C376,base!$C$2:$E$27,3,0)</f>
        <v>#N/A</v>
      </c>
    </row>
    <row r="377" spans="1:14" s="91" customFormat="1" x14ac:dyDescent="0.25">
      <c r="A377" s="92">
        <v>44187</v>
      </c>
      <c r="B377" s="91" t="s">
        <v>115</v>
      </c>
      <c r="E377" s="91" t="s">
        <v>58</v>
      </c>
      <c r="F377" s="91" t="s">
        <v>13</v>
      </c>
      <c r="H377" s="90">
        <v>1</v>
      </c>
      <c r="I377" s="108">
        <v>1</v>
      </c>
      <c r="J377" s="75">
        <v>0.3483</v>
      </c>
      <c r="K377" s="91">
        <f>+'Base personal'!$H377*'Base personal'!$J377*'Base personal'!$L377</f>
        <v>1.0448999999999999</v>
      </c>
      <c r="L377" s="91">
        <v>3</v>
      </c>
      <c r="M377" s="93">
        <f t="shared" si="14"/>
        <v>0</v>
      </c>
      <c r="N377" s="94" t="e">
        <f>M377/VLOOKUP(B377&amp;C377,base!$C$2:$E$27,3,0)</f>
        <v>#N/A</v>
      </c>
    </row>
    <row r="378" spans="1:14" s="91" customFormat="1" x14ac:dyDescent="0.25">
      <c r="A378" s="92">
        <v>44187</v>
      </c>
      <c r="B378" s="91" t="s">
        <v>115</v>
      </c>
      <c r="E378" s="91" t="s">
        <v>236</v>
      </c>
      <c r="F378" s="91" t="s">
        <v>13</v>
      </c>
      <c r="H378" s="90">
        <v>1</v>
      </c>
      <c r="I378" s="108">
        <v>1</v>
      </c>
      <c r="J378" s="75">
        <v>0.3483</v>
      </c>
      <c r="K378" s="91">
        <f>+'Base personal'!$H378*'Base personal'!$J378*'Base personal'!$L378</f>
        <v>1.0448999999999999</v>
      </c>
      <c r="L378" s="91">
        <v>3</v>
      </c>
      <c r="M378" s="93">
        <f t="shared" si="14"/>
        <v>0</v>
      </c>
      <c r="N378" s="94" t="e">
        <f>M378/VLOOKUP(B378&amp;C378,base!$C$2:$E$27,3,0)</f>
        <v>#N/A</v>
      </c>
    </row>
    <row r="379" spans="1:14" s="91" customFormat="1" x14ac:dyDescent="0.25">
      <c r="A379" s="92">
        <v>44187</v>
      </c>
      <c r="B379" s="91" t="s">
        <v>115</v>
      </c>
      <c r="C379" s="91" t="s">
        <v>280</v>
      </c>
      <c r="E379" s="91" t="s">
        <v>77</v>
      </c>
      <c r="F379" s="91" t="s">
        <v>13</v>
      </c>
      <c r="H379" s="90">
        <v>1</v>
      </c>
      <c r="I379" s="108">
        <v>1</v>
      </c>
      <c r="J379" s="75">
        <v>0.3483</v>
      </c>
      <c r="K379" s="91">
        <f>+'Base personal'!$H379*'Base personal'!$J379*'Base personal'!$L379</f>
        <v>2.96055</v>
      </c>
      <c r="L379" s="91">
        <v>8.5</v>
      </c>
      <c r="M379" s="93">
        <f t="shared" si="14"/>
        <v>0</v>
      </c>
      <c r="N379" s="94" t="e">
        <f>M379/VLOOKUP(B379&amp;C379,base!$C$2:$E$27,3,0)</f>
        <v>#N/A</v>
      </c>
    </row>
    <row r="380" spans="1:14" s="91" customFormat="1" x14ac:dyDescent="0.25">
      <c r="A380" s="92">
        <v>44166</v>
      </c>
      <c r="B380" s="91" t="s">
        <v>115</v>
      </c>
      <c r="C380" s="91" t="s">
        <v>280</v>
      </c>
      <c r="E380" s="91" t="s">
        <v>97</v>
      </c>
      <c r="F380" s="91" t="s">
        <v>13</v>
      </c>
      <c r="G380" s="127"/>
      <c r="H380" s="90">
        <v>1</v>
      </c>
      <c r="I380" s="108">
        <v>1</v>
      </c>
      <c r="J380" s="75">
        <v>0.3483</v>
      </c>
      <c r="K380" s="91">
        <f>+'Base personal'!$H380*'Base personal'!$J380*'Base personal'!$L380</f>
        <v>3.4830000000000001</v>
      </c>
      <c r="L380" s="91">
        <v>10</v>
      </c>
      <c r="M380" s="93">
        <f t="shared" si="14"/>
        <v>0</v>
      </c>
      <c r="N380" s="94" t="e">
        <f>M380/VLOOKUP(B380&amp;C380,base!$C$2:$E$27,3,0)</f>
        <v>#N/A</v>
      </c>
    </row>
    <row r="381" spans="1:14" s="91" customFormat="1" x14ac:dyDescent="0.25">
      <c r="A381" s="92">
        <v>44166</v>
      </c>
      <c r="B381" s="91" t="s">
        <v>115</v>
      </c>
      <c r="E381" s="91" t="s">
        <v>102</v>
      </c>
      <c r="F381" s="91" t="s">
        <v>13</v>
      </c>
      <c r="H381" s="90">
        <v>1</v>
      </c>
      <c r="I381" s="108">
        <v>1</v>
      </c>
      <c r="J381" s="75">
        <v>0.3483</v>
      </c>
      <c r="K381" s="91">
        <f>+'Base personal'!$H381*'Base personal'!$J381*'Base personal'!$L381</f>
        <v>3.4830000000000001</v>
      </c>
      <c r="L381" s="91">
        <v>10</v>
      </c>
      <c r="M381" s="93">
        <f t="shared" si="14"/>
        <v>0</v>
      </c>
      <c r="N381" s="94" t="e">
        <f>M381/VLOOKUP(B381&amp;C381,base!$C$2:$E$27,3,0)</f>
        <v>#N/A</v>
      </c>
    </row>
    <row r="382" spans="1:14" s="91" customFormat="1" x14ac:dyDescent="0.25">
      <c r="A382" s="92">
        <v>44166</v>
      </c>
      <c r="B382" s="91" t="s">
        <v>41</v>
      </c>
      <c r="E382" s="91" t="s">
        <v>236</v>
      </c>
      <c r="F382" s="91" t="s">
        <v>13</v>
      </c>
      <c r="H382" s="90">
        <v>1</v>
      </c>
      <c r="I382" s="108">
        <v>1</v>
      </c>
      <c r="J382" s="75">
        <v>0.3483</v>
      </c>
      <c r="K382" s="91">
        <f>+'Base personal'!$H382*'Base personal'!$J382*'Base personal'!$L382</f>
        <v>3.4830000000000001</v>
      </c>
      <c r="L382" s="91">
        <v>10</v>
      </c>
      <c r="M382" s="93">
        <f t="shared" si="14"/>
        <v>0</v>
      </c>
      <c r="N382" s="94" t="e">
        <f>M382/VLOOKUP(B382&amp;C382,base!$C$2:$E$27,3,0)</f>
        <v>#N/A</v>
      </c>
    </row>
    <row r="383" spans="1:14" s="91" customFormat="1" x14ac:dyDescent="0.25">
      <c r="A383" s="92">
        <v>44166</v>
      </c>
      <c r="B383" s="91" t="s">
        <v>40</v>
      </c>
      <c r="E383" s="91" t="s">
        <v>169</v>
      </c>
      <c r="F383" s="91" t="s">
        <v>13</v>
      </c>
      <c r="H383" s="90">
        <v>1</v>
      </c>
      <c r="I383" s="108">
        <v>1</v>
      </c>
      <c r="J383" s="75">
        <v>0.3483</v>
      </c>
      <c r="K383" s="91">
        <f>+'Base personal'!$H383*'Base personal'!$J383*'Base personal'!$L383</f>
        <v>3.4830000000000001</v>
      </c>
      <c r="L383" s="91">
        <v>10</v>
      </c>
      <c r="M383" s="93">
        <f t="shared" si="14"/>
        <v>0</v>
      </c>
      <c r="N383" s="94" t="e">
        <f>M383/VLOOKUP(B383&amp;C383,base!$C$2:$E$27,3,0)</f>
        <v>#N/A</v>
      </c>
    </row>
    <row r="384" spans="1:14" s="91" customFormat="1" x14ac:dyDescent="0.25">
      <c r="A384" s="92">
        <v>44166</v>
      </c>
      <c r="B384" s="91" t="s">
        <v>41</v>
      </c>
      <c r="E384" s="91" t="s">
        <v>281</v>
      </c>
      <c r="F384" s="91" t="s">
        <v>13</v>
      </c>
      <c r="H384" s="90">
        <v>1</v>
      </c>
      <c r="I384" s="108">
        <v>1</v>
      </c>
      <c r="J384" s="75">
        <v>0.3483</v>
      </c>
      <c r="K384" s="91">
        <f>+'Base personal'!$H384*'Base personal'!$J384*'Base personal'!$L384</f>
        <v>3.4830000000000001</v>
      </c>
      <c r="L384" s="91">
        <v>10</v>
      </c>
      <c r="M384" s="93">
        <f t="shared" si="14"/>
        <v>0</v>
      </c>
      <c r="N384" s="94" t="e">
        <f>M384/VLOOKUP(B384&amp;C384,base!$C$2:$E$27,3,0)</f>
        <v>#N/A</v>
      </c>
    </row>
    <row r="385" spans="1:14" s="91" customFormat="1" x14ac:dyDescent="0.25">
      <c r="A385" s="92">
        <v>44166</v>
      </c>
      <c r="B385" s="91" t="s">
        <v>41</v>
      </c>
      <c r="E385" s="91" t="s">
        <v>168</v>
      </c>
      <c r="F385" s="91" t="s">
        <v>13</v>
      </c>
      <c r="H385" s="90">
        <v>1</v>
      </c>
      <c r="I385" s="108">
        <v>1</v>
      </c>
      <c r="J385" s="75">
        <v>0.3483</v>
      </c>
      <c r="K385" s="91">
        <f>+'Base personal'!$H385*'Base personal'!$J385*'Base personal'!$L385</f>
        <v>3.4830000000000001</v>
      </c>
      <c r="L385" s="91">
        <v>10</v>
      </c>
      <c r="M385" s="93">
        <f t="shared" si="14"/>
        <v>0</v>
      </c>
      <c r="N385" s="94" t="e">
        <f>M385/VLOOKUP(B385&amp;C385,base!$C$2:$E$27,3,0)</f>
        <v>#N/A</v>
      </c>
    </row>
    <row r="386" spans="1:14" s="91" customFormat="1" x14ac:dyDescent="0.25">
      <c r="A386" s="92">
        <v>44167</v>
      </c>
      <c r="B386" s="91" t="s">
        <v>40</v>
      </c>
      <c r="E386" s="91" t="s">
        <v>169</v>
      </c>
      <c r="F386" s="91" t="s">
        <v>13</v>
      </c>
      <c r="H386" s="90">
        <v>1</v>
      </c>
      <c r="I386" s="108">
        <v>1</v>
      </c>
      <c r="J386" s="75">
        <v>0.3483</v>
      </c>
      <c r="K386" s="91">
        <f>+'Base personal'!$H386*'Base personal'!$J386*'Base personal'!$L386</f>
        <v>3.4830000000000001</v>
      </c>
      <c r="L386" s="91">
        <v>10</v>
      </c>
      <c r="M386" s="93">
        <f t="shared" si="14"/>
        <v>0</v>
      </c>
      <c r="N386" s="94" t="e">
        <f>M386/VLOOKUP(B386&amp;C386,base!$C$2:$E$27,3,0)</f>
        <v>#N/A</v>
      </c>
    </row>
    <row r="387" spans="1:14" s="91" customFormat="1" x14ac:dyDescent="0.25">
      <c r="A387" s="92">
        <v>44167</v>
      </c>
      <c r="B387" s="91" t="s">
        <v>115</v>
      </c>
      <c r="E387" s="91" t="s">
        <v>72</v>
      </c>
      <c r="F387" s="91" t="s">
        <v>170</v>
      </c>
      <c r="H387" s="90">
        <v>1</v>
      </c>
      <c r="I387" s="108">
        <v>1</v>
      </c>
      <c r="J387" s="75">
        <v>0.3483</v>
      </c>
      <c r="K387" s="91">
        <f>+'Base personal'!$H387*'Base personal'!$J387*'Base personal'!$L387</f>
        <v>3.4830000000000001</v>
      </c>
      <c r="L387" s="91">
        <v>10</v>
      </c>
      <c r="M387" s="93">
        <f t="shared" si="14"/>
        <v>0</v>
      </c>
      <c r="N387" s="94" t="e">
        <f>M387/VLOOKUP(B387&amp;C387,base!$C$2:$E$27,3,0)</f>
        <v>#N/A</v>
      </c>
    </row>
    <row r="388" spans="1:14" s="91" customFormat="1" x14ac:dyDescent="0.25">
      <c r="A388" s="92">
        <v>44167</v>
      </c>
      <c r="B388" s="91" t="s">
        <v>41</v>
      </c>
      <c r="E388" s="91" t="s">
        <v>281</v>
      </c>
      <c r="F388" s="91" t="s">
        <v>13</v>
      </c>
      <c r="H388" s="90">
        <v>1</v>
      </c>
      <c r="I388" s="108">
        <v>1</v>
      </c>
      <c r="J388" s="75">
        <v>0.3483</v>
      </c>
      <c r="K388" s="91">
        <f>+'Base personal'!$H388*'Base personal'!$J388*'Base personal'!$L388</f>
        <v>3.4830000000000001</v>
      </c>
      <c r="L388" s="91">
        <v>10</v>
      </c>
      <c r="M388" s="93">
        <f t="shared" si="14"/>
        <v>0</v>
      </c>
      <c r="N388" s="94" t="e">
        <f>M388/VLOOKUP(B388&amp;C388,base!$C$2:$E$27,3,0)</f>
        <v>#N/A</v>
      </c>
    </row>
    <row r="389" spans="1:14" s="91" customFormat="1" x14ac:dyDescent="0.25">
      <c r="A389" s="92">
        <v>44167</v>
      </c>
      <c r="B389" s="91" t="s">
        <v>41</v>
      </c>
      <c r="E389" s="91" t="s">
        <v>168</v>
      </c>
      <c r="F389" s="91" t="s">
        <v>13</v>
      </c>
      <c r="H389" s="90">
        <v>1</v>
      </c>
      <c r="I389" s="108">
        <v>1</v>
      </c>
      <c r="J389" s="75">
        <v>0.3483</v>
      </c>
      <c r="K389" s="91">
        <f>+'Base personal'!$H389*'Base personal'!$J389*'Base personal'!$L389</f>
        <v>3.4830000000000001</v>
      </c>
      <c r="L389" s="91">
        <v>10</v>
      </c>
      <c r="M389" s="93">
        <f t="shared" si="14"/>
        <v>0</v>
      </c>
      <c r="N389" s="94" t="e">
        <f>M389/VLOOKUP(B389&amp;C389,base!$C$2:$E$27,3,0)</f>
        <v>#N/A</v>
      </c>
    </row>
    <row r="390" spans="1:14" s="91" customFormat="1" x14ac:dyDescent="0.25">
      <c r="A390" s="92">
        <v>44167</v>
      </c>
      <c r="B390" s="91" t="s">
        <v>111</v>
      </c>
      <c r="C390" s="91" t="s">
        <v>62</v>
      </c>
      <c r="D390" s="91" t="s">
        <v>298</v>
      </c>
      <c r="E390" s="91" t="s">
        <v>57</v>
      </c>
      <c r="F390" s="91" t="s">
        <v>13</v>
      </c>
      <c r="G390" s="91">
        <v>738.3</v>
      </c>
      <c r="H390" s="90">
        <f>+'Base personal'!$G390/'Base personal'!$L390</f>
        <v>73.83</v>
      </c>
      <c r="I390" s="108">
        <f>VLOOKUP(B390&amp;C390,base!$C$2:$E$27,3,0)</f>
        <v>92</v>
      </c>
      <c r="J390" s="108">
        <f>VLOOKUP(B390&amp;C390,base!$C$2:$F$27,4,0)</f>
        <v>5.5570652173913045E-3</v>
      </c>
      <c r="K390" s="91">
        <f>+'Base personal'!$H390*'Base personal'!$J390*'Base personal'!$L390</f>
        <v>4.1027812499999996</v>
      </c>
      <c r="L390" s="91">
        <v>10</v>
      </c>
      <c r="M390" s="93">
        <f t="shared" si="14"/>
        <v>73.83</v>
      </c>
      <c r="N390" s="94">
        <f>M390/VLOOKUP(B390&amp;C390,base!$C$2:$E$27,3,0)</f>
        <v>0.80249999999999999</v>
      </c>
    </row>
    <row r="391" spans="1:14" s="91" customFormat="1" x14ac:dyDescent="0.25">
      <c r="A391" s="92">
        <v>44167</v>
      </c>
      <c r="B391" s="91" t="s">
        <v>111</v>
      </c>
      <c r="C391" s="91" t="s">
        <v>62</v>
      </c>
      <c r="D391" s="91" t="s">
        <v>298</v>
      </c>
      <c r="E391" s="91" t="s">
        <v>69</v>
      </c>
      <c r="F391" s="91" t="s">
        <v>13</v>
      </c>
      <c r="G391" s="91">
        <v>738.3</v>
      </c>
      <c r="H391" s="90">
        <f>+'Base personal'!$G391/'Base personal'!$L391</f>
        <v>73.83</v>
      </c>
      <c r="I391" s="108">
        <f>VLOOKUP(B391&amp;C391,base!$C$2:$E$27,3,0)</f>
        <v>92</v>
      </c>
      <c r="J391" s="108">
        <f>VLOOKUP(B391&amp;C391,base!$C$2:$F$27,4,0)</f>
        <v>5.5570652173913045E-3</v>
      </c>
      <c r="K391" s="91">
        <f>+'Base personal'!$H391*'Base personal'!$J391*'Base personal'!$L391</f>
        <v>4.1027812499999996</v>
      </c>
      <c r="L391" s="91">
        <v>10</v>
      </c>
      <c r="M391" s="93">
        <f t="shared" si="14"/>
        <v>73.83</v>
      </c>
      <c r="N391" s="94">
        <f>M391/VLOOKUP(B391&amp;C391,base!$C$2:$E$27,3,0)</f>
        <v>0.80249999999999999</v>
      </c>
    </row>
    <row r="392" spans="1:14" s="91" customFormat="1" x14ac:dyDescent="0.25">
      <c r="A392" s="92">
        <v>44167</v>
      </c>
      <c r="B392" s="91" t="s">
        <v>111</v>
      </c>
      <c r="C392" s="91" t="s">
        <v>62</v>
      </c>
      <c r="D392" s="91" t="s">
        <v>298</v>
      </c>
      <c r="E392" s="91" t="s">
        <v>12</v>
      </c>
      <c r="F392" s="91" t="s">
        <v>13</v>
      </c>
      <c r="G392" s="91">
        <v>738.3</v>
      </c>
      <c r="H392" s="90">
        <f>+'Base personal'!$G392/'Base personal'!$L392</f>
        <v>73.83</v>
      </c>
      <c r="I392" s="108">
        <f>VLOOKUP(B392&amp;C392,base!$C$2:$E$27,3,0)</f>
        <v>92</v>
      </c>
      <c r="J392" s="108">
        <f>VLOOKUP(B392&amp;C392,base!$C$2:$F$27,4,0)</f>
        <v>5.5570652173913045E-3</v>
      </c>
      <c r="K392" s="91">
        <f>+'Base personal'!$H392*'Base personal'!$J392*'Base personal'!$L392</f>
        <v>4.1027812499999996</v>
      </c>
      <c r="L392" s="91">
        <v>10</v>
      </c>
      <c r="M392" s="93">
        <f t="shared" si="14"/>
        <v>73.83</v>
      </c>
      <c r="N392" s="94">
        <f>M392/VLOOKUP(B392&amp;C392,base!$C$2:$E$27,3,0)</f>
        <v>0.80249999999999999</v>
      </c>
    </row>
    <row r="393" spans="1:14" s="91" customFormat="1" x14ac:dyDescent="0.25">
      <c r="A393" s="92">
        <v>44167</v>
      </c>
      <c r="B393" s="91" t="s">
        <v>111</v>
      </c>
      <c r="C393" s="91" t="s">
        <v>62</v>
      </c>
      <c r="D393" s="91" t="s">
        <v>298</v>
      </c>
      <c r="E393" s="91" t="s">
        <v>64</v>
      </c>
      <c r="F393" s="91" t="s">
        <v>13</v>
      </c>
      <c r="G393" s="91">
        <v>738.3</v>
      </c>
      <c r="H393" s="90">
        <f>+'Base personal'!$G393/'Base personal'!$L393</f>
        <v>73.83</v>
      </c>
      <c r="I393" s="108">
        <f>VLOOKUP(B393&amp;C393,base!$C$2:$E$27,3,0)</f>
        <v>92</v>
      </c>
      <c r="J393" s="108">
        <f>VLOOKUP(B393&amp;C393,base!$C$2:$F$27,4,0)</f>
        <v>5.5570652173913045E-3</v>
      </c>
      <c r="K393" s="91">
        <f>+'Base personal'!$H393*'Base personal'!$J393*'Base personal'!$L393</f>
        <v>4.1027812499999996</v>
      </c>
      <c r="L393" s="91">
        <v>10</v>
      </c>
      <c r="M393" s="93">
        <f t="shared" si="14"/>
        <v>73.83</v>
      </c>
      <c r="N393" s="94">
        <f>M393/VLOOKUP(B393&amp;C393,base!$C$2:$E$27,3,0)</f>
        <v>0.80249999999999999</v>
      </c>
    </row>
    <row r="394" spans="1:14" s="91" customFormat="1" x14ac:dyDescent="0.25">
      <c r="A394" s="92">
        <v>44167</v>
      </c>
      <c r="B394" s="91" t="s">
        <v>111</v>
      </c>
      <c r="C394" s="91" t="s">
        <v>62</v>
      </c>
      <c r="D394" s="91" t="s">
        <v>298</v>
      </c>
      <c r="E394" s="91" t="s">
        <v>63</v>
      </c>
      <c r="F394" s="91" t="s">
        <v>13</v>
      </c>
      <c r="G394" s="91">
        <v>256.8</v>
      </c>
      <c r="H394" s="90">
        <f>+'Base personal'!$G394/'Base personal'!$L394</f>
        <v>64.2</v>
      </c>
      <c r="I394" s="108">
        <f>VLOOKUP(B394&amp;C394,base!$C$2:$E$27,3,0)</f>
        <v>92</v>
      </c>
      <c r="J394" s="108">
        <f>VLOOKUP(B394&amp;C394,base!$C$2:$F$27,4,0)</f>
        <v>5.5570652173913045E-3</v>
      </c>
      <c r="K394" s="91">
        <f>+'Base personal'!$H394*'Base personal'!$J394*'Base personal'!$L394</f>
        <v>1.4270543478260871</v>
      </c>
      <c r="L394" s="91">
        <v>4</v>
      </c>
      <c r="M394" s="93">
        <f t="shared" si="14"/>
        <v>64.2</v>
      </c>
      <c r="N394" s="94">
        <f>M394/VLOOKUP(B394&amp;C394,base!$C$2:$E$27,3,0)</f>
        <v>0.69782608695652182</v>
      </c>
    </row>
    <row r="395" spans="1:14" s="91" customFormat="1" x14ac:dyDescent="0.25">
      <c r="A395" s="92">
        <v>44167</v>
      </c>
      <c r="B395" s="91" t="s">
        <v>115</v>
      </c>
      <c r="E395" s="91" t="s">
        <v>236</v>
      </c>
      <c r="F395" s="91" t="s">
        <v>13</v>
      </c>
      <c r="H395" s="90">
        <v>1</v>
      </c>
      <c r="I395" s="108">
        <v>1</v>
      </c>
      <c r="J395" s="75">
        <v>0.3483</v>
      </c>
      <c r="K395" s="91">
        <f>+'Base personal'!$H395*'Base personal'!$J395*'Base personal'!$L395</f>
        <v>3.4830000000000001</v>
      </c>
      <c r="L395" s="91">
        <v>10</v>
      </c>
      <c r="M395" s="93">
        <f t="shared" si="14"/>
        <v>0</v>
      </c>
      <c r="N395" s="94" t="e">
        <f>M395/VLOOKUP(B395&amp;C395,base!$C$2:$E$27,3,0)</f>
        <v>#N/A</v>
      </c>
    </row>
    <row r="396" spans="1:14" s="91" customFormat="1" x14ac:dyDescent="0.25">
      <c r="A396" s="92">
        <v>44168</v>
      </c>
      <c r="B396" s="91" t="s">
        <v>111</v>
      </c>
      <c r="C396" s="91" t="s">
        <v>62</v>
      </c>
      <c r="D396" s="91" t="s">
        <v>299</v>
      </c>
      <c r="E396" s="91" t="s">
        <v>69</v>
      </c>
      <c r="F396" s="91" t="s">
        <v>13</v>
      </c>
      <c r="G396" s="91">
        <v>767.25</v>
      </c>
      <c r="H396" s="90">
        <f>+'Base personal'!$G396/'Base personal'!$L396</f>
        <v>76.724999999999994</v>
      </c>
      <c r="I396" s="108">
        <f>VLOOKUP(B396&amp;C396,base!$C$2:$E$27,3,0)</f>
        <v>92</v>
      </c>
      <c r="J396" s="108">
        <f>VLOOKUP(B396&amp;C396,base!$C$2:$F$27,4,0)</f>
        <v>5.5570652173913045E-3</v>
      </c>
      <c r="K396" s="91">
        <f>+'Base personal'!$H396*'Base personal'!$J396*'Base personal'!$L396</f>
        <v>4.2636582880434784</v>
      </c>
      <c r="L396" s="91">
        <v>10</v>
      </c>
      <c r="M396" s="93">
        <f t="shared" si="14"/>
        <v>76.724999999999994</v>
      </c>
      <c r="N396" s="94">
        <f>M396/VLOOKUP(B396&amp;C396,base!$C$2:$E$27,3,0)</f>
        <v>0.83396739130434772</v>
      </c>
    </row>
    <row r="397" spans="1:14" s="91" customFormat="1" x14ac:dyDescent="0.25">
      <c r="A397" s="92">
        <v>44168</v>
      </c>
      <c r="B397" s="91" t="s">
        <v>111</v>
      </c>
      <c r="C397" s="91" t="s">
        <v>62</v>
      </c>
      <c r="D397" s="91" t="s">
        <v>299</v>
      </c>
      <c r="E397" s="91" t="s">
        <v>12</v>
      </c>
      <c r="F397" s="91" t="s">
        <v>13</v>
      </c>
      <c r="G397" s="91">
        <v>767.25</v>
      </c>
      <c r="H397" s="90">
        <f>+'Base personal'!$G397/'Base personal'!$L397</f>
        <v>76.724999999999994</v>
      </c>
      <c r="I397" s="108">
        <f>VLOOKUP(B397&amp;C397,base!$C$2:$E$27,3,0)</f>
        <v>92</v>
      </c>
      <c r="J397" s="108">
        <f>VLOOKUP(B397&amp;C397,base!$C$2:$F$27,4,0)</f>
        <v>5.5570652173913045E-3</v>
      </c>
      <c r="K397" s="91">
        <f>+'Base personal'!$H397*'Base personal'!$J397*'Base personal'!$L397</f>
        <v>4.2636582880434784</v>
      </c>
      <c r="L397" s="91">
        <v>10</v>
      </c>
      <c r="M397" s="93">
        <f t="shared" si="14"/>
        <v>76.724999999999994</v>
      </c>
      <c r="N397" s="94">
        <f>M397/VLOOKUP(B397&amp;C397,base!$C$2:$E$27,3,0)</f>
        <v>0.83396739130434772</v>
      </c>
    </row>
    <row r="398" spans="1:14" s="91" customFormat="1" x14ac:dyDescent="0.25">
      <c r="A398" s="92">
        <v>44168</v>
      </c>
      <c r="B398" s="91" t="s">
        <v>111</v>
      </c>
      <c r="C398" s="91" t="s">
        <v>62</v>
      </c>
      <c r="D398" s="91" t="s">
        <v>299</v>
      </c>
      <c r="E398" s="91" t="s">
        <v>57</v>
      </c>
      <c r="F398" s="91" t="s">
        <v>13</v>
      </c>
      <c r="G398" s="91">
        <v>767.25</v>
      </c>
      <c r="H398" s="90">
        <f>+'Base personal'!$G398/'Base personal'!$L398</f>
        <v>76.724999999999994</v>
      </c>
      <c r="I398" s="108">
        <f>VLOOKUP(B398&amp;C398,base!$C$2:$E$27,3,0)</f>
        <v>92</v>
      </c>
      <c r="J398" s="108">
        <f>VLOOKUP(B398&amp;C398,base!$C$2:$F$27,4,0)</f>
        <v>5.5570652173913045E-3</v>
      </c>
      <c r="K398" s="91">
        <f>+'Base personal'!$H398*'Base personal'!$J398*'Base personal'!$L398</f>
        <v>4.2636582880434784</v>
      </c>
      <c r="L398" s="91">
        <v>10</v>
      </c>
      <c r="M398" s="93">
        <f t="shared" si="14"/>
        <v>76.724999999999994</v>
      </c>
      <c r="N398" s="94">
        <f>M398/VLOOKUP(B398&amp;C398,base!$C$2:$E$27,3,0)</f>
        <v>0.83396739130434772</v>
      </c>
    </row>
    <row r="399" spans="1:14" s="91" customFormat="1" x14ac:dyDescent="0.25">
      <c r="A399" s="92">
        <v>44168</v>
      </c>
      <c r="B399" s="91" t="s">
        <v>111</v>
      </c>
      <c r="C399" s="91" t="s">
        <v>62</v>
      </c>
      <c r="D399" s="91" t="s">
        <v>299</v>
      </c>
      <c r="E399" s="91" t="s">
        <v>64</v>
      </c>
      <c r="F399" s="91" t="s">
        <v>13</v>
      </c>
      <c r="G399" s="91">
        <v>767.25</v>
      </c>
      <c r="H399" s="90">
        <f>+'Base personal'!$G399/'Base personal'!$L399</f>
        <v>76.724999999999994</v>
      </c>
      <c r="I399" s="108">
        <f>VLOOKUP(B399&amp;C399,base!$C$2:$E$27,3,0)</f>
        <v>92</v>
      </c>
      <c r="J399" s="108">
        <f>VLOOKUP(B399&amp;C399,base!$C$2:$F$27,4,0)</f>
        <v>5.5570652173913045E-3</v>
      </c>
      <c r="K399" s="91">
        <f>+'Base personal'!$H399*'Base personal'!$J399*'Base personal'!$L399</f>
        <v>4.2636582880434784</v>
      </c>
      <c r="L399" s="91">
        <v>10</v>
      </c>
      <c r="M399" s="93">
        <f t="shared" si="14"/>
        <v>76.724999999999994</v>
      </c>
      <c r="N399" s="94">
        <f>M399/VLOOKUP(B399&amp;C399,base!$C$2:$E$27,3,0)</f>
        <v>0.83396739130434772</v>
      </c>
    </row>
    <row r="400" spans="1:14" s="91" customFormat="1" x14ac:dyDescent="0.25">
      <c r="A400" s="92">
        <v>44168</v>
      </c>
      <c r="B400" s="91" t="s">
        <v>115</v>
      </c>
      <c r="C400" s="91" t="s">
        <v>280</v>
      </c>
      <c r="E400" s="91" t="s">
        <v>169</v>
      </c>
      <c r="F400" s="91" t="s">
        <v>13</v>
      </c>
      <c r="H400" s="90">
        <v>1</v>
      </c>
      <c r="I400" s="108">
        <v>1</v>
      </c>
      <c r="J400" s="75">
        <v>0.3483</v>
      </c>
      <c r="K400" s="91">
        <f>+'Base personal'!$H400*'Base personal'!$J400*'Base personal'!$L400</f>
        <v>3.4830000000000001</v>
      </c>
      <c r="L400" s="91">
        <v>10</v>
      </c>
      <c r="M400" s="93">
        <f t="shared" si="14"/>
        <v>0</v>
      </c>
      <c r="N400" s="94" t="e">
        <f>M400/VLOOKUP(B400&amp;C400,base!$C$2:$E$27,3,0)</f>
        <v>#N/A</v>
      </c>
    </row>
    <row r="401" spans="1:14" s="91" customFormat="1" x14ac:dyDescent="0.25">
      <c r="A401" s="92">
        <v>44168</v>
      </c>
      <c r="B401" s="91" t="s">
        <v>41</v>
      </c>
      <c r="E401" s="91" t="s">
        <v>281</v>
      </c>
      <c r="F401" s="91" t="s">
        <v>13</v>
      </c>
      <c r="H401" s="90">
        <v>1</v>
      </c>
      <c r="I401" s="108">
        <v>1</v>
      </c>
      <c r="J401" s="75">
        <v>0.3483</v>
      </c>
      <c r="K401" s="91">
        <f>+'Base personal'!$H401*'Base personal'!$J401*'Base personal'!$L401</f>
        <v>3.4830000000000001</v>
      </c>
      <c r="L401" s="91">
        <v>10</v>
      </c>
      <c r="M401" s="93">
        <f t="shared" si="14"/>
        <v>0</v>
      </c>
      <c r="N401" s="94" t="e">
        <f>M401/VLOOKUP(B401&amp;C401,base!$C$2:$E$27,3,0)</f>
        <v>#N/A</v>
      </c>
    </row>
    <row r="402" spans="1:14" s="91" customFormat="1" x14ac:dyDescent="0.25">
      <c r="A402" s="92">
        <v>44168</v>
      </c>
      <c r="B402" s="91" t="s">
        <v>41</v>
      </c>
      <c r="E402" s="91" t="s">
        <v>168</v>
      </c>
      <c r="F402" s="91" t="s">
        <v>13</v>
      </c>
      <c r="H402" s="90">
        <v>1</v>
      </c>
      <c r="I402" s="108">
        <v>1</v>
      </c>
      <c r="J402" s="75">
        <v>0.3483</v>
      </c>
      <c r="K402" s="91">
        <f>+'Base personal'!$H402*'Base personal'!$J402*'Base personal'!$L402</f>
        <v>3.4830000000000001</v>
      </c>
      <c r="L402" s="91">
        <v>10</v>
      </c>
      <c r="M402" s="93">
        <f t="shared" si="14"/>
        <v>0</v>
      </c>
      <c r="N402" s="94" t="e">
        <f>M402/VLOOKUP(B402&amp;C402,base!$C$2:$E$27,3,0)</f>
        <v>#N/A</v>
      </c>
    </row>
    <row r="403" spans="1:14" s="91" customFormat="1" x14ac:dyDescent="0.25">
      <c r="A403" s="92">
        <v>44169</v>
      </c>
      <c r="B403" s="91" t="s">
        <v>115</v>
      </c>
      <c r="C403" s="91" t="s">
        <v>280</v>
      </c>
      <c r="E403" s="91" t="s">
        <v>169</v>
      </c>
      <c r="F403" s="91" t="s">
        <v>13</v>
      </c>
      <c r="H403" s="90">
        <v>1</v>
      </c>
      <c r="I403" s="108">
        <v>1</v>
      </c>
      <c r="J403" s="75">
        <v>0.3483</v>
      </c>
      <c r="K403" s="91">
        <f>+'Base personal'!$H403*'Base personal'!$J403*'Base personal'!$L403</f>
        <v>3.4830000000000001</v>
      </c>
      <c r="L403" s="91">
        <v>10</v>
      </c>
      <c r="M403" s="93">
        <f t="shared" si="14"/>
        <v>0</v>
      </c>
      <c r="N403" s="94" t="e">
        <f>M403/VLOOKUP(B403&amp;C403,base!$C$2:$E$27,3,0)</f>
        <v>#N/A</v>
      </c>
    </row>
    <row r="404" spans="1:14" s="91" customFormat="1" x14ac:dyDescent="0.25">
      <c r="A404" s="92">
        <v>44169</v>
      </c>
      <c r="B404" s="91" t="s">
        <v>41</v>
      </c>
      <c r="E404" s="91" t="s">
        <v>281</v>
      </c>
      <c r="F404" s="91" t="s">
        <v>13</v>
      </c>
      <c r="H404" s="90">
        <v>1</v>
      </c>
      <c r="I404" s="108">
        <v>1</v>
      </c>
      <c r="J404" s="75">
        <v>0.3483</v>
      </c>
      <c r="K404" s="91">
        <f>+'Base personal'!$H404*'Base personal'!$J404*'Base personal'!$L404</f>
        <v>3.4830000000000001</v>
      </c>
      <c r="L404" s="91">
        <v>10</v>
      </c>
      <c r="M404" s="93">
        <f t="shared" si="14"/>
        <v>0</v>
      </c>
      <c r="N404" s="94" t="e">
        <f>M404/VLOOKUP(B404&amp;C404,base!$C$2:$E$27,3,0)</f>
        <v>#N/A</v>
      </c>
    </row>
    <row r="405" spans="1:14" s="91" customFormat="1" x14ac:dyDescent="0.25">
      <c r="A405" s="92">
        <v>44169</v>
      </c>
      <c r="B405" s="91" t="s">
        <v>41</v>
      </c>
      <c r="E405" s="91" t="s">
        <v>168</v>
      </c>
      <c r="F405" s="91" t="s">
        <v>13</v>
      </c>
      <c r="H405" s="90">
        <v>1</v>
      </c>
      <c r="I405" s="108">
        <v>1</v>
      </c>
      <c r="J405" s="75">
        <v>0.3483</v>
      </c>
      <c r="K405" s="91">
        <f>+'Base personal'!$H405*'Base personal'!$J405*'Base personal'!$L405</f>
        <v>3.4830000000000001</v>
      </c>
      <c r="L405" s="91">
        <v>10</v>
      </c>
      <c r="M405" s="93">
        <f t="shared" si="14"/>
        <v>0</v>
      </c>
      <c r="N405" s="94" t="e">
        <f>M405/VLOOKUP(B405&amp;C405,base!$C$2:$E$27,3,0)</f>
        <v>#N/A</v>
      </c>
    </row>
    <row r="406" spans="1:14" s="91" customFormat="1" x14ac:dyDescent="0.25">
      <c r="A406" s="92">
        <v>44170</v>
      </c>
      <c r="B406" s="91" t="s">
        <v>115</v>
      </c>
      <c r="E406" s="91" t="s">
        <v>63</v>
      </c>
      <c r="F406" s="91" t="s">
        <v>13</v>
      </c>
      <c r="H406" s="90">
        <v>1</v>
      </c>
      <c r="I406" s="108">
        <v>1</v>
      </c>
      <c r="J406" s="75">
        <v>0.3483</v>
      </c>
      <c r="K406" s="91">
        <f>+'Base personal'!$H406*'Base personal'!$J406*'Base personal'!$L406</f>
        <v>3.4830000000000001</v>
      </c>
      <c r="L406" s="91">
        <v>10</v>
      </c>
      <c r="M406" s="93">
        <f t="shared" si="14"/>
        <v>0</v>
      </c>
      <c r="N406" s="94" t="e">
        <f>M406/VLOOKUP(B406&amp;C406,base!$C$2:$E$27,3,0)</f>
        <v>#N/A</v>
      </c>
    </row>
    <row r="407" spans="1:14" s="91" customFormat="1" x14ac:dyDescent="0.25">
      <c r="A407" s="92">
        <v>44170</v>
      </c>
      <c r="B407" s="91" t="s">
        <v>115</v>
      </c>
      <c r="E407" s="91" t="s">
        <v>57</v>
      </c>
      <c r="F407" s="91" t="s">
        <v>13</v>
      </c>
      <c r="H407" s="90">
        <v>1</v>
      </c>
      <c r="I407" s="108">
        <v>1</v>
      </c>
      <c r="J407" s="75">
        <v>0.3483</v>
      </c>
      <c r="K407" s="91">
        <f>+'Base personal'!$H407*'Base personal'!$J407*'Base personal'!$L407</f>
        <v>3.4830000000000001</v>
      </c>
      <c r="L407" s="91">
        <v>10</v>
      </c>
      <c r="M407" s="93">
        <f t="shared" si="14"/>
        <v>0</v>
      </c>
      <c r="N407" s="94" t="e">
        <f>M407/VLOOKUP(B407&amp;C407,base!$C$2:$E$27,3,0)</f>
        <v>#N/A</v>
      </c>
    </row>
    <row r="408" spans="1:14" s="91" customFormat="1" x14ac:dyDescent="0.25">
      <c r="A408" s="92">
        <v>44170</v>
      </c>
      <c r="B408" s="91" t="s">
        <v>40</v>
      </c>
      <c r="E408" s="91" t="s">
        <v>169</v>
      </c>
      <c r="F408" s="91" t="s">
        <v>13</v>
      </c>
      <c r="H408" s="90">
        <v>1</v>
      </c>
      <c r="I408" s="108">
        <v>1</v>
      </c>
      <c r="J408" s="75">
        <v>0.3483</v>
      </c>
      <c r="K408" s="91">
        <f>+'Base personal'!$H408*'Base personal'!$J408*'Base personal'!$L408</f>
        <v>3.4830000000000001</v>
      </c>
      <c r="L408" s="91">
        <v>10</v>
      </c>
      <c r="M408" s="93">
        <f t="shared" si="14"/>
        <v>0</v>
      </c>
      <c r="N408" s="94" t="e">
        <f>M408/VLOOKUP(B408&amp;C408,base!$C$2:$E$27,3,0)</f>
        <v>#N/A</v>
      </c>
    </row>
    <row r="409" spans="1:14" s="91" customFormat="1" x14ac:dyDescent="0.25">
      <c r="A409" s="92">
        <v>44170</v>
      </c>
      <c r="B409" s="91" t="s">
        <v>115</v>
      </c>
      <c r="E409" s="91" t="s">
        <v>281</v>
      </c>
      <c r="F409" s="91" t="s">
        <v>13</v>
      </c>
      <c r="H409" s="90">
        <v>1</v>
      </c>
      <c r="I409" s="108">
        <v>1</v>
      </c>
      <c r="J409" s="75">
        <v>0.3483</v>
      </c>
      <c r="K409" s="91">
        <f>+'Base personal'!$H409*'Base personal'!$J409*'Base personal'!$L409</f>
        <v>3.4830000000000001</v>
      </c>
      <c r="L409" s="91">
        <v>10</v>
      </c>
      <c r="M409" s="93">
        <f t="shared" si="14"/>
        <v>0</v>
      </c>
      <c r="N409" s="94" t="e">
        <f>M409/VLOOKUP(B409&amp;C409,base!$C$2:$E$27,3,0)</f>
        <v>#N/A</v>
      </c>
    </row>
    <row r="410" spans="1:14" s="91" customFormat="1" x14ac:dyDescent="0.25">
      <c r="A410" s="92">
        <v>44172</v>
      </c>
      <c r="B410" s="91" t="s">
        <v>40</v>
      </c>
      <c r="E410" s="91" t="s">
        <v>169</v>
      </c>
      <c r="F410" s="91" t="s">
        <v>13</v>
      </c>
      <c r="H410" s="90">
        <v>1</v>
      </c>
      <c r="I410" s="108">
        <v>1</v>
      </c>
      <c r="J410" s="75">
        <v>0.3483</v>
      </c>
      <c r="K410" s="91">
        <f>+'Base personal'!$H410*'Base personal'!$J410*'Base personal'!$L410</f>
        <v>3.4830000000000001</v>
      </c>
      <c r="L410" s="91">
        <v>10</v>
      </c>
      <c r="M410" s="93">
        <f t="shared" si="14"/>
        <v>0</v>
      </c>
      <c r="N410" s="94" t="e">
        <f>M410/VLOOKUP(B410&amp;C410,base!$C$2:$E$27,3,0)</f>
        <v>#N/A</v>
      </c>
    </row>
    <row r="411" spans="1:14" s="91" customFormat="1" x14ac:dyDescent="0.25">
      <c r="A411" s="92">
        <v>44172</v>
      </c>
      <c r="B411" s="91" t="s">
        <v>41</v>
      </c>
      <c r="E411" s="91" t="s">
        <v>281</v>
      </c>
      <c r="F411" s="91" t="s">
        <v>13</v>
      </c>
      <c r="H411" s="90">
        <v>1</v>
      </c>
      <c r="I411" s="108">
        <v>1</v>
      </c>
      <c r="J411" s="75">
        <v>0.3483</v>
      </c>
      <c r="K411" s="91">
        <f>+'Base personal'!$H411*'Base personal'!$J411*'Base personal'!$L411</f>
        <v>3.4830000000000001</v>
      </c>
      <c r="L411" s="91">
        <v>10</v>
      </c>
      <c r="M411" s="93">
        <f t="shared" si="14"/>
        <v>0</v>
      </c>
      <c r="N411" s="94" t="e">
        <f>M411/VLOOKUP(B411&amp;C411,base!$C$2:$E$27,3,0)</f>
        <v>#N/A</v>
      </c>
    </row>
    <row r="412" spans="1:14" s="91" customFormat="1" x14ac:dyDescent="0.25">
      <c r="A412" s="92">
        <v>44172</v>
      </c>
      <c r="B412" s="91" t="s">
        <v>41</v>
      </c>
      <c r="E412" s="91" t="s">
        <v>168</v>
      </c>
      <c r="F412" s="91" t="s">
        <v>13</v>
      </c>
      <c r="H412" s="90">
        <v>1</v>
      </c>
      <c r="I412" s="108">
        <v>1</v>
      </c>
      <c r="J412" s="75">
        <v>0.3483</v>
      </c>
      <c r="K412" s="91">
        <f>+'Base personal'!$H412*'Base personal'!$J412*'Base personal'!$L412</f>
        <v>3.4830000000000001</v>
      </c>
      <c r="L412" s="91">
        <v>10</v>
      </c>
      <c r="M412" s="93">
        <f t="shared" si="14"/>
        <v>0</v>
      </c>
      <c r="N412" s="94" t="e">
        <f>M412/VLOOKUP(B412&amp;C412,base!$C$2:$E$27,3,0)</f>
        <v>#N/A</v>
      </c>
    </row>
    <row r="413" spans="1:14" s="91" customFormat="1" x14ac:dyDescent="0.25">
      <c r="A413" s="92">
        <v>44173</v>
      </c>
      <c r="B413" s="91" t="s">
        <v>115</v>
      </c>
      <c r="C413" s="91" t="s">
        <v>280</v>
      </c>
      <c r="E413" s="91" t="s">
        <v>169</v>
      </c>
      <c r="F413" s="91" t="s">
        <v>13</v>
      </c>
      <c r="H413" s="90">
        <v>1</v>
      </c>
      <c r="I413" s="108">
        <v>1</v>
      </c>
      <c r="J413" s="75">
        <v>0.3483</v>
      </c>
      <c r="K413" s="91">
        <f>+'Base personal'!$H413*'Base personal'!$J413*'Base personal'!$L413</f>
        <v>3.4830000000000001</v>
      </c>
      <c r="L413" s="91">
        <v>10</v>
      </c>
      <c r="M413" s="93">
        <f t="shared" si="14"/>
        <v>0</v>
      </c>
      <c r="N413" s="94" t="e">
        <f>M413/VLOOKUP(B413&amp;C413,base!$C$2:$E$27,3,0)</f>
        <v>#N/A</v>
      </c>
    </row>
    <row r="414" spans="1:14" s="91" customFormat="1" x14ac:dyDescent="0.25">
      <c r="A414" s="92">
        <v>44173</v>
      </c>
      <c r="B414" s="91" t="s">
        <v>41</v>
      </c>
      <c r="E414" s="91" t="s">
        <v>281</v>
      </c>
      <c r="F414" s="91" t="s">
        <v>13</v>
      </c>
      <c r="H414" s="90">
        <v>1</v>
      </c>
      <c r="I414" s="108">
        <v>1</v>
      </c>
      <c r="J414" s="75">
        <v>0.3483</v>
      </c>
      <c r="K414" s="91">
        <f>+'Base personal'!$H414*'Base personal'!$J414*'Base personal'!$L414</f>
        <v>3.4830000000000001</v>
      </c>
      <c r="L414" s="91">
        <v>10</v>
      </c>
      <c r="M414" s="93">
        <f t="shared" si="14"/>
        <v>0</v>
      </c>
      <c r="N414" s="94" t="e">
        <f>M414/VLOOKUP(B414&amp;C414,base!$C$2:$E$27,3,0)</f>
        <v>#N/A</v>
      </c>
    </row>
    <row r="415" spans="1:14" s="91" customFormat="1" x14ac:dyDescent="0.25">
      <c r="A415" s="92">
        <v>44173</v>
      </c>
      <c r="B415" s="91" t="s">
        <v>41</v>
      </c>
      <c r="E415" s="91" t="s">
        <v>168</v>
      </c>
      <c r="F415" s="91" t="s">
        <v>13</v>
      </c>
      <c r="H415" s="90">
        <v>1</v>
      </c>
      <c r="I415" s="108">
        <v>1</v>
      </c>
      <c r="J415" s="75">
        <v>0.3483</v>
      </c>
      <c r="K415" s="91">
        <f>+'Base personal'!$H415*'Base personal'!$J415*'Base personal'!$L415</f>
        <v>3.4830000000000001</v>
      </c>
      <c r="L415" s="91">
        <v>10</v>
      </c>
      <c r="M415" s="93">
        <f t="shared" si="14"/>
        <v>0</v>
      </c>
      <c r="N415" s="94" t="e">
        <f>M415/VLOOKUP(B415&amp;C415,base!$C$2:$E$27,3,0)</f>
        <v>#N/A</v>
      </c>
    </row>
    <row r="416" spans="1:14" s="91" customFormat="1" x14ac:dyDescent="0.25">
      <c r="A416" s="92">
        <v>44174</v>
      </c>
      <c r="B416" s="91" t="s">
        <v>111</v>
      </c>
      <c r="C416" s="91" t="s">
        <v>62</v>
      </c>
      <c r="D416" s="91">
        <v>778</v>
      </c>
      <c r="E416" s="91" t="s">
        <v>12</v>
      </c>
      <c r="F416" s="91" t="s">
        <v>13</v>
      </c>
      <c r="G416" s="91">
        <v>586.79999999999995</v>
      </c>
      <c r="H416" s="90">
        <f>+'Base personal'!$G416/'Base personal'!$L416</f>
        <v>58.679999999999993</v>
      </c>
      <c r="I416" s="108">
        <f>VLOOKUP(B416&amp;C416,base!$C$2:$E$27,3,0)</f>
        <v>92</v>
      </c>
      <c r="J416" s="108">
        <f>VLOOKUP(B416&amp;C416,base!$C$2:$F$27,4,0)</f>
        <v>5.5570652173913045E-3</v>
      </c>
      <c r="K416" s="91">
        <f>+'Base personal'!$H416*'Base personal'!$J416*'Base personal'!$L416</f>
        <v>3.2608858695652172</v>
      </c>
      <c r="L416" s="91">
        <v>10</v>
      </c>
      <c r="M416" s="93">
        <f t="shared" si="14"/>
        <v>58.679999999999993</v>
      </c>
      <c r="N416" s="94">
        <f>M416/VLOOKUP(B416&amp;C416,base!$C$2:$E$27,3,0)</f>
        <v>0.63782608695652165</v>
      </c>
    </row>
    <row r="417" spans="1:14" s="91" customFormat="1" x14ac:dyDescent="0.25">
      <c r="A417" s="92">
        <v>44174</v>
      </c>
      <c r="B417" s="91" t="s">
        <v>111</v>
      </c>
      <c r="C417" s="91" t="s">
        <v>62</v>
      </c>
      <c r="D417" s="91">
        <v>778</v>
      </c>
      <c r="E417" s="91" t="s">
        <v>64</v>
      </c>
      <c r="F417" s="91" t="s">
        <v>13</v>
      </c>
      <c r="G417" s="91">
        <v>586.79999999999995</v>
      </c>
      <c r="H417" s="90">
        <f>+'Base personal'!$G417/'Base personal'!$L417</f>
        <v>58.679999999999993</v>
      </c>
      <c r="I417" s="108">
        <f>VLOOKUP(B417&amp;C417,base!$C$2:$E$27,3,0)</f>
        <v>92</v>
      </c>
      <c r="J417" s="108">
        <f>VLOOKUP(B417&amp;C417,base!$C$2:$F$27,4,0)</f>
        <v>5.5570652173913045E-3</v>
      </c>
      <c r="K417" s="91">
        <f>+'Base personal'!$H417*'Base personal'!$J417*'Base personal'!$L417</f>
        <v>3.2608858695652172</v>
      </c>
      <c r="L417" s="91">
        <v>10</v>
      </c>
      <c r="M417" s="93">
        <f t="shared" si="14"/>
        <v>58.679999999999993</v>
      </c>
      <c r="N417" s="94">
        <f>M417/VLOOKUP(B417&amp;C417,base!$C$2:$E$27,3,0)</f>
        <v>0.63782608695652165</v>
      </c>
    </row>
    <row r="418" spans="1:14" s="91" customFormat="1" x14ac:dyDescent="0.25">
      <c r="A418" s="92">
        <v>44174</v>
      </c>
      <c r="B418" s="91" t="s">
        <v>111</v>
      </c>
      <c r="C418" s="91" t="s">
        <v>62</v>
      </c>
      <c r="D418" s="91">
        <v>778</v>
      </c>
      <c r="E418" s="91" t="s">
        <v>63</v>
      </c>
      <c r="F418" s="91" t="s">
        <v>13</v>
      </c>
      <c r="G418" s="91">
        <v>426.4</v>
      </c>
      <c r="H418" s="90">
        <f>+'Base personal'!$G418/'Base personal'!$L418</f>
        <v>53.3</v>
      </c>
      <c r="I418" s="108">
        <f>VLOOKUP(B418&amp;C418,base!$C$2:$E$27,3,0)</f>
        <v>92</v>
      </c>
      <c r="J418" s="108">
        <f>VLOOKUP(B418&amp;C418,base!$C$2:$F$27,4,0)</f>
        <v>5.5570652173913045E-3</v>
      </c>
      <c r="K418" s="91">
        <f>+'Base personal'!$H418*'Base personal'!$J418*'Base personal'!$L418</f>
        <v>2.3695326086956521</v>
      </c>
      <c r="L418" s="91">
        <v>8</v>
      </c>
      <c r="M418" s="93">
        <f t="shared" si="14"/>
        <v>53.3</v>
      </c>
      <c r="N418" s="94">
        <f>M418/VLOOKUP(B418&amp;C418,base!$C$2:$E$27,3,0)</f>
        <v>0.57934782608695645</v>
      </c>
    </row>
    <row r="419" spans="1:14" s="91" customFormat="1" x14ac:dyDescent="0.25">
      <c r="A419" s="92">
        <v>44174</v>
      </c>
      <c r="B419" s="91" t="s">
        <v>38</v>
      </c>
      <c r="E419" s="91" t="s">
        <v>63</v>
      </c>
      <c r="F419" s="91" t="s">
        <v>13</v>
      </c>
      <c r="H419" s="90">
        <v>1</v>
      </c>
      <c r="I419" s="108">
        <v>1</v>
      </c>
      <c r="J419" s="75">
        <v>0.3483</v>
      </c>
      <c r="K419" s="91">
        <f>+'Base personal'!$H419*'Base personal'!$J419*'Base personal'!$L419</f>
        <v>0.6966</v>
      </c>
      <c r="L419" s="91">
        <v>2</v>
      </c>
      <c r="M419" s="93">
        <f t="shared" si="14"/>
        <v>0</v>
      </c>
      <c r="N419" s="94" t="e">
        <f>M419/VLOOKUP(B419&amp;C419,base!$C$2:$E$27,3,0)</f>
        <v>#N/A</v>
      </c>
    </row>
    <row r="420" spans="1:14" s="91" customFormat="1" x14ac:dyDescent="0.25">
      <c r="A420" s="92">
        <v>44174</v>
      </c>
      <c r="B420" s="91" t="s">
        <v>112</v>
      </c>
      <c r="C420" s="91" t="s">
        <v>55</v>
      </c>
      <c r="D420" s="91">
        <v>779</v>
      </c>
      <c r="E420" s="91" t="s">
        <v>264</v>
      </c>
      <c r="F420" s="91" t="s">
        <v>13</v>
      </c>
      <c r="G420" s="91">
        <v>601.5</v>
      </c>
      <c r="H420" s="90">
        <f>+'Base personal'!$G420/'Base personal'!$L420</f>
        <v>60.15</v>
      </c>
      <c r="I420" s="108">
        <f>VLOOKUP(B420&amp;C420,base!$C$2:$E$27,3,0)</f>
        <v>55</v>
      </c>
      <c r="J420" s="108">
        <f>VLOOKUP(B420&amp;C420,base!$C$2:$F$27,4,0)</f>
        <v>9.295454545454546E-3</v>
      </c>
      <c r="K420" s="91">
        <f>+'Base personal'!$H420*'Base personal'!$J420*'Base personal'!$L420</f>
        <v>5.5912159090909093</v>
      </c>
      <c r="L420" s="91">
        <v>10</v>
      </c>
      <c r="M420" s="93">
        <f t="shared" si="14"/>
        <v>60.15</v>
      </c>
      <c r="N420" s="94">
        <f>M420/VLOOKUP(B420&amp;C420,base!$C$2:$E$27,3,0)</f>
        <v>1.0936363636363635</v>
      </c>
    </row>
    <row r="421" spans="1:14" s="91" customFormat="1" x14ac:dyDescent="0.25">
      <c r="A421" s="92">
        <v>44174</v>
      </c>
      <c r="B421" s="91" t="s">
        <v>112</v>
      </c>
      <c r="C421" s="91" t="s">
        <v>55</v>
      </c>
      <c r="D421" s="91">
        <v>779</v>
      </c>
      <c r="E421" s="91" t="s">
        <v>57</v>
      </c>
      <c r="F421" s="91" t="s">
        <v>13</v>
      </c>
      <c r="G421" s="91">
        <v>601.5</v>
      </c>
      <c r="H421" s="90">
        <f>+'Base personal'!$G421/'Base personal'!$L421</f>
        <v>60.15</v>
      </c>
      <c r="I421" s="108">
        <f>VLOOKUP(B421&amp;C421,base!$C$2:$E$27,3,0)</f>
        <v>55</v>
      </c>
      <c r="J421" s="108">
        <f>VLOOKUP(B421&amp;C421,base!$C$2:$F$27,4,0)</f>
        <v>9.295454545454546E-3</v>
      </c>
      <c r="K421" s="91">
        <f>+'Base personal'!$H421*'Base personal'!$J421*'Base personal'!$L421</f>
        <v>5.5912159090909093</v>
      </c>
      <c r="L421" s="91">
        <v>10</v>
      </c>
      <c r="M421" s="93">
        <f t="shared" si="14"/>
        <v>60.15</v>
      </c>
      <c r="N421" s="94">
        <f>M421/VLOOKUP(B421&amp;C421,base!$C$2:$E$27,3,0)</f>
        <v>1.0936363636363635</v>
      </c>
    </row>
    <row r="422" spans="1:14" s="91" customFormat="1" x14ac:dyDescent="0.25">
      <c r="A422" s="92">
        <v>44174</v>
      </c>
      <c r="B422" s="91" t="s">
        <v>115</v>
      </c>
      <c r="C422" s="91" t="s">
        <v>280</v>
      </c>
      <c r="E422" s="91" t="s">
        <v>97</v>
      </c>
      <c r="F422" s="91" t="s">
        <v>13</v>
      </c>
      <c r="H422" s="90">
        <v>1</v>
      </c>
      <c r="I422" s="108">
        <v>1</v>
      </c>
      <c r="J422" s="75">
        <v>0.3483</v>
      </c>
      <c r="K422" s="91">
        <f>+'Base personal'!$H422*'Base personal'!$J422*'Base personal'!$L422</f>
        <v>3.4830000000000001</v>
      </c>
      <c r="L422" s="91">
        <v>10</v>
      </c>
      <c r="M422" s="93">
        <f t="shared" si="14"/>
        <v>0</v>
      </c>
      <c r="N422" s="94" t="e">
        <f>M422/VLOOKUP(B422&amp;C422,base!$C$2:$E$27,3,0)</f>
        <v>#N/A</v>
      </c>
    </row>
    <row r="423" spans="1:14" s="91" customFormat="1" x14ac:dyDescent="0.25">
      <c r="A423" s="92">
        <v>44174</v>
      </c>
      <c r="B423" s="91" t="s">
        <v>40</v>
      </c>
      <c r="E423" s="91" t="s">
        <v>169</v>
      </c>
      <c r="F423" s="91" t="s">
        <v>13</v>
      </c>
      <c r="H423" s="90">
        <v>1</v>
      </c>
      <c r="I423" s="108">
        <v>1</v>
      </c>
      <c r="J423" s="75">
        <v>0.3483</v>
      </c>
      <c r="K423" s="91">
        <f>+'Base personal'!$H423*'Base personal'!$J423*'Base personal'!$L423</f>
        <v>3.4830000000000001</v>
      </c>
      <c r="L423" s="91">
        <v>10</v>
      </c>
      <c r="M423" s="93">
        <f t="shared" si="14"/>
        <v>0</v>
      </c>
      <c r="N423" s="94" t="e">
        <f>M423/VLOOKUP(B423&amp;C423,base!$C$2:$E$27,3,0)</f>
        <v>#N/A</v>
      </c>
    </row>
    <row r="424" spans="1:14" s="91" customFormat="1" x14ac:dyDescent="0.25">
      <c r="A424" s="92">
        <v>44174</v>
      </c>
      <c r="B424" s="91" t="s">
        <v>41</v>
      </c>
      <c r="E424" s="91" t="s">
        <v>168</v>
      </c>
      <c r="F424" s="91" t="s">
        <v>13</v>
      </c>
      <c r="H424" s="90">
        <v>1</v>
      </c>
      <c r="I424" s="108">
        <v>1</v>
      </c>
      <c r="J424" s="75">
        <v>0.3483</v>
      </c>
      <c r="K424" s="91">
        <f>+'Base personal'!$H424*'Base personal'!$J424*'Base personal'!$L424</f>
        <v>3.4830000000000001</v>
      </c>
      <c r="L424" s="91">
        <v>10</v>
      </c>
      <c r="M424" s="93">
        <f t="shared" si="14"/>
        <v>0</v>
      </c>
      <c r="N424" s="94" t="e">
        <f>M424/VLOOKUP(B424&amp;C424,base!$C$2:$E$27,3,0)</f>
        <v>#N/A</v>
      </c>
    </row>
    <row r="425" spans="1:14" s="91" customFormat="1" x14ac:dyDescent="0.25">
      <c r="A425" s="92">
        <v>44174</v>
      </c>
      <c r="B425" s="91" t="s">
        <v>41</v>
      </c>
      <c r="E425" s="91" t="s">
        <v>281</v>
      </c>
      <c r="F425" s="91" t="s">
        <v>13</v>
      </c>
      <c r="H425" s="90">
        <v>1</v>
      </c>
      <c r="I425" s="108">
        <v>1</v>
      </c>
      <c r="J425" s="75">
        <v>0.3483</v>
      </c>
      <c r="K425" s="91">
        <f>+'Base personal'!$H425*'Base personal'!$J425*'Base personal'!$L425</f>
        <v>3.4830000000000001</v>
      </c>
      <c r="L425" s="91">
        <v>10</v>
      </c>
      <c r="M425" s="93">
        <f t="shared" si="14"/>
        <v>0</v>
      </c>
      <c r="N425" s="94" t="e">
        <f>M425/VLOOKUP(B425&amp;C425,base!$C$2:$E$27,3,0)</f>
        <v>#N/A</v>
      </c>
    </row>
    <row r="426" spans="1:14" s="91" customFormat="1" x14ac:dyDescent="0.25">
      <c r="A426" s="92">
        <v>44175</v>
      </c>
      <c r="B426" s="91" t="s">
        <v>115</v>
      </c>
      <c r="C426" s="91" t="s">
        <v>280</v>
      </c>
      <c r="E426" s="91" t="s">
        <v>102</v>
      </c>
      <c r="F426" s="91" t="s">
        <v>13</v>
      </c>
      <c r="H426" s="90">
        <v>1</v>
      </c>
      <c r="I426" s="108">
        <v>1</v>
      </c>
      <c r="J426" s="75">
        <v>0.3483</v>
      </c>
      <c r="K426" s="91">
        <f>+'Base personal'!$H426*'Base personal'!$J426*'Base personal'!$L426</f>
        <v>3.4830000000000001</v>
      </c>
      <c r="L426" s="91">
        <v>10</v>
      </c>
      <c r="M426" s="93">
        <f t="shared" si="14"/>
        <v>0</v>
      </c>
      <c r="N426" s="94" t="e">
        <f>M426/VLOOKUP(B426&amp;C426,base!$C$2:$E$27,3,0)</f>
        <v>#N/A</v>
      </c>
    </row>
    <row r="427" spans="1:14" s="91" customFormat="1" x14ac:dyDescent="0.25">
      <c r="A427" s="92">
        <v>44175</v>
      </c>
      <c r="B427" s="91" t="s">
        <v>41</v>
      </c>
      <c r="E427" s="91" t="s">
        <v>168</v>
      </c>
      <c r="F427" s="91" t="s">
        <v>13</v>
      </c>
      <c r="H427" s="90">
        <v>1</v>
      </c>
      <c r="I427" s="108">
        <v>1</v>
      </c>
      <c r="J427" s="75">
        <v>0.3483</v>
      </c>
      <c r="K427" s="91">
        <f>+'Base personal'!$H427*'Base personal'!$J427*'Base personal'!$L427</f>
        <v>3.4830000000000001</v>
      </c>
      <c r="L427" s="91">
        <v>10</v>
      </c>
      <c r="M427" s="93">
        <f t="shared" si="14"/>
        <v>0</v>
      </c>
      <c r="N427" s="94" t="e">
        <f>M427/VLOOKUP(B427&amp;C427,base!$C$2:$E$27,3,0)</f>
        <v>#N/A</v>
      </c>
    </row>
    <row r="428" spans="1:14" s="91" customFormat="1" x14ac:dyDescent="0.25">
      <c r="A428" s="92">
        <v>44176</v>
      </c>
      <c r="B428" s="91" t="s">
        <v>41</v>
      </c>
      <c r="E428" s="91" t="s">
        <v>97</v>
      </c>
      <c r="F428" s="91" t="s">
        <v>13</v>
      </c>
      <c r="H428" s="90">
        <v>1</v>
      </c>
      <c r="I428" s="108">
        <v>1</v>
      </c>
      <c r="J428" s="75">
        <v>0.3483</v>
      </c>
      <c r="K428" s="91">
        <f>+'Base personal'!$H428*'Base personal'!$J428*'Base personal'!$L428</f>
        <v>2.7864</v>
      </c>
      <c r="L428" s="91">
        <v>8</v>
      </c>
      <c r="M428" s="93">
        <f t="shared" si="14"/>
        <v>0</v>
      </c>
      <c r="N428" s="94" t="e">
        <f>M428/VLOOKUP(B428&amp;C428,base!$C$2:$E$27,3,0)</f>
        <v>#N/A</v>
      </c>
    </row>
    <row r="429" spans="1:14" s="91" customFormat="1" x14ac:dyDescent="0.25">
      <c r="A429" s="92">
        <v>44176</v>
      </c>
      <c r="B429" s="91" t="s">
        <v>115</v>
      </c>
      <c r="C429" s="91" t="s">
        <v>280</v>
      </c>
      <c r="E429" s="91" t="s">
        <v>102</v>
      </c>
      <c r="F429" s="91" t="s">
        <v>13</v>
      </c>
      <c r="H429" s="90">
        <v>1</v>
      </c>
      <c r="I429" s="108">
        <v>1</v>
      </c>
      <c r="J429" s="75">
        <v>0.3483</v>
      </c>
      <c r="K429" s="91">
        <f>+'Base personal'!$H429*'Base personal'!$J429*'Base personal'!$L429</f>
        <v>2.7864</v>
      </c>
      <c r="L429" s="91">
        <v>8</v>
      </c>
      <c r="M429" s="93">
        <f t="shared" si="14"/>
        <v>0</v>
      </c>
      <c r="N429" s="94" t="e">
        <f>M429/VLOOKUP(B429&amp;C429,base!$C$2:$E$27,3,0)</f>
        <v>#N/A</v>
      </c>
    </row>
    <row r="430" spans="1:14" s="91" customFormat="1" x14ac:dyDescent="0.25">
      <c r="A430" s="92">
        <v>44176</v>
      </c>
      <c r="B430" s="91" t="s">
        <v>40</v>
      </c>
      <c r="E430" s="91" t="s">
        <v>169</v>
      </c>
      <c r="F430" s="91" t="s">
        <v>13</v>
      </c>
      <c r="H430" s="90">
        <v>1</v>
      </c>
      <c r="I430" s="108">
        <v>1</v>
      </c>
      <c r="J430" s="75">
        <v>0.3483</v>
      </c>
      <c r="K430" s="91">
        <f>+'Base personal'!$H430*'Base personal'!$J430*'Base personal'!$L430</f>
        <v>2.7864</v>
      </c>
      <c r="L430" s="91">
        <v>8</v>
      </c>
      <c r="M430" s="93">
        <f t="shared" si="14"/>
        <v>0</v>
      </c>
      <c r="N430" s="94" t="e">
        <f>M430/VLOOKUP(B430&amp;C430,base!$C$2:$E$27,3,0)</f>
        <v>#N/A</v>
      </c>
    </row>
    <row r="431" spans="1:14" s="91" customFormat="1" x14ac:dyDescent="0.25">
      <c r="A431" s="92">
        <v>44176</v>
      </c>
      <c r="B431" s="91" t="s">
        <v>41</v>
      </c>
      <c r="E431" s="91" t="s">
        <v>168</v>
      </c>
      <c r="F431" s="91" t="s">
        <v>13</v>
      </c>
      <c r="H431" s="90">
        <v>1</v>
      </c>
      <c r="I431" s="108">
        <v>1</v>
      </c>
      <c r="J431" s="75">
        <v>0.3483</v>
      </c>
      <c r="K431" s="91">
        <f>+'Base personal'!$H431*'Base personal'!$J431*'Base personal'!$L431</f>
        <v>2.7864</v>
      </c>
      <c r="L431" s="91">
        <v>8</v>
      </c>
      <c r="M431" s="93">
        <f t="shared" si="14"/>
        <v>0</v>
      </c>
      <c r="N431" s="94" t="e">
        <f>M431/VLOOKUP(B431&amp;C431,base!$C$2:$E$27,3,0)</f>
        <v>#N/A</v>
      </c>
    </row>
    <row r="432" spans="1:14" s="91" customFormat="1" x14ac:dyDescent="0.25">
      <c r="A432" s="92">
        <v>44176</v>
      </c>
      <c r="B432" s="91" t="s">
        <v>41</v>
      </c>
      <c r="E432" s="91" t="s">
        <v>281</v>
      </c>
      <c r="F432" s="91" t="s">
        <v>13</v>
      </c>
      <c r="H432" s="90">
        <v>1</v>
      </c>
      <c r="I432" s="108">
        <v>1</v>
      </c>
      <c r="J432" s="75">
        <v>0.3483</v>
      </c>
      <c r="K432" s="91">
        <f>+'Base personal'!$H432*'Base personal'!$J432*'Base personal'!$L432</f>
        <v>2.7864</v>
      </c>
      <c r="L432" s="91">
        <v>8</v>
      </c>
      <c r="M432" s="93">
        <f t="shared" si="14"/>
        <v>0</v>
      </c>
      <c r="N432" s="94" t="e">
        <f>M432/VLOOKUP(B432&amp;C432,base!$C$2:$E$27,3,0)</f>
        <v>#N/A</v>
      </c>
    </row>
    <row r="433" spans="1:14" s="91" customFormat="1" x14ac:dyDescent="0.25">
      <c r="A433" s="92">
        <v>44177</v>
      </c>
      <c r="B433" s="91" t="s">
        <v>41</v>
      </c>
      <c r="E433" s="91" t="s">
        <v>97</v>
      </c>
      <c r="F433" s="91" t="s">
        <v>13</v>
      </c>
      <c r="H433" s="90">
        <v>1</v>
      </c>
      <c r="I433" s="108">
        <v>1</v>
      </c>
      <c r="J433" s="75">
        <v>0.3483</v>
      </c>
      <c r="K433" s="91">
        <f>+'Base personal'!$H433*'Base personal'!$J433*'Base personal'!$L433</f>
        <v>3.4830000000000001</v>
      </c>
      <c r="L433" s="91">
        <v>10</v>
      </c>
      <c r="M433" s="93">
        <f t="shared" si="14"/>
        <v>0</v>
      </c>
      <c r="N433" s="94" t="e">
        <f>M433/VLOOKUP(B433&amp;C433,base!$C$2:$E$27,3,0)</f>
        <v>#N/A</v>
      </c>
    </row>
    <row r="434" spans="1:14" s="91" customFormat="1" x14ac:dyDescent="0.25">
      <c r="A434" s="92">
        <v>44177</v>
      </c>
      <c r="B434" s="91" t="s">
        <v>115</v>
      </c>
      <c r="C434" s="91" t="s">
        <v>280</v>
      </c>
      <c r="E434" s="91" t="s">
        <v>77</v>
      </c>
      <c r="F434" s="91" t="s">
        <v>13</v>
      </c>
      <c r="H434" s="90">
        <v>1</v>
      </c>
      <c r="I434" s="108">
        <v>1</v>
      </c>
      <c r="J434" s="75">
        <v>0.3483</v>
      </c>
      <c r="K434" s="91">
        <f>+'Base personal'!$H434*'Base personal'!$J434*'Base personal'!$L434</f>
        <v>3.4830000000000001</v>
      </c>
      <c r="L434" s="91">
        <v>10</v>
      </c>
      <c r="M434" s="93">
        <f t="shared" si="14"/>
        <v>0</v>
      </c>
      <c r="N434" s="94" t="e">
        <f>M434/VLOOKUP(B434&amp;C434,base!$C$2:$E$27,3,0)</f>
        <v>#N/A</v>
      </c>
    </row>
    <row r="435" spans="1:14" s="91" customFormat="1" x14ac:dyDescent="0.25">
      <c r="A435" s="92">
        <v>44179</v>
      </c>
      <c r="B435" s="91" t="s">
        <v>41</v>
      </c>
      <c r="E435" s="91" t="s">
        <v>236</v>
      </c>
      <c r="F435" s="91" t="s">
        <v>13</v>
      </c>
      <c r="H435" s="90">
        <v>1</v>
      </c>
      <c r="I435" s="108">
        <v>1</v>
      </c>
      <c r="J435" s="75">
        <v>0.3483</v>
      </c>
      <c r="K435" s="91">
        <f>+'Base personal'!$H435*'Base personal'!$J435*'Base personal'!$L435</f>
        <v>3.4830000000000001</v>
      </c>
      <c r="L435" s="91">
        <v>10</v>
      </c>
      <c r="M435" s="93">
        <f t="shared" si="14"/>
        <v>0</v>
      </c>
      <c r="N435" s="94" t="e">
        <f>M435/VLOOKUP(B435&amp;C435,base!$C$2:$E$27,3,0)</f>
        <v>#N/A</v>
      </c>
    </row>
    <row r="436" spans="1:14" s="91" customFormat="1" x14ac:dyDescent="0.25">
      <c r="A436" s="92">
        <v>44179</v>
      </c>
      <c r="B436" s="91" t="s">
        <v>115</v>
      </c>
      <c r="C436" s="91" t="s">
        <v>280</v>
      </c>
      <c r="E436" s="91" t="s">
        <v>194</v>
      </c>
      <c r="F436" s="91" t="s">
        <v>13</v>
      </c>
      <c r="H436" s="90">
        <v>1</v>
      </c>
      <c r="I436" s="108">
        <v>1</v>
      </c>
      <c r="J436" s="75">
        <v>0.3483</v>
      </c>
      <c r="K436" s="91">
        <f>+'Base personal'!$H436*'Base personal'!$J436*'Base personal'!$L436</f>
        <v>3.4830000000000001</v>
      </c>
      <c r="L436" s="91">
        <v>10</v>
      </c>
      <c r="M436" s="93">
        <f t="shared" si="14"/>
        <v>0</v>
      </c>
      <c r="N436" s="94" t="e">
        <f>M436/VLOOKUP(B436&amp;C436,base!$C$2:$E$27,3,0)</f>
        <v>#N/A</v>
      </c>
    </row>
    <row r="437" spans="1:14" s="91" customFormat="1" x14ac:dyDescent="0.25">
      <c r="A437" s="92">
        <v>44179</v>
      </c>
      <c r="B437" s="91" t="s">
        <v>40</v>
      </c>
      <c r="E437" s="91" t="s">
        <v>169</v>
      </c>
      <c r="F437" s="91" t="s">
        <v>13</v>
      </c>
      <c r="H437" s="90">
        <v>1</v>
      </c>
      <c r="I437" s="108">
        <v>1</v>
      </c>
      <c r="J437" s="75">
        <v>0.3483</v>
      </c>
      <c r="K437" s="91">
        <f>+'Base personal'!$H437*'Base personal'!$J437*'Base personal'!$L437</f>
        <v>3.4830000000000001</v>
      </c>
      <c r="L437" s="91">
        <v>10</v>
      </c>
      <c r="M437" s="93">
        <f t="shared" si="14"/>
        <v>0</v>
      </c>
      <c r="N437" s="94" t="e">
        <f>M437/VLOOKUP(B437&amp;C437,base!$C$2:$E$27,3,0)</f>
        <v>#N/A</v>
      </c>
    </row>
    <row r="438" spans="1:14" s="91" customFormat="1" x14ac:dyDescent="0.25">
      <c r="A438" s="92">
        <v>44179</v>
      </c>
      <c r="B438" s="91" t="s">
        <v>41</v>
      </c>
      <c r="E438" s="91" t="s">
        <v>168</v>
      </c>
      <c r="F438" s="91" t="s">
        <v>13</v>
      </c>
      <c r="H438" s="90">
        <v>1</v>
      </c>
      <c r="I438" s="108">
        <v>1</v>
      </c>
      <c r="J438" s="75">
        <v>0.3483</v>
      </c>
      <c r="K438" s="91">
        <f>+'Base personal'!$H438*'Base personal'!$J438*'Base personal'!$L438</f>
        <v>3.4830000000000001</v>
      </c>
      <c r="L438" s="91">
        <v>10</v>
      </c>
      <c r="M438" s="93">
        <f t="shared" si="14"/>
        <v>0</v>
      </c>
      <c r="N438" s="94" t="e">
        <f>M438/VLOOKUP(B438&amp;C438,base!$C$2:$E$27,3,0)</f>
        <v>#N/A</v>
      </c>
    </row>
    <row r="439" spans="1:14" s="91" customFormat="1" x14ac:dyDescent="0.25">
      <c r="A439" s="92">
        <v>44179</v>
      </c>
      <c r="B439" s="91" t="s">
        <v>41</v>
      </c>
      <c r="E439" s="91" t="s">
        <v>281</v>
      </c>
      <c r="F439" s="91" t="s">
        <v>13</v>
      </c>
      <c r="H439" s="90">
        <v>1</v>
      </c>
      <c r="I439" s="108">
        <v>1</v>
      </c>
      <c r="J439" s="75">
        <v>0.3483</v>
      </c>
      <c r="K439" s="91">
        <f>+'Base personal'!$H439*'Base personal'!$J439*'Base personal'!$L439</f>
        <v>3.4830000000000001</v>
      </c>
      <c r="L439" s="91">
        <v>10</v>
      </c>
      <c r="M439" s="93">
        <f t="shared" si="14"/>
        <v>0</v>
      </c>
      <c r="N439" s="94" t="e">
        <f>M439/VLOOKUP(B439&amp;C439,base!$C$2:$E$27,3,0)</f>
        <v>#N/A</v>
      </c>
    </row>
    <row r="440" spans="1:14" s="91" customFormat="1" x14ac:dyDescent="0.25">
      <c r="A440" s="92">
        <v>44180</v>
      </c>
      <c r="B440" s="91" t="s">
        <v>115</v>
      </c>
      <c r="C440" s="91" t="s">
        <v>280</v>
      </c>
      <c r="E440" s="91" t="s">
        <v>194</v>
      </c>
      <c r="F440" s="91" t="s">
        <v>13</v>
      </c>
      <c r="H440" s="90">
        <v>1</v>
      </c>
      <c r="I440" s="108">
        <v>1</v>
      </c>
      <c r="J440" s="75">
        <v>0.3483</v>
      </c>
      <c r="K440" s="91">
        <f>+'Base personal'!$H440*'Base personal'!$J440*'Base personal'!$L440</f>
        <v>3.4830000000000001</v>
      </c>
      <c r="L440" s="91">
        <v>10</v>
      </c>
      <c r="M440" s="93">
        <f t="shared" si="14"/>
        <v>0</v>
      </c>
      <c r="N440" s="94" t="e">
        <f>M440/VLOOKUP(B440&amp;C440,base!$C$2:$E$27,3,0)</f>
        <v>#N/A</v>
      </c>
    </row>
    <row r="441" spans="1:14" s="91" customFormat="1" x14ac:dyDescent="0.25">
      <c r="A441" s="92">
        <v>44180</v>
      </c>
      <c r="B441" s="91" t="s">
        <v>41</v>
      </c>
      <c r="E441" s="91" t="s">
        <v>281</v>
      </c>
      <c r="F441" s="91" t="s">
        <v>13</v>
      </c>
      <c r="H441" s="90">
        <v>1</v>
      </c>
      <c r="I441" s="108">
        <v>1</v>
      </c>
      <c r="J441" s="75">
        <v>0.3483</v>
      </c>
      <c r="K441" s="91">
        <f>+'Base personal'!$H441*'Base personal'!$J441*'Base personal'!$L441</f>
        <v>3.4830000000000001</v>
      </c>
      <c r="L441" s="91">
        <v>10</v>
      </c>
      <c r="M441" s="93">
        <f t="shared" si="14"/>
        <v>0</v>
      </c>
      <c r="N441" s="94" t="e">
        <f>M441/VLOOKUP(B441&amp;C441,base!$C$2:$E$27,3,0)</f>
        <v>#N/A</v>
      </c>
    </row>
    <row r="442" spans="1:14" s="91" customFormat="1" x14ac:dyDescent="0.25">
      <c r="A442" s="92">
        <v>44180</v>
      </c>
      <c r="B442" s="91" t="s">
        <v>41</v>
      </c>
      <c r="E442" s="91" t="s">
        <v>168</v>
      </c>
      <c r="F442" s="91" t="s">
        <v>13</v>
      </c>
      <c r="H442" s="90">
        <v>1</v>
      </c>
      <c r="I442" s="108">
        <v>1</v>
      </c>
      <c r="J442" s="75">
        <v>0.3483</v>
      </c>
      <c r="K442" s="91">
        <f>+'Base personal'!$H442*'Base personal'!$J442*'Base personal'!$L442</f>
        <v>3.4830000000000001</v>
      </c>
      <c r="L442" s="91">
        <v>10</v>
      </c>
      <c r="M442" s="93">
        <f t="shared" si="14"/>
        <v>0</v>
      </c>
      <c r="N442" s="94" t="e">
        <f>M442/VLOOKUP(B442&amp;C442,base!$C$2:$E$27,3,0)</f>
        <v>#N/A</v>
      </c>
    </row>
    <row r="443" spans="1:14" s="91" customFormat="1" x14ac:dyDescent="0.25">
      <c r="A443" s="92">
        <v>44181</v>
      </c>
      <c r="B443" s="91" t="s">
        <v>115</v>
      </c>
      <c r="E443" s="91" t="s">
        <v>75</v>
      </c>
      <c r="F443" s="91" t="s">
        <v>170</v>
      </c>
      <c r="H443" s="90">
        <v>1</v>
      </c>
      <c r="I443" s="108">
        <v>1</v>
      </c>
      <c r="J443" s="75">
        <v>0.3483</v>
      </c>
      <c r="K443" s="91">
        <f>+'Base personal'!$H443*'Base personal'!$J443*'Base personal'!$L443</f>
        <v>3.8313000000000001</v>
      </c>
      <c r="L443" s="91">
        <v>11</v>
      </c>
      <c r="M443" s="93">
        <f t="shared" si="14"/>
        <v>0</v>
      </c>
      <c r="N443" s="94" t="e">
        <f>M443/VLOOKUP(B443&amp;C443,base!$C$2:$E$27,3,0)</f>
        <v>#N/A</v>
      </c>
    </row>
    <row r="444" spans="1:14" s="91" customFormat="1" x14ac:dyDescent="0.25">
      <c r="A444" s="92">
        <v>44181</v>
      </c>
      <c r="B444" s="91" t="s">
        <v>115</v>
      </c>
      <c r="E444" s="91" t="s">
        <v>58</v>
      </c>
      <c r="F444" s="91" t="s">
        <v>170</v>
      </c>
      <c r="H444" s="90">
        <v>1</v>
      </c>
      <c r="I444" s="108">
        <v>1</v>
      </c>
      <c r="J444" s="75">
        <v>0.3483</v>
      </c>
      <c r="K444" s="91">
        <f>+'Base personal'!$H444*'Base personal'!$J444*'Base personal'!$L444</f>
        <v>3.8313000000000001</v>
      </c>
      <c r="L444" s="91">
        <v>11</v>
      </c>
      <c r="M444" s="93">
        <f t="shared" si="14"/>
        <v>0</v>
      </c>
      <c r="N444" s="94" t="e">
        <f>M444/VLOOKUP(B444&amp;C444,base!$C$2:$E$27,3,0)</f>
        <v>#N/A</v>
      </c>
    </row>
    <row r="445" spans="1:14" s="91" customFormat="1" x14ac:dyDescent="0.25">
      <c r="A445" s="92">
        <v>44181</v>
      </c>
      <c r="B445" s="91" t="s">
        <v>41</v>
      </c>
      <c r="E445" s="91" t="s">
        <v>281</v>
      </c>
      <c r="F445" s="91" t="s">
        <v>13</v>
      </c>
      <c r="H445" s="90">
        <v>1</v>
      </c>
      <c r="I445" s="108">
        <v>1</v>
      </c>
      <c r="J445" s="75">
        <v>0.3483</v>
      </c>
      <c r="K445" s="91">
        <f>+'Base personal'!$H445*'Base personal'!$J445*'Base personal'!$L445</f>
        <v>3.4830000000000001</v>
      </c>
      <c r="L445" s="91">
        <v>10</v>
      </c>
      <c r="M445" s="93">
        <f t="shared" si="14"/>
        <v>0</v>
      </c>
      <c r="N445" s="94" t="e">
        <f>M445/VLOOKUP(B445&amp;C445,base!$C$2:$E$27,3,0)</f>
        <v>#N/A</v>
      </c>
    </row>
    <row r="446" spans="1:14" s="91" customFormat="1" x14ac:dyDescent="0.25">
      <c r="A446" s="92">
        <v>44181</v>
      </c>
      <c r="B446" s="91" t="s">
        <v>41</v>
      </c>
      <c r="E446" s="91" t="s">
        <v>236</v>
      </c>
      <c r="F446" s="91" t="s">
        <v>13</v>
      </c>
      <c r="H446" s="90">
        <v>1</v>
      </c>
      <c r="I446" s="108">
        <v>1</v>
      </c>
      <c r="J446" s="75">
        <v>0.3483</v>
      </c>
      <c r="K446" s="91">
        <f>+'Base personal'!$H446*'Base personal'!$J446*'Base personal'!$L446</f>
        <v>3.4830000000000001</v>
      </c>
      <c r="L446" s="91">
        <v>10</v>
      </c>
      <c r="M446" s="93">
        <f t="shared" si="14"/>
        <v>0</v>
      </c>
      <c r="N446" s="94" t="e">
        <f>M446/VLOOKUP(B446&amp;C446,base!$C$2:$E$27,3,0)</f>
        <v>#N/A</v>
      </c>
    </row>
    <row r="447" spans="1:14" s="91" customFormat="1" x14ac:dyDescent="0.25">
      <c r="A447" s="92">
        <v>44182</v>
      </c>
      <c r="B447" s="91" t="s">
        <v>115</v>
      </c>
      <c r="E447" s="91" t="s">
        <v>58</v>
      </c>
      <c r="F447" s="91" t="s">
        <v>170</v>
      </c>
      <c r="H447" s="90">
        <v>1</v>
      </c>
      <c r="I447" s="108">
        <v>1</v>
      </c>
      <c r="J447" s="75">
        <v>0.3483</v>
      </c>
      <c r="K447" s="91">
        <f>+'Base personal'!$H447*'Base personal'!$J447*'Base personal'!$L447</f>
        <v>3.4830000000000001</v>
      </c>
      <c r="L447" s="91">
        <v>10</v>
      </c>
      <c r="M447" s="93">
        <f t="shared" si="14"/>
        <v>0</v>
      </c>
      <c r="N447" s="94" t="e">
        <f>M447/VLOOKUP(B447&amp;C447,base!$C$2:$E$27,3,0)</f>
        <v>#N/A</v>
      </c>
    </row>
    <row r="448" spans="1:14" s="91" customFormat="1" x14ac:dyDescent="0.25">
      <c r="A448" s="92">
        <v>44183</v>
      </c>
      <c r="B448" s="91" t="s">
        <v>37</v>
      </c>
      <c r="E448" s="91" t="s">
        <v>96</v>
      </c>
      <c r="F448" s="91" t="s">
        <v>13</v>
      </c>
      <c r="H448" s="90">
        <v>1</v>
      </c>
      <c r="I448" s="108">
        <v>1</v>
      </c>
      <c r="J448" s="75">
        <v>0.3483</v>
      </c>
      <c r="K448" s="91">
        <f>+'Base personal'!$H448*'Base personal'!$J448*'Base personal'!$L448</f>
        <v>3.4830000000000001</v>
      </c>
      <c r="L448" s="91">
        <v>10</v>
      </c>
      <c r="M448" s="93">
        <f t="shared" si="14"/>
        <v>0</v>
      </c>
      <c r="N448" s="94" t="e">
        <f>M448/VLOOKUP(B448&amp;C448,base!$C$2:$E$27,3,0)</f>
        <v>#N/A</v>
      </c>
    </row>
    <row r="449" spans="1:14" s="91" customFormat="1" x14ac:dyDescent="0.25">
      <c r="A449" s="92">
        <v>44183</v>
      </c>
      <c r="B449" s="91" t="s">
        <v>115</v>
      </c>
      <c r="C449" s="91" t="s">
        <v>280</v>
      </c>
      <c r="E449" s="91" t="s">
        <v>77</v>
      </c>
      <c r="F449" s="91" t="s">
        <v>13</v>
      </c>
      <c r="H449" s="90">
        <v>1</v>
      </c>
      <c r="I449" s="108">
        <v>1</v>
      </c>
      <c r="J449" s="75">
        <v>0.3483</v>
      </c>
      <c r="K449" s="91">
        <f>+'Base personal'!$H449*'Base personal'!$J449*'Base personal'!$L449</f>
        <v>3.4830000000000001</v>
      </c>
      <c r="L449" s="91">
        <v>10</v>
      </c>
      <c r="M449" s="93">
        <f t="shared" si="14"/>
        <v>0</v>
      </c>
      <c r="N449" s="94" t="e">
        <f>M449/VLOOKUP(B449&amp;C449,base!$C$2:$E$27,3,0)</f>
        <v>#N/A</v>
      </c>
    </row>
    <row r="450" spans="1:14" s="91" customFormat="1" x14ac:dyDescent="0.25">
      <c r="A450" s="92">
        <v>44183</v>
      </c>
      <c r="B450" s="91" t="s">
        <v>41</v>
      </c>
      <c r="E450" s="91" t="s">
        <v>97</v>
      </c>
      <c r="F450" s="91" t="s">
        <v>13</v>
      </c>
      <c r="H450" s="90">
        <v>1</v>
      </c>
      <c r="I450" s="108">
        <v>1</v>
      </c>
      <c r="J450" s="75">
        <v>0.3483</v>
      </c>
      <c r="K450" s="91">
        <f>+'Base personal'!$H450*'Base personal'!$J450*'Base personal'!$L450</f>
        <v>3.4830000000000001</v>
      </c>
      <c r="L450" s="91">
        <v>10</v>
      </c>
      <c r="M450" s="93">
        <f t="shared" si="14"/>
        <v>0</v>
      </c>
      <c r="N450" s="94" t="e">
        <f>M450/VLOOKUP(B450&amp;C450,base!$C$2:$E$27,3,0)</f>
        <v>#N/A</v>
      </c>
    </row>
    <row r="451" spans="1:14" s="91" customFormat="1" x14ac:dyDescent="0.25">
      <c r="A451" s="92">
        <v>44183</v>
      </c>
      <c r="B451" s="91" t="s">
        <v>115</v>
      </c>
      <c r="E451" s="91" t="s">
        <v>194</v>
      </c>
      <c r="F451" s="91" t="s">
        <v>13</v>
      </c>
      <c r="H451" s="90">
        <v>1</v>
      </c>
      <c r="I451" s="108">
        <v>1</v>
      </c>
      <c r="J451" s="75">
        <v>0.3483</v>
      </c>
      <c r="K451" s="91">
        <f>+'Base personal'!$H451*'Base personal'!$J451*'Base personal'!$L451</f>
        <v>3.4830000000000001</v>
      </c>
      <c r="L451" s="91">
        <v>10</v>
      </c>
      <c r="M451" s="93">
        <f t="shared" si="14"/>
        <v>0</v>
      </c>
      <c r="N451" s="94" t="e">
        <f>M451/VLOOKUP(B451&amp;C451,base!$C$2:$E$27,3,0)</f>
        <v>#N/A</v>
      </c>
    </row>
    <row r="452" spans="1:14" s="91" customFormat="1" x14ac:dyDescent="0.25">
      <c r="A452" s="92">
        <v>44183</v>
      </c>
      <c r="B452" s="91" t="s">
        <v>41</v>
      </c>
      <c r="E452" s="91" t="s">
        <v>281</v>
      </c>
      <c r="F452" s="91" t="s">
        <v>13</v>
      </c>
      <c r="H452" s="90">
        <v>1</v>
      </c>
      <c r="I452" s="108">
        <v>1</v>
      </c>
      <c r="J452" s="75">
        <v>0.3483</v>
      </c>
      <c r="K452" s="91">
        <f>+'Base personal'!$H452*'Base personal'!$J452*'Base personal'!$L452</f>
        <v>3.4830000000000001</v>
      </c>
      <c r="L452" s="91">
        <v>10</v>
      </c>
      <c r="M452" s="93">
        <f t="shared" si="14"/>
        <v>0</v>
      </c>
      <c r="N452" s="94" t="e">
        <f>M452/VLOOKUP(B452&amp;C452,base!$C$2:$E$27,3,0)</f>
        <v>#N/A</v>
      </c>
    </row>
    <row r="453" spans="1:14" s="91" customFormat="1" x14ac:dyDescent="0.25">
      <c r="A453" s="92">
        <v>44184</v>
      </c>
      <c r="B453" s="91" t="s">
        <v>115</v>
      </c>
      <c r="E453" s="91" t="s">
        <v>69</v>
      </c>
      <c r="F453" s="91" t="s">
        <v>13</v>
      </c>
      <c r="H453" s="90">
        <v>1</v>
      </c>
      <c r="I453" s="108">
        <v>1</v>
      </c>
      <c r="J453" s="75">
        <v>0.3483</v>
      </c>
      <c r="K453" s="91">
        <f>+'Base personal'!$H453*'Base personal'!$J453*'Base personal'!$L453</f>
        <v>1.3932</v>
      </c>
      <c r="L453" s="91">
        <v>4</v>
      </c>
      <c r="M453" s="93">
        <f t="shared" si="14"/>
        <v>0</v>
      </c>
      <c r="N453" s="94" t="e">
        <f>M453/VLOOKUP(B453&amp;C453,base!$C$2:$E$27,3,0)</f>
        <v>#N/A</v>
      </c>
    </row>
    <row r="454" spans="1:14" s="91" customFormat="1" x14ac:dyDescent="0.25">
      <c r="A454" s="92">
        <v>44184</v>
      </c>
      <c r="B454" s="91" t="s">
        <v>29</v>
      </c>
      <c r="C454" s="91" t="s">
        <v>86</v>
      </c>
      <c r="D454" s="91">
        <v>162</v>
      </c>
      <c r="E454" s="91" t="s">
        <v>72</v>
      </c>
      <c r="F454" s="91" t="s">
        <v>170</v>
      </c>
      <c r="G454" s="91">
        <v>540</v>
      </c>
      <c r="H454" s="90">
        <f>+'Base personal'!$G454/'Base personal'!$L454</f>
        <v>49.090909090909093</v>
      </c>
      <c r="I454" s="108">
        <f>VLOOKUP(B454&amp;C454,base!$C$2:$E$27,3,0)</f>
        <v>75</v>
      </c>
      <c r="J454" s="108">
        <f>VLOOKUP(B454&amp;C454,base!$C$2:$F$27,4,0)</f>
        <v>1.0225333333333333E-2</v>
      </c>
      <c r="K454" s="91">
        <f>+'Base personal'!$H454*'Base personal'!$J454*'Base personal'!$L454</f>
        <v>5.5216800000000008</v>
      </c>
      <c r="L454" s="91">
        <v>11</v>
      </c>
      <c r="M454" s="93">
        <f t="shared" si="14"/>
        <v>49.090909090909093</v>
      </c>
      <c r="N454" s="94">
        <f>M454/VLOOKUP(B454&amp;C454,base!$C$2:$E$27,3,0)</f>
        <v>0.65454545454545454</v>
      </c>
    </row>
    <row r="455" spans="1:14" s="91" customFormat="1" x14ac:dyDescent="0.25">
      <c r="A455" s="92">
        <v>44184</v>
      </c>
      <c r="B455" s="91" t="s">
        <v>41</v>
      </c>
      <c r="E455" s="91" t="s">
        <v>236</v>
      </c>
      <c r="F455" s="91" t="s">
        <v>13</v>
      </c>
      <c r="H455" s="90">
        <v>1</v>
      </c>
      <c r="I455" s="108">
        <v>1</v>
      </c>
      <c r="J455" s="75">
        <v>0.3483</v>
      </c>
      <c r="K455" s="91">
        <f>+'Base personal'!$H455*'Base personal'!$J455*'Base personal'!$L455</f>
        <v>3.4830000000000001</v>
      </c>
      <c r="L455" s="91">
        <v>10</v>
      </c>
      <c r="M455" s="93">
        <f t="shared" si="14"/>
        <v>0</v>
      </c>
      <c r="N455" s="94" t="e">
        <f>M455/VLOOKUP(B455&amp;C455,base!$C$2:$E$27,3,0)</f>
        <v>#N/A</v>
      </c>
    </row>
    <row r="456" spans="1:14" s="91" customFormat="1" x14ac:dyDescent="0.25">
      <c r="A456" s="92">
        <v>44184</v>
      </c>
      <c r="B456" s="91" t="s">
        <v>41</v>
      </c>
      <c r="E456" s="91" t="s">
        <v>281</v>
      </c>
      <c r="F456" s="91" t="s">
        <v>13</v>
      </c>
      <c r="H456" s="90">
        <v>1</v>
      </c>
      <c r="I456" s="108">
        <v>1</v>
      </c>
      <c r="J456" s="75">
        <v>0.3483</v>
      </c>
      <c r="K456" s="91">
        <f>+'Base personal'!$H456*'Base personal'!$J456*'Base personal'!$L456</f>
        <v>3.4830000000000001</v>
      </c>
      <c r="L456" s="91">
        <v>10</v>
      </c>
      <c r="M456" s="93">
        <f t="shared" si="14"/>
        <v>0</v>
      </c>
      <c r="N456" s="94" t="e">
        <f>M456/VLOOKUP(B456&amp;C456,base!$C$2:$E$27,3,0)</f>
        <v>#N/A</v>
      </c>
    </row>
    <row r="457" spans="1:14" s="91" customFormat="1" x14ac:dyDescent="0.25">
      <c r="A457" s="92">
        <v>44185</v>
      </c>
      <c r="B457" s="91" t="s">
        <v>115</v>
      </c>
      <c r="E457" s="91" t="s">
        <v>77</v>
      </c>
      <c r="F457" s="91" t="s">
        <v>170</v>
      </c>
      <c r="H457" s="90">
        <v>1</v>
      </c>
      <c r="I457" s="108">
        <v>1</v>
      </c>
      <c r="J457" s="75">
        <v>0.3483</v>
      </c>
      <c r="K457" s="91">
        <f>+'Base personal'!$H457*'Base personal'!$J457*'Base personal'!$L457</f>
        <v>3.8313000000000001</v>
      </c>
      <c r="L457" s="91">
        <v>11</v>
      </c>
      <c r="M457" s="93">
        <f t="shared" si="14"/>
        <v>0</v>
      </c>
      <c r="N457" s="94" t="e">
        <f>M457/VLOOKUP(B457&amp;C457,base!$C$2:$E$27,3,0)</f>
        <v>#N/A</v>
      </c>
    </row>
    <row r="458" spans="1:14" s="91" customFormat="1" x14ac:dyDescent="0.25">
      <c r="A458" s="92">
        <v>44185</v>
      </c>
      <c r="B458" s="91" t="s">
        <v>115</v>
      </c>
      <c r="E458" s="91" t="s">
        <v>72</v>
      </c>
      <c r="F458" s="91" t="s">
        <v>170</v>
      </c>
      <c r="H458" s="90">
        <v>1</v>
      </c>
      <c r="I458" s="108">
        <v>1</v>
      </c>
      <c r="J458" s="75">
        <v>0.3483</v>
      </c>
      <c r="K458" s="91">
        <f>+'Base personal'!$H458*'Base personal'!$J458*'Base personal'!$L458</f>
        <v>3.8313000000000001</v>
      </c>
      <c r="L458" s="91">
        <v>11</v>
      </c>
      <c r="M458" s="93">
        <f t="shared" si="14"/>
        <v>0</v>
      </c>
      <c r="N458" s="94" t="e">
        <f>M458/VLOOKUP(B458&amp;C458,base!$C$2:$E$27,3,0)</f>
        <v>#N/A</v>
      </c>
    </row>
    <row r="459" spans="1:14" s="91" customFormat="1" x14ac:dyDescent="0.25">
      <c r="A459" s="92">
        <v>44185</v>
      </c>
      <c r="B459" s="91" t="s">
        <v>41</v>
      </c>
      <c r="E459" s="91" t="s">
        <v>236</v>
      </c>
      <c r="F459" s="91" t="s">
        <v>13</v>
      </c>
      <c r="H459" s="90">
        <v>1</v>
      </c>
      <c r="I459" s="108">
        <v>1</v>
      </c>
      <c r="J459" s="75">
        <v>0.3483</v>
      </c>
      <c r="K459" s="91">
        <f>+'Base personal'!$H459*'Base personal'!$J459*'Base personal'!$L459</f>
        <v>1.7415</v>
      </c>
      <c r="L459" s="91">
        <v>5</v>
      </c>
      <c r="M459" s="93">
        <f t="shared" si="14"/>
        <v>0</v>
      </c>
      <c r="N459" s="94" t="e">
        <f>M459/VLOOKUP(B459&amp;C459,base!$C$2:$E$27,3,0)</f>
        <v>#N/A</v>
      </c>
    </row>
    <row r="460" spans="1:14" s="91" customFormat="1" x14ac:dyDescent="0.25">
      <c r="A460" s="92">
        <v>44185</v>
      </c>
      <c r="B460" s="91" t="s">
        <v>41</v>
      </c>
      <c r="E460" s="91" t="s">
        <v>102</v>
      </c>
      <c r="F460" s="91" t="s">
        <v>13</v>
      </c>
      <c r="H460" s="90">
        <v>1</v>
      </c>
      <c r="I460" s="108">
        <v>1</v>
      </c>
      <c r="J460" s="75">
        <v>0.3483</v>
      </c>
      <c r="K460" s="91">
        <f>+'Base personal'!$H460*'Base personal'!$J460*'Base personal'!$L460</f>
        <v>1.7415</v>
      </c>
      <c r="L460" s="91">
        <v>5</v>
      </c>
      <c r="M460" s="93">
        <f t="shared" si="14"/>
        <v>0</v>
      </c>
      <c r="N460" s="94" t="e">
        <f>M460/VLOOKUP(B460&amp;C460,base!$C$2:$E$27,3,0)</f>
        <v>#N/A</v>
      </c>
    </row>
    <row r="461" spans="1:14" s="91" customFormat="1" x14ac:dyDescent="0.25">
      <c r="A461" s="92">
        <v>44166</v>
      </c>
      <c r="B461" s="91" t="s">
        <v>111</v>
      </c>
      <c r="C461" s="91" t="s">
        <v>62</v>
      </c>
      <c r="D461" s="91" t="s">
        <v>285</v>
      </c>
      <c r="E461" s="91" t="s">
        <v>57</v>
      </c>
      <c r="F461" s="91" t="s">
        <v>13</v>
      </c>
      <c r="G461" s="91">
        <v>839.75</v>
      </c>
      <c r="H461" s="90">
        <f>+'Base personal'!$G461/'Base personal'!$L461</f>
        <v>83.974999999999994</v>
      </c>
      <c r="I461" s="108">
        <f>VLOOKUP(B461&amp;C461,base!$C$2:$E$27,3,0)</f>
        <v>92</v>
      </c>
      <c r="J461" s="108">
        <f>VLOOKUP(B461&amp;C461,base!$C$2:$F$27,4,0)</f>
        <v>5.5570652173913045E-3</v>
      </c>
      <c r="K461" s="91">
        <f>+'Base personal'!$H461*'Base personal'!$J461*'Base personal'!$L461</f>
        <v>4.6665455163043479</v>
      </c>
      <c r="L461" s="91">
        <v>10</v>
      </c>
      <c r="M461" s="93">
        <f t="shared" si="14"/>
        <v>83.974999999999994</v>
      </c>
      <c r="N461" s="94">
        <f>M461/VLOOKUP(B461&amp;C461,base!$C$2:$E$27,3,0)</f>
        <v>0.91277173913043474</v>
      </c>
    </row>
    <row r="462" spans="1:14" s="91" customFormat="1" x14ac:dyDescent="0.25">
      <c r="A462" s="92">
        <v>44166</v>
      </c>
      <c r="B462" s="91" t="s">
        <v>111</v>
      </c>
      <c r="C462" s="91" t="s">
        <v>62</v>
      </c>
      <c r="D462" s="91" t="s">
        <v>285</v>
      </c>
      <c r="E462" s="91" t="s">
        <v>63</v>
      </c>
      <c r="F462" s="91" t="s">
        <v>13</v>
      </c>
      <c r="G462" s="91">
        <v>839.75</v>
      </c>
      <c r="H462" s="90">
        <f>+'Base personal'!$G462/'Base personal'!$L462</f>
        <v>83.974999999999994</v>
      </c>
      <c r="I462" s="108">
        <f>VLOOKUP(B462&amp;C462,base!$C$2:$E$27,3,0)</f>
        <v>92</v>
      </c>
      <c r="J462" s="108">
        <f>VLOOKUP(B462&amp;C462,base!$C$2:$F$27,4,0)</f>
        <v>5.5570652173913045E-3</v>
      </c>
      <c r="K462" s="91">
        <f>+'Base personal'!$H462*'Base personal'!$J462*'Base personal'!$L462</f>
        <v>4.6665455163043479</v>
      </c>
      <c r="L462" s="91">
        <v>10</v>
      </c>
      <c r="M462" s="93">
        <f t="shared" si="14"/>
        <v>83.974999999999994</v>
      </c>
      <c r="N462" s="94">
        <f>M462/VLOOKUP(B462&amp;C462,base!$C$2:$E$27,3,0)</f>
        <v>0.91277173913043474</v>
      </c>
    </row>
    <row r="463" spans="1:14" s="91" customFormat="1" x14ac:dyDescent="0.25">
      <c r="A463" s="92">
        <v>44166</v>
      </c>
      <c r="B463" s="91" t="s">
        <v>111</v>
      </c>
      <c r="C463" s="91" t="s">
        <v>62</v>
      </c>
      <c r="D463" s="91" t="s">
        <v>285</v>
      </c>
      <c r="E463" s="91" t="s">
        <v>12</v>
      </c>
      <c r="F463" s="91" t="s">
        <v>13</v>
      </c>
      <c r="G463" s="91">
        <v>839.75</v>
      </c>
      <c r="H463" s="90">
        <f>+'Base personal'!$G463/'Base personal'!$L463</f>
        <v>83.974999999999994</v>
      </c>
      <c r="I463" s="108">
        <f>VLOOKUP(B463&amp;C463,base!$C$2:$E$27,3,0)</f>
        <v>92</v>
      </c>
      <c r="J463" s="108">
        <f>VLOOKUP(B463&amp;C463,base!$C$2:$F$27,4,0)</f>
        <v>5.5570652173913045E-3</v>
      </c>
      <c r="K463" s="91">
        <f>+'Base personal'!$H463*'Base personal'!$J463*'Base personal'!$L463</f>
        <v>4.6665455163043479</v>
      </c>
      <c r="L463" s="91">
        <v>10</v>
      </c>
      <c r="M463" s="93">
        <f t="shared" si="14"/>
        <v>83.974999999999994</v>
      </c>
      <c r="N463" s="94">
        <f>M463/VLOOKUP(B463&amp;C463,base!$C$2:$E$27,3,0)</f>
        <v>0.91277173913043474</v>
      </c>
    </row>
    <row r="464" spans="1:14" s="91" customFormat="1" x14ac:dyDescent="0.25">
      <c r="A464" s="92">
        <v>44166</v>
      </c>
      <c r="B464" s="91" t="s">
        <v>111</v>
      </c>
      <c r="C464" s="91" t="s">
        <v>62</v>
      </c>
      <c r="D464" s="91" t="s">
        <v>285</v>
      </c>
      <c r="E464" s="91" t="s">
        <v>64</v>
      </c>
      <c r="F464" s="91" t="s">
        <v>13</v>
      </c>
      <c r="G464" s="91">
        <v>839.75</v>
      </c>
      <c r="H464" s="90">
        <f>+'Base personal'!$G464/'Base personal'!$L464</f>
        <v>83.974999999999994</v>
      </c>
      <c r="I464" s="108">
        <f>VLOOKUP(B464&amp;C464,base!$C$2:$E$27,3,0)</f>
        <v>92</v>
      </c>
      <c r="J464" s="108">
        <f>VLOOKUP(B464&amp;C464,base!$C$2:$F$27,4,0)</f>
        <v>5.5570652173913045E-3</v>
      </c>
      <c r="K464" s="91">
        <f>+'Base personal'!$H464*'Base personal'!$J464*'Base personal'!$L464</f>
        <v>4.6665455163043479</v>
      </c>
      <c r="L464" s="91">
        <v>10</v>
      </c>
      <c r="M464" s="93">
        <f t="shared" si="14"/>
        <v>83.974999999999994</v>
      </c>
      <c r="N464" s="94">
        <f>M464/VLOOKUP(B464&amp;C464,base!$C$2:$E$27,3,0)</f>
        <v>0.91277173913043474</v>
      </c>
    </row>
    <row r="465" spans="1:14" x14ac:dyDescent="0.25">
      <c r="A465" s="3"/>
      <c r="G465"/>
      <c r="H465" s="90" t="e">
        <f>+'Base personal'!$G465/'Base personal'!$L465</f>
        <v>#DIV/0!</v>
      </c>
      <c r="I465" s="108" t="e">
        <f>VLOOKUP(B465&amp;C465,base!$C$2:$E$27,3,0)</f>
        <v>#N/A</v>
      </c>
      <c r="J465" s="108" t="e">
        <f>VLOOKUP(B465&amp;C465,base!$C$2:$F$27,4,0)</f>
        <v>#N/A</v>
      </c>
      <c r="K465" s="91" t="e">
        <f>+'Base personal'!$H465*'Base personal'!$J465*'Base personal'!$L465</f>
        <v>#DIV/0!</v>
      </c>
      <c r="L465" s="91"/>
      <c r="M465" s="93" t="e">
        <f t="shared" si="14"/>
        <v>#DIV/0!</v>
      </c>
      <c r="N465" s="94" t="e">
        <f>M465/VLOOKUP(B465&amp;C465,base!$C$2:$E$27,3,0)</f>
        <v>#DIV/0!</v>
      </c>
    </row>
    <row r="466" spans="1:14" x14ac:dyDescent="0.25">
      <c r="A466" s="3"/>
      <c r="G466"/>
      <c r="H466" s="90" t="e">
        <f>+'Base personal'!$G466/'Base personal'!$L466</f>
        <v>#DIV/0!</v>
      </c>
      <c r="I466" s="108" t="e">
        <f>VLOOKUP(B466&amp;C466,base!$C$2:$E$27,3,0)</f>
        <v>#N/A</v>
      </c>
      <c r="J466" s="108" t="e">
        <f>VLOOKUP(B466&amp;C466,base!$C$2:$F$27,4,0)</f>
        <v>#N/A</v>
      </c>
      <c r="K466" s="91" t="e">
        <f>+'Base personal'!$H466*'Base personal'!$J466*'Base personal'!$L466</f>
        <v>#DIV/0!</v>
      </c>
      <c r="L466" s="91"/>
      <c r="M466" s="93" t="e">
        <f t="shared" si="14"/>
        <v>#DIV/0!</v>
      </c>
      <c r="N466" s="94" t="e">
        <f>M466/VLOOKUP(B466&amp;C466,base!$C$2:$E$27,3,0)</f>
        <v>#DIV/0!</v>
      </c>
    </row>
    <row r="467" spans="1:14" x14ac:dyDescent="0.25">
      <c r="A467" s="3"/>
      <c r="G467"/>
      <c r="H467" s="90" t="e">
        <f>+'Base personal'!$G467/'Base personal'!$L467</f>
        <v>#DIV/0!</v>
      </c>
      <c r="I467" s="108" t="e">
        <f>VLOOKUP(B467&amp;C467,base!$C$2:$E$27,3,0)</f>
        <v>#N/A</v>
      </c>
      <c r="J467" s="108" t="e">
        <f>VLOOKUP(B467&amp;C467,base!$C$2:$F$27,4,0)</f>
        <v>#N/A</v>
      </c>
      <c r="K467" s="91" t="e">
        <f>+'Base personal'!$H467*'Base personal'!$J467*'Base personal'!$L467</f>
        <v>#DIV/0!</v>
      </c>
      <c r="L467" s="91"/>
      <c r="M467" s="93" t="e">
        <f t="shared" si="14"/>
        <v>#DIV/0!</v>
      </c>
      <c r="N467" s="94" t="e">
        <f>M467/VLOOKUP(B467&amp;C467,base!$C$2:$E$27,3,0)</f>
        <v>#DIV/0!</v>
      </c>
    </row>
    <row r="468" spans="1:14" x14ac:dyDescent="0.25">
      <c r="A468" s="3"/>
      <c r="G468"/>
      <c r="H468" s="90" t="e">
        <f>+'Base personal'!$G468/'Base personal'!$L468</f>
        <v>#DIV/0!</v>
      </c>
      <c r="I468" s="108" t="e">
        <f>VLOOKUP(B468&amp;C468,base!$C$2:$E$27,3,0)</f>
        <v>#N/A</v>
      </c>
      <c r="J468" s="108" t="e">
        <f>VLOOKUP(B468&amp;C468,base!$C$2:$F$27,4,0)</f>
        <v>#N/A</v>
      </c>
      <c r="K468" s="91" t="e">
        <f>+'Base personal'!$H468*'Base personal'!$J468*'Base personal'!$L468</f>
        <v>#DIV/0!</v>
      </c>
      <c r="L468" s="91"/>
      <c r="M468" s="93" t="e">
        <f t="shared" si="14"/>
        <v>#DIV/0!</v>
      </c>
      <c r="N468" s="94" t="e">
        <f>M468/VLOOKUP(B468&amp;C468,base!$C$2:$E$27,3,0)</f>
        <v>#DIV/0!</v>
      </c>
    </row>
    <row r="469" spans="1:14" x14ac:dyDescent="0.25">
      <c r="A469" s="3"/>
      <c r="G469"/>
      <c r="H469" s="90" t="e">
        <f>+'Base personal'!$G469/'Base personal'!$L469</f>
        <v>#DIV/0!</v>
      </c>
      <c r="I469" s="108" t="e">
        <f>VLOOKUP(B469&amp;C469,base!$C$2:$E$27,3,0)</f>
        <v>#N/A</v>
      </c>
      <c r="J469" s="108" t="e">
        <f>VLOOKUP(B469&amp;C469,base!$C$2:$F$27,4,0)</f>
        <v>#N/A</v>
      </c>
      <c r="K469" s="91" t="e">
        <f>+'Base personal'!$H469*'Base personal'!$J469*'Base personal'!$L469</f>
        <v>#DIV/0!</v>
      </c>
      <c r="L469" s="91"/>
      <c r="M469" s="93" t="e">
        <f t="shared" ref="M469:M532" si="15">G469/L469</f>
        <v>#DIV/0!</v>
      </c>
      <c r="N469" s="94" t="e">
        <f>M469/VLOOKUP(B469&amp;C469,base!$C$2:$E$27,3,0)</f>
        <v>#DIV/0!</v>
      </c>
    </row>
    <row r="470" spans="1:14" x14ac:dyDescent="0.25">
      <c r="A470" s="3"/>
      <c r="G470"/>
      <c r="H470" s="90" t="e">
        <f>+'Base personal'!$G470/'Base personal'!$L470</f>
        <v>#DIV/0!</v>
      </c>
      <c r="I470" s="108" t="e">
        <f>VLOOKUP(B470&amp;C470,base!$C$2:$E$27,3,0)</f>
        <v>#N/A</v>
      </c>
      <c r="J470" s="108" t="e">
        <f>VLOOKUP(B470&amp;C470,base!$C$2:$F$27,4,0)</f>
        <v>#N/A</v>
      </c>
      <c r="K470" s="91" t="e">
        <f>+'Base personal'!$H470*'Base personal'!$J470*'Base personal'!$L470</f>
        <v>#DIV/0!</v>
      </c>
      <c r="L470" s="91"/>
      <c r="M470" s="93" t="e">
        <f t="shared" si="15"/>
        <v>#DIV/0!</v>
      </c>
      <c r="N470" s="94" t="e">
        <f>M470/VLOOKUP(B470&amp;C470,base!$C$2:$E$27,3,0)</f>
        <v>#DIV/0!</v>
      </c>
    </row>
    <row r="471" spans="1:14" x14ac:dyDescent="0.25">
      <c r="A471" s="3"/>
      <c r="G471"/>
      <c r="H471" s="90" t="e">
        <f>+'Base personal'!$G471/'Base personal'!$L471</f>
        <v>#DIV/0!</v>
      </c>
      <c r="I471" s="108" t="e">
        <f>VLOOKUP(B471&amp;C471,base!$C$2:$E$27,3,0)</f>
        <v>#N/A</v>
      </c>
      <c r="J471" s="108" t="e">
        <f>VLOOKUP(B471&amp;C471,base!$C$2:$F$27,4,0)</f>
        <v>#N/A</v>
      </c>
      <c r="K471" s="91" t="e">
        <f>+'Base personal'!$H471*'Base personal'!$J471*'Base personal'!$L471</f>
        <v>#DIV/0!</v>
      </c>
      <c r="L471" s="91"/>
      <c r="M471" s="93" t="e">
        <f t="shared" si="15"/>
        <v>#DIV/0!</v>
      </c>
      <c r="N471" s="94" t="e">
        <f>M471/VLOOKUP(B471&amp;C471,base!$C$2:$E$27,3,0)</f>
        <v>#DIV/0!</v>
      </c>
    </row>
    <row r="472" spans="1:14" x14ac:dyDescent="0.25">
      <c r="A472" s="3"/>
      <c r="G472"/>
      <c r="H472" s="90" t="e">
        <f>+'Base personal'!$G472/'Base personal'!$L472</f>
        <v>#DIV/0!</v>
      </c>
      <c r="I472" s="108" t="e">
        <f>VLOOKUP(B472&amp;C472,base!$C$2:$E$27,3,0)</f>
        <v>#N/A</v>
      </c>
      <c r="J472" s="108" t="e">
        <f>VLOOKUP(B472&amp;C472,base!$C$2:$F$27,4,0)</f>
        <v>#N/A</v>
      </c>
      <c r="K472" s="91" t="e">
        <f>+'Base personal'!$H472*'Base personal'!$J472*'Base personal'!$L472</f>
        <v>#DIV/0!</v>
      </c>
      <c r="L472" s="91"/>
      <c r="M472" s="93" t="e">
        <f t="shared" si="15"/>
        <v>#DIV/0!</v>
      </c>
      <c r="N472" s="94" t="e">
        <f>M472/VLOOKUP(B472&amp;C472,base!$C$2:$E$27,3,0)</f>
        <v>#DIV/0!</v>
      </c>
    </row>
    <row r="473" spans="1:14" x14ac:dyDescent="0.25">
      <c r="A473" s="3"/>
      <c r="G473"/>
      <c r="H473" s="90" t="e">
        <f>+'Base personal'!$G473/'Base personal'!$L473</f>
        <v>#DIV/0!</v>
      </c>
      <c r="I473" s="108" t="e">
        <f>VLOOKUP(B473&amp;C473,base!$C$2:$E$27,3,0)</f>
        <v>#N/A</v>
      </c>
      <c r="J473" s="108" t="e">
        <f>VLOOKUP(B473&amp;C473,base!$C$2:$F$27,4,0)</f>
        <v>#N/A</v>
      </c>
      <c r="K473" s="91" t="e">
        <f>+'Base personal'!$H473*'Base personal'!$J473*'Base personal'!$L473</f>
        <v>#DIV/0!</v>
      </c>
      <c r="L473" s="91"/>
      <c r="M473" s="93" t="e">
        <f t="shared" si="15"/>
        <v>#DIV/0!</v>
      </c>
      <c r="N473" s="94" t="e">
        <f>M473/VLOOKUP(B473&amp;C473,base!$C$2:$E$27,3,0)</f>
        <v>#DIV/0!</v>
      </c>
    </row>
    <row r="474" spans="1:14" x14ac:dyDescent="0.25">
      <c r="A474" s="3"/>
      <c r="G474"/>
      <c r="H474" s="90" t="e">
        <f>+'Base personal'!$G474/'Base personal'!$L474</f>
        <v>#DIV/0!</v>
      </c>
      <c r="I474" s="108" t="e">
        <f>VLOOKUP(B474&amp;C474,base!$C$2:$E$27,3,0)</f>
        <v>#N/A</v>
      </c>
      <c r="J474" s="108" t="e">
        <f>VLOOKUP(B474&amp;C474,base!$C$2:$F$27,4,0)</f>
        <v>#N/A</v>
      </c>
      <c r="K474" s="91" t="e">
        <f>+'Base personal'!$H474*'Base personal'!$J474*'Base personal'!$L474</f>
        <v>#DIV/0!</v>
      </c>
      <c r="L474" s="91"/>
      <c r="M474" s="93" t="e">
        <f t="shared" si="15"/>
        <v>#DIV/0!</v>
      </c>
      <c r="N474" s="94" t="e">
        <f>M474/VLOOKUP(B474&amp;C474,base!$C$2:$E$27,3,0)</f>
        <v>#DIV/0!</v>
      </c>
    </row>
    <row r="475" spans="1:14" x14ac:dyDescent="0.25">
      <c r="A475" s="3"/>
      <c r="G475"/>
      <c r="H475" s="90" t="e">
        <f>+'Base personal'!$G475/'Base personal'!$L475</f>
        <v>#DIV/0!</v>
      </c>
      <c r="I475" s="108" t="e">
        <f>VLOOKUP(B475&amp;C475,base!$C$2:$E$27,3,0)</f>
        <v>#N/A</v>
      </c>
      <c r="J475" s="108" t="e">
        <f>VLOOKUP(B475&amp;C475,base!$C$2:$F$27,4,0)</f>
        <v>#N/A</v>
      </c>
      <c r="K475" s="91" t="e">
        <f>+'Base personal'!$H475*'Base personal'!$J475*'Base personal'!$L475</f>
        <v>#DIV/0!</v>
      </c>
      <c r="M475" s="93" t="e">
        <f t="shared" si="15"/>
        <v>#DIV/0!</v>
      </c>
      <c r="N475" s="94" t="e">
        <f>M475/VLOOKUP(B475&amp;C475,base!$C$2:$E$27,3,0)</f>
        <v>#DIV/0!</v>
      </c>
    </row>
    <row r="476" spans="1:14" x14ac:dyDescent="0.25">
      <c r="A476" s="3"/>
      <c r="G476"/>
      <c r="H476" s="90" t="e">
        <f>+'Base personal'!$G476/'Base personal'!$L476</f>
        <v>#DIV/0!</v>
      </c>
      <c r="I476" s="108" t="e">
        <f>VLOOKUP(B476&amp;C476,base!$C$2:$E$27,3,0)</f>
        <v>#N/A</v>
      </c>
      <c r="J476" s="108" t="e">
        <f>VLOOKUP(B476&amp;C476,base!$C$2:$F$27,4,0)</f>
        <v>#N/A</v>
      </c>
      <c r="K476" s="91" t="e">
        <f>+'Base personal'!$H476*'Base personal'!$J476*'Base personal'!$L476</f>
        <v>#DIV/0!</v>
      </c>
      <c r="M476" s="93" t="e">
        <f t="shared" si="15"/>
        <v>#DIV/0!</v>
      </c>
      <c r="N476" s="94" t="e">
        <f>M476/VLOOKUP(B476&amp;C476,base!$C$2:$E$27,3,0)</f>
        <v>#DIV/0!</v>
      </c>
    </row>
    <row r="477" spans="1:14" x14ac:dyDescent="0.25">
      <c r="A477" s="3"/>
      <c r="G477"/>
      <c r="H477" s="90" t="e">
        <f>+'Base personal'!$G477/'Base personal'!$L477</f>
        <v>#DIV/0!</v>
      </c>
      <c r="I477" s="108" t="e">
        <f>VLOOKUP(B477&amp;C477,base!$C$2:$E$27,3,0)</f>
        <v>#N/A</v>
      </c>
      <c r="J477" s="108" t="e">
        <f>VLOOKUP(B477&amp;C477,base!$C$2:$F$27,4,0)</f>
        <v>#N/A</v>
      </c>
      <c r="K477" s="91" t="e">
        <f>+'Base personal'!$H477*'Base personal'!$J477*'Base personal'!$L477</f>
        <v>#DIV/0!</v>
      </c>
      <c r="M477" s="93" t="e">
        <f t="shared" si="15"/>
        <v>#DIV/0!</v>
      </c>
      <c r="N477" s="94" t="e">
        <f>M477/VLOOKUP(B477&amp;C477,base!$C$2:$E$27,3,0)</f>
        <v>#DIV/0!</v>
      </c>
    </row>
    <row r="478" spans="1:14" x14ac:dyDescent="0.25">
      <c r="A478" s="3"/>
      <c r="G478"/>
      <c r="H478" s="90" t="e">
        <f>+'Base personal'!$G478/'Base personal'!$L478</f>
        <v>#DIV/0!</v>
      </c>
      <c r="I478" s="108" t="e">
        <f>VLOOKUP(B478&amp;C478,base!$C$2:$E$27,3,0)</f>
        <v>#N/A</v>
      </c>
      <c r="J478" s="108" t="e">
        <f>VLOOKUP(B478&amp;C478,base!$C$2:$F$27,4,0)</f>
        <v>#N/A</v>
      </c>
      <c r="K478" s="91" t="e">
        <f>+'Base personal'!$H478*'Base personal'!$J478*'Base personal'!$L478</f>
        <v>#DIV/0!</v>
      </c>
      <c r="M478" s="93" t="e">
        <f t="shared" si="15"/>
        <v>#DIV/0!</v>
      </c>
      <c r="N478" s="94" t="e">
        <f>M478/VLOOKUP(B478&amp;C478,base!$C$2:$E$27,3,0)</f>
        <v>#DIV/0!</v>
      </c>
    </row>
    <row r="479" spans="1:14" x14ac:dyDescent="0.25">
      <c r="A479" s="3"/>
      <c r="G479"/>
      <c r="H479" s="90" t="e">
        <f>+'Base personal'!$G479/'Base personal'!$L479</f>
        <v>#DIV/0!</v>
      </c>
      <c r="I479" s="108" t="e">
        <f>VLOOKUP(B479&amp;C479,base!$C$2:$E$27,3,0)</f>
        <v>#N/A</v>
      </c>
      <c r="J479" s="108" t="e">
        <f>VLOOKUP(B479&amp;C479,base!$C$2:$F$27,4,0)</f>
        <v>#N/A</v>
      </c>
      <c r="K479" s="91" t="e">
        <f>+'Base personal'!$H479*'Base personal'!$J479*'Base personal'!$L479</f>
        <v>#DIV/0!</v>
      </c>
      <c r="M479" s="93" t="e">
        <f t="shared" si="15"/>
        <v>#DIV/0!</v>
      </c>
      <c r="N479" s="94" t="e">
        <f>M479/VLOOKUP(B479&amp;C479,base!$C$2:$E$27,3,0)</f>
        <v>#DIV/0!</v>
      </c>
    </row>
    <row r="480" spans="1:14" x14ac:dyDescent="0.25">
      <c r="A480" s="3"/>
      <c r="G480"/>
      <c r="H480" s="90" t="e">
        <f>+'Base personal'!$G480/'Base personal'!$L480</f>
        <v>#DIV/0!</v>
      </c>
      <c r="I480" s="108" t="e">
        <f>VLOOKUP(B480&amp;C480,base!$C$2:$E$27,3,0)</f>
        <v>#N/A</v>
      </c>
      <c r="J480" s="108" t="e">
        <f>VLOOKUP(B480&amp;C480,base!$C$2:$F$27,4,0)</f>
        <v>#N/A</v>
      </c>
      <c r="K480" s="91" t="e">
        <f>+'Base personal'!$H480*'Base personal'!$J480*'Base personal'!$L480</f>
        <v>#DIV/0!</v>
      </c>
      <c r="M480" s="93" t="e">
        <f t="shared" si="15"/>
        <v>#DIV/0!</v>
      </c>
      <c r="N480" s="94" t="e">
        <f>M480/VLOOKUP(B480&amp;C480,base!$C$2:$E$27,3,0)</f>
        <v>#DIV/0!</v>
      </c>
    </row>
    <row r="481" spans="1:14" x14ac:dyDescent="0.25">
      <c r="A481" s="3"/>
      <c r="G481"/>
      <c r="H481" s="90" t="e">
        <f>+'Base personal'!$G481/'Base personal'!$L481</f>
        <v>#DIV/0!</v>
      </c>
      <c r="I481" s="108" t="e">
        <f>VLOOKUP(B481&amp;C481,base!$C$2:$E$27,3,0)</f>
        <v>#N/A</v>
      </c>
      <c r="J481" s="108" t="e">
        <f>VLOOKUP(B481&amp;C481,base!$C$2:$F$27,4,0)</f>
        <v>#N/A</v>
      </c>
      <c r="K481" s="91" t="e">
        <f>+'Base personal'!$H481*'Base personal'!$J481*'Base personal'!$L481</f>
        <v>#DIV/0!</v>
      </c>
      <c r="M481" s="93" t="e">
        <f t="shared" si="15"/>
        <v>#DIV/0!</v>
      </c>
      <c r="N481" s="94" t="e">
        <f>M481/VLOOKUP(B481&amp;C481,base!$C$2:$E$27,3,0)</f>
        <v>#DIV/0!</v>
      </c>
    </row>
    <row r="482" spans="1:14" x14ac:dyDescent="0.25">
      <c r="A482" s="3"/>
      <c r="G482"/>
      <c r="H482" s="90" t="e">
        <f>+'Base personal'!$G482/'Base personal'!$L482</f>
        <v>#DIV/0!</v>
      </c>
      <c r="I482" s="108" t="e">
        <f>VLOOKUP(B482&amp;C482,base!$C$2:$E$27,3,0)</f>
        <v>#N/A</v>
      </c>
      <c r="J482" s="108" t="e">
        <f>VLOOKUP(B482&amp;C482,base!$C$2:$F$27,4,0)</f>
        <v>#N/A</v>
      </c>
      <c r="K482" s="91" t="e">
        <f>+'Base personal'!$H482*'Base personal'!$J482*'Base personal'!$L482</f>
        <v>#DIV/0!</v>
      </c>
      <c r="M482" s="93" t="e">
        <f t="shared" si="15"/>
        <v>#DIV/0!</v>
      </c>
      <c r="N482" s="94" t="e">
        <f>M482/VLOOKUP(B482&amp;C482,base!$C$2:$E$27,3,0)</f>
        <v>#DIV/0!</v>
      </c>
    </row>
    <row r="483" spans="1:14" x14ac:dyDescent="0.25">
      <c r="A483" s="3"/>
      <c r="G483"/>
      <c r="H483" s="90" t="e">
        <f>+'Base personal'!$G483/'Base personal'!$L483</f>
        <v>#DIV/0!</v>
      </c>
      <c r="I483" s="108" t="e">
        <f>VLOOKUP(B483&amp;C483,base!$C$2:$E$27,3,0)</f>
        <v>#N/A</v>
      </c>
      <c r="J483" s="108" t="e">
        <f>VLOOKUP(B483&amp;C483,base!$C$2:$F$27,4,0)</f>
        <v>#N/A</v>
      </c>
      <c r="K483" s="91" t="e">
        <f>+'Base personal'!$H483*'Base personal'!$J483*'Base personal'!$L483</f>
        <v>#DIV/0!</v>
      </c>
      <c r="M483" s="93" t="e">
        <f t="shared" si="15"/>
        <v>#DIV/0!</v>
      </c>
      <c r="N483" s="94" t="e">
        <f>M483/VLOOKUP(B483&amp;C483,base!$C$2:$E$27,3,0)</f>
        <v>#DIV/0!</v>
      </c>
    </row>
    <row r="484" spans="1:14" x14ac:dyDescent="0.25">
      <c r="A484" s="3"/>
      <c r="G484"/>
      <c r="H484" s="90" t="e">
        <f>+'Base personal'!$G484/'Base personal'!$L484</f>
        <v>#DIV/0!</v>
      </c>
      <c r="I484" s="108" t="e">
        <f>VLOOKUP(B484&amp;C484,base!$C$2:$E$27,3,0)</f>
        <v>#N/A</v>
      </c>
      <c r="J484" s="108" t="e">
        <f>VLOOKUP(B484&amp;C484,base!$C$2:$F$27,4,0)</f>
        <v>#N/A</v>
      </c>
      <c r="K484" s="91" t="e">
        <f>+'Base personal'!$H484*'Base personal'!$J484*'Base personal'!$L484</f>
        <v>#DIV/0!</v>
      </c>
      <c r="M484" s="93" t="e">
        <f t="shared" si="15"/>
        <v>#DIV/0!</v>
      </c>
      <c r="N484" s="94" t="e">
        <f>M484/VLOOKUP(B484&amp;C484,base!$C$2:$E$27,3,0)</f>
        <v>#DIV/0!</v>
      </c>
    </row>
    <row r="485" spans="1:14" x14ac:dyDescent="0.25">
      <c r="A485" s="3"/>
      <c r="G485"/>
      <c r="H485" s="90" t="e">
        <f>+'Base personal'!$G485/'Base personal'!$L485</f>
        <v>#DIV/0!</v>
      </c>
      <c r="I485" s="108" t="e">
        <f>VLOOKUP(B485&amp;C485,base!$C$2:$E$27,3,0)</f>
        <v>#N/A</v>
      </c>
      <c r="J485" s="108" t="e">
        <f>VLOOKUP(B485&amp;C485,base!$C$2:$F$27,4,0)</f>
        <v>#N/A</v>
      </c>
      <c r="K485" s="91" t="e">
        <f>+'Base personal'!$H485*'Base personal'!$J485*'Base personal'!$L485</f>
        <v>#DIV/0!</v>
      </c>
      <c r="M485" s="93" t="e">
        <f t="shared" si="15"/>
        <v>#DIV/0!</v>
      </c>
      <c r="N485" s="94" t="e">
        <f>M485/VLOOKUP(B485&amp;C485,base!$C$2:$E$27,3,0)</f>
        <v>#DIV/0!</v>
      </c>
    </row>
    <row r="486" spans="1:14" x14ac:dyDescent="0.25">
      <c r="A486" s="3"/>
      <c r="G486"/>
      <c r="H486" s="90" t="e">
        <f>+'Base personal'!$G486/'Base personal'!$L486</f>
        <v>#DIV/0!</v>
      </c>
      <c r="I486" s="108" t="e">
        <f>VLOOKUP(B486&amp;C486,base!$C$2:$E$27,3,0)</f>
        <v>#N/A</v>
      </c>
      <c r="J486" s="108" t="e">
        <f>VLOOKUP(B486&amp;C486,base!$C$2:$F$27,4,0)</f>
        <v>#N/A</v>
      </c>
      <c r="K486" s="91" t="e">
        <f>+'Base personal'!$H486*'Base personal'!$J486*'Base personal'!$L486</f>
        <v>#DIV/0!</v>
      </c>
      <c r="M486" s="93" t="e">
        <f t="shared" si="15"/>
        <v>#DIV/0!</v>
      </c>
      <c r="N486" s="94" t="e">
        <f>M486/VLOOKUP(B486&amp;C486,base!$C$2:$E$27,3,0)</f>
        <v>#DIV/0!</v>
      </c>
    </row>
    <row r="487" spans="1:14" x14ac:dyDescent="0.25">
      <c r="A487" s="3"/>
      <c r="G487"/>
      <c r="H487" s="90" t="e">
        <f>+'Base personal'!$G487/'Base personal'!$L487</f>
        <v>#DIV/0!</v>
      </c>
      <c r="I487" s="108" t="e">
        <f>VLOOKUP(B487&amp;C487,base!$C$2:$E$27,3,0)</f>
        <v>#N/A</v>
      </c>
      <c r="J487" s="108" t="e">
        <f>VLOOKUP(B487&amp;C487,base!$C$2:$F$27,4,0)</f>
        <v>#N/A</v>
      </c>
      <c r="K487" s="91" t="e">
        <f>+'Base personal'!$H487*'Base personal'!$J487*'Base personal'!$L487</f>
        <v>#DIV/0!</v>
      </c>
      <c r="M487" s="93" t="e">
        <f t="shared" si="15"/>
        <v>#DIV/0!</v>
      </c>
      <c r="N487" s="94" t="e">
        <f>M487/VLOOKUP(B487&amp;C487,base!$C$2:$E$27,3,0)</f>
        <v>#DIV/0!</v>
      </c>
    </row>
    <row r="488" spans="1:14" x14ac:dyDescent="0.25">
      <c r="A488" s="3"/>
      <c r="G488"/>
      <c r="H488" s="90" t="e">
        <f>+'Base personal'!$G488/'Base personal'!$L488</f>
        <v>#DIV/0!</v>
      </c>
      <c r="I488" s="108" t="e">
        <f>VLOOKUP(B488&amp;C488,base!$C$2:$E$27,3,0)</f>
        <v>#N/A</v>
      </c>
      <c r="J488" s="108" t="e">
        <f>VLOOKUP(B488&amp;C488,base!$C$2:$F$27,4,0)</f>
        <v>#N/A</v>
      </c>
      <c r="K488" s="91" t="e">
        <f>+'Base personal'!$H488*'Base personal'!$J488*'Base personal'!$L488</f>
        <v>#DIV/0!</v>
      </c>
      <c r="M488" s="93" t="e">
        <f t="shared" si="15"/>
        <v>#DIV/0!</v>
      </c>
      <c r="N488" s="94" t="e">
        <f>M488/VLOOKUP(B488&amp;C488,base!$C$2:$E$27,3,0)</f>
        <v>#DIV/0!</v>
      </c>
    </row>
    <row r="489" spans="1:14" x14ac:dyDescent="0.25">
      <c r="A489" s="3"/>
      <c r="G489"/>
      <c r="H489" s="90" t="e">
        <f>+'Base personal'!$G489/'Base personal'!$L489</f>
        <v>#DIV/0!</v>
      </c>
      <c r="I489" s="108" t="e">
        <f>VLOOKUP(B489&amp;C489,base!$C$2:$E$27,3,0)</f>
        <v>#N/A</v>
      </c>
      <c r="J489" s="108" t="e">
        <f>VLOOKUP(B489&amp;C489,base!$C$2:$F$27,4,0)</f>
        <v>#N/A</v>
      </c>
      <c r="K489" s="91" t="e">
        <f>+'Base personal'!$H489*'Base personal'!$J489*'Base personal'!$L489</f>
        <v>#DIV/0!</v>
      </c>
      <c r="M489" s="93" t="e">
        <f t="shared" si="15"/>
        <v>#DIV/0!</v>
      </c>
      <c r="N489" s="94" t="e">
        <f>M489/VLOOKUP(B489&amp;C489,base!$C$2:$E$27,3,0)</f>
        <v>#DIV/0!</v>
      </c>
    </row>
    <row r="490" spans="1:14" x14ac:dyDescent="0.25">
      <c r="A490" s="3"/>
      <c r="G490"/>
      <c r="H490" s="90" t="e">
        <f>+'Base personal'!$G490/'Base personal'!$L490</f>
        <v>#DIV/0!</v>
      </c>
      <c r="I490" s="108" t="e">
        <f>VLOOKUP(B490&amp;C490,base!$C$2:$E$27,3,0)</f>
        <v>#N/A</v>
      </c>
      <c r="J490" s="108" t="e">
        <f>VLOOKUP(B490&amp;C490,base!$C$2:$F$27,4,0)</f>
        <v>#N/A</v>
      </c>
      <c r="K490" s="91" t="e">
        <f>+'Base personal'!$H490*'Base personal'!$J490*'Base personal'!$L490</f>
        <v>#DIV/0!</v>
      </c>
      <c r="M490" s="93" t="e">
        <f t="shared" si="15"/>
        <v>#DIV/0!</v>
      </c>
      <c r="N490" s="94" t="e">
        <f>M490/VLOOKUP(B490&amp;C490,base!$C$2:$E$27,3,0)</f>
        <v>#DIV/0!</v>
      </c>
    </row>
    <row r="491" spans="1:14" x14ac:dyDescent="0.25">
      <c r="A491" s="3"/>
      <c r="G491"/>
      <c r="H491" s="90" t="e">
        <f>+'Base personal'!$G491/'Base personal'!$L491</f>
        <v>#DIV/0!</v>
      </c>
      <c r="I491" s="108" t="e">
        <f>VLOOKUP(B491&amp;C491,base!$C$2:$E$27,3,0)</f>
        <v>#N/A</v>
      </c>
      <c r="J491" s="108" t="e">
        <f>VLOOKUP(B491&amp;C491,base!$C$2:$F$27,4,0)</f>
        <v>#N/A</v>
      </c>
      <c r="K491" s="91" t="e">
        <f>+'Base personal'!$H491*'Base personal'!$J491*'Base personal'!$L491</f>
        <v>#DIV/0!</v>
      </c>
      <c r="M491" s="93" t="e">
        <f t="shared" si="15"/>
        <v>#DIV/0!</v>
      </c>
      <c r="N491" s="94" t="e">
        <f>M491/VLOOKUP(B491&amp;C491,base!$C$2:$E$27,3,0)</f>
        <v>#DIV/0!</v>
      </c>
    </row>
    <row r="492" spans="1:14" x14ac:dyDescent="0.25">
      <c r="A492" s="3"/>
      <c r="G492"/>
      <c r="H492" s="90" t="e">
        <f>+'Base personal'!$G492/'Base personal'!$L492</f>
        <v>#DIV/0!</v>
      </c>
      <c r="I492" s="108" t="e">
        <f>VLOOKUP(B492&amp;C492,base!$C$2:$E$27,3,0)</f>
        <v>#N/A</v>
      </c>
      <c r="J492" s="108" t="e">
        <f>VLOOKUP(B492&amp;C492,base!$C$2:$F$27,4,0)</f>
        <v>#N/A</v>
      </c>
      <c r="K492" s="91" t="e">
        <f>+'Base personal'!$H492*'Base personal'!$J492*'Base personal'!$L492</f>
        <v>#DIV/0!</v>
      </c>
      <c r="M492" s="93" t="e">
        <f t="shared" si="15"/>
        <v>#DIV/0!</v>
      </c>
      <c r="N492" s="94" t="e">
        <f>M492/VLOOKUP(B492&amp;C492,base!$C$2:$E$27,3,0)</f>
        <v>#DIV/0!</v>
      </c>
    </row>
    <row r="493" spans="1:14" x14ac:dyDescent="0.25">
      <c r="A493" s="3"/>
      <c r="G493"/>
      <c r="H493" s="90" t="e">
        <f>+'Base personal'!$G493/'Base personal'!$L493</f>
        <v>#DIV/0!</v>
      </c>
      <c r="I493" s="108" t="e">
        <f>VLOOKUP(B493&amp;C493,base!$C$2:$E$27,3,0)</f>
        <v>#N/A</v>
      </c>
      <c r="J493" s="108" t="e">
        <f>VLOOKUP(B493&amp;C493,base!$C$2:$F$27,4,0)</f>
        <v>#N/A</v>
      </c>
      <c r="K493" s="91" t="e">
        <f>+'Base personal'!$H493*'Base personal'!$J493*'Base personal'!$L493</f>
        <v>#DIV/0!</v>
      </c>
      <c r="M493" s="93" t="e">
        <f t="shared" si="15"/>
        <v>#DIV/0!</v>
      </c>
      <c r="N493" s="94" t="e">
        <f>M493/VLOOKUP(B493&amp;C493,base!$C$2:$E$27,3,0)</f>
        <v>#DIV/0!</v>
      </c>
    </row>
    <row r="494" spans="1:14" x14ac:dyDescent="0.25">
      <c r="A494" s="3"/>
      <c r="G494"/>
      <c r="H494" s="90" t="e">
        <f>+'Base personal'!$G494/'Base personal'!$L494</f>
        <v>#DIV/0!</v>
      </c>
      <c r="I494" s="108" t="e">
        <f>VLOOKUP(B494&amp;C494,base!$C$2:$E$27,3,0)</f>
        <v>#N/A</v>
      </c>
      <c r="J494" s="108" t="e">
        <f>VLOOKUP(B494&amp;C494,base!$C$2:$F$27,4,0)</f>
        <v>#N/A</v>
      </c>
      <c r="K494" s="91" t="e">
        <f>+'Base personal'!$H494*'Base personal'!$J494*'Base personal'!$L494</f>
        <v>#DIV/0!</v>
      </c>
      <c r="M494" s="93" t="e">
        <f t="shared" si="15"/>
        <v>#DIV/0!</v>
      </c>
      <c r="N494" s="94" t="e">
        <f>M494/VLOOKUP(B494&amp;C494,base!$C$2:$E$27,3,0)</f>
        <v>#DIV/0!</v>
      </c>
    </row>
    <row r="495" spans="1:14" x14ac:dyDescent="0.25">
      <c r="A495" s="3"/>
      <c r="G495"/>
      <c r="H495" s="90" t="e">
        <f>+'Base personal'!$G495/'Base personal'!$L495</f>
        <v>#DIV/0!</v>
      </c>
      <c r="I495" s="108" t="e">
        <f>VLOOKUP(B495&amp;C495,base!$C$2:$E$27,3,0)</f>
        <v>#N/A</v>
      </c>
      <c r="J495" s="108" t="e">
        <f>VLOOKUP(B495&amp;C495,base!$C$2:$F$27,4,0)</f>
        <v>#N/A</v>
      </c>
      <c r="K495" s="91" t="e">
        <f>+'Base personal'!$H495*'Base personal'!$J495*'Base personal'!$L495</f>
        <v>#DIV/0!</v>
      </c>
      <c r="M495" s="93" t="e">
        <f t="shared" si="15"/>
        <v>#DIV/0!</v>
      </c>
      <c r="N495" s="94" t="e">
        <f>M495/VLOOKUP(B495&amp;C495,base!$C$2:$E$27,3,0)</f>
        <v>#DIV/0!</v>
      </c>
    </row>
    <row r="496" spans="1:14" x14ac:dyDescent="0.25">
      <c r="A496" s="3"/>
      <c r="G496"/>
      <c r="H496" s="90" t="e">
        <f>+'Base personal'!$G496/'Base personal'!$L496</f>
        <v>#DIV/0!</v>
      </c>
      <c r="I496" s="108" t="e">
        <f>VLOOKUP(B496&amp;C496,base!$C$2:$E$27,3,0)</f>
        <v>#N/A</v>
      </c>
      <c r="J496" s="108" t="e">
        <f>VLOOKUP(B496&amp;C496,base!$C$2:$F$27,4,0)</f>
        <v>#N/A</v>
      </c>
      <c r="K496" s="91" t="e">
        <f>+'Base personal'!$H496*'Base personal'!$J496*'Base personal'!$L496</f>
        <v>#DIV/0!</v>
      </c>
      <c r="M496" s="93" t="e">
        <f t="shared" si="15"/>
        <v>#DIV/0!</v>
      </c>
      <c r="N496" s="94" t="e">
        <f>M496/VLOOKUP(B496&amp;C496,base!$C$2:$E$27,3,0)</f>
        <v>#DIV/0!</v>
      </c>
    </row>
    <row r="497" spans="1:14" x14ac:dyDescent="0.25">
      <c r="A497" s="3"/>
      <c r="G497"/>
      <c r="H497" s="90" t="e">
        <f>+'Base personal'!$G497/'Base personal'!$L497</f>
        <v>#DIV/0!</v>
      </c>
      <c r="I497" s="108" t="e">
        <f>VLOOKUP(B497&amp;C497,base!$C$2:$E$27,3,0)</f>
        <v>#N/A</v>
      </c>
      <c r="J497" s="108" t="e">
        <f>VLOOKUP(B497&amp;C497,base!$C$2:$F$27,4,0)</f>
        <v>#N/A</v>
      </c>
      <c r="K497" s="91" t="e">
        <f>+'Base personal'!$H497*'Base personal'!$J497*'Base personal'!$L497</f>
        <v>#DIV/0!</v>
      </c>
      <c r="M497" s="93" t="e">
        <f t="shared" si="15"/>
        <v>#DIV/0!</v>
      </c>
      <c r="N497" s="94" t="e">
        <f>M497/VLOOKUP(B497&amp;C497,base!$C$2:$E$27,3,0)</f>
        <v>#DIV/0!</v>
      </c>
    </row>
    <row r="498" spans="1:14" x14ac:dyDescent="0.25">
      <c r="A498" s="3"/>
      <c r="G498"/>
      <c r="H498" s="90" t="e">
        <f>+'Base personal'!$G498/'Base personal'!$L498</f>
        <v>#DIV/0!</v>
      </c>
      <c r="I498" s="108" t="e">
        <f>VLOOKUP(B498&amp;C498,base!$C$2:$E$27,3,0)</f>
        <v>#N/A</v>
      </c>
      <c r="J498" s="108" t="e">
        <f>VLOOKUP(B498&amp;C498,base!$C$2:$F$27,4,0)</f>
        <v>#N/A</v>
      </c>
      <c r="K498" s="91" t="e">
        <f>+'Base personal'!$H498*'Base personal'!$J498*'Base personal'!$L498</f>
        <v>#DIV/0!</v>
      </c>
      <c r="M498" s="93" t="e">
        <f t="shared" si="15"/>
        <v>#DIV/0!</v>
      </c>
      <c r="N498" s="94" t="e">
        <f>M498/VLOOKUP(B498&amp;C498,base!$C$2:$E$27,3,0)</f>
        <v>#DIV/0!</v>
      </c>
    </row>
    <row r="499" spans="1:14" x14ac:dyDescent="0.25">
      <c r="A499" s="3"/>
      <c r="G499"/>
      <c r="H499" s="90" t="e">
        <f>+'Base personal'!$G499/'Base personal'!$L499</f>
        <v>#DIV/0!</v>
      </c>
      <c r="I499" s="108" t="e">
        <f>VLOOKUP(B499&amp;C499,base!$C$2:$E$27,3,0)</f>
        <v>#N/A</v>
      </c>
      <c r="J499" s="108" t="e">
        <f>VLOOKUP(B499&amp;C499,base!$C$2:$F$27,4,0)</f>
        <v>#N/A</v>
      </c>
      <c r="K499" s="91" t="e">
        <f>+'Base personal'!$H499*'Base personal'!$J499*'Base personal'!$L499</f>
        <v>#DIV/0!</v>
      </c>
      <c r="M499" s="93" t="e">
        <f t="shared" si="15"/>
        <v>#DIV/0!</v>
      </c>
      <c r="N499" s="94" t="e">
        <f>M499/VLOOKUP(B499&amp;C499,base!$C$2:$E$27,3,0)</f>
        <v>#DIV/0!</v>
      </c>
    </row>
    <row r="500" spans="1:14" x14ac:dyDescent="0.25">
      <c r="A500" s="3"/>
      <c r="G500"/>
      <c r="H500" s="90" t="e">
        <f>+'Base personal'!$G500/'Base personal'!$L500</f>
        <v>#DIV/0!</v>
      </c>
      <c r="I500" s="108" t="e">
        <f>VLOOKUP(B500&amp;C500,base!$C$2:$E$27,3,0)</f>
        <v>#N/A</v>
      </c>
      <c r="J500" s="108" t="e">
        <f>VLOOKUP(B500&amp;C500,base!$C$2:$F$27,4,0)</f>
        <v>#N/A</v>
      </c>
      <c r="K500" s="91" t="e">
        <f>+'Base personal'!$H500*'Base personal'!$J500*'Base personal'!$L500</f>
        <v>#DIV/0!</v>
      </c>
      <c r="M500" s="93" t="e">
        <f t="shared" si="15"/>
        <v>#DIV/0!</v>
      </c>
      <c r="N500" s="94" t="e">
        <f>M500/VLOOKUP(B500&amp;C500,base!$C$2:$E$27,3,0)</f>
        <v>#DIV/0!</v>
      </c>
    </row>
    <row r="501" spans="1:14" x14ac:dyDescent="0.25">
      <c r="A501" s="3"/>
      <c r="G501"/>
      <c r="H501" s="90" t="e">
        <f>+'Base personal'!$G501/'Base personal'!$L501</f>
        <v>#DIV/0!</v>
      </c>
      <c r="I501" s="108" t="e">
        <f>VLOOKUP(B501&amp;C501,base!$C$2:$E$27,3,0)</f>
        <v>#N/A</v>
      </c>
      <c r="J501" s="108" t="e">
        <f>VLOOKUP(B501&amp;C501,base!$C$2:$F$27,4,0)</f>
        <v>#N/A</v>
      </c>
      <c r="K501" s="91" t="e">
        <f>+'Base personal'!$H501*'Base personal'!$J501*'Base personal'!$L501</f>
        <v>#DIV/0!</v>
      </c>
      <c r="M501" s="93" t="e">
        <f t="shared" si="15"/>
        <v>#DIV/0!</v>
      </c>
      <c r="N501" s="94" t="e">
        <f>M501/VLOOKUP(B501&amp;C501,base!$C$2:$E$27,3,0)</f>
        <v>#DIV/0!</v>
      </c>
    </row>
    <row r="502" spans="1:14" x14ac:dyDescent="0.25">
      <c r="A502" s="3"/>
      <c r="G502"/>
      <c r="H502" s="90" t="e">
        <f>+'Base personal'!$G502/'Base personal'!$L502</f>
        <v>#DIV/0!</v>
      </c>
      <c r="I502" s="108" t="e">
        <f>VLOOKUP(B502&amp;C502,base!$C$2:$E$27,3,0)</f>
        <v>#N/A</v>
      </c>
      <c r="J502" s="108" t="e">
        <f>VLOOKUP(B502&amp;C502,base!$C$2:$F$27,4,0)</f>
        <v>#N/A</v>
      </c>
      <c r="K502" s="91" t="e">
        <f>+'Base personal'!$H502*'Base personal'!$J502*'Base personal'!$L502</f>
        <v>#DIV/0!</v>
      </c>
      <c r="M502" s="93" t="e">
        <f t="shared" si="15"/>
        <v>#DIV/0!</v>
      </c>
      <c r="N502" s="94" t="e">
        <f>M502/VLOOKUP(B502&amp;C502,base!$C$2:$E$27,3,0)</f>
        <v>#DIV/0!</v>
      </c>
    </row>
    <row r="503" spans="1:14" x14ac:dyDescent="0.25">
      <c r="A503" s="3"/>
      <c r="G503"/>
      <c r="H503" s="90" t="e">
        <f>+'Base personal'!$G503/'Base personal'!$L503</f>
        <v>#DIV/0!</v>
      </c>
      <c r="I503" s="108" t="e">
        <f>VLOOKUP(B503&amp;C503,base!$C$2:$E$27,3,0)</f>
        <v>#N/A</v>
      </c>
      <c r="J503" s="108" t="e">
        <f>VLOOKUP(B503&amp;C503,base!$C$2:$F$27,4,0)</f>
        <v>#N/A</v>
      </c>
      <c r="K503" s="91" t="e">
        <f>+'Base personal'!$H503*'Base personal'!$J503*'Base personal'!$L503</f>
        <v>#DIV/0!</v>
      </c>
      <c r="M503" s="93" t="e">
        <f t="shared" si="15"/>
        <v>#DIV/0!</v>
      </c>
      <c r="N503" s="94" t="e">
        <f>M503/VLOOKUP(B503&amp;C503,base!$C$2:$E$27,3,0)</f>
        <v>#DIV/0!</v>
      </c>
    </row>
    <row r="504" spans="1:14" x14ac:dyDescent="0.25">
      <c r="A504" s="3"/>
      <c r="G504"/>
      <c r="H504" s="90" t="e">
        <f>+'Base personal'!$G504/'Base personal'!$L504</f>
        <v>#DIV/0!</v>
      </c>
      <c r="I504" s="108" t="e">
        <f>VLOOKUP(B504&amp;C504,base!$C$2:$E$27,3,0)</f>
        <v>#N/A</v>
      </c>
      <c r="J504" s="108" t="e">
        <f>VLOOKUP(B504&amp;C504,base!$C$2:$F$27,4,0)</f>
        <v>#N/A</v>
      </c>
      <c r="K504" s="91" t="e">
        <f>+'Base personal'!$H504*'Base personal'!$J504*'Base personal'!$L504</f>
        <v>#DIV/0!</v>
      </c>
      <c r="M504" s="93" t="e">
        <f t="shared" si="15"/>
        <v>#DIV/0!</v>
      </c>
      <c r="N504" s="94" t="e">
        <f>M504/VLOOKUP(B504&amp;C504,base!$C$2:$E$27,3,0)</f>
        <v>#DIV/0!</v>
      </c>
    </row>
    <row r="505" spans="1:14" x14ac:dyDescent="0.25">
      <c r="A505" s="3"/>
      <c r="G505"/>
      <c r="H505" s="90" t="e">
        <f>+'Base personal'!$G505/'Base personal'!$L505</f>
        <v>#DIV/0!</v>
      </c>
      <c r="I505" s="108" t="e">
        <f>VLOOKUP(B505&amp;C505,base!$C$2:$E$27,3,0)</f>
        <v>#N/A</v>
      </c>
      <c r="J505" s="108" t="e">
        <f>VLOOKUP(B505&amp;C505,base!$C$2:$F$27,4,0)</f>
        <v>#N/A</v>
      </c>
      <c r="K505" s="91" t="e">
        <f>+'Base personal'!$H505*'Base personal'!$J505*'Base personal'!$L505</f>
        <v>#DIV/0!</v>
      </c>
      <c r="M505" s="93" t="e">
        <f t="shared" si="15"/>
        <v>#DIV/0!</v>
      </c>
      <c r="N505" s="94" t="e">
        <f>M505/VLOOKUP(B505&amp;C505,base!$C$2:$E$27,3,0)</f>
        <v>#DIV/0!</v>
      </c>
    </row>
    <row r="506" spans="1:14" x14ac:dyDescent="0.25">
      <c r="A506" s="3"/>
      <c r="G506"/>
      <c r="H506" s="90" t="e">
        <f>+'Base personal'!$G506/'Base personal'!$L506</f>
        <v>#DIV/0!</v>
      </c>
      <c r="I506" s="108" t="e">
        <f>VLOOKUP(B506&amp;C506,base!$C$2:$E$27,3,0)</f>
        <v>#N/A</v>
      </c>
      <c r="J506" s="108" t="e">
        <f>VLOOKUP(B506&amp;C506,base!$C$2:$F$27,4,0)</f>
        <v>#N/A</v>
      </c>
      <c r="K506" s="91" t="e">
        <f>+'Base personal'!$H506*'Base personal'!$J506*'Base personal'!$L506</f>
        <v>#DIV/0!</v>
      </c>
      <c r="M506" s="93" t="e">
        <f t="shared" si="15"/>
        <v>#DIV/0!</v>
      </c>
      <c r="N506" s="94" t="e">
        <f>M506/VLOOKUP(B506&amp;C506,base!$C$2:$E$27,3,0)</f>
        <v>#DIV/0!</v>
      </c>
    </row>
    <row r="507" spans="1:14" x14ac:dyDescent="0.25">
      <c r="A507" s="3"/>
      <c r="G507"/>
      <c r="H507" s="90" t="e">
        <f>+'Base personal'!$G507/'Base personal'!$L507</f>
        <v>#DIV/0!</v>
      </c>
      <c r="I507" s="108" t="e">
        <f>VLOOKUP(B507&amp;C507,base!$C$2:$E$27,3,0)</f>
        <v>#N/A</v>
      </c>
      <c r="J507" s="108" t="e">
        <f>VLOOKUP(B507&amp;C507,base!$C$2:$F$27,4,0)</f>
        <v>#N/A</v>
      </c>
      <c r="K507" s="91" t="e">
        <f>+'Base personal'!$H507*'Base personal'!$J507*'Base personal'!$L507</f>
        <v>#DIV/0!</v>
      </c>
      <c r="M507" s="93" t="e">
        <f t="shared" si="15"/>
        <v>#DIV/0!</v>
      </c>
      <c r="N507" s="94" t="e">
        <f>M507/VLOOKUP(B507&amp;C507,base!$C$2:$E$27,3,0)</f>
        <v>#DIV/0!</v>
      </c>
    </row>
    <row r="508" spans="1:14" x14ac:dyDescent="0.25">
      <c r="A508" s="3"/>
      <c r="G508"/>
      <c r="H508" s="90" t="e">
        <f>+'Base personal'!$G508/'Base personal'!$L508</f>
        <v>#DIV/0!</v>
      </c>
      <c r="I508" s="108" t="e">
        <f>VLOOKUP(B508&amp;C508,base!$C$2:$E$27,3,0)</f>
        <v>#N/A</v>
      </c>
      <c r="J508" s="108" t="e">
        <f>VLOOKUP(B508&amp;C508,base!$C$2:$F$27,4,0)</f>
        <v>#N/A</v>
      </c>
      <c r="K508" s="91" t="e">
        <f>+'Base personal'!$H508*'Base personal'!$J508*'Base personal'!$L508</f>
        <v>#DIV/0!</v>
      </c>
      <c r="M508" s="93" t="e">
        <f t="shared" si="15"/>
        <v>#DIV/0!</v>
      </c>
      <c r="N508" s="94" t="e">
        <f>M508/VLOOKUP(B508&amp;C508,base!$C$2:$E$27,3,0)</f>
        <v>#DIV/0!</v>
      </c>
    </row>
    <row r="509" spans="1:14" x14ac:dyDescent="0.25">
      <c r="A509" s="3"/>
      <c r="G509"/>
      <c r="H509" s="90" t="e">
        <f>+'Base personal'!$G509/'Base personal'!$L509</f>
        <v>#DIV/0!</v>
      </c>
      <c r="I509" s="108" t="e">
        <f>VLOOKUP(B509&amp;C509,base!$C$2:$E$27,3,0)</f>
        <v>#N/A</v>
      </c>
      <c r="J509" s="108" t="e">
        <f>VLOOKUP(B509&amp;C509,base!$C$2:$F$27,4,0)</f>
        <v>#N/A</v>
      </c>
      <c r="K509" s="91" t="e">
        <f>+'Base personal'!$H509*'Base personal'!$J509*'Base personal'!$L509</f>
        <v>#DIV/0!</v>
      </c>
      <c r="M509" s="93" t="e">
        <f t="shared" si="15"/>
        <v>#DIV/0!</v>
      </c>
      <c r="N509" s="94" t="e">
        <f>M509/VLOOKUP(B509&amp;C509,base!$C$2:$E$27,3,0)</f>
        <v>#DIV/0!</v>
      </c>
    </row>
    <row r="510" spans="1:14" x14ac:dyDescent="0.25">
      <c r="A510" s="3"/>
      <c r="G510"/>
      <c r="H510" s="90" t="e">
        <f>+'Base personal'!$G510/'Base personal'!$L510</f>
        <v>#DIV/0!</v>
      </c>
      <c r="I510" s="108" t="e">
        <f>VLOOKUP(B510&amp;C510,base!$C$2:$E$27,3,0)</f>
        <v>#N/A</v>
      </c>
      <c r="J510" s="108" t="e">
        <f>VLOOKUP(B510&amp;C510,base!$C$2:$F$27,4,0)</f>
        <v>#N/A</v>
      </c>
      <c r="K510" s="91" t="e">
        <f>+'Base personal'!$H510*'Base personal'!$J510*'Base personal'!$L510</f>
        <v>#DIV/0!</v>
      </c>
      <c r="M510" s="93" t="e">
        <f t="shared" si="15"/>
        <v>#DIV/0!</v>
      </c>
      <c r="N510" s="94" t="e">
        <f>M510/VLOOKUP(B510&amp;C510,base!$C$2:$E$27,3,0)</f>
        <v>#DIV/0!</v>
      </c>
    </row>
    <row r="511" spans="1:14" x14ac:dyDescent="0.25">
      <c r="A511" s="3"/>
      <c r="G511"/>
      <c r="H511" s="90" t="e">
        <f>+'Base personal'!$G511/'Base personal'!$L511</f>
        <v>#DIV/0!</v>
      </c>
      <c r="I511" s="108" t="e">
        <f>VLOOKUP(B511&amp;C511,base!$C$2:$E$27,3,0)</f>
        <v>#N/A</v>
      </c>
      <c r="J511" s="108" t="e">
        <f>VLOOKUP(B511&amp;C511,base!$C$2:$F$27,4,0)</f>
        <v>#N/A</v>
      </c>
      <c r="K511" s="91" t="e">
        <f>+'Base personal'!$H511*'Base personal'!$J511*'Base personal'!$L511</f>
        <v>#DIV/0!</v>
      </c>
      <c r="M511" s="93" t="e">
        <f t="shared" si="15"/>
        <v>#DIV/0!</v>
      </c>
      <c r="N511" s="94" t="e">
        <f>M511/VLOOKUP(B511&amp;C511,base!$C$2:$E$27,3,0)</f>
        <v>#DIV/0!</v>
      </c>
    </row>
    <row r="512" spans="1:14" x14ac:dyDescent="0.25">
      <c r="A512" s="3"/>
      <c r="G512"/>
      <c r="H512" s="90" t="e">
        <f>+'Base personal'!$G512/'Base personal'!$L512</f>
        <v>#DIV/0!</v>
      </c>
      <c r="I512" s="108" t="e">
        <f>VLOOKUP(B512&amp;C512,base!$C$2:$E$27,3,0)</f>
        <v>#N/A</v>
      </c>
      <c r="J512" s="108" t="e">
        <f>VLOOKUP(B512&amp;C512,base!$C$2:$F$27,4,0)</f>
        <v>#N/A</v>
      </c>
      <c r="K512" s="91" t="e">
        <f>+'Base personal'!$H512*'Base personal'!$J512*'Base personal'!$L512</f>
        <v>#DIV/0!</v>
      </c>
      <c r="M512" s="93" t="e">
        <f t="shared" si="15"/>
        <v>#DIV/0!</v>
      </c>
      <c r="N512" s="94" t="e">
        <f>M512/VLOOKUP(B512&amp;C512,base!$C$2:$E$27,3,0)</f>
        <v>#DIV/0!</v>
      </c>
    </row>
    <row r="513" spans="1:14" x14ac:dyDescent="0.25">
      <c r="A513" s="3"/>
      <c r="G513"/>
      <c r="H513" s="90" t="e">
        <f>+'Base personal'!$G513/'Base personal'!$L513</f>
        <v>#DIV/0!</v>
      </c>
      <c r="I513" s="108" t="e">
        <f>VLOOKUP(B513&amp;C513,base!$C$2:$E$27,3,0)</f>
        <v>#N/A</v>
      </c>
      <c r="J513" s="108" t="e">
        <f>VLOOKUP(B513&amp;C513,base!$C$2:$F$27,4,0)</f>
        <v>#N/A</v>
      </c>
      <c r="K513" s="91" t="e">
        <f>+'Base personal'!$H513*'Base personal'!$J513*'Base personal'!$L513</f>
        <v>#DIV/0!</v>
      </c>
      <c r="M513" s="93" t="e">
        <f t="shared" si="15"/>
        <v>#DIV/0!</v>
      </c>
      <c r="N513" s="94" t="e">
        <f>M513/VLOOKUP(B513&amp;C513,base!$C$2:$E$27,3,0)</f>
        <v>#DIV/0!</v>
      </c>
    </row>
    <row r="514" spans="1:14" x14ac:dyDescent="0.25">
      <c r="A514" s="3"/>
      <c r="G514"/>
      <c r="H514" s="90" t="e">
        <f>+'Base personal'!$G514/'Base personal'!$L514</f>
        <v>#DIV/0!</v>
      </c>
      <c r="I514" s="108" t="e">
        <f>VLOOKUP(B514&amp;C514,base!$C$2:$E$27,3,0)</f>
        <v>#N/A</v>
      </c>
      <c r="J514" s="108" t="e">
        <f>VLOOKUP(B514&amp;C514,base!$C$2:$F$27,4,0)</f>
        <v>#N/A</v>
      </c>
      <c r="K514" s="91" t="e">
        <f>+'Base personal'!$H514*'Base personal'!$J514*'Base personal'!$L514</f>
        <v>#DIV/0!</v>
      </c>
      <c r="M514" s="93" t="e">
        <f t="shared" si="15"/>
        <v>#DIV/0!</v>
      </c>
      <c r="N514" s="94" t="e">
        <f>M514/VLOOKUP(B514&amp;C514,base!$C$2:$E$27,3,0)</f>
        <v>#DIV/0!</v>
      </c>
    </row>
    <row r="515" spans="1:14" x14ac:dyDescent="0.25">
      <c r="A515" s="3"/>
      <c r="G515"/>
      <c r="H515" s="90" t="e">
        <f>+'Base personal'!$G515/'Base personal'!$L515</f>
        <v>#DIV/0!</v>
      </c>
      <c r="I515" s="108" t="e">
        <f>VLOOKUP(B515&amp;C515,base!$C$2:$E$27,3,0)</f>
        <v>#N/A</v>
      </c>
      <c r="J515" s="108" t="e">
        <f>VLOOKUP(B515&amp;C515,base!$C$2:$F$27,4,0)</f>
        <v>#N/A</v>
      </c>
      <c r="K515" s="91" t="e">
        <f>+'Base personal'!$H515*'Base personal'!$J515*'Base personal'!$L515</f>
        <v>#DIV/0!</v>
      </c>
      <c r="M515" s="93" t="e">
        <f t="shared" si="15"/>
        <v>#DIV/0!</v>
      </c>
      <c r="N515" s="94" t="e">
        <f>M515/VLOOKUP(B515&amp;C515,base!$C$2:$E$27,3,0)</f>
        <v>#DIV/0!</v>
      </c>
    </row>
    <row r="516" spans="1:14" x14ac:dyDescent="0.25">
      <c r="A516" s="3"/>
      <c r="G516"/>
      <c r="H516" s="90" t="e">
        <f>+'Base personal'!$G516/'Base personal'!$L516</f>
        <v>#DIV/0!</v>
      </c>
      <c r="I516" s="108" t="e">
        <f>VLOOKUP(B516&amp;C516,base!$C$2:$E$27,3,0)</f>
        <v>#N/A</v>
      </c>
      <c r="J516" s="108" t="e">
        <f>VLOOKUP(B516&amp;C516,base!$C$2:$F$27,4,0)</f>
        <v>#N/A</v>
      </c>
      <c r="K516" s="91" t="e">
        <f>+'Base personal'!$H516*'Base personal'!$J516*'Base personal'!$L516</f>
        <v>#DIV/0!</v>
      </c>
      <c r="M516" s="93" t="e">
        <f t="shared" si="15"/>
        <v>#DIV/0!</v>
      </c>
      <c r="N516" s="94" t="e">
        <f>M516/VLOOKUP(B516&amp;C516,base!$C$2:$E$27,3,0)</f>
        <v>#DIV/0!</v>
      </c>
    </row>
    <row r="517" spans="1:14" x14ac:dyDescent="0.25">
      <c r="A517" s="3"/>
      <c r="G517"/>
      <c r="H517" s="90" t="e">
        <f>+'Base personal'!$G517/'Base personal'!$L517</f>
        <v>#DIV/0!</v>
      </c>
      <c r="I517" s="108" t="e">
        <f>VLOOKUP(B517&amp;C517,base!$C$2:$E$27,3,0)</f>
        <v>#N/A</v>
      </c>
      <c r="J517" s="108" t="e">
        <f>VLOOKUP(B517&amp;C517,base!$C$2:$F$27,4,0)</f>
        <v>#N/A</v>
      </c>
      <c r="K517" s="91" t="e">
        <f>+'Base personal'!$H517*'Base personal'!$J517*'Base personal'!$L517</f>
        <v>#DIV/0!</v>
      </c>
      <c r="M517" s="93" t="e">
        <f t="shared" si="15"/>
        <v>#DIV/0!</v>
      </c>
      <c r="N517" s="94" t="e">
        <f>M517/VLOOKUP(B517&amp;C517,base!$C$2:$E$27,3,0)</f>
        <v>#DIV/0!</v>
      </c>
    </row>
    <row r="518" spans="1:14" x14ac:dyDescent="0.25">
      <c r="A518" s="3"/>
      <c r="G518"/>
      <c r="H518" s="90" t="e">
        <f>+'Base personal'!$G518/'Base personal'!$L518</f>
        <v>#DIV/0!</v>
      </c>
      <c r="I518" s="108" t="e">
        <f>VLOOKUP(B518&amp;C518,base!$C$2:$E$27,3,0)</f>
        <v>#N/A</v>
      </c>
      <c r="J518" s="108" t="e">
        <f>VLOOKUP(B518&amp;C518,base!$C$2:$F$27,4,0)</f>
        <v>#N/A</v>
      </c>
      <c r="K518" s="91" t="e">
        <f>+'Base personal'!$H518*'Base personal'!$J518*'Base personal'!$L518</f>
        <v>#DIV/0!</v>
      </c>
      <c r="M518" s="93" t="e">
        <f t="shared" si="15"/>
        <v>#DIV/0!</v>
      </c>
      <c r="N518" s="94" t="e">
        <f>M518/VLOOKUP(B518&amp;C518,base!$C$2:$E$27,3,0)</f>
        <v>#DIV/0!</v>
      </c>
    </row>
    <row r="519" spans="1:14" x14ac:dyDescent="0.25">
      <c r="A519" s="3"/>
      <c r="G519"/>
      <c r="H519" s="90" t="e">
        <f>+'Base personal'!$G519/'Base personal'!$L519</f>
        <v>#DIV/0!</v>
      </c>
      <c r="I519" s="108" t="e">
        <f>VLOOKUP(B519&amp;C519,base!$C$2:$E$27,3,0)</f>
        <v>#N/A</v>
      </c>
      <c r="J519" s="108" t="e">
        <f>VLOOKUP(B519&amp;C519,base!$C$2:$F$27,4,0)</f>
        <v>#N/A</v>
      </c>
      <c r="K519" s="91" t="e">
        <f>+'Base personal'!$H519*'Base personal'!$J519*'Base personal'!$L519</f>
        <v>#DIV/0!</v>
      </c>
      <c r="M519" s="93" t="e">
        <f t="shared" si="15"/>
        <v>#DIV/0!</v>
      </c>
      <c r="N519" s="94" t="e">
        <f>M519/VLOOKUP(B519&amp;C519,base!$C$2:$E$27,3,0)</f>
        <v>#DIV/0!</v>
      </c>
    </row>
    <row r="520" spans="1:14" x14ac:dyDescent="0.25">
      <c r="A520" s="3"/>
      <c r="G520"/>
      <c r="H520" s="90" t="e">
        <f>+'Base personal'!$G520/'Base personal'!$L520</f>
        <v>#DIV/0!</v>
      </c>
      <c r="I520" s="108" t="e">
        <f>VLOOKUP(B520&amp;C520,base!$C$2:$E$27,3,0)</f>
        <v>#N/A</v>
      </c>
      <c r="J520" s="108" t="e">
        <f>VLOOKUP(B520&amp;C520,base!$C$2:$F$27,4,0)</f>
        <v>#N/A</v>
      </c>
      <c r="K520" s="91" t="e">
        <f>+'Base personal'!$H520*'Base personal'!$J520*'Base personal'!$L520</f>
        <v>#DIV/0!</v>
      </c>
      <c r="M520" s="93" t="e">
        <f t="shared" si="15"/>
        <v>#DIV/0!</v>
      </c>
      <c r="N520" s="94" t="e">
        <f>M520/VLOOKUP(B520&amp;C520,base!$C$2:$E$27,3,0)</f>
        <v>#DIV/0!</v>
      </c>
    </row>
    <row r="521" spans="1:14" x14ac:dyDescent="0.25">
      <c r="A521" s="3"/>
      <c r="G521"/>
      <c r="H521" s="90" t="e">
        <f>+'Base personal'!$G521/'Base personal'!$L521</f>
        <v>#DIV/0!</v>
      </c>
      <c r="I521" s="108" t="e">
        <f>VLOOKUP(B521&amp;C521,base!$C$2:$E$27,3,0)</f>
        <v>#N/A</v>
      </c>
      <c r="J521" s="108" t="e">
        <f>VLOOKUP(B521&amp;C521,base!$C$2:$F$27,4,0)</f>
        <v>#N/A</v>
      </c>
      <c r="K521" s="91" t="e">
        <f>+'Base personal'!$H521*'Base personal'!$J521*'Base personal'!$L521</f>
        <v>#DIV/0!</v>
      </c>
      <c r="M521" s="93" t="e">
        <f t="shared" si="15"/>
        <v>#DIV/0!</v>
      </c>
      <c r="N521" s="94" t="e">
        <f>M521/VLOOKUP(B521&amp;C521,base!$C$2:$E$27,3,0)</f>
        <v>#DIV/0!</v>
      </c>
    </row>
    <row r="522" spans="1:14" x14ac:dyDescent="0.25">
      <c r="A522" s="3"/>
      <c r="G522"/>
      <c r="H522" s="90" t="e">
        <f>+'Base personal'!$G522/'Base personal'!$L522</f>
        <v>#DIV/0!</v>
      </c>
      <c r="I522" s="108" t="e">
        <f>VLOOKUP(B522&amp;C522,base!$C$2:$E$27,3,0)</f>
        <v>#N/A</v>
      </c>
      <c r="J522" s="108" t="e">
        <f>VLOOKUP(B522&amp;C522,base!$C$2:$F$27,4,0)</f>
        <v>#N/A</v>
      </c>
      <c r="K522" s="91" t="e">
        <f>+'Base personal'!$H522*'Base personal'!$J522*'Base personal'!$L522</f>
        <v>#DIV/0!</v>
      </c>
      <c r="M522" s="93" t="e">
        <f t="shared" si="15"/>
        <v>#DIV/0!</v>
      </c>
      <c r="N522" s="94" t="e">
        <f>M522/VLOOKUP(B522&amp;C522,base!$C$2:$E$27,3,0)</f>
        <v>#DIV/0!</v>
      </c>
    </row>
    <row r="523" spans="1:14" x14ac:dyDescent="0.25">
      <c r="A523" s="3"/>
      <c r="G523"/>
      <c r="H523" s="90" t="e">
        <f>+'Base personal'!$G523/'Base personal'!$L523</f>
        <v>#DIV/0!</v>
      </c>
      <c r="I523" s="108" t="e">
        <f>VLOOKUP(B523&amp;C523,base!$C$2:$E$27,3,0)</f>
        <v>#N/A</v>
      </c>
      <c r="J523" s="108" t="e">
        <f>VLOOKUP(B523&amp;C523,base!$C$2:$F$27,4,0)</f>
        <v>#N/A</v>
      </c>
      <c r="K523" s="91" t="e">
        <f>+'Base personal'!$H523*'Base personal'!$J523*'Base personal'!$L523</f>
        <v>#DIV/0!</v>
      </c>
      <c r="M523" s="93" t="e">
        <f t="shared" si="15"/>
        <v>#DIV/0!</v>
      </c>
      <c r="N523" s="94" t="e">
        <f>M523/VLOOKUP(B523&amp;C523,base!$C$2:$E$27,3,0)</f>
        <v>#DIV/0!</v>
      </c>
    </row>
    <row r="524" spans="1:14" x14ac:dyDescent="0.25">
      <c r="A524" s="3"/>
      <c r="G524"/>
      <c r="H524" s="90" t="e">
        <f>+'Base personal'!$G524/'Base personal'!$L524</f>
        <v>#DIV/0!</v>
      </c>
      <c r="I524" s="108" t="e">
        <f>VLOOKUP(B524&amp;C524,base!$C$2:$E$27,3,0)</f>
        <v>#N/A</v>
      </c>
      <c r="J524" s="108" t="e">
        <f>VLOOKUP(B524&amp;C524,base!$C$2:$F$27,4,0)</f>
        <v>#N/A</v>
      </c>
      <c r="K524" s="91" t="e">
        <f>+'Base personal'!$H524*'Base personal'!$J524*'Base personal'!$L524</f>
        <v>#DIV/0!</v>
      </c>
      <c r="M524" s="93" t="e">
        <f t="shared" si="15"/>
        <v>#DIV/0!</v>
      </c>
      <c r="N524" s="94" t="e">
        <f>M524/VLOOKUP(B524&amp;C524,base!$C$2:$E$27,3,0)</f>
        <v>#DIV/0!</v>
      </c>
    </row>
    <row r="525" spans="1:14" x14ac:dyDescent="0.25">
      <c r="A525" s="3"/>
      <c r="G525"/>
      <c r="H525" s="90" t="e">
        <f>+'Base personal'!$G525/'Base personal'!$L525</f>
        <v>#DIV/0!</v>
      </c>
      <c r="I525" s="108" t="e">
        <f>VLOOKUP(B525&amp;C525,base!$C$2:$E$27,3,0)</f>
        <v>#N/A</v>
      </c>
      <c r="J525" s="108" t="e">
        <f>VLOOKUP(B525&amp;C525,base!$C$2:$F$27,4,0)</f>
        <v>#N/A</v>
      </c>
      <c r="K525" s="91" t="e">
        <f>+'Base personal'!$H525*'Base personal'!$J525*'Base personal'!$L525</f>
        <v>#DIV/0!</v>
      </c>
      <c r="M525" s="93" t="e">
        <f t="shared" si="15"/>
        <v>#DIV/0!</v>
      </c>
      <c r="N525" s="94" t="e">
        <f>M525/VLOOKUP(B525&amp;C525,base!$C$2:$E$27,3,0)</f>
        <v>#DIV/0!</v>
      </c>
    </row>
    <row r="526" spans="1:14" x14ac:dyDescent="0.25">
      <c r="A526" s="3"/>
      <c r="G526"/>
      <c r="H526" s="90" t="e">
        <f>+'Base personal'!$G526/'Base personal'!$L526</f>
        <v>#DIV/0!</v>
      </c>
      <c r="I526" s="108" t="e">
        <f>VLOOKUP(B526&amp;C526,base!$C$2:$E$27,3,0)</f>
        <v>#N/A</v>
      </c>
      <c r="J526" s="108" t="e">
        <f>VLOOKUP(B526&amp;C526,base!$C$2:$F$27,4,0)</f>
        <v>#N/A</v>
      </c>
      <c r="K526" s="91" t="e">
        <f>+'Base personal'!$H526*'Base personal'!$J526*'Base personal'!$L526</f>
        <v>#DIV/0!</v>
      </c>
      <c r="M526" s="93" t="e">
        <f t="shared" si="15"/>
        <v>#DIV/0!</v>
      </c>
      <c r="N526" s="94" t="e">
        <f>M526/VLOOKUP(B526&amp;C526,base!$C$2:$E$27,3,0)</f>
        <v>#DIV/0!</v>
      </c>
    </row>
    <row r="527" spans="1:14" x14ac:dyDescent="0.25">
      <c r="A527" s="3"/>
      <c r="G527"/>
      <c r="H527" s="90" t="e">
        <f>+'Base personal'!$G527/'Base personal'!$L527</f>
        <v>#DIV/0!</v>
      </c>
      <c r="I527" s="108" t="e">
        <f>VLOOKUP(B527&amp;C527,base!$C$2:$E$27,3,0)</f>
        <v>#N/A</v>
      </c>
      <c r="J527" s="108" t="e">
        <f>VLOOKUP(B527&amp;C527,base!$C$2:$F$27,4,0)</f>
        <v>#N/A</v>
      </c>
      <c r="K527" s="91" t="e">
        <f>+'Base personal'!$H527*'Base personal'!$J527*'Base personal'!$L527</f>
        <v>#DIV/0!</v>
      </c>
      <c r="M527" s="93" t="e">
        <f t="shared" si="15"/>
        <v>#DIV/0!</v>
      </c>
      <c r="N527" s="94" t="e">
        <f>M527/VLOOKUP(B527&amp;C527,base!$C$2:$E$27,3,0)</f>
        <v>#DIV/0!</v>
      </c>
    </row>
    <row r="528" spans="1:14" x14ac:dyDescent="0.25">
      <c r="A528" s="3"/>
      <c r="G528"/>
      <c r="H528" s="90" t="e">
        <f>+'Base personal'!$G528/'Base personal'!$L528</f>
        <v>#DIV/0!</v>
      </c>
      <c r="I528" s="108" t="e">
        <f>VLOOKUP(B528&amp;C528,base!$C$2:$E$27,3,0)</f>
        <v>#N/A</v>
      </c>
      <c r="J528" s="108" t="e">
        <f>VLOOKUP(B528&amp;C528,base!$C$2:$F$27,4,0)</f>
        <v>#N/A</v>
      </c>
      <c r="K528" s="91" t="e">
        <f>+'Base personal'!$H528*'Base personal'!$J528*'Base personal'!$L528</f>
        <v>#DIV/0!</v>
      </c>
      <c r="M528" s="93" t="e">
        <f t="shared" si="15"/>
        <v>#DIV/0!</v>
      </c>
      <c r="N528" s="94" t="e">
        <f>M528/VLOOKUP(B528&amp;C528,base!$C$2:$E$27,3,0)</f>
        <v>#DIV/0!</v>
      </c>
    </row>
    <row r="529" spans="1:14" x14ac:dyDescent="0.25">
      <c r="A529" s="3"/>
      <c r="G529"/>
      <c r="H529" s="90" t="e">
        <f>+'Base personal'!$G529/'Base personal'!$L529</f>
        <v>#DIV/0!</v>
      </c>
      <c r="I529" s="108" t="e">
        <f>VLOOKUP(B529&amp;C529,base!$C$2:$E$27,3,0)</f>
        <v>#N/A</v>
      </c>
      <c r="J529" s="108" t="e">
        <f>VLOOKUP(B529&amp;C529,base!$C$2:$F$27,4,0)</f>
        <v>#N/A</v>
      </c>
      <c r="K529" s="91" t="e">
        <f>+'Base personal'!$H529*'Base personal'!$J529*'Base personal'!$L529</f>
        <v>#DIV/0!</v>
      </c>
      <c r="M529" s="93" t="e">
        <f t="shared" si="15"/>
        <v>#DIV/0!</v>
      </c>
      <c r="N529" s="94" t="e">
        <f>M529/VLOOKUP(B529&amp;C529,base!$C$2:$E$27,3,0)</f>
        <v>#DIV/0!</v>
      </c>
    </row>
    <row r="530" spans="1:14" x14ac:dyDescent="0.25">
      <c r="A530" s="3"/>
      <c r="G530"/>
      <c r="H530" s="90" t="e">
        <f>+'Base personal'!$G530/'Base personal'!$L530</f>
        <v>#DIV/0!</v>
      </c>
      <c r="I530" s="108" t="e">
        <f>VLOOKUP(B530&amp;C530,base!$C$2:$E$27,3,0)</f>
        <v>#N/A</v>
      </c>
      <c r="J530" s="108" t="e">
        <f>VLOOKUP(B530&amp;C530,base!$C$2:$F$27,4,0)</f>
        <v>#N/A</v>
      </c>
      <c r="K530" s="91" t="e">
        <f>+'Base personal'!$H530*'Base personal'!$J530*'Base personal'!$L530</f>
        <v>#DIV/0!</v>
      </c>
      <c r="M530" s="93" t="e">
        <f t="shared" si="15"/>
        <v>#DIV/0!</v>
      </c>
      <c r="N530" s="94" t="e">
        <f>M530/VLOOKUP(B530&amp;C530,base!$C$2:$E$27,3,0)</f>
        <v>#DIV/0!</v>
      </c>
    </row>
    <row r="531" spans="1:14" x14ac:dyDescent="0.25">
      <c r="A531" s="3"/>
      <c r="G531"/>
      <c r="H531" s="90" t="e">
        <f>+'Base personal'!$G531/'Base personal'!$L531</f>
        <v>#DIV/0!</v>
      </c>
      <c r="I531" s="108" t="e">
        <f>VLOOKUP(B531&amp;C531,base!$C$2:$E$27,3,0)</f>
        <v>#N/A</v>
      </c>
      <c r="J531" s="108" t="e">
        <f>VLOOKUP(B531&amp;C531,base!$C$2:$F$27,4,0)</f>
        <v>#N/A</v>
      </c>
      <c r="K531" s="91" t="e">
        <f>+'Base personal'!$H531*'Base personal'!$J531*'Base personal'!$L531</f>
        <v>#DIV/0!</v>
      </c>
      <c r="M531" s="93" t="e">
        <f t="shared" si="15"/>
        <v>#DIV/0!</v>
      </c>
      <c r="N531" s="94" t="e">
        <f>M531/VLOOKUP(B531&amp;C531,base!$C$2:$E$27,3,0)</f>
        <v>#DIV/0!</v>
      </c>
    </row>
    <row r="532" spans="1:14" x14ac:dyDescent="0.25">
      <c r="A532" s="3"/>
      <c r="G532"/>
      <c r="H532" s="90" t="e">
        <f>+'Base personal'!$G532/'Base personal'!$L532</f>
        <v>#DIV/0!</v>
      </c>
      <c r="I532" s="108" t="e">
        <f>VLOOKUP(B532&amp;C532,base!$C$2:$E$27,3,0)</f>
        <v>#N/A</v>
      </c>
      <c r="J532" s="108" t="e">
        <f>VLOOKUP(B532&amp;C532,base!$C$2:$F$27,4,0)</f>
        <v>#N/A</v>
      </c>
      <c r="K532" s="91" t="e">
        <f>+'Base personal'!$H532*'Base personal'!$J532*'Base personal'!$L532</f>
        <v>#DIV/0!</v>
      </c>
      <c r="M532" s="93" t="e">
        <f t="shared" si="15"/>
        <v>#DIV/0!</v>
      </c>
      <c r="N532" s="94" t="e">
        <f>M532/VLOOKUP(B532&amp;C532,base!$C$2:$E$27,3,0)</f>
        <v>#DIV/0!</v>
      </c>
    </row>
    <row r="533" spans="1:14" x14ac:dyDescent="0.25">
      <c r="A533" s="3"/>
      <c r="G533"/>
      <c r="H533" s="90" t="e">
        <f>+'Base personal'!$G533/'Base personal'!$L533</f>
        <v>#DIV/0!</v>
      </c>
      <c r="I533" s="108" t="e">
        <f>VLOOKUP(B533&amp;C533,base!$C$2:$E$27,3,0)</f>
        <v>#N/A</v>
      </c>
      <c r="J533" s="108" t="e">
        <f>VLOOKUP(B533&amp;C533,base!$C$2:$F$27,4,0)</f>
        <v>#N/A</v>
      </c>
      <c r="K533" s="91" t="e">
        <f>+'Base personal'!$H533*'Base personal'!$J533*'Base personal'!$L533</f>
        <v>#DIV/0!</v>
      </c>
      <c r="M533" s="93" t="e">
        <f t="shared" ref="M533:M596" si="16">G533/L533</f>
        <v>#DIV/0!</v>
      </c>
      <c r="N533" s="94" t="e">
        <f>M533/VLOOKUP(B533&amp;C533,base!$C$2:$E$27,3,0)</f>
        <v>#DIV/0!</v>
      </c>
    </row>
    <row r="534" spans="1:14" x14ac:dyDescent="0.25">
      <c r="A534" s="3"/>
      <c r="G534"/>
      <c r="H534" s="90" t="e">
        <f>+'Base personal'!$G534/'Base personal'!$L534</f>
        <v>#DIV/0!</v>
      </c>
      <c r="I534" s="108" t="e">
        <f>VLOOKUP(B534&amp;C534,base!$C$2:$E$27,3,0)</f>
        <v>#N/A</v>
      </c>
      <c r="J534" s="108" t="e">
        <f>VLOOKUP(B534&amp;C534,base!$C$2:$F$27,4,0)</f>
        <v>#N/A</v>
      </c>
      <c r="K534" s="91" t="e">
        <f>+'Base personal'!$H534*'Base personal'!$J534*'Base personal'!$L534</f>
        <v>#DIV/0!</v>
      </c>
      <c r="M534" s="93" t="e">
        <f t="shared" si="16"/>
        <v>#DIV/0!</v>
      </c>
      <c r="N534" s="94" t="e">
        <f>M534/VLOOKUP(B534&amp;C534,base!$C$2:$E$27,3,0)</f>
        <v>#DIV/0!</v>
      </c>
    </row>
    <row r="535" spans="1:14" x14ac:dyDescent="0.25">
      <c r="A535" s="3"/>
      <c r="G535"/>
      <c r="H535" s="90" t="e">
        <f>+'Base personal'!$G535/'Base personal'!$L535</f>
        <v>#DIV/0!</v>
      </c>
      <c r="I535" s="108" t="e">
        <f>VLOOKUP(B535&amp;C535,base!$C$2:$E$27,3,0)</f>
        <v>#N/A</v>
      </c>
      <c r="J535" s="108" t="e">
        <f>VLOOKUP(B535&amp;C535,base!$C$2:$F$27,4,0)</f>
        <v>#N/A</v>
      </c>
      <c r="K535" s="91" t="e">
        <f>+'Base personal'!$H535*'Base personal'!$J535*'Base personal'!$L535</f>
        <v>#DIV/0!</v>
      </c>
      <c r="M535" s="93" t="e">
        <f t="shared" si="16"/>
        <v>#DIV/0!</v>
      </c>
      <c r="N535" s="94" t="e">
        <f>M535/VLOOKUP(B535&amp;C535,base!$C$2:$E$27,3,0)</f>
        <v>#DIV/0!</v>
      </c>
    </row>
    <row r="536" spans="1:14" x14ac:dyDescent="0.25">
      <c r="A536" s="3"/>
      <c r="G536"/>
      <c r="H536" s="90" t="e">
        <f>+'Base personal'!$G536/'Base personal'!$L536</f>
        <v>#DIV/0!</v>
      </c>
      <c r="I536" s="108" t="e">
        <f>VLOOKUP(B536&amp;C536,base!$C$2:$E$27,3,0)</f>
        <v>#N/A</v>
      </c>
      <c r="J536" s="108" t="e">
        <f>VLOOKUP(B536&amp;C536,base!$C$2:$F$27,4,0)</f>
        <v>#N/A</v>
      </c>
      <c r="K536" s="91" t="e">
        <f>+'Base personal'!$H536*'Base personal'!$J536*'Base personal'!$L536</f>
        <v>#DIV/0!</v>
      </c>
      <c r="M536" s="93" t="e">
        <f t="shared" si="16"/>
        <v>#DIV/0!</v>
      </c>
      <c r="N536" s="94" t="e">
        <f>M536/VLOOKUP(B536&amp;C536,base!$C$2:$E$27,3,0)</f>
        <v>#DIV/0!</v>
      </c>
    </row>
    <row r="537" spans="1:14" x14ac:dyDescent="0.25">
      <c r="A537" s="3"/>
      <c r="G537"/>
      <c r="H537" s="90" t="e">
        <f>+'Base personal'!$G537/'Base personal'!$L537</f>
        <v>#DIV/0!</v>
      </c>
      <c r="I537" s="108" t="e">
        <f>VLOOKUP(B537&amp;C537,base!$C$2:$E$27,3,0)</f>
        <v>#N/A</v>
      </c>
      <c r="J537" s="108" t="e">
        <f>VLOOKUP(B537&amp;C537,base!$C$2:$F$27,4,0)</f>
        <v>#N/A</v>
      </c>
      <c r="K537" s="91" t="e">
        <f>+'Base personal'!$H537*'Base personal'!$J537*'Base personal'!$L537</f>
        <v>#DIV/0!</v>
      </c>
      <c r="M537" s="93" t="e">
        <f t="shared" si="16"/>
        <v>#DIV/0!</v>
      </c>
      <c r="N537" s="94" t="e">
        <f>M537/VLOOKUP(B537&amp;C537,base!$C$2:$E$27,3,0)</f>
        <v>#DIV/0!</v>
      </c>
    </row>
    <row r="538" spans="1:14" x14ac:dyDescent="0.25">
      <c r="A538" s="3"/>
      <c r="G538"/>
      <c r="H538" s="90" t="e">
        <f>+'Base personal'!$G538/'Base personal'!$L538</f>
        <v>#DIV/0!</v>
      </c>
      <c r="I538" s="108" t="e">
        <f>VLOOKUP(B538&amp;C538,base!$C$2:$E$27,3,0)</f>
        <v>#N/A</v>
      </c>
      <c r="J538" s="108" t="e">
        <f>VLOOKUP(B538&amp;C538,base!$C$2:$F$27,4,0)</f>
        <v>#N/A</v>
      </c>
      <c r="K538" s="91" t="e">
        <f>+'Base personal'!$H538*'Base personal'!$J538*'Base personal'!$L538</f>
        <v>#DIV/0!</v>
      </c>
      <c r="M538" s="93" t="e">
        <f t="shared" si="16"/>
        <v>#DIV/0!</v>
      </c>
      <c r="N538" s="94" t="e">
        <f>M538/VLOOKUP(B538&amp;C538,base!$C$2:$E$27,3,0)</f>
        <v>#DIV/0!</v>
      </c>
    </row>
    <row r="539" spans="1:14" x14ac:dyDescent="0.25">
      <c r="A539" s="3"/>
      <c r="G539"/>
      <c r="H539" s="90" t="e">
        <f>+'Base personal'!$G539/'Base personal'!$L539</f>
        <v>#DIV/0!</v>
      </c>
      <c r="I539" s="108" t="e">
        <f>VLOOKUP(B539&amp;C539,base!$C$2:$E$27,3,0)</f>
        <v>#N/A</v>
      </c>
      <c r="J539" s="108" t="e">
        <f>VLOOKUP(B539&amp;C539,base!$C$2:$F$27,4,0)</f>
        <v>#N/A</v>
      </c>
      <c r="K539" s="91" t="e">
        <f>+'Base personal'!$H539*'Base personal'!$J539*'Base personal'!$L539</f>
        <v>#DIV/0!</v>
      </c>
      <c r="M539" s="93" t="e">
        <f t="shared" si="16"/>
        <v>#DIV/0!</v>
      </c>
      <c r="N539" s="94" t="e">
        <f>M539/VLOOKUP(B539&amp;C539,base!$C$2:$E$27,3,0)</f>
        <v>#DIV/0!</v>
      </c>
    </row>
    <row r="540" spans="1:14" x14ac:dyDescent="0.25">
      <c r="A540" s="3"/>
      <c r="G540"/>
      <c r="H540" s="90" t="e">
        <f>+'Base personal'!$G540/'Base personal'!$L540</f>
        <v>#DIV/0!</v>
      </c>
      <c r="I540" s="108" t="e">
        <f>VLOOKUP(B540&amp;C540,base!$C$2:$E$27,3,0)</f>
        <v>#N/A</v>
      </c>
      <c r="J540" s="108" t="e">
        <f>VLOOKUP(B540&amp;C540,base!$C$2:$F$27,4,0)</f>
        <v>#N/A</v>
      </c>
      <c r="K540" s="91" t="e">
        <f>+'Base personal'!$H540*'Base personal'!$J540*'Base personal'!$L540</f>
        <v>#DIV/0!</v>
      </c>
      <c r="M540" s="93" t="e">
        <f t="shared" si="16"/>
        <v>#DIV/0!</v>
      </c>
      <c r="N540" s="94" t="e">
        <f>M540/VLOOKUP(B540&amp;C540,base!$C$2:$E$27,3,0)</f>
        <v>#DIV/0!</v>
      </c>
    </row>
    <row r="541" spans="1:14" x14ac:dyDescent="0.25">
      <c r="A541" s="3"/>
      <c r="G541"/>
      <c r="H541" s="90" t="e">
        <f>+'Base personal'!$G541/'Base personal'!$L541</f>
        <v>#DIV/0!</v>
      </c>
      <c r="I541" s="108" t="e">
        <f>VLOOKUP(B541&amp;C541,base!$C$2:$E$27,3,0)</f>
        <v>#N/A</v>
      </c>
      <c r="J541" s="108" t="e">
        <f>VLOOKUP(B541&amp;C541,base!$C$2:$F$27,4,0)</f>
        <v>#N/A</v>
      </c>
      <c r="K541" s="91" t="e">
        <f>+'Base personal'!$H541*'Base personal'!$J541*'Base personal'!$L541</f>
        <v>#DIV/0!</v>
      </c>
      <c r="M541" s="93" t="e">
        <f t="shared" si="16"/>
        <v>#DIV/0!</v>
      </c>
      <c r="N541" s="94" t="e">
        <f>M541/VLOOKUP(B541&amp;C541,base!$C$2:$E$27,3,0)</f>
        <v>#DIV/0!</v>
      </c>
    </row>
    <row r="542" spans="1:14" x14ac:dyDescent="0.25">
      <c r="A542" s="3"/>
      <c r="G542"/>
      <c r="H542" s="90" t="e">
        <f>+'Base personal'!$G542/'Base personal'!$L542</f>
        <v>#DIV/0!</v>
      </c>
      <c r="I542" s="108" t="e">
        <f>VLOOKUP(B542&amp;C542,base!$C$2:$E$27,3,0)</f>
        <v>#N/A</v>
      </c>
      <c r="J542" s="108" t="e">
        <f>VLOOKUP(B542&amp;C542,base!$C$2:$F$27,4,0)</f>
        <v>#N/A</v>
      </c>
      <c r="K542" s="91" t="e">
        <f>+'Base personal'!$H542*'Base personal'!$J542*'Base personal'!$L542</f>
        <v>#DIV/0!</v>
      </c>
      <c r="M542" s="93" t="e">
        <f t="shared" si="16"/>
        <v>#DIV/0!</v>
      </c>
      <c r="N542" s="94" t="e">
        <f>M542/VLOOKUP(B542&amp;C542,base!$C$2:$E$27,3,0)</f>
        <v>#DIV/0!</v>
      </c>
    </row>
    <row r="543" spans="1:14" x14ac:dyDescent="0.25">
      <c r="A543" s="3"/>
      <c r="G543"/>
      <c r="H543" s="90" t="e">
        <f>+'Base personal'!$G543/'Base personal'!$L543</f>
        <v>#DIV/0!</v>
      </c>
      <c r="I543" s="108" t="e">
        <f>VLOOKUP(B543&amp;C543,base!$C$2:$E$27,3,0)</f>
        <v>#N/A</v>
      </c>
      <c r="J543" s="108" t="e">
        <f>VLOOKUP(B543&amp;C543,base!$C$2:$F$27,4,0)</f>
        <v>#N/A</v>
      </c>
      <c r="K543" s="91" t="e">
        <f>+'Base personal'!$H543*'Base personal'!$J543*'Base personal'!$L543</f>
        <v>#DIV/0!</v>
      </c>
      <c r="M543" s="93" t="e">
        <f t="shared" si="16"/>
        <v>#DIV/0!</v>
      </c>
      <c r="N543" s="94" t="e">
        <f>M543/VLOOKUP(B543&amp;C543,base!$C$2:$E$27,3,0)</f>
        <v>#DIV/0!</v>
      </c>
    </row>
    <row r="544" spans="1:14" x14ac:dyDescent="0.25">
      <c r="A544" s="3"/>
      <c r="G544"/>
      <c r="H544" s="90" t="e">
        <f>+'Base personal'!$G544/'Base personal'!$L544</f>
        <v>#DIV/0!</v>
      </c>
      <c r="I544" s="108" t="e">
        <f>VLOOKUP(B544&amp;C544,base!$C$2:$E$27,3,0)</f>
        <v>#N/A</v>
      </c>
      <c r="J544" s="108" t="e">
        <f>VLOOKUP(B544&amp;C544,base!$C$2:$F$27,4,0)</f>
        <v>#N/A</v>
      </c>
      <c r="K544" s="91" t="e">
        <f>+'Base personal'!$H544*'Base personal'!$J544*'Base personal'!$L544</f>
        <v>#DIV/0!</v>
      </c>
      <c r="M544" s="93" t="e">
        <f t="shared" si="16"/>
        <v>#DIV/0!</v>
      </c>
      <c r="N544" s="94" t="e">
        <f>M544/VLOOKUP(B544&amp;C544,base!$C$2:$E$27,3,0)</f>
        <v>#DIV/0!</v>
      </c>
    </row>
    <row r="545" spans="1:14" x14ac:dyDescent="0.25">
      <c r="A545" s="3"/>
      <c r="G545"/>
      <c r="H545" s="90" t="e">
        <f>+'Base personal'!$G545/'Base personal'!$L545</f>
        <v>#DIV/0!</v>
      </c>
      <c r="I545" s="108" t="e">
        <f>VLOOKUP(B545&amp;C545,base!$C$2:$E$27,3,0)</f>
        <v>#N/A</v>
      </c>
      <c r="J545" s="108" t="e">
        <f>VLOOKUP(B545&amp;C545,base!$C$2:$F$27,4,0)</f>
        <v>#N/A</v>
      </c>
      <c r="K545" s="91" t="e">
        <f>+'Base personal'!$H545*'Base personal'!$J545*'Base personal'!$L545</f>
        <v>#DIV/0!</v>
      </c>
      <c r="M545" s="93" t="e">
        <f t="shared" si="16"/>
        <v>#DIV/0!</v>
      </c>
      <c r="N545" s="94" t="e">
        <f>M545/VLOOKUP(B545&amp;C545,base!$C$2:$E$27,3,0)</f>
        <v>#DIV/0!</v>
      </c>
    </row>
    <row r="546" spans="1:14" x14ac:dyDescent="0.25">
      <c r="A546" s="3"/>
      <c r="G546"/>
      <c r="H546" s="90" t="e">
        <f>+'Base personal'!$G546/'Base personal'!$L546</f>
        <v>#DIV/0!</v>
      </c>
      <c r="I546" s="108" t="e">
        <f>VLOOKUP(B546&amp;C546,base!$C$2:$E$27,3,0)</f>
        <v>#N/A</v>
      </c>
      <c r="J546" s="108" t="e">
        <f>VLOOKUP(B546&amp;C546,base!$C$2:$F$27,4,0)</f>
        <v>#N/A</v>
      </c>
      <c r="K546" s="91" t="e">
        <f>+'Base personal'!$H546*'Base personal'!$J546*'Base personal'!$L546</f>
        <v>#DIV/0!</v>
      </c>
      <c r="M546" s="93" t="e">
        <f t="shared" si="16"/>
        <v>#DIV/0!</v>
      </c>
      <c r="N546" s="94" t="e">
        <f>M546/VLOOKUP(B546&amp;C546,base!$C$2:$E$27,3,0)</f>
        <v>#DIV/0!</v>
      </c>
    </row>
    <row r="547" spans="1:14" x14ac:dyDescent="0.25">
      <c r="A547" s="3"/>
      <c r="G547"/>
      <c r="H547" s="90" t="e">
        <f>+'Base personal'!$G547/'Base personal'!$L547</f>
        <v>#DIV/0!</v>
      </c>
      <c r="I547" s="108" t="e">
        <f>VLOOKUP(B547&amp;C547,base!$C$2:$E$27,3,0)</f>
        <v>#N/A</v>
      </c>
      <c r="J547" s="108" t="e">
        <f>VLOOKUP(B547&amp;C547,base!$C$2:$F$27,4,0)</f>
        <v>#N/A</v>
      </c>
      <c r="K547" s="91" t="e">
        <f>+'Base personal'!$H547*'Base personal'!$J547*'Base personal'!$L547</f>
        <v>#DIV/0!</v>
      </c>
      <c r="M547" s="93" t="e">
        <f t="shared" si="16"/>
        <v>#DIV/0!</v>
      </c>
      <c r="N547" s="94" t="e">
        <f>M547/VLOOKUP(B547&amp;C547,base!$C$2:$E$27,3,0)</f>
        <v>#DIV/0!</v>
      </c>
    </row>
    <row r="548" spans="1:14" x14ac:dyDescent="0.25">
      <c r="A548" s="3"/>
      <c r="G548"/>
      <c r="H548" s="90" t="e">
        <f>+'Base personal'!$G548/'Base personal'!$L548</f>
        <v>#DIV/0!</v>
      </c>
      <c r="I548" s="108" t="e">
        <f>VLOOKUP(B548&amp;C548,base!$C$2:$E$27,3,0)</f>
        <v>#N/A</v>
      </c>
      <c r="J548" s="108" t="e">
        <f>VLOOKUP(B548&amp;C548,base!$C$2:$F$27,4,0)</f>
        <v>#N/A</v>
      </c>
      <c r="K548" s="91" t="e">
        <f>+'Base personal'!$H548*'Base personal'!$J548*'Base personal'!$L548</f>
        <v>#DIV/0!</v>
      </c>
      <c r="M548" s="93" t="e">
        <f t="shared" si="16"/>
        <v>#DIV/0!</v>
      </c>
      <c r="N548" s="94" t="e">
        <f>M548/VLOOKUP(B548&amp;C548,base!$C$2:$E$27,3,0)</f>
        <v>#DIV/0!</v>
      </c>
    </row>
    <row r="549" spans="1:14" x14ac:dyDescent="0.25">
      <c r="A549" s="3"/>
      <c r="G549"/>
      <c r="H549" s="90" t="e">
        <f>+'Base personal'!$G549/'Base personal'!$L549</f>
        <v>#DIV/0!</v>
      </c>
      <c r="I549" s="108" t="e">
        <f>VLOOKUP(B549&amp;C549,base!$C$2:$E$27,3,0)</f>
        <v>#N/A</v>
      </c>
      <c r="J549" s="108" t="e">
        <f>VLOOKUP(B549&amp;C549,base!$C$2:$F$27,4,0)</f>
        <v>#N/A</v>
      </c>
      <c r="K549" s="91" t="e">
        <f>+'Base personal'!$H549*'Base personal'!$J549*'Base personal'!$L549</f>
        <v>#DIV/0!</v>
      </c>
      <c r="M549" s="93" t="e">
        <f t="shared" si="16"/>
        <v>#DIV/0!</v>
      </c>
      <c r="N549" s="94" t="e">
        <f>M549/VLOOKUP(B549&amp;C549,base!$C$2:$E$27,3,0)</f>
        <v>#DIV/0!</v>
      </c>
    </row>
    <row r="550" spans="1:14" x14ac:dyDescent="0.25">
      <c r="A550" s="3"/>
      <c r="G550"/>
      <c r="H550" s="90" t="e">
        <f>+'Base personal'!$G550/'Base personal'!$L550</f>
        <v>#DIV/0!</v>
      </c>
      <c r="I550" s="108" t="e">
        <f>VLOOKUP(B550&amp;C550,base!$C$2:$E$27,3,0)</f>
        <v>#N/A</v>
      </c>
      <c r="J550" s="108" t="e">
        <f>VLOOKUP(B550&amp;C550,base!$C$2:$F$27,4,0)</f>
        <v>#N/A</v>
      </c>
      <c r="K550" s="91" t="e">
        <f>+'Base personal'!$H550*'Base personal'!$J550*'Base personal'!$L550</f>
        <v>#DIV/0!</v>
      </c>
      <c r="M550" s="93" t="e">
        <f t="shared" si="16"/>
        <v>#DIV/0!</v>
      </c>
      <c r="N550" s="94" t="e">
        <f>M550/VLOOKUP(B550&amp;C550,base!$C$2:$E$27,3,0)</f>
        <v>#DIV/0!</v>
      </c>
    </row>
    <row r="551" spans="1:14" x14ac:dyDescent="0.25">
      <c r="A551" s="3"/>
      <c r="G551"/>
      <c r="H551" s="90" t="e">
        <f>+'Base personal'!$G551/'Base personal'!$L551</f>
        <v>#DIV/0!</v>
      </c>
      <c r="I551" s="108" t="e">
        <f>VLOOKUP(B551&amp;C551,base!$C$2:$E$27,3,0)</f>
        <v>#N/A</v>
      </c>
      <c r="J551" s="108" t="e">
        <f>VLOOKUP(B551&amp;C551,base!$C$2:$F$27,4,0)</f>
        <v>#N/A</v>
      </c>
      <c r="K551" s="91" t="e">
        <f>+'Base personal'!$H551*'Base personal'!$J551*'Base personal'!$L551</f>
        <v>#DIV/0!</v>
      </c>
      <c r="M551" s="93" t="e">
        <f t="shared" si="16"/>
        <v>#DIV/0!</v>
      </c>
      <c r="N551" s="94" t="e">
        <f>M551/VLOOKUP(B551&amp;C551,base!$C$2:$E$27,3,0)</f>
        <v>#DIV/0!</v>
      </c>
    </row>
    <row r="552" spans="1:14" x14ac:dyDescent="0.25">
      <c r="A552" s="3"/>
      <c r="G552"/>
      <c r="H552" s="90" t="e">
        <f>+'Base personal'!$G552/'Base personal'!$L552</f>
        <v>#DIV/0!</v>
      </c>
      <c r="I552" s="108" t="e">
        <f>VLOOKUP(B552&amp;C552,base!$C$2:$E$27,3,0)</f>
        <v>#N/A</v>
      </c>
      <c r="J552" s="108" t="e">
        <f>VLOOKUP(B552&amp;C552,base!$C$2:$F$27,4,0)</f>
        <v>#N/A</v>
      </c>
      <c r="K552" s="91" t="e">
        <f>+'Base personal'!$H552*'Base personal'!$J552*'Base personal'!$L552</f>
        <v>#DIV/0!</v>
      </c>
      <c r="M552" s="93" t="e">
        <f t="shared" si="16"/>
        <v>#DIV/0!</v>
      </c>
      <c r="N552" s="94" t="e">
        <f>M552/VLOOKUP(B552&amp;C552,base!$C$2:$E$27,3,0)</f>
        <v>#DIV/0!</v>
      </c>
    </row>
    <row r="553" spans="1:14" x14ac:dyDescent="0.25">
      <c r="A553" s="3"/>
      <c r="G553"/>
      <c r="H553" s="90" t="e">
        <f>+'Base personal'!$G553/'Base personal'!$L553</f>
        <v>#DIV/0!</v>
      </c>
      <c r="I553" s="108" t="e">
        <f>VLOOKUP(B553&amp;C553,base!$C$2:$E$27,3,0)</f>
        <v>#N/A</v>
      </c>
      <c r="J553" s="108" t="e">
        <f>VLOOKUP(B553&amp;C553,base!$C$2:$F$27,4,0)</f>
        <v>#N/A</v>
      </c>
      <c r="K553" s="91" t="e">
        <f>+'Base personal'!$H553*'Base personal'!$J553*'Base personal'!$L553</f>
        <v>#DIV/0!</v>
      </c>
      <c r="M553" s="93" t="e">
        <f t="shared" si="16"/>
        <v>#DIV/0!</v>
      </c>
      <c r="N553" s="94" t="e">
        <f>M553/VLOOKUP(B553&amp;C553,base!$C$2:$E$27,3,0)</f>
        <v>#DIV/0!</v>
      </c>
    </row>
    <row r="554" spans="1:14" x14ac:dyDescent="0.25">
      <c r="A554" s="3"/>
      <c r="G554"/>
      <c r="H554" s="90" t="e">
        <f>+'Base personal'!$G554/'Base personal'!$L554</f>
        <v>#DIV/0!</v>
      </c>
      <c r="I554" s="108" t="e">
        <f>VLOOKUP(B554&amp;C554,base!$C$2:$E$27,3,0)</f>
        <v>#N/A</v>
      </c>
      <c r="J554" s="108" t="e">
        <f>VLOOKUP(B554&amp;C554,base!$C$2:$F$27,4,0)</f>
        <v>#N/A</v>
      </c>
      <c r="K554" s="91" t="e">
        <f>+'Base personal'!$H554*'Base personal'!$J554*'Base personal'!$L554</f>
        <v>#DIV/0!</v>
      </c>
      <c r="M554" s="93" t="e">
        <f t="shared" si="16"/>
        <v>#DIV/0!</v>
      </c>
      <c r="N554" s="94" t="e">
        <f>M554/VLOOKUP(B554&amp;C554,base!$C$2:$E$27,3,0)</f>
        <v>#DIV/0!</v>
      </c>
    </row>
    <row r="555" spans="1:14" x14ac:dyDescent="0.25">
      <c r="A555" s="3"/>
      <c r="G555"/>
      <c r="H555" s="90" t="e">
        <f>+'Base personal'!$G555/'Base personal'!$L555</f>
        <v>#DIV/0!</v>
      </c>
      <c r="I555" s="108" t="e">
        <f>VLOOKUP(B555&amp;C555,base!$C$2:$E$27,3,0)</f>
        <v>#N/A</v>
      </c>
      <c r="J555" s="108" t="e">
        <f>VLOOKUP(B555&amp;C555,base!$C$2:$F$27,4,0)</f>
        <v>#N/A</v>
      </c>
      <c r="K555" s="91" t="e">
        <f>+'Base personal'!$H555*'Base personal'!$J555*'Base personal'!$L555</f>
        <v>#DIV/0!</v>
      </c>
      <c r="M555" s="93" t="e">
        <f t="shared" si="16"/>
        <v>#DIV/0!</v>
      </c>
      <c r="N555" s="94" t="e">
        <f>M555/VLOOKUP(B555&amp;C555,base!$C$2:$E$27,3,0)</f>
        <v>#DIV/0!</v>
      </c>
    </row>
    <row r="556" spans="1:14" x14ac:dyDescent="0.25">
      <c r="A556" s="3"/>
      <c r="G556"/>
      <c r="H556" s="90" t="e">
        <f>+'Base personal'!$G556/'Base personal'!$L556</f>
        <v>#DIV/0!</v>
      </c>
      <c r="I556" s="108" t="e">
        <f>VLOOKUP(B556&amp;C556,base!$C$2:$E$27,3,0)</f>
        <v>#N/A</v>
      </c>
      <c r="J556" s="108" t="e">
        <f>VLOOKUP(B556&amp;C556,base!$C$2:$F$27,4,0)</f>
        <v>#N/A</v>
      </c>
      <c r="K556" s="91" t="e">
        <f>+'Base personal'!$H556*'Base personal'!$J556*'Base personal'!$L556</f>
        <v>#DIV/0!</v>
      </c>
      <c r="M556" s="93" t="e">
        <f t="shared" si="16"/>
        <v>#DIV/0!</v>
      </c>
      <c r="N556" s="94" t="e">
        <f>M556/VLOOKUP(B556&amp;C556,base!$C$2:$E$27,3,0)</f>
        <v>#DIV/0!</v>
      </c>
    </row>
    <row r="557" spans="1:14" x14ac:dyDescent="0.25">
      <c r="A557" s="3"/>
      <c r="G557"/>
      <c r="H557" s="90" t="e">
        <f>+'Base personal'!$G557/'Base personal'!$L557</f>
        <v>#DIV/0!</v>
      </c>
      <c r="I557" s="108" t="e">
        <f>VLOOKUP(B557&amp;C557,base!$C$2:$E$27,3,0)</f>
        <v>#N/A</v>
      </c>
      <c r="J557" s="108" t="e">
        <f>VLOOKUP(B557&amp;C557,base!$C$2:$F$27,4,0)</f>
        <v>#N/A</v>
      </c>
      <c r="K557" s="91" t="e">
        <f>+'Base personal'!$H557*'Base personal'!$J557*'Base personal'!$L557</f>
        <v>#DIV/0!</v>
      </c>
      <c r="M557" s="93" t="e">
        <f t="shared" si="16"/>
        <v>#DIV/0!</v>
      </c>
      <c r="N557" s="94" t="e">
        <f>M557/VLOOKUP(B557&amp;C557,base!$C$2:$E$27,3,0)</f>
        <v>#DIV/0!</v>
      </c>
    </row>
    <row r="558" spans="1:14" x14ac:dyDescent="0.25">
      <c r="A558" s="3"/>
      <c r="G558"/>
      <c r="H558" s="90" t="e">
        <f>+'Base personal'!$G558/'Base personal'!$L558</f>
        <v>#DIV/0!</v>
      </c>
      <c r="I558" s="108" t="e">
        <f>VLOOKUP(B558&amp;C558,base!$C$2:$E$27,3,0)</f>
        <v>#N/A</v>
      </c>
      <c r="J558" s="108" t="e">
        <f>VLOOKUP(B558&amp;C558,base!$C$2:$F$27,4,0)</f>
        <v>#N/A</v>
      </c>
      <c r="K558" s="91" t="e">
        <f>+'Base personal'!$H558*'Base personal'!$J558*'Base personal'!$L558</f>
        <v>#DIV/0!</v>
      </c>
      <c r="M558" s="93" t="e">
        <f t="shared" si="16"/>
        <v>#DIV/0!</v>
      </c>
      <c r="N558" s="94" t="e">
        <f>M558/VLOOKUP(B558&amp;C558,base!$C$2:$E$27,3,0)</f>
        <v>#DIV/0!</v>
      </c>
    </row>
    <row r="559" spans="1:14" x14ac:dyDescent="0.25">
      <c r="A559" s="3"/>
      <c r="G559"/>
      <c r="H559" s="90" t="e">
        <f>+'Base personal'!$G559/'Base personal'!$L559</f>
        <v>#DIV/0!</v>
      </c>
      <c r="I559" s="108" t="e">
        <f>VLOOKUP(B559&amp;C559,base!$C$2:$E$27,3,0)</f>
        <v>#N/A</v>
      </c>
      <c r="J559" s="108" t="e">
        <f>VLOOKUP(B559&amp;C559,base!$C$2:$F$27,4,0)</f>
        <v>#N/A</v>
      </c>
      <c r="K559" s="91" t="e">
        <f>+'Base personal'!$H559*'Base personal'!$J559*'Base personal'!$L559</f>
        <v>#DIV/0!</v>
      </c>
      <c r="M559" s="93" t="e">
        <f t="shared" si="16"/>
        <v>#DIV/0!</v>
      </c>
      <c r="N559" s="94" t="e">
        <f>M559/VLOOKUP(B559&amp;C559,base!$C$2:$E$27,3,0)</f>
        <v>#DIV/0!</v>
      </c>
    </row>
    <row r="560" spans="1:14" x14ac:dyDescent="0.25">
      <c r="A560" s="3"/>
      <c r="G560"/>
      <c r="H560" s="90" t="e">
        <f>+'Base personal'!$G560/'Base personal'!$L560</f>
        <v>#DIV/0!</v>
      </c>
      <c r="I560" s="108" t="e">
        <f>VLOOKUP(B560&amp;C560,base!$C$2:$E$27,3,0)</f>
        <v>#N/A</v>
      </c>
      <c r="J560" s="108" t="e">
        <f>VLOOKUP(B560&amp;C560,base!$C$2:$F$27,4,0)</f>
        <v>#N/A</v>
      </c>
      <c r="K560" s="91" t="e">
        <f>+'Base personal'!$H560*'Base personal'!$J560*'Base personal'!$L560</f>
        <v>#DIV/0!</v>
      </c>
      <c r="M560" s="93" t="e">
        <f t="shared" si="16"/>
        <v>#DIV/0!</v>
      </c>
      <c r="N560" s="94" t="e">
        <f>M560/VLOOKUP(B560&amp;C560,base!$C$2:$E$27,3,0)</f>
        <v>#DIV/0!</v>
      </c>
    </row>
    <row r="561" spans="1:14" x14ac:dyDescent="0.25">
      <c r="A561" s="3"/>
      <c r="G561"/>
      <c r="H561" s="90" t="e">
        <f>+'Base personal'!$G561/'Base personal'!$L561</f>
        <v>#DIV/0!</v>
      </c>
      <c r="I561" s="108" t="e">
        <f>VLOOKUP(B561&amp;C561,base!$C$2:$E$27,3,0)</f>
        <v>#N/A</v>
      </c>
      <c r="J561" s="108" t="e">
        <f>VLOOKUP(B561&amp;C561,base!$C$2:$F$27,4,0)</f>
        <v>#N/A</v>
      </c>
      <c r="K561" s="91" t="e">
        <f>+'Base personal'!$H561*'Base personal'!$J561*'Base personal'!$L561</f>
        <v>#DIV/0!</v>
      </c>
      <c r="M561" s="93" t="e">
        <f t="shared" si="16"/>
        <v>#DIV/0!</v>
      </c>
      <c r="N561" s="94" t="e">
        <f>M561/VLOOKUP(B561&amp;C561,base!$C$2:$E$27,3,0)</f>
        <v>#DIV/0!</v>
      </c>
    </row>
    <row r="562" spans="1:14" x14ac:dyDescent="0.25">
      <c r="A562" s="3"/>
      <c r="G562"/>
      <c r="H562" s="90" t="e">
        <f>+'Base personal'!$G562/'Base personal'!$L562</f>
        <v>#DIV/0!</v>
      </c>
      <c r="I562" s="108" t="e">
        <f>VLOOKUP(B562&amp;C562,base!$C$2:$E$27,3,0)</f>
        <v>#N/A</v>
      </c>
      <c r="J562" s="108" t="e">
        <f>VLOOKUP(B562&amp;C562,base!$C$2:$F$27,4,0)</f>
        <v>#N/A</v>
      </c>
      <c r="K562" s="91" t="e">
        <f>+'Base personal'!$H562*'Base personal'!$J562*'Base personal'!$L562</f>
        <v>#DIV/0!</v>
      </c>
      <c r="M562" s="93" t="e">
        <f t="shared" si="16"/>
        <v>#DIV/0!</v>
      </c>
      <c r="N562" s="94" t="e">
        <f>M562/VLOOKUP(B562&amp;C562,base!$C$2:$E$27,3,0)</f>
        <v>#DIV/0!</v>
      </c>
    </row>
    <row r="563" spans="1:14" x14ac:dyDescent="0.25">
      <c r="A563" s="3"/>
      <c r="G563"/>
      <c r="H563" s="90" t="e">
        <f>+'Base personal'!$G563/'Base personal'!$L563</f>
        <v>#DIV/0!</v>
      </c>
      <c r="I563" s="108" t="e">
        <f>VLOOKUP(B563&amp;C563,base!$C$2:$E$27,3,0)</f>
        <v>#N/A</v>
      </c>
      <c r="J563" s="108" t="e">
        <f>VLOOKUP(B563&amp;C563,base!$C$2:$F$27,4,0)</f>
        <v>#N/A</v>
      </c>
      <c r="K563" s="91" t="e">
        <f>+'Base personal'!$H563*'Base personal'!$J563*'Base personal'!$L563</f>
        <v>#DIV/0!</v>
      </c>
      <c r="M563" s="93" t="e">
        <f t="shared" si="16"/>
        <v>#DIV/0!</v>
      </c>
      <c r="N563" s="94" t="e">
        <f>M563/VLOOKUP(B563&amp;C563,base!$C$2:$E$27,3,0)</f>
        <v>#DIV/0!</v>
      </c>
    </row>
    <row r="564" spans="1:14" x14ac:dyDescent="0.25">
      <c r="A564" s="3"/>
      <c r="G564"/>
      <c r="H564" s="90" t="e">
        <f>+'Base personal'!$G564/'Base personal'!$L564</f>
        <v>#DIV/0!</v>
      </c>
      <c r="I564" s="108" t="e">
        <f>VLOOKUP(B564&amp;C564,base!$C$2:$E$27,3,0)</f>
        <v>#N/A</v>
      </c>
      <c r="J564" s="108" t="e">
        <f>VLOOKUP(B564&amp;C564,base!$C$2:$F$27,4,0)</f>
        <v>#N/A</v>
      </c>
      <c r="K564" s="91" t="e">
        <f>+'Base personal'!$H564*'Base personal'!$J564*'Base personal'!$L564</f>
        <v>#DIV/0!</v>
      </c>
      <c r="M564" s="93" t="e">
        <f t="shared" si="16"/>
        <v>#DIV/0!</v>
      </c>
      <c r="N564" s="94" t="e">
        <f>M564/VLOOKUP(B564&amp;C564,base!$C$2:$E$27,3,0)</f>
        <v>#DIV/0!</v>
      </c>
    </row>
    <row r="565" spans="1:14" x14ac:dyDescent="0.25">
      <c r="A565" s="3"/>
      <c r="G565"/>
      <c r="H565" s="90" t="e">
        <f>+'Base personal'!$G565/'Base personal'!$L565</f>
        <v>#DIV/0!</v>
      </c>
      <c r="I565" s="108" t="e">
        <f>VLOOKUP(B565&amp;C565,base!$C$2:$E$27,3,0)</f>
        <v>#N/A</v>
      </c>
      <c r="J565" s="108" t="e">
        <f>VLOOKUP(B565&amp;C565,base!$C$2:$F$27,4,0)</f>
        <v>#N/A</v>
      </c>
      <c r="K565" s="91" t="e">
        <f>+'Base personal'!$H565*'Base personal'!$J565*'Base personal'!$L565</f>
        <v>#DIV/0!</v>
      </c>
      <c r="M565" s="93" t="e">
        <f t="shared" si="16"/>
        <v>#DIV/0!</v>
      </c>
      <c r="N565" s="94" t="e">
        <f>M565/VLOOKUP(B565&amp;C565,base!$C$2:$E$27,3,0)</f>
        <v>#DIV/0!</v>
      </c>
    </row>
    <row r="566" spans="1:14" x14ac:dyDescent="0.25">
      <c r="A566" s="3"/>
      <c r="G566"/>
      <c r="H566" s="90" t="e">
        <f>+'Base personal'!$G566/'Base personal'!$L566</f>
        <v>#DIV/0!</v>
      </c>
      <c r="I566" s="108" t="e">
        <f>VLOOKUP(B566&amp;C566,base!$C$2:$E$27,3,0)</f>
        <v>#N/A</v>
      </c>
      <c r="J566" s="108" t="e">
        <f>VLOOKUP(B566&amp;C566,base!$C$2:$F$27,4,0)</f>
        <v>#N/A</v>
      </c>
      <c r="K566" s="91" t="e">
        <f>+'Base personal'!$H566*'Base personal'!$J566*'Base personal'!$L566</f>
        <v>#DIV/0!</v>
      </c>
      <c r="M566" s="93" t="e">
        <f t="shared" si="16"/>
        <v>#DIV/0!</v>
      </c>
      <c r="N566" s="94" t="e">
        <f>M566/VLOOKUP(B566&amp;C566,base!$C$2:$E$27,3,0)</f>
        <v>#DIV/0!</v>
      </c>
    </row>
    <row r="567" spans="1:14" x14ac:dyDescent="0.25">
      <c r="A567" s="3"/>
      <c r="G567"/>
      <c r="H567" s="90" t="e">
        <f>+'Base personal'!$G567/'Base personal'!$L567</f>
        <v>#DIV/0!</v>
      </c>
      <c r="I567" s="108" t="e">
        <f>VLOOKUP(B567&amp;C567,base!$C$2:$E$27,3,0)</f>
        <v>#N/A</v>
      </c>
      <c r="J567" s="108" t="e">
        <f>VLOOKUP(B567&amp;C567,base!$C$2:$F$27,4,0)</f>
        <v>#N/A</v>
      </c>
      <c r="K567" s="91" t="e">
        <f>+'Base personal'!$H567*'Base personal'!$J567*'Base personal'!$L567</f>
        <v>#DIV/0!</v>
      </c>
      <c r="M567" s="93" t="e">
        <f t="shared" si="16"/>
        <v>#DIV/0!</v>
      </c>
      <c r="N567" s="94" t="e">
        <f>M567/VLOOKUP(B567&amp;C567,base!$C$2:$E$27,3,0)</f>
        <v>#DIV/0!</v>
      </c>
    </row>
    <row r="568" spans="1:14" x14ac:dyDescent="0.25">
      <c r="A568" s="3"/>
      <c r="G568"/>
      <c r="H568" s="90" t="e">
        <f>+'Base personal'!$G568/'Base personal'!$L568</f>
        <v>#DIV/0!</v>
      </c>
      <c r="I568" s="108" t="e">
        <f>VLOOKUP(B568&amp;C568,base!$C$2:$E$27,3,0)</f>
        <v>#N/A</v>
      </c>
      <c r="J568" s="108" t="e">
        <f>VLOOKUP(B568&amp;C568,base!$C$2:$F$27,4,0)</f>
        <v>#N/A</v>
      </c>
      <c r="K568" s="91" t="e">
        <f>+'Base personal'!$H568*'Base personal'!$J568*'Base personal'!$L568</f>
        <v>#DIV/0!</v>
      </c>
      <c r="M568" s="93" t="e">
        <f t="shared" si="16"/>
        <v>#DIV/0!</v>
      </c>
      <c r="N568" s="94" t="e">
        <f>M568/VLOOKUP(B568&amp;C568,base!$C$2:$E$27,3,0)</f>
        <v>#DIV/0!</v>
      </c>
    </row>
    <row r="569" spans="1:14" x14ac:dyDescent="0.25">
      <c r="A569" s="3"/>
      <c r="G569"/>
      <c r="H569" s="90" t="e">
        <f>+'Base personal'!$G569/'Base personal'!$L569</f>
        <v>#DIV/0!</v>
      </c>
      <c r="I569" s="108" t="e">
        <f>VLOOKUP(B569&amp;C569,base!$C$2:$E$27,3,0)</f>
        <v>#N/A</v>
      </c>
      <c r="J569" s="108" t="e">
        <f>VLOOKUP(B569&amp;C569,base!$C$2:$F$27,4,0)</f>
        <v>#N/A</v>
      </c>
      <c r="K569" s="91" t="e">
        <f>+'Base personal'!$H569*'Base personal'!$J569*'Base personal'!$L569</f>
        <v>#DIV/0!</v>
      </c>
      <c r="M569" s="93" t="e">
        <f t="shared" si="16"/>
        <v>#DIV/0!</v>
      </c>
      <c r="N569" s="94" t="e">
        <f>M569/VLOOKUP(B569&amp;C569,base!$C$2:$E$27,3,0)</f>
        <v>#DIV/0!</v>
      </c>
    </row>
    <row r="570" spans="1:14" x14ac:dyDescent="0.25">
      <c r="A570" s="3"/>
      <c r="G570"/>
      <c r="H570" s="90" t="e">
        <f>+'Base personal'!$G570/'Base personal'!$L570</f>
        <v>#DIV/0!</v>
      </c>
      <c r="I570" s="108" t="e">
        <f>VLOOKUP(B570&amp;C570,base!$C$2:$E$27,3,0)</f>
        <v>#N/A</v>
      </c>
      <c r="J570" s="108" t="e">
        <f>VLOOKUP(B570&amp;C570,base!$C$2:$F$27,4,0)</f>
        <v>#N/A</v>
      </c>
      <c r="K570" s="91" t="e">
        <f>+'Base personal'!$H570*'Base personal'!$J570*'Base personal'!$L570</f>
        <v>#DIV/0!</v>
      </c>
      <c r="M570" s="93" t="e">
        <f t="shared" si="16"/>
        <v>#DIV/0!</v>
      </c>
      <c r="N570" s="94" t="e">
        <f>M570/VLOOKUP(B570&amp;C570,base!$C$2:$E$27,3,0)</f>
        <v>#DIV/0!</v>
      </c>
    </row>
    <row r="571" spans="1:14" x14ac:dyDescent="0.25">
      <c r="A571" s="3"/>
      <c r="G571"/>
      <c r="H571" s="90" t="e">
        <f>+'Base personal'!$G571/'Base personal'!$L571</f>
        <v>#DIV/0!</v>
      </c>
      <c r="I571" s="108" t="e">
        <f>VLOOKUP(B571&amp;C571,base!$C$2:$E$27,3,0)</f>
        <v>#N/A</v>
      </c>
      <c r="J571" s="108" t="e">
        <f>VLOOKUP(B571&amp;C571,base!$C$2:$F$27,4,0)</f>
        <v>#N/A</v>
      </c>
      <c r="K571" s="91" t="e">
        <f>+'Base personal'!$H571*'Base personal'!$J571*'Base personal'!$L571</f>
        <v>#DIV/0!</v>
      </c>
      <c r="M571" s="93" t="e">
        <f t="shared" si="16"/>
        <v>#DIV/0!</v>
      </c>
      <c r="N571" s="94" t="e">
        <f>M571/VLOOKUP(B571&amp;C571,base!$C$2:$E$27,3,0)</f>
        <v>#DIV/0!</v>
      </c>
    </row>
    <row r="572" spans="1:14" x14ac:dyDescent="0.25">
      <c r="A572" s="3"/>
      <c r="G572"/>
      <c r="H572" s="90" t="e">
        <f>+'Base personal'!$G572/'Base personal'!$L572</f>
        <v>#DIV/0!</v>
      </c>
      <c r="I572" s="108" t="e">
        <f>VLOOKUP(B572&amp;C572,base!$C$2:$E$27,3,0)</f>
        <v>#N/A</v>
      </c>
      <c r="J572" s="108" t="e">
        <f>VLOOKUP(B572&amp;C572,base!$C$2:$F$27,4,0)</f>
        <v>#N/A</v>
      </c>
      <c r="K572" s="91" t="e">
        <f>+'Base personal'!$H572*'Base personal'!$J572*'Base personal'!$L572</f>
        <v>#DIV/0!</v>
      </c>
      <c r="M572" s="93" t="e">
        <f t="shared" si="16"/>
        <v>#DIV/0!</v>
      </c>
      <c r="N572" s="94" t="e">
        <f>M572/VLOOKUP(B572&amp;C572,base!$C$2:$E$27,3,0)</f>
        <v>#DIV/0!</v>
      </c>
    </row>
    <row r="573" spans="1:14" x14ac:dyDescent="0.25">
      <c r="A573" s="3"/>
      <c r="G573"/>
      <c r="H573" s="90" t="e">
        <f>+'Base personal'!$G573/'Base personal'!$L573</f>
        <v>#DIV/0!</v>
      </c>
      <c r="I573" s="108" t="e">
        <f>VLOOKUP(B573&amp;C573,base!$C$2:$E$27,3,0)</f>
        <v>#N/A</v>
      </c>
      <c r="J573" s="108" t="e">
        <f>VLOOKUP(B573&amp;C573,base!$C$2:$F$27,4,0)</f>
        <v>#N/A</v>
      </c>
      <c r="K573" s="91" t="e">
        <f>+'Base personal'!$H573*'Base personal'!$J573*'Base personal'!$L573</f>
        <v>#DIV/0!</v>
      </c>
      <c r="M573" s="93" t="e">
        <f t="shared" si="16"/>
        <v>#DIV/0!</v>
      </c>
      <c r="N573" s="94" t="e">
        <f>M573/VLOOKUP(B573&amp;C573,base!$C$2:$E$27,3,0)</f>
        <v>#DIV/0!</v>
      </c>
    </row>
    <row r="574" spans="1:14" x14ac:dyDescent="0.25">
      <c r="A574" s="3"/>
      <c r="G574"/>
      <c r="H574" s="90" t="e">
        <f>+'Base personal'!$G574/'Base personal'!$L574</f>
        <v>#DIV/0!</v>
      </c>
      <c r="I574" s="108" t="e">
        <f>VLOOKUP(B574&amp;C574,base!$C$2:$E$27,3,0)</f>
        <v>#N/A</v>
      </c>
      <c r="J574" s="108" t="e">
        <f>VLOOKUP(B574&amp;C574,base!$C$2:$F$27,4,0)</f>
        <v>#N/A</v>
      </c>
      <c r="K574" s="91" t="e">
        <f>+'Base personal'!$H574*'Base personal'!$J574*'Base personal'!$L574</f>
        <v>#DIV/0!</v>
      </c>
      <c r="M574" s="93" t="e">
        <f t="shared" si="16"/>
        <v>#DIV/0!</v>
      </c>
      <c r="N574" s="94" t="e">
        <f>M574/VLOOKUP(B574&amp;C574,base!$C$2:$E$27,3,0)</f>
        <v>#DIV/0!</v>
      </c>
    </row>
    <row r="575" spans="1:14" x14ac:dyDescent="0.25">
      <c r="A575" s="3"/>
      <c r="G575"/>
      <c r="H575" s="90" t="e">
        <f>+'Base personal'!$G575/'Base personal'!$L575</f>
        <v>#DIV/0!</v>
      </c>
      <c r="I575" s="108" t="e">
        <f>VLOOKUP(B575&amp;C575,base!$C$2:$E$27,3,0)</f>
        <v>#N/A</v>
      </c>
      <c r="J575" s="108" t="e">
        <f>VLOOKUP(B575&amp;C575,base!$C$2:$F$27,4,0)</f>
        <v>#N/A</v>
      </c>
      <c r="K575" s="91" t="e">
        <f>+'Base personal'!$H575*'Base personal'!$J575*'Base personal'!$L575</f>
        <v>#DIV/0!</v>
      </c>
      <c r="M575" s="93" t="e">
        <f t="shared" si="16"/>
        <v>#DIV/0!</v>
      </c>
      <c r="N575" s="94" t="e">
        <f>M575/VLOOKUP(B575&amp;C575,base!$C$2:$E$27,3,0)</f>
        <v>#DIV/0!</v>
      </c>
    </row>
    <row r="576" spans="1:14" x14ac:dyDescent="0.25">
      <c r="A576" s="3"/>
      <c r="G576"/>
      <c r="H576" s="90" t="e">
        <f>+'Base personal'!$G576/'Base personal'!$L576</f>
        <v>#DIV/0!</v>
      </c>
      <c r="I576" s="108" t="e">
        <f>VLOOKUP(B576&amp;C576,base!$C$2:$E$27,3,0)</f>
        <v>#N/A</v>
      </c>
      <c r="J576" s="108" t="e">
        <f>VLOOKUP(B576&amp;C576,base!$C$2:$F$27,4,0)</f>
        <v>#N/A</v>
      </c>
      <c r="K576" s="91" t="e">
        <f>+'Base personal'!$H576*'Base personal'!$J576*'Base personal'!$L576</f>
        <v>#DIV/0!</v>
      </c>
      <c r="M576" s="93" t="e">
        <f t="shared" si="16"/>
        <v>#DIV/0!</v>
      </c>
      <c r="N576" s="94" t="e">
        <f>M576/VLOOKUP(B576&amp;C576,base!$C$2:$E$27,3,0)</f>
        <v>#DIV/0!</v>
      </c>
    </row>
    <row r="577" spans="1:14" x14ac:dyDescent="0.25">
      <c r="A577" s="3"/>
      <c r="G577"/>
      <c r="H577" s="90" t="e">
        <f>+'Base personal'!$G577/'Base personal'!$L577</f>
        <v>#DIV/0!</v>
      </c>
      <c r="I577" s="108" t="e">
        <f>VLOOKUP(B577&amp;C577,base!$C$2:$E$27,3,0)</f>
        <v>#N/A</v>
      </c>
      <c r="J577" s="108" t="e">
        <f>VLOOKUP(B577&amp;C577,base!$C$2:$F$27,4,0)</f>
        <v>#N/A</v>
      </c>
      <c r="K577" s="91" t="e">
        <f>+'Base personal'!$H577*'Base personal'!$J577*'Base personal'!$L577</f>
        <v>#DIV/0!</v>
      </c>
      <c r="M577" s="93" t="e">
        <f t="shared" si="16"/>
        <v>#DIV/0!</v>
      </c>
      <c r="N577" s="94" t="e">
        <f>M577/VLOOKUP(B577&amp;C577,base!$C$2:$E$27,3,0)</f>
        <v>#DIV/0!</v>
      </c>
    </row>
    <row r="578" spans="1:14" x14ac:dyDescent="0.25">
      <c r="A578" s="3"/>
      <c r="G578"/>
      <c r="H578" s="90" t="e">
        <f>+'Base personal'!$G578/'Base personal'!$L578</f>
        <v>#DIV/0!</v>
      </c>
      <c r="I578" s="108" t="e">
        <f>VLOOKUP(B578&amp;C578,base!$C$2:$E$27,3,0)</f>
        <v>#N/A</v>
      </c>
      <c r="J578" s="108" t="e">
        <f>VLOOKUP(B578&amp;C578,base!$C$2:$F$27,4,0)</f>
        <v>#N/A</v>
      </c>
      <c r="K578" s="91" t="e">
        <f>+'Base personal'!$H578*'Base personal'!$J578*'Base personal'!$L578</f>
        <v>#DIV/0!</v>
      </c>
      <c r="M578" s="93" t="e">
        <f t="shared" si="16"/>
        <v>#DIV/0!</v>
      </c>
      <c r="N578" s="94" t="e">
        <f>M578/VLOOKUP(B578&amp;C578,base!$C$2:$E$27,3,0)</f>
        <v>#DIV/0!</v>
      </c>
    </row>
    <row r="579" spans="1:14" x14ac:dyDescent="0.25">
      <c r="A579" s="3"/>
      <c r="G579"/>
      <c r="H579" s="90" t="e">
        <f>+'Base personal'!$G579/'Base personal'!$L579</f>
        <v>#DIV/0!</v>
      </c>
      <c r="I579" s="108" t="e">
        <f>VLOOKUP(B579&amp;C579,base!$C$2:$E$27,3,0)</f>
        <v>#N/A</v>
      </c>
      <c r="J579" s="108" t="e">
        <f>VLOOKUP(B579&amp;C579,base!$C$2:$F$27,4,0)</f>
        <v>#N/A</v>
      </c>
      <c r="K579" s="91" t="e">
        <f>+'Base personal'!$H579*'Base personal'!$J579*'Base personal'!$L579</f>
        <v>#DIV/0!</v>
      </c>
      <c r="M579" s="93" t="e">
        <f t="shared" si="16"/>
        <v>#DIV/0!</v>
      </c>
      <c r="N579" s="94" t="e">
        <f>M579/VLOOKUP(B579&amp;C579,base!$C$2:$E$27,3,0)</f>
        <v>#DIV/0!</v>
      </c>
    </row>
    <row r="580" spans="1:14" x14ac:dyDescent="0.25">
      <c r="A580" s="3"/>
      <c r="G580"/>
      <c r="H580" s="90" t="e">
        <f>+'Base personal'!$G580/'Base personal'!$L580</f>
        <v>#DIV/0!</v>
      </c>
      <c r="I580" s="108" t="e">
        <f>VLOOKUP(B580&amp;C580,base!$C$2:$E$27,3,0)</f>
        <v>#N/A</v>
      </c>
      <c r="J580" s="108" t="e">
        <f>VLOOKUP(B580&amp;C580,base!$C$2:$F$27,4,0)</f>
        <v>#N/A</v>
      </c>
      <c r="K580" s="91" t="e">
        <f>+'Base personal'!$H580*'Base personal'!$J580*'Base personal'!$L580</f>
        <v>#DIV/0!</v>
      </c>
      <c r="M580" s="93" t="e">
        <f t="shared" si="16"/>
        <v>#DIV/0!</v>
      </c>
      <c r="N580" s="94" t="e">
        <f>M580/VLOOKUP(B580&amp;C580,base!$C$2:$E$27,3,0)</f>
        <v>#DIV/0!</v>
      </c>
    </row>
    <row r="581" spans="1:14" x14ac:dyDescent="0.25">
      <c r="A581" s="3"/>
      <c r="G581"/>
      <c r="H581" s="90" t="e">
        <f>+'Base personal'!$G581/'Base personal'!$L581</f>
        <v>#DIV/0!</v>
      </c>
      <c r="I581" s="108" t="e">
        <f>VLOOKUP(B581&amp;C581,base!$C$2:$E$27,3,0)</f>
        <v>#N/A</v>
      </c>
      <c r="J581" s="108" t="e">
        <f>VLOOKUP(B581&amp;C581,base!$C$2:$F$27,4,0)</f>
        <v>#N/A</v>
      </c>
      <c r="K581" s="91" t="e">
        <f>+'Base personal'!$H581*'Base personal'!$J581*'Base personal'!$L581</f>
        <v>#DIV/0!</v>
      </c>
      <c r="M581" s="93" t="e">
        <f t="shared" si="16"/>
        <v>#DIV/0!</v>
      </c>
      <c r="N581" s="94" t="e">
        <f>M581/VLOOKUP(B581&amp;C581,base!$C$2:$E$27,3,0)</f>
        <v>#DIV/0!</v>
      </c>
    </row>
    <row r="582" spans="1:14" x14ac:dyDescent="0.25">
      <c r="A582" s="3"/>
      <c r="G582"/>
      <c r="H582" s="90" t="e">
        <f>+'Base personal'!$G582/'Base personal'!$L582</f>
        <v>#DIV/0!</v>
      </c>
      <c r="I582" s="108" t="e">
        <f>VLOOKUP(B582&amp;C582,base!$C$2:$E$27,3,0)</f>
        <v>#N/A</v>
      </c>
      <c r="J582" s="108" t="e">
        <f>VLOOKUP(B582&amp;C582,base!$C$2:$F$27,4,0)</f>
        <v>#N/A</v>
      </c>
      <c r="K582" s="91" t="e">
        <f>+'Base personal'!$H582*'Base personal'!$J582*'Base personal'!$L582</f>
        <v>#DIV/0!</v>
      </c>
      <c r="M582" s="93" t="e">
        <f t="shared" si="16"/>
        <v>#DIV/0!</v>
      </c>
      <c r="N582" s="94" t="e">
        <f>M582/VLOOKUP(B582&amp;C582,base!$C$2:$E$27,3,0)</f>
        <v>#DIV/0!</v>
      </c>
    </row>
    <row r="583" spans="1:14" x14ac:dyDescent="0.25">
      <c r="A583" s="3"/>
      <c r="G583"/>
      <c r="H583" s="90" t="e">
        <f>+'Base personal'!$G583/'Base personal'!$L583</f>
        <v>#DIV/0!</v>
      </c>
      <c r="I583" s="108" t="e">
        <f>VLOOKUP(B583&amp;C583,base!$C$2:$E$27,3,0)</f>
        <v>#N/A</v>
      </c>
      <c r="J583" s="108" t="e">
        <f>VLOOKUP(B583&amp;C583,base!$C$2:$F$27,4,0)</f>
        <v>#N/A</v>
      </c>
      <c r="K583" s="91" t="e">
        <f>+'Base personal'!$H583*'Base personal'!$J583*'Base personal'!$L583</f>
        <v>#DIV/0!</v>
      </c>
      <c r="M583" s="93" t="e">
        <f t="shared" si="16"/>
        <v>#DIV/0!</v>
      </c>
      <c r="N583" s="94" t="e">
        <f>M583/VLOOKUP(B583&amp;C583,base!$C$2:$E$27,3,0)</f>
        <v>#DIV/0!</v>
      </c>
    </row>
    <row r="584" spans="1:14" x14ac:dyDescent="0.25">
      <c r="A584" s="3"/>
      <c r="G584"/>
      <c r="H584" s="90" t="e">
        <f>+'Base personal'!$G584/'Base personal'!$L584</f>
        <v>#DIV/0!</v>
      </c>
      <c r="I584" s="108" t="e">
        <f>VLOOKUP(B584&amp;C584,base!$C$2:$E$27,3,0)</f>
        <v>#N/A</v>
      </c>
      <c r="J584" s="108" t="e">
        <f>VLOOKUP(B584&amp;C584,base!$C$2:$F$27,4,0)</f>
        <v>#N/A</v>
      </c>
      <c r="K584" s="91" t="e">
        <f>+'Base personal'!$H584*'Base personal'!$J584*'Base personal'!$L584</f>
        <v>#DIV/0!</v>
      </c>
      <c r="M584" s="93" t="e">
        <f t="shared" si="16"/>
        <v>#DIV/0!</v>
      </c>
      <c r="N584" s="94" t="e">
        <f>M584/VLOOKUP(B584&amp;C584,base!$C$2:$E$27,3,0)</f>
        <v>#DIV/0!</v>
      </c>
    </row>
    <row r="585" spans="1:14" x14ac:dyDescent="0.25">
      <c r="A585" s="3"/>
      <c r="G585"/>
      <c r="H585" s="90" t="e">
        <f>+'Base personal'!$G585/'Base personal'!$L585</f>
        <v>#DIV/0!</v>
      </c>
      <c r="I585" s="108" t="e">
        <f>VLOOKUP(B585&amp;C585,base!$C$2:$E$27,3,0)</f>
        <v>#N/A</v>
      </c>
      <c r="J585" s="108" t="e">
        <f>VLOOKUP(B585&amp;C585,base!$C$2:$F$27,4,0)</f>
        <v>#N/A</v>
      </c>
      <c r="K585" s="91" t="e">
        <f>+'Base personal'!$H585*'Base personal'!$J585*'Base personal'!$L585</f>
        <v>#DIV/0!</v>
      </c>
      <c r="M585" s="93" t="e">
        <f t="shared" si="16"/>
        <v>#DIV/0!</v>
      </c>
      <c r="N585" s="94" t="e">
        <f>M585/VLOOKUP(B585&amp;C585,base!$C$2:$E$27,3,0)</f>
        <v>#DIV/0!</v>
      </c>
    </row>
    <row r="586" spans="1:14" x14ac:dyDescent="0.25">
      <c r="A586" s="3"/>
      <c r="G586"/>
      <c r="H586" s="90" t="e">
        <f>+'Base personal'!$G586/'Base personal'!$L586</f>
        <v>#DIV/0!</v>
      </c>
      <c r="I586" s="108" t="e">
        <f>VLOOKUP(B586&amp;C586,base!$C$2:$E$27,3,0)</f>
        <v>#N/A</v>
      </c>
      <c r="J586" s="108" t="e">
        <f>VLOOKUP(B586&amp;C586,base!$C$2:$F$27,4,0)</f>
        <v>#N/A</v>
      </c>
      <c r="K586" s="91" t="e">
        <f>+'Base personal'!$H586*'Base personal'!$J586*'Base personal'!$L586</f>
        <v>#DIV/0!</v>
      </c>
      <c r="M586" s="93" t="e">
        <f t="shared" si="16"/>
        <v>#DIV/0!</v>
      </c>
      <c r="N586" s="94" t="e">
        <f>M586/VLOOKUP(B586&amp;C586,base!$C$2:$E$27,3,0)</f>
        <v>#DIV/0!</v>
      </c>
    </row>
    <row r="587" spans="1:14" x14ac:dyDescent="0.25">
      <c r="A587" s="3"/>
      <c r="G587"/>
      <c r="H587" s="90" t="e">
        <f>+'Base personal'!$G587/'Base personal'!$L587</f>
        <v>#DIV/0!</v>
      </c>
      <c r="I587" s="108" t="e">
        <f>VLOOKUP(B587&amp;C587,base!$C$2:$E$27,3,0)</f>
        <v>#N/A</v>
      </c>
      <c r="J587" s="108" t="e">
        <f>VLOOKUP(B587&amp;C587,base!$C$2:$F$27,4,0)</f>
        <v>#N/A</v>
      </c>
      <c r="K587" s="91" t="e">
        <f>+'Base personal'!$H587*'Base personal'!$J587*'Base personal'!$L587</f>
        <v>#DIV/0!</v>
      </c>
      <c r="M587" s="93" t="e">
        <f t="shared" si="16"/>
        <v>#DIV/0!</v>
      </c>
      <c r="N587" s="94" t="e">
        <f>M587/VLOOKUP(B587&amp;C587,base!$C$2:$E$27,3,0)</f>
        <v>#DIV/0!</v>
      </c>
    </row>
    <row r="588" spans="1:14" x14ac:dyDescent="0.25">
      <c r="A588" s="3"/>
      <c r="G588"/>
      <c r="H588" s="90" t="e">
        <f>+'Base personal'!$G588/'Base personal'!$L588</f>
        <v>#DIV/0!</v>
      </c>
      <c r="I588" s="108" t="e">
        <f>VLOOKUP(B588&amp;C588,base!$C$2:$E$27,3,0)</f>
        <v>#N/A</v>
      </c>
      <c r="J588" s="108" t="e">
        <f>VLOOKUP(B588&amp;C588,base!$C$2:$F$27,4,0)</f>
        <v>#N/A</v>
      </c>
      <c r="K588" s="91" t="e">
        <f>+'Base personal'!$H588*'Base personal'!$J588*'Base personal'!$L588</f>
        <v>#DIV/0!</v>
      </c>
      <c r="M588" s="93" t="e">
        <f t="shared" si="16"/>
        <v>#DIV/0!</v>
      </c>
      <c r="N588" s="94" t="e">
        <f>M588/VLOOKUP(B588&amp;C588,base!$C$2:$E$27,3,0)</f>
        <v>#DIV/0!</v>
      </c>
    </row>
    <row r="589" spans="1:14" x14ac:dyDescent="0.25">
      <c r="A589" s="3"/>
      <c r="G589"/>
      <c r="H589" s="90" t="e">
        <f>+'Base personal'!$G589/'Base personal'!$L589</f>
        <v>#DIV/0!</v>
      </c>
      <c r="I589" s="108" t="e">
        <f>VLOOKUP(B589&amp;C589,base!$C$2:$E$27,3,0)</f>
        <v>#N/A</v>
      </c>
      <c r="J589" s="108" t="e">
        <f>VLOOKUP(B589&amp;C589,base!$C$2:$F$27,4,0)</f>
        <v>#N/A</v>
      </c>
      <c r="K589" s="91" t="e">
        <f>+'Base personal'!$H589*'Base personal'!$J589*'Base personal'!$L589</f>
        <v>#DIV/0!</v>
      </c>
      <c r="M589" s="93" t="e">
        <f t="shared" si="16"/>
        <v>#DIV/0!</v>
      </c>
      <c r="N589" s="94" t="e">
        <f>M589/VLOOKUP(B589&amp;C589,base!$C$2:$E$27,3,0)</f>
        <v>#DIV/0!</v>
      </c>
    </row>
    <row r="590" spans="1:14" x14ac:dyDescent="0.25">
      <c r="A590" s="3"/>
      <c r="G590"/>
      <c r="H590" s="90" t="e">
        <f>+'Base personal'!$G590/'Base personal'!$L590</f>
        <v>#DIV/0!</v>
      </c>
      <c r="I590" s="108" t="e">
        <f>VLOOKUP(B590&amp;C590,base!$C$2:$E$27,3,0)</f>
        <v>#N/A</v>
      </c>
      <c r="J590" s="108" t="e">
        <f>VLOOKUP(B590&amp;C590,base!$C$2:$F$27,4,0)</f>
        <v>#N/A</v>
      </c>
      <c r="K590" s="91" t="e">
        <f>+'Base personal'!$H590*'Base personal'!$J590*'Base personal'!$L590</f>
        <v>#DIV/0!</v>
      </c>
      <c r="M590" s="93" t="e">
        <f t="shared" si="16"/>
        <v>#DIV/0!</v>
      </c>
      <c r="N590" s="94" t="e">
        <f>M590/VLOOKUP(B590&amp;C590,base!$C$2:$E$27,3,0)</f>
        <v>#DIV/0!</v>
      </c>
    </row>
    <row r="591" spans="1:14" x14ac:dyDescent="0.25">
      <c r="A591" s="3"/>
      <c r="G591"/>
      <c r="H591" s="90" t="e">
        <f>+'Base personal'!$G591/'Base personal'!$L591</f>
        <v>#DIV/0!</v>
      </c>
      <c r="I591" s="108" t="e">
        <f>VLOOKUP(B591&amp;C591,base!$C$2:$E$27,3,0)</f>
        <v>#N/A</v>
      </c>
      <c r="J591" s="108" t="e">
        <f>VLOOKUP(B591&amp;C591,base!$C$2:$F$27,4,0)</f>
        <v>#N/A</v>
      </c>
      <c r="K591" s="91" t="e">
        <f>+'Base personal'!$H591*'Base personal'!$J591*'Base personal'!$L591</f>
        <v>#DIV/0!</v>
      </c>
      <c r="M591" s="93" t="e">
        <f t="shared" si="16"/>
        <v>#DIV/0!</v>
      </c>
      <c r="N591" s="94" t="e">
        <f>M591/VLOOKUP(B591&amp;C591,base!$C$2:$E$27,3,0)</f>
        <v>#DIV/0!</v>
      </c>
    </row>
    <row r="592" spans="1:14" x14ac:dyDescent="0.25">
      <c r="A592" s="3"/>
      <c r="G592"/>
      <c r="H592" s="90" t="e">
        <f>+'Base personal'!$G592/'Base personal'!$L592</f>
        <v>#DIV/0!</v>
      </c>
      <c r="I592" s="108" t="e">
        <f>VLOOKUP(B592&amp;C592,base!$C$2:$E$27,3,0)</f>
        <v>#N/A</v>
      </c>
      <c r="J592" s="108" t="e">
        <f>VLOOKUP(B592&amp;C592,base!$C$2:$F$27,4,0)</f>
        <v>#N/A</v>
      </c>
      <c r="K592" s="91" t="e">
        <f>+'Base personal'!$H592*'Base personal'!$J592*'Base personal'!$L592</f>
        <v>#DIV/0!</v>
      </c>
      <c r="M592" s="93" t="e">
        <f t="shared" si="16"/>
        <v>#DIV/0!</v>
      </c>
      <c r="N592" s="94" t="e">
        <f>M592/VLOOKUP(B592&amp;C592,base!$C$2:$E$27,3,0)</f>
        <v>#DIV/0!</v>
      </c>
    </row>
    <row r="593" spans="1:14" x14ac:dyDescent="0.25">
      <c r="A593" s="3"/>
      <c r="G593"/>
      <c r="H593" s="90" t="e">
        <f>+'Base personal'!$G593/'Base personal'!$L593</f>
        <v>#DIV/0!</v>
      </c>
      <c r="I593" s="108" t="e">
        <f>VLOOKUP(B593&amp;C593,base!$C$2:$E$27,3,0)</f>
        <v>#N/A</v>
      </c>
      <c r="J593" s="108" t="e">
        <f>VLOOKUP(B593&amp;C593,base!$C$2:$F$27,4,0)</f>
        <v>#N/A</v>
      </c>
      <c r="K593" s="91" t="e">
        <f>+'Base personal'!$H593*'Base personal'!$J593*'Base personal'!$L593</f>
        <v>#DIV/0!</v>
      </c>
      <c r="M593" s="93" t="e">
        <f t="shared" si="16"/>
        <v>#DIV/0!</v>
      </c>
      <c r="N593" s="94" t="e">
        <f>M593/VLOOKUP(B593&amp;C593,base!$C$2:$E$27,3,0)</f>
        <v>#DIV/0!</v>
      </c>
    </row>
    <row r="594" spans="1:14" x14ac:dyDescent="0.25">
      <c r="A594" s="3"/>
      <c r="G594"/>
      <c r="H594" s="90" t="e">
        <f>+'Base personal'!$G594/'Base personal'!$L594</f>
        <v>#DIV/0!</v>
      </c>
      <c r="I594" s="108" t="e">
        <f>VLOOKUP(B594&amp;C594,base!$C$2:$E$27,3,0)</f>
        <v>#N/A</v>
      </c>
      <c r="J594" s="108" t="e">
        <f>VLOOKUP(B594&amp;C594,base!$C$2:$F$27,4,0)</f>
        <v>#N/A</v>
      </c>
      <c r="K594" s="91" t="e">
        <f>+'Base personal'!$H594*'Base personal'!$J594*'Base personal'!$L594</f>
        <v>#DIV/0!</v>
      </c>
      <c r="M594" s="93" t="e">
        <f t="shared" si="16"/>
        <v>#DIV/0!</v>
      </c>
      <c r="N594" s="94" t="e">
        <f>M594/VLOOKUP(B594&amp;C594,base!$C$2:$E$27,3,0)</f>
        <v>#DIV/0!</v>
      </c>
    </row>
    <row r="595" spans="1:14" x14ac:dyDescent="0.25">
      <c r="A595" s="3"/>
      <c r="G595"/>
      <c r="H595" s="90" t="e">
        <f>+'Base personal'!$G595/'Base personal'!$L595</f>
        <v>#DIV/0!</v>
      </c>
      <c r="I595" s="108" t="e">
        <f>VLOOKUP(B595&amp;C595,base!$C$2:$E$27,3,0)</f>
        <v>#N/A</v>
      </c>
      <c r="J595" s="108" t="e">
        <f>VLOOKUP(B595&amp;C595,base!$C$2:$F$27,4,0)</f>
        <v>#N/A</v>
      </c>
      <c r="K595" s="91" t="e">
        <f>+'Base personal'!$H595*'Base personal'!$J595*'Base personal'!$L595</f>
        <v>#DIV/0!</v>
      </c>
      <c r="M595" s="93" t="e">
        <f t="shared" si="16"/>
        <v>#DIV/0!</v>
      </c>
      <c r="N595" s="94" t="e">
        <f>M595/VLOOKUP(B595&amp;C595,base!$C$2:$E$27,3,0)</f>
        <v>#DIV/0!</v>
      </c>
    </row>
    <row r="596" spans="1:14" x14ac:dyDescent="0.25">
      <c r="A596" s="3"/>
      <c r="G596"/>
      <c r="H596" s="90" t="e">
        <f>+'Base personal'!$G596/'Base personal'!$L596</f>
        <v>#DIV/0!</v>
      </c>
      <c r="I596" s="108" t="e">
        <f>VLOOKUP(B596&amp;C596,base!$C$2:$E$27,3,0)</f>
        <v>#N/A</v>
      </c>
      <c r="J596" s="108" t="e">
        <f>VLOOKUP(B596&amp;C596,base!$C$2:$F$27,4,0)</f>
        <v>#N/A</v>
      </c>
      <c r="K596" s="91" t="e">
        <f>+'Base personal'!$H596*'Base personal'!$J596*'Base personal'!$L596</f>
        <v>#DIV/0!</v>
      </c>
      <c r="M596" s="93" t="e">
        <f t="shared" si="16"/>
        <v>#DIV/0!</v>
      </c>
      <c r="N596" s="94" t="e">
        <f>M596/VLOOKUP(B596&amp;C596,base!$C$2:$E$27,3,0)</f>
        <v>#DIV/0!</v>
      </c>
    </row>
    <row r="597" spans="1:14" x14ac:dyDescent="0.25">
      <c r="A597" s="3"/>
      <c r="G597"/>
      <c r="H597" s="90" t="e">
        <f>+'Base personal'!$G597/'Base personal'!$L597</f>
        <v>#DIV/0!</v>
      </c>
      <c r="I597" s="108" t="e">
        <f>VLOOKUP(B597&amp;C597,base!$C$2:$E$27,3,0)</f>
        <v>#N/A</v>
      </c>
      <c r="J597" s="108" t="e">
        <f>VLOOKUP(B597&amp;C597,base!$C$2:$F$27,4,0)</f>
        <v>#N/A</v>
      </c>
      <c r="K597" s="91" t="e">
        <f>+'Base personal'!$H597*'Base personal'!$J597*'Base personal'!$L597</f>
        <v>#DIV/0!</v>
      </c>
      <c r="M597" s="93" t="e">
        <f t="shared" ref="M597:M660" si="17">G597/L597</f>
        <v>#DIV/0!</v>
      </c>
      <c r="N597" s="94" t="e">
        <f>M597/VLOOKUP(B597&amp;C597,base!$C$2:$E$27,3,0)</f>
        <v>#DIV/0!</v>
      </c>
    </row>
    <row r="598" spans="1:14" x14ac:dyDescent="0.25">
      <c r="A598" s="3"/>
      <c r="G598"/>
      <c r="H598" s="90" t="e">
        <f>+'Base personal'!$G598/'Base personal'!$L598</f>
        <v>#DIV/0!</v>
      </c>
      <c r="I598" s="108" t="e">
        <f>VLOOKUP(B598&amp;C598,base!$C$2:$E$27,3,0)</f>
        <v>#N/A</v>
      </c>
      <c r="J598" s="108" t="e">
        <f>VLOOKUP(B598&amp;C598,base!$C$2:$F$27,4,0)</f>
        <v>#N/A</v>
      </c>
      <c r="K598" s="91" t="e">
        <f>+'Base personal'!$H598*'Base personal'!$J598*'Base personal'!$L598</f>
        <v>#DIV/0!</v>
      </c>
      <c r="M598" s="93" t="e">
        <f t="shared" si="17"/>
        <v>#DIV/0!</v>
      </c>
      <c r="N598" s="94" t="e">
        <f>M598/VLOOKUP(B598&amp;C598,base!$C$2:$E$27,3,0)</f>
        <v>#DIV/0!</v>
      </c>
    </row>
    <row r="599" spans="1:14" x14ac:dyDescent="0.25">
      <c r="A599" s="3"/>
      <c r="G599"/>
      <c r="H599" s="90" t="e">
        <f>+'Base personal'!$G599/'Base personal'!$L599</f>
        <v>#DIV/0!</v>
      </c>
      <c r="I599" s="108" t="e">
        <f>VLOOKUP(B599&amp;C599,base!$C$2:$E$27,3,0)</f>
        <v>#N/A</v>
      </c>
      <c r="J599" s="108" t="e">
        <f>VLOOKUP(B599&amp;C599,base!$C$2:$F$27,4,0)</f>
        <v>#N/A</v>
      </c>
      <c r="K599" s="91" t="e">
        <f>+'Base personal'!$H599*'Base personal'!$J599*'Base personal'!$L599</f>
        <v>#DIV/0!</v>
      </c>
      <c r="M599" s="93" t="e">
        <f t="shared" si="17"/>
        <v>#DIV/0!</v>
      </c>
      <c r="N599" s="94" t="e">
        <f>M599/VLOOKUP(B599&amp;C599,base!$C$2:$E$27,3,0)</f>
        <v>#DIV/0!</v>
      </c>
    </row>
    <row r="600" spans="1:14" x14ac:dyDescent="0.25">
      <c r="A600" s="3"/>
      <c r="G600"/>
      <c r="H600" s="90" t="e">
        <f>+'Base personal'!$G600/'Base personal'!$L600</f>
        <v>#DIV/0!</v>
      </c>
      <c r="I600" s="108" t="e">
        <f>VLOOKUP(B600&amp;C600,base!$C$2:$E$27,3,0)</f>
        <v>#N/A</v>
      </c>
      <c r="J600" s="108" t="e">
        <f>VLOOKUP(B600&amp;C600,base!$C$2:$F$27,4,0)</f>
        <v>#N/A</v>
      </c>
      <c r="K600" s="91" t="e">
        <f>+'Base personal'!$H600*'Base personal'!$J600*'Base personal'!$L600</f>
        <v>#DIV/0!</v>
      </c>
      <c r="M600" s="93" t="e">
        <f t="shared" si="17"/>
        <v>#DIV/0!</v>
      </c>
      <c r="N600" s="94" t="e">
        <f>M600/VLOOKUP(B600&amp;C600,base!$C$2:$E$27,3,0)</f>
        <v>#DIV/0!</v>
      </c>
    </row>
    <row r="601" spans="1:14" x14ac:dyDescent="0.25">
      <c r="A601" s="3"/>
      <c r="G601"/>
      <c r="H601" s="90" t="e">
        <f>+'Base personal'!$G601/'Base personal'!$L601</f>
        <v>#DIV/0!</v>
      </c>
      <c r="I601" s="108" t="e">
        <f>VLOOKUP(B601&amp;C601,base!$C$2:$E$27,3,0)</f>
        <v>#N/A</v>
      </c>
      <c r="J601" s="108" t="e">
        <f>VLOOKUP(B601&amp;C601,base!$C$2:$F$27,4,0)</f>
        <v>#N/A</v>
      </c>
      <c r="K601" s="91" t="e">
        <f>+'Base personal'!$H601*'Base personal'!$J601*'Base personal'!$L601</f>
        <v>#DIV/0!</v>
      </c>
      <c r="M601" s="93" t="e">
        <f t="shared" si="17"/>
        <v>#DIV/0!</v>
      </c>
      <c r="N601" s="94" t="e">
        <f>M601/VLOOKUP(B601&amp;C601,base!$C$2:$E$27,3,0)</f>
        <v>#DIV/0!</v>
      </c>
    </row>
    <row r="602" spans="1:14" x14ac:dyDescent="0.25">
      <c r="A602" s="3"/>
      <c r="G602"/>
      <c r="H602" s="90" t="e">
        <f>+'Base personal'!$G602/'Base personal'!$L602</f>
        <v>#DIV/0!</v>
      </c>
      <c r="I602" s="108" t="e">
        <f>VLOOKUP(B602&amp;C602,base!$C$2:$E$27,3,0)</f>
        <v>#N/A</v>
      </c>
      <c r="J602" s="108" t="e">
        <f>VLOOKUP(B602&amp;C602,base!$C$2:$F$27,4,0)</f>
        <v>#N/A</v>
      </c>
      <c r="K602" s="91" t="e">
        <f>+'Base personal'!$H602*'Base personal'!$J602*'Base personal'!$L602</f>
        <v>#DIV/0!</v>
      </c>
      <c r="M602" s="93" t="e">
        <f t="shared" si="17"/>
        <v>#DIV/0!</v>
      </c>
      <c r="N602" s="94" t="e">
        <f>M602/VLOOKUP(B602&amp;C602,base!$C$2:$E$27,3,0)</f>
        <v>#DIV/0!</v>
      </c>
    </row>
    <row r="603" spans="1:14" x14ac:dyDescent="0.25">
      <c r="A603" s="3"/>
      <c r="G603"/>
      <c r="H603" s="90" t="e">
        <f>+'Base personal'!$G603/'Base personal'!$L603</f>
        <v>#DIV/0!</v>
      </c>
      <c r="I603" s="108" t="e">
        <f>VLOOKUP(B603&amp;C603,base!$C$2:$E$27,3,0)</f>
        <v>#N/A</v>
      </c>
      <c r="J603" s="108" t="e">
        <f>VLOOKUP(B603&amp;C603,base!$C$2:$F$27,4,0)</f>
        <v>#N/A</v>
      </c>
      <c r="K603" s="91" t="e">
        <f>+'Base personal'!$H603*'Base personal'!$J603*'Base personal'!$L603</f>
        <v>#DIV/0!</v>
      </c>
      <c r="M603" s="93" t="e">
        <f t="shared" si="17"/>
        <v>#DIV/0!</v>
      </c>
      <c r="N603" s="94" t="e">
        <f>M603/VLOOKUP(B603&amp;C603,base!$C$2:$E$27,3,0)</f>
        <v>#DIV/0!</v>
      </c>
    </row>
    <row r="604" spans="1:14" x14ac:dyDescent="0.25">
      <c r="A604" s="3"/>
      <c r="G604"/>
      <c r="H604" s="90" t="e">
        <f>+'Base personal'!$G604/'Base personal'!$L604</f>
        <v>#DIV/0!</v>
      </c>
      <c r="I604" s="108" t="e">
        <f>VLOOKUP(B604&amp;C604,base!$C$2:$E$27,3,0)</f>
        <v>#N/A</v>
      </c>
      <c r="J604" s="108" t="e">
        <f>VLOOKUP(B604&amp;C604,base!$C$2:$F$27,4,0)</f>
        <v>#N/A</v>
      </c>
      <c r="K604" s="91" t="e">
        <f>+'Base personal'!$H604*'Base personal'!$J604*'Base personal'!$L604</f>
        <v>#DIV/0!</v>
      </c>
      <c r="M604" s="93" t="e">
        <f t="shared" si="17"/>
        <v>#DIV/0!</v>
      </c>
      <c r="N604" s="94" t="e">
        <f>M604/VLOOKUP(B604&amp;C604,base!$C$2:$E$27,3,0)</f>
        <v>#DIV/0!</v>
      </c>
    </row>
    <row r="605" spans="1:14" x14ac:dyDescent="0.25">
      <c r="A605" s="3"/>
      <c r="G605"/>
      <c r="H605" s="90" t="e">
        <f>+'Base personal'!$G605/'Base personal'!$L605</f>
        <v>#DIV/0!</v>
      </c>
      <c r="I605" s="108" t="e">
        <f>VLOOKUP(B605&amp;C605,base!$C$2:$E$27,3,0)</f>
        <v>#N/A</v>
      </c>
      <c r="J605" s="108" t="e">
        <f>VLOOKUP(B605&amp;C605,base!$C$2:$F$27,4,0)</f>
        <v>#N/A</v>
      </c>
      <c r="K605" s="91" t="e">
        <f>+'Base personal'!$H605*'Base personal'!$J605*'Base personal'!$L605</f>
        <v>#DIV/0!</v>
      </c>
      <c r="M605" s="93" t="e">
        <f t="shared" si="17"/>
        <v>#DIV/0!</v>
      </c>
      <c r="N605" s="94" t="e">
        <f>M605/VLOOKUP(B605&amp;C605,base!$C$2:$E$27,3,0)</f>
        <v>#DIV/0!</v>
      </c>
    </row>
    <row r="606" spans="1:14" x14ac:dyDescent="0.25">
      <c r="A606" s="3"/>
      <c r="G606"/>
      <c r="H606" s="90" t="e">
        <f>+'Base personal'!$G606/'Base personal'!$L606</f>
        <v>#DIV/0!</v>
      </c>
      <c r="I606" s="108" t="e">
        <f>VLOOKUP(B606&amp;C606,base!$C$2:$E$27,3,0)</f>
        <v>#N/A</v>
      </c>
      <c r="J606" s="108" t="e">
        <f>VLOOKUP(B606&amp;C606,base!$C$2:$F$27,4,0)</f>
        <v>#N/A</v>
      </c>
      <c r="K606" s="91" t="e">
        <f>+'Base personal'!$H606*'Base personal'!$J606*'Base personal'!$L606</f>
        <v>#DIV/0!</v>
      </c>
      <c r="M606" s="93" t="e">
        <f t="shared" si="17"/>
        <v>#DIV/0!</v>
      </c>
      <c r="N606" s="94" t="e">
        <f>M606/VLOOKUP(B606&amp;C606,base!$C$2:$E$27,3,0)</f>
        <v>#DIV/0!</v>
      </c>
    </row>
    <row r="607" spans="1:14" x14ac:dyDescent="0.25">
      <c r="A607" s="3"/>
      <c r="G607"/>
      <c r="H607" s="90" t="e">
        <f>+'Base personal'!$G607/'Base personal'!$L607</f>
        <v>#DIV/0!</v>
      </c>
      <c r="I607" s="108" t="e">
        <f>VLOOKUP(B607&amp;C607,base!$C$2:$E$27,3,0)</f>
        <v>#N/A</v>
      </c>
      <c r="J607" s="108" t="e">
        <f>VLOOKUP(B607&amp;C607,base!$C$2:$F$27,4,0)</f>
        <v>#N/A</v>
      </c>
      <c r="K607" s="91" t="e">
        <f>+'Base personal'!$H607*'Base personal'!$J607*'Base personal'!$L607</f>
        <v>#DIV/0!</v>
      </c>
      <c r="M607" s="93" t="e">
        <f t="shared" si="17"/>
        <v>#DIV/0!</v>
      </c>
      <c r="N607" s="94" t="e">
        <f>M607/VLOOKUP(B607&amp;C607,base!$C$2:$E$27,3,0)</f>
        <v>#DIV/0!</v>
      </c>
    </row>
    <row r="608" spans="1:14" x14ac:dyDescent="0.25">
      <c r="A608" s="3"/>
      <c r="G608"/>
      <c r="H608" s="90" t="e">
        <f>+'Base personal'!$G608/'Base personal'!$L608</f>
        <v>#DIV/0!</v>
      </c>
      <c r="I608" s="108" t="e">
        <f>VLOOKUP(B608&amp;C608,base!$C$2:$E$27,3,0)</f>
        <v>#N/A</v>
      </c>
      <c r="J608" s="108" t="e">
        <f>VLOOKUP(B608&amp;C608,base!$C$2:$F$27,4,0)</f>
        <v>#N/A</v>
      </c>
      <c r="K608" s="91" t="e">
        <f>+'Base personal'!$H608*'Base personal'!$J608*'Base personal'!$L608</f>
        <v>#DIV/0!</v>
      </c>
      <c r="M608" s="93" t="e">
        <f t="shared" si="17"/>
        <v>#DIV/0!</v>
      </c>
      <c r="N608" s="94" t="e">
        <f>M608/VLOOKUP(B608&amp;C608,base!$C$2:$E$27,3,0)</f>
        <v>#DIV/0!</v>
      </c>
    </row>
    <row r="609" spans="1:14" x14ac:dyDescent="0.25">
      <c r="A609" s="3"/>
      <c r="G609"/>
      <c r="H609" s="90" t="e">
        <f>+'Base personal'!$G609/'Base personal'!$L609</f>
        <v>#DIV/0!</v>
      </c>
      <c r="I609" s="108" t="e">
        <f>VLOOKUP(B609&amp;C609,base!$C$2:$E$27,3,0)</f>
        <v>#N/A</v>
      </c>
      <c r="J609" s="108" t="e">
        <f>VLOOKUP(B609&amp;C609,base!$C$2:$F$27,4,0)</f>
        <v>#N/A</v>
      </c>
      <c r="K609" s="91" t="e">
        <f>+'Base personal'!$H609*'Base personal'!$J609*'Base personal'!$L609</f>
        <v>#DIV/0!</v>
      </c>
      <c r="M609" s="93" t="e">
        <f t="shared" si="17"/>
        <v>#DIV/0!</v>
      </c>
      <c r="N609" s="94" t="e">
        <f>M609/VLOOKUP(B609&amp;C609,base!$C$2:$E$27,3,0)</f>
        <v>#DIV/0!</v>
      </c>
    </row>
    <row r="610" spans="1:14" x14ac:dyDescent="0.25">
      <c r="A610" s="3"/>
      <c r="G610"/>
      <c r="H610" s="90" t="e">
        <f>+'Base personal'!$G610/'Base personal'!$L610</f>
        <v>#DIV/0!</v>
      </c>
      <c r="I610" s="108" t="e">
        <f>VLOOKUP(B610&amp;C610,base!$C$2:$E$27,3,0)</f>
        <v>#N/A</v>
      </c>
      <c r="J610" s="108" t="e">
        <f>VLOOKUP(B610&amp;C610,base!$C$2:$F$27,4,0)</f>
        <v>#N/A</v>
      </c>
      <c r="K610" s="91" t="e">
        <f>+'Base personal'!$H610*'Base personal'!$J610*'Base personal'!$L610</f>
        <v>#DIV/0!</v>
      </c>
      <c r="M610" s="93" t="e">
        <f t="shared" si="17"/>
        <v>#DIV/0!</v>
      </c>
      <c r="N610" s="94" t="e">
        <f>M610/VLOOKUP(B610&amp;C610,base!$C$2:$E$27,3,0)</f>
        <v>#DIV/0!</v>
      </c>
    </row>
    <row r="611" spans="1:14" x14ac:dyDescent="0.25">
      <c r="A611" s="3"/>
      <c r="G611"/>
      <c r="H611" s="90" t="e">
        <f>+'Base personal'!$G611/'Base personal'!$L611</f>
        <v>#DIV/0!</v>
      </c>
      <c r="I611" s="108" t="e">
        <f>VLOOKUP(B611&amp;C611,base!$C$2:$E$27,3,0)</f>
        <v>#N/A</v>
      </c>
      <c r="J611" s="108" t="e">
        <f>VLOOKUP(B611&amp;C611,base!$C$2:$F$27,4,0)</f>
        <v>#N/A</v>
      </c>
      <c r="K611" s="91" t="e">
        <f>+'Base personal'!$H611*'Base personal'!$J611*'Base personal'!$L611</f>
        <v>#DIV/0!</v>
      </c>
      <c r="M611" s="93" t="e">
        <f t="shared" si="17"/>
        <v>#DIV/0!</v>
      </c>
      <c r="N611" s="94" t="e">
        <f>M611/VLOOKUP(B611&amp;C611,base!$C$2:$E$27,3,0)</f>
        <v>#DIV/0!</v>
      </c>
    </row>
    <row r="612" spans="1:14" x14ac:dyDescent="0.25">
      <c r="A612" s="3"/>
      <c r="G612"/>
      <c r="H612" s="90" t="e">
        <f>+'Base personal'!$G612/'Base personal'!$L612</f>
        <v>#DIV/0!</v>
      </c>
      <c r="I612" s="108" t="e">
        <f>VLOOKUP(B612&amp;C612,base!$C$2:$E$27,3,0)</f>
        <v>#N/A</v>
      </c>
      <c r="J612" s="108" t="e">
        <f>VLOOKUP(B612&amp;C612,base!$C$2:$F$27,4,0)</f>
        <v>#N/A</v>
      </c>
      <c r="K612" s="91" t="e">
        <f>+'Base personal'!$H612*'Base personal'!$J612*'Base personal'!$L612</f>
        <v>#DIV/0!</v>
      </c>
      <c r="M612" s="93" t="e">
        <f t="shared" si="17"/>
        <v>#DIV/0!</v>
      </c>
      <c r="N612" s="94" t="e">
        <f>M612/VLOOKUP(B612&amp;C612,base!$C$2:$E$27,3,0)</f>
        <v>#DIV/0!</v>
      </c>
    </row>
    <row r="613" spans="1:14" x14ac:dyDescent="0.25">
      <c r="A613" s="3"/>
      <c r="G613"/>
      <c r="H613" s="90" t="e">
        <f>+'Base personal'!$G613/'Base personal'!$L613</f>
        <v>#DIV/0!</v>
      </c>
      <c r="I613" s="108" t="e">
        <f>VLOOKUP(B613&amp;C613,base!$C$2:$E$27,3,0)</f>
        <v>#N/A</v>
      </c>
      <c r="J613" s="108" t="e">
        <f>VLOOKUP(B613&amp;C613,base!$C$2:$F$27,4,0)</f>
        <v>#N/A</v>
      </c>
      <c r="K613" s="91" t="e">
        <f>+'Base personal'!$H613*'Base personal'!$J613*'Base personal'!$L613</f>
        <v>#DIV/0!</v>
      </c>
      <c r="M613" s="93" t="e">
        <f t="shared" si="17"/>
        <v>#DIV/0!</v>
      </c>
      <c r="N613" s="94" t="e">
        <f>M613/VLOOKUP(B613&amp;C613,base!$C$2:$E$27,3,0)</f>
        <v>#DIV/0!</v>
      </c>
    </row>
    <row r="614" spans="1:14" x14ac:dyDescent="0.25">
      <c r="A614" s="3"/>
      <c r="G614"/>
      <c r="H614" s="90" t="e">
        <f>+'Base personal'!$G614/'Base personal'!$L614</f>
        <v>#DIV/0!</v>
      </c>
      <c r="I614" s="108" t="e">
        <f>VLOOKUP(B614&amp;C614,base!$C$2:$E$27,3,0)</f>
        <v>#N/A</v>
      </c>
      <c r="J614" s="108" t="e">
        <f>VLOOKUP(B614&amp;C614,base!$C$2:$F$27,4,0)</f>
        <v>#N/A</v>
      </c>
      <c r="K614" s="91" t="e">
        <f>+'Base personal'!$H614*'Base personal'!$J614*'Base personal'!$L614</f>
        <v>#DIV/0!</v>
      </c>
      <c r="M614" s="93" t="e">
        <f t="shared" si="17"/>
        <v>#DIV/0!</v>
      </c>
      <c r="N614" s="94" t="e">
        <f>M614/VLOOKUP(B614&amp;C614,base!$C$2:$E$27,3,0)</f>
        <v>#DIV/0!</v>
      </c>
    </row>
    <row r="615" spans="1:14" x14ac:dyDescent="0.25">
      <c r="A615" s="3"/>
      <c r="G615"/>
      <c r="H615" s="90" t="e">
        <f>+'Base personal'!$G615/'Base personal'!$L615</f>
        <v>#DIV/0!</v>
      </c>
      <c r="I615" s="108" t="e">
        <f>VLOOKUP(B615&amp;C615,base!$C$2:$E$27,3,0)</f>
        <v>#N/A</v>
      </c>
      <c r="J615" s="108" t="e">
        <f>VLOOKUP(B615&amp;C615,base!$C$2:$F$27,4,0)</f>
        <v>#N/A</v>
      </c>
      <c r="K615" s="91" t="e">
        <f>+'Base personal'!$H615*'Base personal'!$J615*'Base personal'!$L615</f>
        <v>#DIV/0!</v>
      </c>
      <c r="M615" s="93" t="e">
        <f t="shared" si="17"/>
        <v>#DIV/0!</v>
      </c>
      <c r="N615" s="94" t="e">
        <f>M615/VLOOKUP(B615&amp;C615,base!$C$2:$E$27,3,0)</f>
        <v>#DIV/0!</v>
      </c>
    </row>
    <row r="616" spans="1:14" x14ac:dyDescent="0.25">
      <c r="A616" s="3"/>
      <c r="G616"/>
      <c r="H616" s="90" t="e">
        <f>+'Base personal'!$G616/'Base personal'!$L616</f>
        <v>#DIV/0!</v>
      </c>
      <c r="I616" s="108" t="e">
        <f>VLOOKUP(B616&amp;C616,base!$C$2:$E$27,3,0)</f>
        <v>#N/A</v>
      </c>
      <c r="J616" s="108" t="e">
        <f>VLOOKUP(B616&amp;C616,base!$C$2:$F$27,4,0)</f>
        <v>#N/A</v>
      </c>
      <c r="K616" s="91" t="e">
        <f>+'Base personal'!$H616*'Base personal'!$J616*'Base personal'!$L616</f>
        <v>#DIV/0!</v>
      </c>
      <c r="M616" s="93" t="e">
        <f t="shared" si="17"/>
        <v>#DIV/0!</v>
      </c>
      <c r="N616" s="94" t="e">
        <f>M616/VLOOKUP(B616&amp;C616,base!$C$2:$E$27,3,0)</f>
        <v>#DIV/0!</v>
      </c>
    </row>
    <row r="617" spans="1:14" x14ac:dyDescent="0.25">
      <c r="A617" s="3"/>
      <c r="G617"/>
      <c r="H617" s="90" t="e">
        <f>+'Base personal'!$G617/'Base personal'!$L617</f>
        <v>#DIV/0!</v>
      </c>
      <c r="I617" s="108" t="e">
        <f>VLOOKUP(B617&amp;C617,base!$C$2:$E$27,3,0)</f>
        <v>#N/A</v>
      </c>
      <c r="J617" s="108" t="e">
        <f>VLOOKUP(B617&amp;C617,base!$C$2:$F$27,4,0)</f>
        <v>#N/A</v>
      </c>
      <c r="K617" s="91" t="e">
        <f>+'Base personal'!$H617*'Base personal'!$J617*'Base personal'!$L617</f>
        <v>#DIV/0!</v>
      </c>
      <c r="M617" s="93" t="e">
        <f t="shared" si="17"/>
        <v>#DIV/0!</v>
      </c>
      <c r="N617" s="94" t="e">
        <f>M617/VLOOKUP(B617&amp;C617,base!$C$2:$E$27,3,0)</f>
        <v>#DIV/0!</v>
      </c>
    </row>
    <row r="618" spans="1:14" x14ac:dyDescent="0.25">
      <c r="A618" s="3"/>
      <c r="G618"/>
      <c r="H618" s="90" t="e">
        <f>+'Base personal'!$G618/'Base personal'!$L618</f>
        <v>#DIV/0!</v>
      </c>
      <c r="I618" s="108" t="e">
        <f>VLOOKUP(B618&amp;C618,base!$C$2:$E$27,3,0)</f>
        <v>#N/A</v>
      </c>
      <c r="J618" s="108" t="e">
        <f>VLOOKUP(B618&amp;C618,base!$C$2:$F$27,4,0)</f>
        <v>#N/A</v>
      </c>
      <c r="K618" s="91" t="e">
        <f>+'Base personal'!$H618*'Base personal'!$J618*'Base personal'!$L618</f>
        <v>#DIV/0!</v>
      </c>
      <c r="M618" s="93" t="e">
        <f t="shared" si="17"/>
        <v>#DIV/0!</v>
      </c>
      <c r="N618" s="94" t="e">
        <f>M618/VLOOKUP(B618&amp;C618,base!$C$2:$E$27,3,0)</f>
        <v>#DIV/0!</v>
      </c>
    </row>
    <row r="619" spans="1:14" x14ac:dyDescent="0.25">
      <c r="A619" s="3"/>
      <c r="G619"/>
      <c r="H619" s="90" t="e">
        <f>+'Base personal'!$G619/'Base personal'!$L619</f>
        <v>#DIV/0!</v>
      </c>
      <c r="I619" s="108" t="e">
        <f>VLOOKUP(B619&amp;C619,base!$C$2:$E$27,3,0)</f>
        <v>#N/A</v>
      </c>
      <c r="J619" s="108" t="e">
        <f>VLOOKUP(B619&amp;C619,base!$C$2:$F$27,4,0)</f>
        <v>#N/A</v>
      </c>
      <c r="K619" s="91" t="e">
        <f>+'Base personal'!$H619*'Base personal'!$J619*'Base personal'!$L619</f>
        <v>#DIV/0!</v>
      </c>
      <c r="M619" s="93" t="e">
        <f t="shared" si="17"/>
        <v>#DIV/0!</v>
      </c>
      <c r="N619" s="94" t="e">
        <f>M619/VLOOKUP(B619&amp;C619,base!$C$2:$E$27,3,0)</f>
        <v>#DIV/0!</v>
      </c>
    </row>
    <row r="620" spans="1:14" x14ac:dyDescent="0.25">
      <c r="A620" s="3"/>
      <c r="G620"/>
      <c r="H620" s="90" t="e">
        <f>+'Base personal'!$G620/'Base personal'!$L620</f>
        <v>#DIV/0!</v>
      </c>
      <c r="I620" s="108" t="e">
        <f>VLOOKUP(B620&amp;C620,base!$C$2:$E$27,3,0)</f>
        <v>#N/A</v>
      </c>
      <c r="J620" s="108" t="e">
        <f>VLOOKUP(B620&amp;C620,base!$C$2:$F$27,4,0)</f>
        <v>#N/A</v>
      </c>
      <c r="K620" s="91" t="e">
        <f>+'Base personal'!$H620*'Base personal'!$J620*'Base personal'!$L620</f>
        <v>#DIV/0!</v>
      </c>
      <c r="M620" s="93" t="e">
        <f t="shared" si="17"/>
        <v>#DIV/0!</v>
      </c>
      <c r="N620" s="94" t="e">
        <f>M620/VLOOKUP(B620&amp;C620,base!$C$2:$E$27,3,0)</f>
        <v>#DIV/0!</v>
      </c>
    </row>
    <row r="621" spans="1:14" x14ac:dyDescent="0.25">
      <c r="A621" s="3"/>
      <c r="G621"/>
      <c r="H621" s="90" t="e">
        <f>+'Base personal'!$G621/'Base personal'!$L621</f>
        <v>#DIV/0!</v>
      </c>
      <c r="I621" s="108" t="e">
        <f>VLOOKUP(B621&amp;C621,base!$C$2:$E$27,3,0)</f>
        <v>#N/A</v>
      </c>
      <c r="J621" s="108" t="e">
        <f>VLOOKUP(B621&amp;C621,base!$C$2:$F$27,4,0)</f>
        <v>#N/A</v>
      </c>
      <c r="K621" s="91" t="e">
        <f>+'Base personal'!$H621*'Base personal'!$J621*'Base personal'!$L621</f>
        <v>#DIV/0!</v>
      </c>
      <c r="M621" s="93" t="e">
        <f t="shared" si="17"/>
        <v>#DIV/0!</v>
      </c>
      <c r="N621" s="94" t="e">
        <f>M621/VLOOKUP(B621&amp;C621,base!$C$2:$E$27,3,0)</f>
        <v>#DIV/0!</v>
      </c>
    </row>
    <row r="622" spans="1:14" x14ac:dyDescent="0.25">
      <c r="A622" s="3"/>
      <c r="G622"/>
      <c r="H622" s="90" t="e">
        <f>+'Base personal'!$G622/'Base personal'!$L622</f>
        <v>#DIV/0!</v>
      </c>
      <c r="I622" s="108" t="e">
        <f>VLOOKUP(B622&amp;C622,base!$C$2:$E$27,3,0)</f>
        <v>#N/A</v>
      </c>
      <c r="J622" s="108" t="e">
        <f>VLOOKUP(B622&amp;C622,base!$C$2:$F$27,4,0)</f>
        <v>#N/A</v>
      </c>
      <c r="K622" s="91" t="e">
        <f>+'Base personal'!$H622*'Base personal'!$J622*'Base personal'!$L622</f>
        <v>#DIV/0!</v>
      </c>
      <c r="M622" s="93" t="e">
        <f t="shared" si="17"/>
        <v>#DIV/0!</v>
      </c>
      <c r="N622" s="94" t="e">
        <f>M622/VLOOKUP(B622&amp;C622,base!$C$2:$E$27,3,0)</f>
        <v>#DIV/0!</v>
      </c>
    </row>
    <row r="623" spans="1:14" x14ac:dyDescent="0.25">
      <c r="A623" s="3"/>
      <c r="G623"/>
      <c r="H623" s="90" t="e">
        <f>+'Base personal'!$G623/'Base personal'!$L623</f>
        <v>#DIV/0!</v>
      </c>
      <c r="I623" s="91"/>
      <c r="J623" s="108" t="e">
        <f>VLOOKUP(B623&amp;C623,base!$C$2:$F$27,4,0)</f>
        <v>#N/A</v>
      </c>
      <c r="K623" s="91" t="e">
        <f>+'Base personal'!$H623*'Base personal'!$J623*'Base personal'!$L623</f>
        <v>#DIV/0!</v>
      </c>
      <c r="M623" s="93" t="e">
        <f t="shared" si="17"/>
        <v>#DIV/0!</v>
      </c>
      <c r="N623" s="94" t="e">
        <f>M623/VLOOKUP(B623&amp;C623,base!$C$2:$E$27,3,0)</f>
        <v>#DIV/0!</v>
      </c>
    </row>
    <row r="624" spans="1:14" x14ac:dyDescent="0.25">
      <c r="A624" s="3"/>
      <c r="G624"/>
      <c r="H624" s="90" t="e">
        <f>+'Base personal'!$G624/'Base personal'!$L624</f>
        <v>#DIV/0!</v>
      </c>
      <c r="I624" s="91"/>
      <c r="J624" s="108" t="e">
        <f>VLOOKUP(B624&amp;C624,base!$C$2:$F$27,4,0)</f>
        <v>#N/A</v>
      </c>
      <c r="K624" s="91" t="e">
        <f>+'Base personal'!$H624*'Base personal'!$J624*'Base personal'!$L624</f>
        <v>#DIV/0!</v>
      </c>
      <c r="M624" s="93" t="e">
        <f t="shared" si="17"/>
        <v>#DIV/0!</v>
      </c>
      <c r="N624" s="94" t="e">
        <f>M624/VLOOKUP(B624&amp;C624,base!$C$2:$E$27,3,0)</f>
        <v>#DIV/0!</v>
      </c>
    </row>
    <row r="625" spans="1:14" x14ac:dyDescent="0.25">
      <c r="A625" s="3"/>
      <c r="G625"/>
      <c r="H625" s="90" t="e">
        <f>+'Base personal'!$G625/'Base personal'!$L625</f>
        <v>#DIV/0!</v>
      </c>
      <c r="I625" s="91"/>
      <c r="J625" s="108" t="e">
        <f>VLOOKUP(B625&amp;C625,base!$C$2:$F$27,4,0)</f>
        <v>#N/A</v>
      </c>
      <c r="K625" s="91" t="e">
        <f>+'Base personal'!$H625*'Base personal'!$J625*'Base personal'!$L625</f>
        <v>#DIV/0!</v>
      </c>
      <c r="M625" s="93" t="e">
        <f t="shared" si="17"/>
        <v>#DIV/0!</v>
      </c>
      <c r="N625" s="94" t="e">
        <f>M625/VLOOKUP(B625&amp;C625,base!$C$2:$E$27,3,0)</f>
        <v>#DIV/0!</v>
      </c>
    </row>
    <row r="626" spans="1:14" x14ac:dyDescent="0.25">
      <c r="A626" s="3"/>
      <c r="G626"/>
      <c r="H626" s="90" t="e">
        <f>+'Base personal'!$G626/'Base personal'!$L626</f>
        <v>#DIV/0!</v>
      </c>
      <c r="I626" s="91"/>
      <c r="J626" s="108" t="e">
        <f>VLOOKUP(B626&amp;C626,base!$C$2:$F$27,4,0)</f>
        <v>#N/A</v>
      </c>
      <c r="K626" s="91" t="e">
        <f>+'Base personal'!$H626*'Base personal'!$J626*'Base personal'!$L626</f>
        <v>#DIV/0!</v>
      </c>
      <c r="M626" s="93" t="e">
        <f t="shared" si="17"/>
        <v>#DIV/0!</v>
      </c>
      <c r="N626" s="94" t="e">
        <f>M626/VLOOKUP(B626&amp;C626,base!$C$2:$E$27,3,0)</f>
        <v>#DIV/0!</v>
      </c>
    </row>
    <row r="627" spans="1:14" x14ac:dyDescent="0.25">
      <c r="A627" s="3"/>
      <c r="G627"/>
      <c r="H627" s="90" t="e">
        <f>+'Base personal'!$G627/'Base personal'!$L627</f>
        <v>#DIV/0!</v>
      </c>
      <c r="I627" s="91"/>
      <c r="J627" s="108" t="e">
        <f>VLOOKUP(B627&amp;C627,base!$C$2:$F$27,4,0)</f>
        <v>#N/A</v>
      </c>
      <c r="K627" s="91" t="e">
        <f>+'Base personal'!$H627*'Base personal'!$J627*'Base personal'!$L627</f>
        <v>#DIV/0!</v>
      </c>
      <c r="M627" s="93" t="e">
        <f t="shared" si="17"/>
        <v>#DIV/0!</v>
      </c>
      <c r="N627" s="94" t="e">
        <f>M627/VLOOKUP(B627&amp;C627,base!$C$2:$E$27,3,0)</f>
        <v>#DIV/0!</v>
      </c>
    </row>
    <row r="628" spans="1:14" x14ac:dyDescent="0.25">
      <c r="A628" s="3"/>
      <c r="G628"/>
      <c r="H628" s="90" t="e">
        <f>+'Base personal'!$G628/'Base personal'!$L628</f>
        <v>#DIV/0!</v>
      </c>
      <c r="I628" s="91"/>
      <c r="J628" s="108" t="e">
        <f>VLOOKUP(B628&amp;C628,base!$C$2:$F$27,4,0)</f>
        <v>#N/A</v>
      </c>
      <c r="K628" s="91" t="e">
        <f>+'Base personal'!$H628*'Base personal'!$J628*'Base personal'!$L628</f>
        <v>#DIV/0!</v>
      </c>
      <c r="M628" s="93" t="e">
        <f t="shared" si="17"/>
        <v>#DIV/0!</v>
      </c>
      <c r="N628" s="94" t="e">
        <f>M628/VLOOKUP(B628&amp;C628,base!$C$2:$E$27,3,0)</f>
        <v>#DIV/0!</v>
      </c>
    </row>
    <row r="629" spans="1:14" x14ac:dyDescent="0.25">
      <c r="A629" s="3"/>
      <c r="G629"/>
      <c r="H629" s="90" t="e">
        <f>+'Base personal'!$G629/'Base personal'!$L629</f>
        <v>#DIV/0!</v>
      </c>
      <c r="I629" s="91"/>
      <c r="J629" s="108" t="e">
        <f>VLOOKUP(B629&amp;C629,base!$C$2:$F$27,4,0)</f>
        <v>#N/A</v>
      </c>
      <c r="K629" s="91" t="e">
        <f>+'Base personal'!$H629*'Base personal'!$J629*'Base personal'!$L629</f>
        <v>#DIV/0!</v>
      </c>
      <c r="M629" s="93" t="e">
        <f t="shared" si="17"/>
        <v>#DIV/0!</v>
      </c>
      <c r="N629" s="94" t="e">
        <f>M629/VLOOKUP(B629&amp;C629,base!$C$2:$E$27,3,0)</f>
        <v>#DIV/0!</v>
      </c>
    </row>
    <row r="630" spans="1:14" x14ac:dyDescent="0.25">
      <c r="A630" s="3"/>
      <c r="G630"/>
      <c r="H630" s="90" t="e">
        <f>+'Base personal'!$G630/'Base personal'!$L630</f>
        <v>#DIV/0!</v>
      </c>
      <c r="I630" s="91"/>
      <c r="J630" s="108" t="e">
        <f>VLOOKUP(B630&amp;C630,base!$C$2:$F$27,4,0)</f>
        <v>#N/A</v>
      </c>
      <c r="K630" s="91" t="e">
        <f>+'Base personal'!$H630*'Base personal'!$J630*'Base personal'!$L630</f>
        <v>#DIV/0!</v>
      </c>
      <c r="M630" s="93" t="e">
        <f t="shared" si="17"/>
        <v>#DIV/0!</v>
      </c>
      <c r="N630" s="94" t="e">
        <f>M630/VLOOKUP(B630&amp;C630,base!$C$2:$E$27,3,0)</f>
        <v>#DIV/0!</v>
      </c>
    </row>
    <row r="631" spans="1:14" x14ac:dyDescent="0.25">
      <c r="A631" s="3"/>
      <c r="G631"/>
      <c r="H631" s="90" t="e">
        <f>+'Base personal'!$G631/'Base personal'!$L631</f>
        <v>#DIV/0!</v>
      </c>
      <c r="I631" s="91"/>
      <c r="J631" s="108" t="e">
        <f>VLOOKUP(B631&amp;C631,base!$C$2:$F$27,4,0)</f>
        <v>#N/A</v>
      </c>
      <c r="K631" s="91" t="e">
        <f>+'Base personal'!$H631*'Base personal'!$J631*'Base personal'!$L631</f>
        <v>#DIV/0!</v>
      </c>
      <c r="M631" s="93" t="e">
        <f t="shared" si="17"/>
        <v>#DIV/0!</v>
      </c>
      <c r="N631" s="94" t="e">
        <f>M631/VLOOKUP(B631&amp;C631,base!$C$2:$E$27,3,0)</f>
        <v>#DIV/0!</v>
      </c>
    </row>
    <row r="632" spans="1:14" x14ac:dyDescent="0.25">
      <c r="A632" s="3"/>
      <c r="G632"/>
      <c r="H632" s="90" t="e">
        <f>+'Base personal'!$G632/'Base personal'!$L632</f>
        <v>#DIV/0!</v>
      </c>
      <c r="I632" s="91"/>
      <c r="J632" s="108" t="e">
        <f>VLOOKUP(B632&amp;C632,base!$C$2:$F$27,4,0)</f>
        <v>#N/A</v>
      </c>
      <c r="K632" s="91" t="e">
        <f>+'Base personal'!$H632*'Base personal'!$J632*'Base personal'!$L632</f>
        <v>#DIV/0!</v>
      </c>
      <c r="M632" s="93" t="e">
        <f t="shared" si="17"/>
        <v>#DIV/0!</v>
      </c>
      <c r="N632" s="94" t="e">
        <f>M632/VLOOKUP(B632&amp;C632,base!$C$2:$E$27,3,0)</f>
        <v>#DIV/0!</v>
      </c>
    </row>
    <row r="633" spans="1:14" x14ac:dyDescent="0.25">
      <c r="A633" s="3"/>
      <c r="G633"/>
      <c r="H633" s="90" t="e">
        <f>+'Base personal'!$G633/'Base personal'!$L633</f>
        <v>#DIV/0!</v>
      </c>
      <c r="I633" s="91"/>
      <c r="J633" s="108" t="e">
        <f>VLOOKUP(B633&amp;C633,base!$C$2:$F$27,4,0)</f>
        <v>#N/A</v>
      </c>
      <c r="K633" s="91" t="e">
        <f>+'Base personal'!$H633*'Base personal'!$J633*'Base personal'!$L633</f>
        <v>#DIV/0!</v>
      </c>
      <c r="M633" s="93" t="e">
        <f t="shared" si="17"/>
        <v>#DIV/0!</v>
      </c>
      <c r="N633" s="94" t="e">
        <f>M633/VLOOKUP(B633&amp;C633,base!$C$2:$E$27,3,0)</f>
        <v>#DIV/0!</v>
      </c>
    </row>
    <row r="634" spans="1:14" x14ac:dyDescent="0.25">
      <c r="A634" s="3"/>
      <c r="G634"/>
      <c r="H634" s="90" t="e">
        <f>+'Base personal'!$G634/'Base personal'!$L634</f>
        <v>#DIV/0!</v>
      </c>
      <c r="I634" s="91"/>
      <c r="J634" s="108" t="e">
        <f>VLOOKUP(B634&amp;C634,base!$C$2:$F$27,4,0)</f>
        <v>#N/A</v>
      </c>
      <c r="K634" s="91" t="e">
        <f>+'Base personal'!$H634*'Base personal'!$J634*'Base personal'!$L634</f>
        <v>#DIV/0!</v>
      </c>
      <c r="M634" s="93" t="e">
        <f t="shared" si="17"/>
        <v>#DIV/0!</v>
      </c>
      <c r="N634" s="94" t="e">
        <f>M634/VLOOKUP(B634&amp;C634,base!$C$2:$E$27,3,0)</f>
        <v>#DIV/0!</v>
      </c>
    </row>
    <row r="635" spans="1:14" x14ac:dyDescent="0.25">
      <c r="A635" s="3"/>
      <c r="G635"/>
      <c r="H635" s="90" t="e">
        <f>+'Base personal'!$G635/'Base personal'!$L635</f>
        <v>#DIV/0!</v>
      </c>
      <c r="I635" s="91"/>
      <c r="J635" s="108" t="e">
        <f>VLOOKUP(B635&amp;C635,base!$C$2:$F$27,4,0)</f>
        <v>#N/A</v>
      </c>
      <c r="K635" s="91" t="e">
        <f>+'Base personal'!$H635*'Base personal'!$J635*'Base personal'!$L635</f>
        <v>#DIV/0!</v>
      </c>
      <c r="M635" s="93" t="e">
        <f t="shared" si="17"/>
        <v>#DIV/0!</v>
      </c>
      <c r="N635" s="94" t="e">
        <f>M635/VLOOKUP(B635&amp;C635,base!$C$2:$E$27,3,0)</f>
        <v>#DIV/0!</v>
      </c>
    </row>
    <row r="636" spans="1:14" x14ac:dyDescent="0.25">
      <c r="A636" s="3"/>
      <c r="G636"/>
      <c r="H636" s="90" t="e">
        <f>+'Base personal'!$G636/'Base personal'!$L636</f>
        <v>#DIV/0!</v>
      </c>
      <c r="I636" s="91"/>
      <c r="J636" s="108" t="e">
        <f>VLOOKUP(B636&amp;C636,base!$C$2:$F$27,4,0)</f>
        <v>#N/A</v>
      </c>
      <c r="K636" s="91" t="e">
        <f>+'Base personal'!$H636*'Base personal'!$J636*'Base personal'!$L636</f>
        <v>#DIV/0!</v>
      </c>
      <c r="M636" s="93" t="e">
        <f t="shared" si="17"/>
        <v>#DIV/0!</v>
      </c>
      <c r="N636" s="94" t="e">
        <f>M636/VLOOKUP(B636&amp;C636,base!$C$2:$E$27,3,0)</f>
        <v>#DIV/0!</v>
      </c>
    </row>
    <row r="637" spans="1:14" x14ac:dyDescent="0.25">
      <c r="A637" s="3"/>
      <c r="G637"/>
      <c r="H637" s="90" t="e">
        <f>+'Base personal'!$G637/'Base personal'!$L637</f>
        <v>#DIV/0!</v>
      </c>
      <c r="I637" s="91"/>
      <c r="J637" s="108" t="e">
        <f>VLOOKUP(B637&amp;C637,base!$C$2:$F$27,4,0)</f>
        <v>#N/A</v>
      </c>
      <c r="K637" s="91" t="e">
        <f>+'Base personal'!$H637*'Base personal'!$J637*'Base personal'!$L637</f>
        <v>#DIV/0!</v>
      </c>
      <c r="M637" s="93" t="e">
        <f t="shared" si="17"/>
        <v>#DIV/0!</v>
      </c>
      <c r="N637" s="94" t="e">
        <f>M637/VLOOKUP(B637&amp;C637,base!$C$2:$E$27,3,0)</f>
        <v>#DIV/0!</v>
      </c>
    </row>
    <row r="638" spans="1:14" x14ac:dyDescent="0.25">
      <c r="A638" s="3"/>
      <c r="G638"/>
      <c r="H638" s="90" t="e">
        <f>+'Base personal'!$G638/'Base personal'!$L638</f>
        <v>#DIV/0!</v>
      </c>
      <c r="I638" s="91"/>
      <c r="J638" s="108" t="e">
        <f>VLOOKUP(B638&amp;C638,base!$C$2:$F$27,4,0)</f>
        <v>#N/A</v>
      </c>
      <c r="K638" s="91" t="e">
        <f>+'Base personal'!$H638*'Base personal'!$J638*'Base personal'!$L638</f>
        <v>#DIV/0!</v>
      </c>
      <c r="M638" s="93" t="e">
        <f t="shared" si="17"/>
        <v>#DIV/0!</v>
      </c>
      <c r="N638" s="94" t="e">
        <f>M638/VLOOKUP(B638&amp;C638,base!$C$2:$E$27,3,0)</f>
        <v>#DIV/0!</v>
      </c>
    </row>
    <row r="639" spans="1:14" x14ac:dyDescent="0.25">
      <c r="A639" s="3"/>
      <c r="G639"/>
      <c r="H639" s="90" t="e">
        <f>+'Base personal'!$G639/'Base personal'!$L639</f>
        <v>#DIV/0!</v>
      </c>
      <c r="I639" s="91"/>
      <c r="J639" s="108" t="e">
        <f>VLOOKUP(B639&amp;C639,base!$C$2:$F$27,4,0)</f>
        <v>#N/A</v>
      </c>
      <c r="K639" s="91" t="e">
        <f>+'Base personal'!$H639*'Base personal'!$J639*'Base personal'!$L639</f>
        <v>#DIV/0!</v>
      </c>
      <c r="M639" s="93" t="e">
        <f t="shared" si="17"/>
        <v>#DIV/0!</v>
      </c>
      <c r="N639" s="94" t="e">
        <f>M639/VLOOKUP(B639&amp;C639,base!$C$2:$E$27,3,0)</f>
        <v>#DIV/0!</v>
      </c>
    </row>
    <row r="640" spans="1:14" x14ac:dyDescent="0.25">
      <c r="A640" s="3"/>
      <c r="G640"/>
      <c r="H640" s="90" t="e">
        <f>+'Base personal'!$G640/'Base personal'!$L640</f>
        <v>#DIV/0!</v>
      </c>
      <c r="I640" s="91"/>
      <c r="J640" s="108" t="e">
        <f>VLOOKUP(B640&amp;C640,base!$C$2:$F$27,4,0)</f>
        <v>#N/A</v>
      </c>
      <c r="K640" s="91" t="e">
        <f>+'Base personal'!$H640*'Base personal'!$J640*'Base personal'!$L640</f>
        <v>#DIV/0!</v>
      </c>
      <c r="M640" s="93" t="e">
        <f t="shared" si="17"/>
        <v>#DIV/0!</v>
      </c>
      <c r="N640" s="94" t="e">
        <f>M640/VLOOKUP(B640&amp;C640,base!$C$2:$E$27,3,0)</f>
        <v>#DIV/0!</v>
      </c>
    </row>
    <row r="641" spans="1:14" x14ac:dyDescent="0.25">
      <c r="A641" s="3"/>
      <c r="G641"/>
      <c r="H641" s="90" t="e">
        <f>+'Base personal'!$G641/'Base personal'!$L641</f>
        <v>#DIV/0!</v>
      </c>
      <c r="I641" s="91"/>
      <c r="J641" s="108" t="e">
        <f>VLOOKUP(B641&amp;C641,base!$C$2:$F$27,4,0)</f>
        <v>#N/A</v>
      </c>
      <c r="K641" s="91" t="e">
        <f>+'Base personal'!$H641*'Base personal'!$J641*'Base personal'!$L641</f>
        <v>#DIV/0!</v>
      </c>
      <c r="M641" s="93" t="e">
        <f t="shared" si="17"/>
        <v>#DIV/0!</v>
      </c>
      <c r="N641" s="94" t="e">
        <f>M641/VLOOKUP(B641&amp;C641,base!$C$2:$E$27,3,0)</f>
        <v>#DIV/0!</v>
      </c>
    </row>
    <row r="642" spans="1:14" x14ac:dyDescent="0.25">
      <c r="A642" s="3"/>
      <c r="G642"/>
      <c r="H642" s="90" t="e">
        <f>+'Base personal'!$G642/'Base personal'!$L642</f>
        <v>#DIV/0!</v>
      </c>
      <c r="I642" s="91"/>
      <c r="J642" s="108" t="e">
        <f>VLOOKUP(B642&amp;C642,base!$C$2:$F$27,4,0)</f>
        <v>#N/A</v>
      </c>
      <c r="K642" s="91" t="e">
        <f>+'Base personal'!$H642*'Base personal'!$J642*'Base personal'!$L642</f>
        <v>#DIV/0!</v>
      </c>
      <c r="M642" s="93" t="e">
        <f t="shared" si="17"/>
        <v>#DIV/0!</v>
      </c>
      <c r="N642" s="94" t="e">
        <f>M642/VLOOKUP(B642&amp;C642,base!$C$2:$E$27,3,0)</f>
        <v>#DIV/0!</v>
      </c>
    </row>
    <row r="643" spans="1:14" x14ac:dyDescent="0.25">
      <c r="A643" s="3"/>
      <c r="G643"/>
      <c r="H643" s="90" t="e">
        <f>+'Base personal'!$G643/'Base personal'!$L643</f>
        <v>#DIV/0!</v>
      </c>
      <c r="I643" s="91"/>
      <c r="J643" s="108" t="e">
        <f>VLOOKUP(B643&amp;C643,base!$C$2:$F$27,4,0)</f>
        <v>#N/A</v>
      </c>
      <c r="K643" s="91" t="e">
        <f>+'Base personal'!$H643*'Base personal'!$J643*'Base personal'!$L643</f>
        <v>#DIV/0!</v>
      </c>
      <c r="M643" s="93" t="e">
        <f t="shared" si="17"/>
        <v>#DIV/0!</v>
      </c>
      <c r="N643" s="94" t="e">
        <f>M643/VLOOKUP(B643&amp;C643,base!$C$2:$E$27,3,0)</f>
        <v>#DIV/0!</v>
      </c>
    </row>
    <row r="644" spans="1:14" x14ac:dyDescent="0.25">
      <c r="A644" s="3"/>
      <c r="G644"/>
      <c r="H644" s="90" t="e">
        <f>+'Base personal'!$G644/'Base personal'!$L644</f>
        <v>#DIV/0!</v>
      </c>
      <c r="I644" s="91"/>
      <c r="J644" s="108" t="e">
        <f>VLOOKUP(B644&amp;C644,base!$C$2:$F$27,4,0)</f>
        <v>#N/A</v>
      </c>
      <c r="K644" s="91" t="e">
        <f>+'Base personal'!$H644*'Base personal'!$J644*'Base personal'!$L644</f>
        <v>#DIV/0!</v>
      </c>
      <c r="M644" s="93" t="e">
        <f t="shared" si="17"/>
        <v>#DIV/0!</v>
      </c>
      <c r="N644" s="94" t="e">
        <f>M644/VLOOKUP(B644&amp;C644,base!$C$2:$E$27,3,0)</f>
        <v>#DIV/0!</v>
      </c>
    </row>
    <row r="645" spans="1:14" x14ac:dyDescent="0.25">
      <c r="A645" s="3"/>
      <c r="G645"/>
      <c r="H645" s="90" t="e">
        <f>+'Base personal'!$G645/'Base personal'!$L645</f>
        <v>#DIV/0!</v>
      </c>
      <c r="I645" s="91"/>
      <c r="J645" s="108" t="e">
        <f>VLOOKUP(B645&amp;C645,base!$C$2:$F$27,4,0)</f>
        <v>#N/A</v>
      </c>
      <c r="K645" s="91" t="e">
        <f>+'Base personal'!$H645*'Base personal'!$J645*'Base personal'!$L645</f>
        <v>#DIV/0!</v>
      </c>
      <c r="M645" s="93" t="e">
        <f t="shared" si="17"/>
        <v>#DIV/0!</v>
      </c>
      <c r="N645" s="94" t="e">
        <f>M645/VLOOKUP(B645&amp;C645,base!$C$2:$E$27,3,0)</f>
        <v>#DIV/0!</v>
      </c>
    </row>
    <row r="646" spans="1:14" x14ac:dyDescent="0.25">
      <c r="A646" s="3"/>
      <c r="G646"/>
      <c r="H646" s="90" t="e">
        <f>+'Base personal'!$G646/'Base personal'!$L646</f>
        <v>#DIV/0!</v>
      </c>
      <c r="I646" s="91"/>
      <c r="J646" s="108" t="e">
        <f>VLOOKUP(B646&amp;C646,base!$C$2:$F$27,4,0)</f>
        <v>#N/A</v>
      </c>
      <c r="K646" s="91" t="e">
        <f>+'Base personal'!$H646*'Base personal'!$J646*'Base personal'!$L646</f>
        <v>#DIV/0!</v>
      </c>
      <c r="M646" s="93" t="e">
        <f t="shared" si="17"/>
        <v>#DIV/0!</v>
      </c>
      <c r="N646" s="94" t="e">
        <f>M646/VLOOKUP(B646&amp;C646,base!$C$2:$E$27,3,0)</f>
        <v>#DIV/0!</v>
      </c>
    </row>
    <row r="647" spans="1:14" x14ac:dyDescent="0.25">
      <c r="A647" s="3"/>
      <c r="G647"/>
      <c r="H647" s="90" t="e">
        <f>+'Base personal'!$G647/'Base personal'!$L647</f>
        <v>#DIV/0!</v>
      </c>
      <c r="I647" s="91"/>
      <c r="J647" s="108" t="e">
        <f>VLOOKUP(B647&amp;C647,base!$C$2:$F$27,4,0)</f>
        <v>#N/A</v>
      </c>
      <c r="K647" s="91" t="e">
        <f>+'Base personal'!$H647*'Base personal'!$J647*'Base personal'!$L647</f>
        <v>#DIV/0!</v>
      </c>
      <c r="M647" s="93" t="e">
        <f t="shared" si="17"/>
        <v>#DIV/0!</v>
      </c>
      <c r="N647" s="94" t="e">
        <f>M647/VLOOKUP(B647&amp;C647,base!$C$2:$E$27,3,0)</f>
        <v>#DIV/0!</v>
      </c>
    </row>
    <row r="648" spans="1:14" x14ac:dyDescent="0.25">
      <c r="A648" s="3"/>
      <c r="G648"/>
      <c r="H648" s="90" t="e">
        <f>+'Base personal'!$G648/'Base personal'!$L648</f>
        <v>#DIV/0!</v>
      </c>
      <c r="I648" s="91"/>
      <c r="J648" s="108" t="e">
        <f>VLOOKUP(B648&amp;C648,base!$C$2:$F$27,4,0)</f>
        <v>#N/A</v>
      </c>
      <c r="K648" s="91" t="e">
        <f>+'Base personal'!$H648*'Base personal'!$J648*'Base personal'!$L648</f>
        <v>#DIV/0!</v>
      </c>
      <c r="M648" s="93" t="e">
        <f t="shared" si="17"/>
        <v>#DIV/0!</v>
      </c>
      <c r="N648" s="94" t="e">
        <f>M648/VLOOKUP(B648&amp;C648,base!$C$2:$E$27,3,0)</f>
        <v>#DIV/0!</v>
      </c>
    </row>
    <row r="649" spans="1:14" x14ac:dyDescent="0.25">
      <c r="A649" s="3"/>
      <c r="G649"/>
      <c r="H649" s="90" t="e">
        <f>+'Base personal'!$G649/'Base personal'!$L649</f>
        <v>#DIV/0!</v>
      </c>
      <c r="I649" s="91"/>
      <c r="J649" s="108" t="e">
        <f>VLOOKUP(B649&amp;C649,base!$C$2:$F$27,4,0)</f>
        <v>#N/A</v>
      </c>
      <c r="K649" s="91" t="e">
        <f>+'Base personal'!$H649*'Base personal'!$J649*'Base personal'!$L649</f>
        <v>#DIV/0!</v>
      </c>
      <c r="M649" s="93" t="e">
        <f t="shared" si="17"/>
        <v>#DIV/0!</v>
      </c>
      <c r="N649" s="94" t="e">
        <f>M649/VLOOKUP(B649&amp;C649,base!$C$2:$E$27,3,0)</f>
        <v>#DIV/0!</v>
      </c>
    </row>
    <row r="650" spans="1:14" x14ac:dyDescent="0.25">
      <c r="A650" s="3"/>
      <c r="G650"/>
      <c r="H650" s="90" t="e">
        <f>+'Base personal'!$G650/'Base personal'!$L650</f>
        <v>#DIV/0!</v>
      </c>
      <c r="I650" s="91"/>
      <c r="J650" s="108" t="e">
        <f>VLOOKUP(B650&amp;C650,base!$C$2:$F$27,4,0)</f>
        <v>#N/A</v>
      </c>
      <c r="K650" s="91" t="e">
        <f>+'Base personal'!$H650*'Base personal'!$J650*'Base personal'!$L650</f>
        <v>#DIV/0!</v>
      </c>
      <c r="M650" s="93" t="e">
        <f t="shared" si="17"/>
        <v>#DIV/0!</v>
      </c>
      <c r="N650" s="94" t="e">
        <f>M650/VLOOKUP(B650&amp;C650,base!$C$2:$E$27,3,0)</f>
        <v>#DIV/0!</v>
      </c>
    </row>
    <row r="651" spans="1:14" x14ac:dyDescent="0.25">
      <c r="A651" s="3"/>
      <c r="G651"/>
      <c r="H651" s="90" t="e">
        <f>+'Base personal'!$G651/'Base personal'!$L651</f>
        <v>#DIV/0!</v>
      </c>
      <c r="I651" s="91"/>
      <c r="J651" s="108" t="e">
        <f>VLOOKUP(B651&amp;C651,base!$C$2:$F$27,4,0)</f>
        <v>#N/A</v>
      </c>
      <c r="K651" s="91" t="e">
        <f>+'Base personal'!$H651*'Base personal'!$J651*'Base personal'!$L651</f>
        <v>#DIV/0!</v>
      </c>
      <c r="M651" s="93" t="e">
        <f t="shared" si="17"/>
        <v>#DIV/0!</v>
      </c>
      <c r="N651" s="94" t="e">
        <f>M651/VLOOKUP(B651&amp;C651,base!$C$2:$E$27,3,0)</f>
        <v>#DIV/0!</v>
      </c>
    </row>
    <row r="652" spans="1:14" x14ac:dyDescent="0.25">
      <c r="A652" s="3"/>
      <c r="G652"/>
      <c r="H652" s="90" t="e">
        <f>+'Base personal'!$G652/'Base personal'!$L652</f>
        <v>#DIV/0!</v>
      </c>
      <c r="I652" s="91"/>
      <c r="J652" s="108" t="e">
        <f>VLOOKUP(B652&amp;C652,base!$C$2:$F$27,4,0)</f>
        <v>#N/A</v>
      </c>
      <c r="K652" s="91" t="e">
        <f>+'Base personal'!$H652*'Base personal'!$J652*'Base personal'!$L652</f>
        <v>#DIV/0!</v>
      </c>
      <c r="M652" s="93" t="e">
        <f t="shared" si="17"/>
        <v>#DIV/0!</v>
      </c>
      <c r="N652" s="94" t="e">
        <f>M652/VLOOKUP(B652&amp;C652,base!$C$2:$E$27,3,0)</f>
        <v>#DIV/0!</v>
      </c>
    </row>
    <row r="653" spans="1:14" x14ac:dyDescent="0.25">
      <c r="A653" s="3"/>
      <c r="G653"/>
      <c r="H653" s="90" t="e">
        <f>+'Base personal'!$G653/'Base personal'!$L653</f>
        <v>#DIV/0!</v>
      </c>
      <c r="I653" s="91"/>
      <c r="J653" s="108" t="e">
        <f>VLOOKUP(B653&amp;C653,base!$C$2:$F$27,4,0)</f>
        <v>#N/A</v>
      </c>
      <c r="K653" s="91" t="e">
        <f>+'Base personal'!$H653*'Base personal'!$J653*'Base personal'!$L653</f>
        <v>#DIV/0!</v>
      </c>
      <c r="M653" s="93" t="e">
        <f t="shared" si="17"/>
        <v>#DIV/0!</v>
      </c>
      <c r="N653" s="94" t="e">
        <f>M653/VLOOKUP(B653&amp;C653,base!$C$2:$E$27,3,0)</f>
        <v>#DIV/0!</v>
      </c>
    </row>
    <row r="654" spans="1:14" x14ac:dyDescent="0.25">
      <c r="A654" s="3"/>
      <c r="G654"/>
      <c r="H654" s="90" t="e">
        <f>+'Base personal'!$G654/'Base personal'!$L654</f>
        <v>#DIV/0!</v>
      </c>
      <c r="I654" s="91"/>
      <c r="J654" s="108" t="e">
        <f>VLOOKUP(B654&amp;C654,base!$C$2:$F$27,4,0)</f>
        <v>#N/A</v>
      </c>
      <c r="K654" s="91" t="e">
        <f>+'Base personal'!$H654*'Base personal'!$J654*'Base personal'!$L654</f>
        <v>#DIV/0!</v>
      </c>
      <c r="M654" s="93" t="e">
        <f t="shared" si="17"/>
        <v>#DIV/0!</v>
      </c>
      <c r="N654" s="94" t="e">
        <f>M654/VLOOKUP(B654&amp;C654,base!$C$2:$E$27,3,0)</f>
        <v>#DIV/0!</v>
      </c>
    </row>
    <row r="655" spans="1:14" x14ac:dyDescent="0.25">
      <c r="A655" s="3"/>
      <c r="G655"/>
      <c r="H655" s="90" t="e">
        <f>+'Base personal'!$G655/'Base personal'!$L655</f>
        <v>#DIV/0!</v>
      </c>
      <c r="I655" s="91"/>
      <c r="J655" s="108" t="e">
        <f>VLOOKUP(B655&amp;C655,base!$C$2:$F$27,4,0)</f>
        <v>#N/A</v>
      </c>
      <c r="K655" s="91" t="e">
        <f>+'Base personal'!$H655*'Base personal'!$J655*'Base personal'!$L655</f>
        <v>#DIV/0!</v>
      </c>
      <c r="M655" s="93" t="e">
        <f t="shared" si="17"/>
        <v>#DIV/0!</v>
      </c>
      <c r="N655" s="94" t="e">
        <f>M655/VLOOKUP(B655&amp;C655,base!$C$2:$E$27,3,0)</f>
        <v>#DIV/0!</v>
      </c>
    </row>
    <row r="656" spans="1:14" x14ac:dyDescent="0.25">
      <c r="A656" s="3"/>
      <c r="G656"/>
      <c r="H656" s="90" t="e">
        <f>+'Base personal'!$G656/'Base personal'!$L656</f>
        <v>#DIV/0!</v>
      </c>
      <c r="I656" s="91"/>
      <c r="J656" s="108" t="e">
        <f>VLOOKUP(B656&amp;C656,base!$C$2:$F$27,4,0)</f>
        <v>#N/A</v>
      </c>
      <c r="K656" s="91" t="e">
        <f>+'Base personal'!$H656*'Base personal'!$J656*'Base personal'!$L656</f>
        <v>#DIV/0!</v>
      </c>
      <c r="M656" s="93" t="e">
        <f t="shared" si="17"/>
        <v>#DIV/0!</v>
      </c>
      <c r="N656" s="94" t="e">
        <f>M656/VLOOKUP(B656&amp;C656,base!$C$2:$E$27,3,0)</f>
        <v>#DIV/0!</v>
      </c>
    </row>
    <row r="657" spans="1:14" x14ac:dyDescent="0.25">
      <c r="A657" s="3"/>
      <c r="G657"/>
      <c r="H657" s="90" t="e">
        <f>+'Base personal'!$G657/'Base personal'!$L657</f>
        <v>#DIV/0!</v>
      </c>
      <c r="I657" s="91"/>
      <c r="J657" s="108" t="e">
        <f>VLOOKUP(B657&amp;C657,base!$C$2:$F$27,4,0)</f>
        <v>#N/A</v>
      </c>
      <c r="K657" s="91" t="e">
        <f>+'Base personal'!$H657*'Base personal'!$J657*'Base personal'!$L657</f>
        <v>#DIV/0!</v>
      </c>
      <c r="M657" s="93" t="e">
        <f t="shared" si="17"/>
        <v>#DIV/0!</v>
      </c>
      <c r="N657" s="94" t="e">
        <f>M657/VLOOKUP(B657&amp;C657,base!$C$2:$E$27,3,0)</f>
        <v>#DIV/0!</v>
      </c>
    </row>
    <row r="658" spans="1:14" x14ac:dyDescent="0.25">
      <c r="A658" s="3"/>
      <c r="G658"/>
      <c r="H658" s="90" t="e">
        <f>+'Base personal'!$G658/'Base personal'!$L658</f>
        <v>#DIV/0!</v>
      </c>
      <c r="I658" s="91"/>
      <c r="J658" s="108" t="e">
        <f>VLOOKUP(B658&amp;C658,base!$C$2:$F$27,4,0)</f>
        <v>#N/A</v>
      </c>
      <c r="K658" s="91" t="e">
        <f>+'Base personal'!$H658*'Base personal'!$J658*'Base personal'!$L658</f>
        <v>#DIV/0!</v>
      </c>
      <c r="M658" s="93" t="e">
        <f t="shared" si="17"/>
        <v>#DIV/0!</v>
      </c>
      <c r="N658" s="94" t="e">
        <f>M658/VLOOKUP(B658&amp;C658,base!$C$2:$E$27,3,0)</f>
        <v>#DIV/0!</v>
      </c>
    </row>
    <row r="659" spans="1:14" x14ac:dyDescent="0.25">
      <c r="A659" s="3"/>
      <c r="G659"/>
      <c r="H659" s="90" t="e">
        <f>+'Base personal'!$G659/'Base personal'!$L659</f>
        <v>#DIV/0!</v>
      </c>
      <c r="I659" s="91"/>
      <c r="J659" s="108" t="e">
        <f>VLOOKUP(B659&amp;C659,base!$C$2:$F$27,4,0)</f>
        <v>#N/A</v>
      </c>
      <c r="K659" s="91" t="e">
        <f>+'Base personal'!$H659*'Base personal'!$J659*'Base personal'!$L659</f>
        <v>#DIV/0!</v>
      </c>
      <c r="M659" s="93" t="e">
        <f t="shared" si="17"/>
        <v>#DIV/0!</v>
      </c>
      <c r="N659" s="94" t="e">
        <f>M659/VLOOKUP(B659&amp;C659,base!$C$2:$E$27,3,0)</f>
        <v>#DIV/0!</v>
      </c>
    </row>
    <row r="660" spans="1:14" x14ac:dyDescent="0.25">
      <c r="A660" s="3"/>
      <c r="G660"/>
      <c r="H660" s="90" t="e">
        <f>+'Base personal'!$G660/'Base personal'!$L660</f>
        <v>#DIV/0!</v>
      </c>
      <c r="I660" s="91"/>
      <c r="J660" s="108" t="e">
        <f>VLOOKUP(B660&amp;C660,base!$C$2:$F$27,4,0)</f>
        <v>#N/A</v>
      </c>
      <c r="K660" s="91" t="e">
        <f>+'Base personal'!$H660*'Base personal'!$J660*'Base personal'!$L660</f>
        <v>#DIV/0!</v>
      </c>
      <c r="M660" s="93" t="e">
        <f t="shared" si="17"/>
        <v>#DIV/0!</v>
      </c>
      <c r="N660" s="94" t="e">
        <f>M660/VLOOKUP(B660&amp;C660,base!$C$2:$E$27,3,0)</f>
        <v>#DIV/0!</v>
      </c>
    </row>
    <row r="661" spans="1:14" x14ac:dyDescent="0.25">
      <c r="A661" s="3"/>
      <c r="G661"/>
      <c r="H661" s="90" t="e">
        <f>+'Base personal'!$G661/'Base personal'!$L661</f>
        <v>#DIV/0!</v>
      </c>
      <c r="I661" s="91"/>
      <c r="J661" s="108" t="e">
        <f>VLOOKUP(B661&amp;C661,base!$C$2:$F$27,4,0)</f>
        <v>#N/A</v>
      </c>
      <c r="K661" s="91" t="e">
        <f>+'Base personal'!$H661*'Base personal'!$J661*'Base personal'!$L661</f>
        <v>#DIV/0!</v>
      </c>
      <c r="M661" s="93" t="e">
        <f t="shared" ref="M661:M675" si="18">G661/L661</f>
        <v>#DIV/0!</v>
      </c>
      <c r="N661" s="94" t="e">
        <f>M661/VLOOKUP(B661&amp;C661,base!$C$2:$E$27,3,0)</f>
        <v>#DIV/0!</v>
      </c>
    </row>
    <row r="662" spans="1:14" x14ac:dyDescent="0.25">
      <c r="A662" s="3"/>
      <c r="G662"/>
      <c r="H662" s="90" t="e">
        <f>+'Base personal'!$G662/'Base personal'!$L662</f>
        <v>#DIV/0!</v>
      </c>
      <c r="I662" s="91"/>
      <c r="J662" s="108" t="e">
        <f>VLOOKUP(B662&amp;C662,base!$C$2:$F$27,4,0)</f>
        <v>#N/A</v>
      </c>
      <c r="K662" s="91" t="e">
        <f>+'Base personal'!$H662*'Base personal'!$J662*'Base personal'!$L662</f>
        <v>#DIV/0!</v>
      </c>
      <c r="M662" s="93" t="e">
        <f t="shared" si="18"/>
        <v>#DIV/0!</v>
      </c>
      <c r="N662" s="94" t="e">
        <f>M662/VLOOKUP(B662&amp;C662,base!$C$2:$E$27,3,0)</f>
        <v>#DIV/0!</v>
      </c>
    </row>
    <row r="663" spans="1:14" x14ac:dyDescent="0.25">
      <c r="A663" s="3"/>
      <c r="G663"/>
      <c r="H663" s="90" t="e">
        <f>+'Base personal'!$G663/'Base personal'!$L663</f>
        <v>#DIV/0!</v>
      </c>
      <c r="I663" s="91"/>
      <c r="J663" s="108" t="e">
        <f>VLOOKUP(B663&amp;C663,base!$C$2:$F$27,4,0)</f>
        <v>#N/A</v>
      </c>
      <c r="K663" s="91" t="e">
        <f>+'Base personal'!$H663*'Base personal'!$J663*'Base personal'!$L663</f>
        <v>#DIV/0!</v>
      </c>
      <c r="M663" s="93" t="e">
        <f t="shared" si="18"/>
        <v>#DIV/0!</v>
      </c>
      <c r="N663" s="94" t="e">
        <f>M663/VLOOKUP(B663&amp;C663,base!$C$2:$E$27,3,0)</f>
        <v>#DIV/0!</v>
      </c>
    </row>
    <row r="664" spans="1:14" x14ac:dyDescent="0.25">
      <c r="A664" s="3"/>
      <c r="G664"/>
      <c r="H664" s="90" t="e">
        <f>+'Base personal'!$G664/'Base personal'!$L664</f>
        <v>#DIV/0!</v>
      </c>
      <c r="I664" s="91"/>
      <c r="J664" s="108" t="e">
        <f>VLOOKUP(B664&amp;C664,base!$C$2:$F$27,4,0)</f>
        <v>#N/A</v>
      </c>
      <c r="K664" s="91" t="e">
        <f>+'Base personal'!$H664*'Base personal'!$J664*'Base personal'!$L664</f>
        <v>#DIV/0!</v>
      </c>
      <c r="M664" s="93" t="e">
        <f t="shared" si="18"/>
        <v>#DIV/0!</v>
      </c>
      <c r="N664" s="94" t="e">
        <f>M664/VLOOKUP(B664&amp;C664,base!$C$2:$E$27,3,0)</f>
        <v>#DIV/0!</v>
      </c>
    </row>
    <row r="665" spans="1:14" x14ac:dyDescent="0.25">
      <c r="A665" s="3"/>
      <c r="G665"/>
      <c r="H665" s="90" t="e">
        <f>+'Base personal'!$G665/'Base personal'!$L665</f>
        <v>#DIV/0!</v>
      </c>
      <c r="I665" s="91"/>
      <c r="J665" s="108" t="e">
        <f>VLOOKUP(B665&amp;C665,base!$C$2:$F$27,4,0)</f>
        <v>#N/A</v>
      </c>
      <c r="K665" s="91" t="e">
        <f>+'Base personal'!$H665*'Base personal'!$J665*'Base personal'!$L665</f>
        <v>#DIV/0!</v>
      </c>
      <c r="M665" s="93" t="e">
        <f t="shared" si="18"/>
        <v>#DIV/0!</v>
      </c>
      <c r="N665" s="94" t="e">
        <f>M665/VLOOKUP(B665&amp;C665,base!$C$2:$E$27,3,0)</f>
        <v>#DIV/0!</v>
      </c>
    </row>
    <row r="666" spans="1:14" x14ac:dyDescent="0.25">
      <c r="A666" s="3"/>
      <c r="G666"/>
      <c r="H666" s="90" t="e">
        <f>+'Base personal'!$G666/'Base personal'!$L666</f>
        <v>#DIV/0!</v>
      </c>
      <c r="I666" s="91"/>
      <c r="J666" s="108" t="e">
        <f>VLOOKUP(B666&amp;C666,base!$C$2:$F$27,4,0)</f>
        <v>#N/A</v>
      </c>
      <c r="K666" s="91" t="e">
        <f>+'Base personal'!$H666*'Base personal'!$J666*'Base personal'!$L666</f>
        <v>#DIV/0!</v>
      </c>
      <c r="M666" s="93" t="e">
        <f t="shared" si="18"/>
        <v>#DIV/0!</v>
      </c>
      <c r="N666" s="94" t="e">
        <f>M666/VLOOKUP(B666&amp;C666,base!$C$2:$E$27,3,0)</f>
        <v>#DIV/0!</v>
      </c>
    </row>
    <row r="667" spans="1:14" x14ac:dyDescent="0.25">
      <c r="A667" s="3"/>
      <c r="G667"/>
      <c r="H667" s="90" t="e">
        <f>+'Base personal'!$G667/'Base personal'!$L667</f>
        <v>#DIV/0!</v>
      </c>
      <c r="I667" s="91"/>
      <c r="J667" s="108" t="e">
        <f>VLOOKUP(B667&amp;C667,base!$C$2:$F$27,4,0)</f>
        <v>#N/A</v>
      </c>
      <c r="K667" s="91" t="e">
        <f>+'Base personal'!$H667*'Base personal'!$J667*'Base personal'!$L667</f>
        <v>#DIV/0!</v>
      </c>
      <c r="M667" s="93" t="e">
        <f t="shared" si="18"/>
        <v>#DIV/0!</v>
      </c>
      <c r="N667" s="94" t="e">
        <f>M667/VLOOKUP(B667&amp;C667,base!$C$2:$E$27,3,0)</f>
        <v>#DIV/0!</v>
      </c>
    </row>
    <row r="668" spans="1:14" x14ac:dyDescent="0.25">
      <c r="A668" s="3"/>
      <c r="G668"/>
      <c r="H668" s="90" t="e">
        <f>+'Base personal'!$G668/'Base personal'!$L668</f>
        <v>#DIV/0!</v>
      </c>
      <c r="I668" s="91"/>
      <c r="J668" s="108" t="e">
        <f>VLOOKUP(B668&amp;C668,base!$C$2:$F$27,4,0)</f>
        <v>#N/A</v>
      </c>
      <c r="K668" s="91" t="e">
        <f>+'Base personal'!$H668*'Base personal'!$J668*'Base personal'!$L668</f>
        <v>#DIV/0!</v>
      </c>
      <c r="M668" s="93" t="e">
        <f t="shared" si="18"/>
        <v>#DIV/0!</v>
      </c>
      <c r="N668" s="94" t="e">
        <f>M668/VLOOKUP(B668&amp;C668,base!$C$2:$E$27,3,0)</f>
        <v>#DIV/0!</v>
      </c>
    </row>
    <row r="669" spans="1:14" x14ac:dyDescent="0.25">
      <c r="A669" s="3"/>
      <c r="G669"/>
      <c r="H669" s="90" t="e">
        <f>+'Base personal'!$G669/'Base personal'!$L669</f>
        <v>#DIV/0!</v>
      </c>
      <c r="I669" s="91"/>
      <c r="J669" s="108" t="e">
        <f>VLOOKUP(B669&amp;C669,base!$C$2:$F$27,4,0)</f>
        <v>#N/A</v>
      </c>
      <c r="K669" s="91" t="e">
        <f>+'Base personal'!$H669*'Base personal'!$J669*'Base personal'!$L669</f>
        <v>#DIV/0!</v>
      </c>
      <c r="M669" s="93" t="e">
        <f t="shared" si="18"/>
        <v>#DIV/0!</v>
      </c>
      <c r="N669" s="94" t="e">
        <f>M669/VLOOKUP(B669&amp;C669,base!$C$2:$E$27,3,0)</f>
        <v>#DIV/0!</v>
      </c>
    </row>
    <row r="670" spans="1:14" x14ac:dyDescent="0.25">
      <c r="A670" s="3"/>
      <c r="G670"/>
      <c r="H670" s="90" t="e">
        <f>+'Base personal'!$G670/'Base personal'!$L670</f>
        <v>#DIV/0!</v>
      </c>
      <c r="I670" s="91"/>
      <c r="J670" s="108" t="e">
        <f>VLOOKUP(B670&amp;C670,base!$C$2:$F$27,4,0)</f>
        <v>#N/A</v>
      </c>
      <c r="K670" s="91" t="e">
        <f>+'Base personal'!$H670*'Base personal'!$J670*'Base personal'!$L670</f>
        <v>#DIV/0!</v>
      </c>
      <c r="M670" s="93" t="e">
        <f t="shared" si="18"/>
        <v>#DIV/0!</v>
      </c>
      <c r="N670" s="94" t="e">
        <f>M670/VLOOKUP(B670&amp;C670,base!$C$2:$E$27,3,0)</f>
        <v>#DIV/0!</v>
      </c>
    </row>
    <row r="671" spans="1:14" x14ac:dyDescent="0.25">
      <c r="A671" s="3"/>
      <c r="G671"/>
      <c r="H671" s="90" t="e">
        <f>+'Base personal'!$G671/'Base personal'!$L671</f>
        <v>#DIV/0!</v>
      </c>
      <c r="I671" s="91"/>
      <c r="J671" s="108" t="e">
        <f>VLOOKUP(B671&amp;C671,base!$C$2:$F$27,4,0)</f>
        <v>#N/A</v>
      </c>
      <c r="K671" s="91" t="e">
        <f>+'Base personal'!$H671*'Base personal'!$J671*'Base personal'!$L671</f>
        <v>#DIV/0!</v>
      </c>
      <c r="M671" s="93" t="e">
        <f t="shared" si="18"/>
        <v>#DIV/0!</v>
      </c>
      <c r="N671" s="94" t="e">
        <f>M671/VLOOKUP(B671&amp;C671,base!$C$2:$E$27,3,0)</f>
        <v>#DIV/0!</v>
      </c>
    </row>
    <row r="672" spans="1:14" x14ac:dyDescent="0.25">
      <c r="A672" s="3"/>
      <c r="G672"/>
      <c r="H672" s="90" t="e">
        <f>+'Base personal'!$G672/'Base personal'!$L672</f>
        <v>#DIV/0!</v>
      </c>
      <c r="I672" s="91"/>
      <c r="J672" s="108" t="e">
        <f>VLOOKUP(B672&amp;C672,base!$C$2:$F$27,4,0)</f>
        <v>#N/A</v>
      </c>
      <c r="K672" s="91" t="e">
        <f>+'Base personal'!$H672*'Base personal'!$J672*'Base personal'!$L672</f>
        <v>#DIV/0!</v>
      </c>
      <c r="M672" s="93" t="e">
        <f t="shared" si="18"/>
        <v>#DIV/0!</v>
      </c>
      <c r="N672" s="94" t="e">
        <f>M672/VLOOKUP(B672&amp;C672,base!$C$2:$E$27,3,0)</f>
        <v>#DIV/0!</v>
      </c>
    </row>
    <row r="673" spans="1:14" x14ac:dyDescent="0.25">
      <c r="A673" s="3"/>
      <c r="G673"/>
      <c r="H673" s="90" t="e">
        <f>+'Base personal'!$G673/'Base personal'!$L673</f>
        <v>#DIV/0!</v>
      </c>
      <c r="I673" s="91"/>
      <c r="J673" s="108" t="e">
        <f>VLOOKUP(B673&amp;C673,base!$C$2:$F$27,4,0)</f>
        <v>#N/A</v>
      </c>
      <c r="K673" s="91" t="e">
        <f>+'Base personal'!$H673*'Base personal'!$J673*'Base personal'!$L673</f>
        <v>#DIV/0!</v>
      </c>
      <c r="M673" s="93" t="e">
        <f t="shared" si="18"/>
        <v>#DIV/0!</v>
      </c>
      <c r="N673" s="94" t="e">
        <f>M673/VLOOKUP(B673&amp;C673,base!$C$2:$E$27,3,0)</f>
        <v>#DIV/0!</v>
      </c>
    </row>
    <row r="674" spans="1:14" x14ac:dyDescent="0.25">
      <c r="A674" s="3"/>
      <c r="G674"/>
      <c r="H674" s="90" t="e">
        <f>+'Base personal'!$G674/'Base personal'!$L674</f>
        <v>#DIV/0!</v>
      </c>
      <c r="I674" s="91"/>
      <c r="J674" s="108" t="e">
        <f>VLOOKUP(B674&amp;C674,base!$C$2:$F$27,4,0)</f>
        <v>#N/A</v>
      </c>
      <c r="K674" s="91" t="e">
        <f>+'Base personal'!$H674*'Base personal'!$J674*'Base personal'!$L674</f>
        <v>#DIV/0!</v>
      </c>
      <c r="M674" s="93" t="e">
        <f t="shared" si="18"/>
        <v>#DIV/0!</v>
      </c>
      <c r="N674" s="94" t="e">
        <f>M674/VLOOKUP(B674&amp;C674,base!$C$2:$E$27,3,0)</f>
        <v>#DIV/0!</v>
      </c>
    </row>
    <row r="675" spans="1:14" x14ac:dyDescent="0.25">
      <c r="A675" s="3"/>
      <c r="G675"/>
      <c r="H675" s="90" t="e">
        <f>+'Base personal'!$G675/'Base personal'!$L675</f>
        <v>#DIV/0!</v>
      </c>
      <c r="I675" s="91"/>
      <c r="J675" s="108" t="e">
        <f>VLOOKUP(B675&amp;C675,base!$C$2:$F$27,4,0)</f>
        <v>#N/A</v>
      </c>
      <c r="K675" s="91" t="e">
        <f>+'Base personal'!$H675*'Base personal'!$J675*'Base personal'!$L675</f>
        <v>#DIV/0!</v>
      </c>
      <c r="M675" s="93" t="e">
        <f t="shared" si="18"/>
        <v>#DIV/0!</v>
      </c>
      <c r="N675" s="94" t="e">
        <f>M675/VLOOKUP(B675&amp;C675,base!$C$2:$E$27,3,0)</f>
        <v>#DIV/0!</v>
      </c>
    </row>
    <row r="676" spans="1:14" x14ac:dyDescent="0.25">
      <c r="A676" s="92"/>
      <c r="J676" s="108" t="e">
        <f>VLOOKUP(B676&amp;C676,base!$C$2:$F$27,4,0)</f>
        <v>#N/A</v>
      </c>
      <c r="M676" s="93"/>
      <c r="N676" s="95"/>
    </row>
  </sheetData>
  <autoFilter ref="A1:Q675"/>
  <conditionalFormatting sqref="N219:N294 I2:J4 I6:J13 I16:J17 I47:J49 I54:J56 I58:J60 I67:J69 I71:J76 I82:J84 I88:J93 I97:J103 I111:J118 I43 I64 I86:J86 I85 I108:J109 I106 I121 I42:J42 I51:J52 I62:J63 I105:J105 I123:J330 I465:I622 I332:J333 I335:J336 I338:J338 I341:J357 I359:J359 I361:J362 I366:J366 I368:J368 I370:J370 I372:J373 I28:J38 N2:N217 N299:N675 J465:J676">
    <cfRule type="cellIs" dxfId="310" priority="385" operator="greaterThan">
      <formula>1</formula>
    </cfRule>
    <cfRule type="cellIs" dxfId="309" priority="386" operator="between">
      <formula>0.751</formula>
      <formula>1</formula>
    </cfRule>
    <cfRule type="cellIs" dxfId="308" priority="387" operator="between">
      <formula>0.551</formula>
      <formula>0.75</formula>
    </cfRule>
    <cfRule type="cellIs" dxfId="307" priority="388" operator="between">
      <formula>0</formula>
      <formula>0.55</formula>
    </cfRule>
  </conditionalFormatting>
  <conditionalFormatting sqref="N218">
    <cfRule type="cellIs" dxfId="306" priority="377" operator="greaterThan">
      <formula>1</formula>
    </cfRule>
    <cfRule type="cellIs" dxfId="305" priority="378" operator="between">
      <formula>0.751</formula>
      <formula>1</formula>
    </cfRule>
    <cfRule type="cellIs" dxfId="304" priority="379" operator="between">
      <formula>0.551</formula>
      <formula>0.75</formula>
    </cfRule>
    <cfRule type="cellIs" dxfId="303" priority="380" operator="between">
      <formula>0</formula>
      <formula>0.55</formula>
    </cfRule>
  </conditionalFormatting>
  <conditionalFormatting sqref="N295:N298">
    <cfRule type="cellIs" dxfId="302" priority="349" operator="greaterThan">
      <formula>1</formula>
    </cfRule>
    <cfRule type="cellIs" dxfId="301" priority="350" operator="between">
      <formula>0.751</formula>
      <formula>1</formula>
    </cfRule>
    <cfRule type="cellIs" dxfId="300" priority="351" operator="between">
      <formula>0.551</formula>
      <formula>0.75</formula>
    </cfRule>
    <cfRule type="cellIs" dxfId="299" priority="352" operator="between">
      <formula>0</formula>
      <formula>0.55</formula>
    </cfRule>
  </conditionalFormatting>
  <conditionalFormatting sqref="I5:J5">
    <cfRule type="cellIs" dxfId="298" priority="341" operator="greaterThan">
      <formula>1</formula>
    </cfRule>
    <cfRule type="cellIs" dxfId="297" priority="342" operator="between">
      <formula>0.751</formula>
      <formula>1</formula>
    </cfRule>
    <cfRule type="cellIs" dxfId="296" priority="343" operator="between">
      <formula>0.551</formula>
      <formula>0.75</formula>
    </cfRule>
    <cfRule type="cellIs" dxfId="295" priority="344" operator="between">
      <formula>0</formula>
      <formula>0.55</formula>
    </cfRule>
  </conditionalFormatting>
  <conditionalFormatting sqref="I14:J14">
    <cfRule type="cellIs" dxfId="294" priority="333" operator="greaterThan">
      <formula>1</formula>
    </cfRule>
    <cfRule type="cellIs" dxfId="293" priority="334" operator="between">
      <formula>0.751</formula>
      <formula>1</formula>
    </cfRule>
    <cfRule type="cellIs" dxfId="292" priority="335" operator="between">
      <formula>0.551</formula>
      <formula>0.75</formula>
    </cfRule>
    <cfRule type="cellIs" dxfId="291" priority="336" operator="between">
      <formula>0</formula>
      <formula>0.55</formula>
    </cfRule>
  </conditionalFormatting>
  <conditionalFormatting sqref="I15:J15">
    <cfRule type="cellIs" dxfId="290" priority="329" operator="greaterThan">
      <formula>1</formula>
    </cfRule>
    <cfRule type="cellIs" dxfId="289" priority="330" operator="between">
      <formula>0.751</formula>
      <formula>1</formula>
    </cfRule>
    <cfRule type="cellIs" dxfId="288" priority="331" operator="between">
      <formula>0.551</formula>
      <formula>0.75</formula>
    </cfRule>
    <cfRule type="cellIs" dxfId="287" priority="332" operator="between">
      <formula>0</formula>
      <formula>0.55</formula>
    </cfRule>
  </conditionalFormatting>
  <conditionalFormatting sqref="I18:J18">
    <cfRule type="cellIs" dxfId="286" priority="325" operator="greaterThan">
      <formula>1</formula>
    </cfRule>
    <cfRule type="cellIs" dxfId="285" priority="326" operator="between">
      <formula>0.751</formula>
      <formula>1</formula>
    </cfRule>
    <cfRule type="cellIs" dxfId="284" priority="327" operator="between">
      <formula>0.551</formula>
      <formula>0.75</formula>
    </cfRule>
    <cfRule type="cellIs" dxfId="283" priority="328" operator="between">
      <formula>0</formula>
      <formula>0.55</formula>
    </cfRule>
  </conditionalFormatting>
  <conditionalFormatting sqref="I19:J19">
    <cfRule type="cellIs" dxfId="282" priority="321" operator="greaterThan">
      <formula>1</formula>
    </cfRule>
    <cfRule type="cellIs" dxfId="281" priority="322" operator="between">
      <formula>0.751</formula>
      <formula>1</formula>
    </cfRule>
    <cfRule type="cellIs" dxfId="280" priority="323" operator="between">
      <formula>0.551</formula>
      <formula>0.75</formula>
    </cfRule>
    <cfRule type="cellIs" dxfId="279" priority="324" operator="between">
      <formula>0</formula>
      <formula>0.55</formula>
    </cfRule>
  </conditionalFormatting>
  <conditionalFormatting sqref="I20:J20">
    <cfRule type="cellIs" dxfId="278" priority="317" operator="greaterThan">
      <formula>1</formula>
    </cfRule>
    <cfRule type="cellIs" dxfId="277" priority="318" operator="between">
      <formula>0.751</formula>
      <formula>1</formula>
    </cfRule>
    <cfRule type="cellIs" dxfId="276" priority="319" operator="between">
      <formula>0.551</formula>
      <formula>0.75</formula>
    </cfRule>
    <cfRule type="cellIs" dxfId="275" priority="320" operator="between">
      <formula>0</formula>
      <formula>0.55</formula>
    </cfRule>
  </conditionalFormatting>
  <conditionalFormatting sqref="I21:J21">
    <cfRule type="cellIs" dxfId="274" priority="313" operator="greaterThan">
      <formula>1</formula>
    </cfRule>
    <cfRule type="cellIs" dxfId="273" priority="314" operator="between">
      <formula>0.751</formula>
      <formula>1</formula>
    </cfRule>
    <cfRule type="cellIs" dxfId="272" priority="315" operator="between">
      <formula>0.551</formula>
      <formula>0.75</formula>
    </cfRule>
    <cfRule type="cellIs" dxfId="271" priority="316" operator="between">
      <formula>0</formula>
      <formula>0.55</formula>
    </cfRule>
  </conditionalFormatting>
  <conditionalFormatting sqref="I22:J22">
    <cfRule type="cellIs" dxfId="270" priority="309" operator="greaterThan">
      <formula>1</formula>
    </cfRule>
    <cfRule type="cellIs" dxfId="269" priority="310" operator="between">
      <formula>0.751</formula>
      <formula>1</formula>
    </cfRule>
    <cfRule type="cellIs" dxfId="268" priority="311" operator="between">
      <formula>0.551</formula>
      <formula>0.75</formula>
    </cfRule>
    <cfRule type="cellIs" dxfId="267" priority="312" operator="between">
      <formula>0</formula>
      <formula>0.55</formula>
    </cfRule>
  </conditionalFormatting>
  <conditionalFormatting sqref="I23:J23">
    <cfRule type="cellIs" dxfId="266" priority="305" operator="greaterThan">
      <formula>1</formula>
    </cfRule>
    <cfRule type="cellIs" dxfId="265" priority="306" operator="between">
      <formula>0.751</formula>
      <formula>1</formula>
    </cfRule>
    <cfRule type="cellIs" dxfId="264" priority="307" operator="between">
      <formula>0.551</formula>
      <formula>0.75</formula>
    </cfRule>
    <cfRule type="cellIs" dxfId="263" priority="308" operator="between">
      <formula>0</formula>
      <formula>0.55</formula>
    </cfRule>
  </conditionalFormatting>
  <conditionalFormatting sqref="I24:J24">
    <cfRule type="cellIs" dxfId="262" priority="301" operator="greaterThan">
      <formula>1</formula>
    </cfRule>
    <cfRule type="cellIs" dxfId="261" priority="302" operator="between">
      <formula>0.751</formula>
      <formula>1</formula>
    </cfRule>
    <cfRule type="cellIs" dxfId="260" priority="303" operator="between">
      <formula>0.551</formula>
      <formula>0.75</formula>
    </cfRule>
    <cfRule type="cellIs" dxfId="259" priority="304" operator="between">
      <formula>0</formula>
      <formula>0.55</formula>
    </cfRule>
  </conditionalFormatting>
  <conditionalFormatting sqref="I25:J25">
    <cfRule type="cellIs" dxfId="258" priority="297" operator="greaterThan">
      <formula>1</formula>
    </cfRule>
    <cfRule type="cellIs" dxfId="257" priority="298" operator="between">
      <formula>0.751</formula>
      <formula>1</formula>
    </cfRule>
    <cfRule type="cellIs" dxfId="256" priority="299" operator="between">
      <formula>0.551</formula>
      <formula>0.75</formula>
    </cfRule>
    <cfRule type="cellIs" dxfId="255" priority="300" operator="between">
      <formula>0</formula>
      <formula>0.55</formula>
    </cfRule>
  </conditionalFormatting>
  <conditionalFormatting sqref="I26:J26">
    <cfRule type="cellIs" dxfId="254" priority="293" operator="greaterThan">
      <formula>1</formula>
    </cfRule>
    <cfRule type="cellIs" dxfId="253" priority="294" operator="between">
      <formula>0.751</formula>
      <formula>1</formula>
    </cfRule>
    <cfRule type="cellIs" dxfId="252" priority="295" operator="between">
      <formula>0.551</formula>
      <formula>0.75</formula>
    </cfRule>
    <cfRule type="cellIs" dxfId="251" priority="296" operator="between">
      <formula>0</formula>
      <formula>0.55</formula>
    </cfRule>
  </conditionalFormatting>
  <conditionalFormatting sqref="I27:J27">
    <cfRule type="cellIs" dxfId="250" priority="289" operator="greaterThan">
      <formula>1</formula>
    </cfRule>
    <cfRule type="cellIs" dxfId="249" priority="290" operator="between">
      <formula>0.751</formula>
      <formula>1</formula>
    </cfRule>
    <cfRule type="cellIs" dxfId="248" priority="291" operator="between">
      <formula>0.551</formula>
      <formula>0.75</formula>
    </cfRule>
    <cfRule type="cellIs" dxfId="247" priority="292" operator="between">
      <formula>0</formula>
      <formula>0.55</formula>
    </cfRule>
  </conditionalFormatting>
  <conditionalFormatting sqref="I39:J39">
    <cfRule type="cellIs" dxfId="246" priority="285" operator="greaterThan">
      <formula>1</formula>
    </cfRule>
    <cfRule type="cellIs" dxfId="245" priority="286" operator="between">
      <formula>0.751</formula>
      <formula>1</formula>
    </cfRule>
    <cfRule type="cellIs" dxfId="244" priority="287" operator="between">
      <formula>0.551</formula>
      <formula>0.75</formula>
    </cfRule>
    <cfRule type="cellIs" dxfId="243" priority="288" operator="between">
      <formula>0</formula>
      <formula>0.55</formula>
    </cfRule>
  </conditionalFormatting>
  <conditionalFormatting sqref="I44:J44">
    <cfRule type="cellIs" dxfId="242" priority="281" operator="greaterThan">
      <formula>1</formula>
    </cfRule>
    <cfRule type="cellIs" dxfId="241" priority="282" operator="between">
      <formula>0.751</formula>
      <formula>1</formula>
    </cfRule>
    <cfRule type="cellIs" dxfId="240" priority="283" operator="between">
      <formula>0.551</formula>
      <formula>0.75</formula>
    </cfRule>
    <cfRule type="cellIs" dxfId="239" priority="284" operator="between">
      <formula>0</formula>
      <formula>0.55</formula>
    </cfRule>
  </conditionalFormatting>
  <conditionalFormatting sqref="I53:J53">
    <cfRule type="cellIs" dxfId="238" priority="273" operator="greaterThan">
      <formula>1</formula>
    </cfRule>
    <cfRule type="cellIs" dxfId="237" priority="274" operator="between">
      <formula>0.751</formula>
      <formula>1</formula>
    </cfRule>
    <cfRule type="cellIs" dxfId="236" priority="275" operator="between">
      <formula>0.551</formula>
      <formula>0.75</formula>
    </cfRule>
    <cfRule type="cellIs" dxfId="235" priority="276" operator="between">
      <formula>0</formula>
      <formula>0.55</formula>
    </cfRule>
  </conditionalFormatting>
  <conditionalFormatting sqref="I57:J57">
    <cfRule type="cellIs" dxfId="234" priority="269" operator="greaterThan">
      <formula>1</formula>
    </cfRule>
    <cfRule type="cellIs" dxfId="233" priority="270" operator="between">
      <formula>0.751</formula>
      <formula>1</formula>
    </cfRule>
    <cfRule type="cellIs" dxfId="232" priority="271" operator="between">
      <formula>0.551</formula>
      <formula>0.75</formula>
    </cfRule>
    <cfRule type="cellIs" dxfId="231" priority="272" operator="between">
      <formula>0</formula>
      <formula>0.55</formula>
    </cfRule>
  </conditionalFormatting>
  <conditionalFormatting sqref="I66:J66">
    <cfRule type="cellIs" dxfId="230" priority="265" operator="greaterThan">
      <formula>1</formula>
    </cfRule>
    <cfRule type="cellIs" dxfId="229" priority="266" operator="between">
      <formula>0.751</formula>
      <formula>1</formula>
    </cfRule>
    <cfRule type="cellIs" dxfId="228" priority="267" operator="between">
      <formula>0.551</formula>
      <formula>0.75</formula>
    </cfRule>
    <cfRule type="cellIs" dxfId="227" priority="268" operator="between">
      <formula>0</formula>
      <formula>0.55</formula>
    </cfRule>
  </conditionalFormatting>
  <conditionalFormatting sqref="I70:J70">
    <cfRule type="cellIs" dxfId="226" priority="261" operator="greaterThan">
      <formula>1</formula>
    </cfRule>
    <cfRule type="cellIs" dxfId="225" priority="262" operator="between">
      <formula>0.751</formula>
      <formula>1</formula>
    </cfRule>
    <cfRule type="cellIs" dxfId="224" priority="263" operator="between">
      <formula>0.551</formula>
      <formula>0.75</formula>
    </cfRule>
    <cfRule type="cellIs" dxfId="223" priority="264" operator="between">
      <formula>0</formula>
      <formula>0.55</formula>
    </cfRule>
  </conditionalFormatting>
  <conditionalFormatting sqref="I78:J78">
    <cfRule type="cellIs" dxfId="222" priority="257" operator="greaterThan">
      <formula>1</formula>
    </cfRule>
    <cfRule type="cellIs" dxfId="221" priority="258" operator="between">
      <formula>0.751</formula>
      <formula>1</formula>
    </cfRule>
    <cfRule type="cellIs" dxfId="220" priority="259" operator="between">
      <formula>0.551</formula>
      <formula>0.75</formula>
    </cfRule>
    <cfRule type="cellIs" dxfId="219" priority="260" operator="between">
      <formula>0</formula>
      <formula>0.55</formula>
    </cfRule>
  </conditionalFormatting>
  <conditionalFormatting sqref="I81:J81">
    <cfRule type="cellIs" dxfId="218" priority="253" operator="greaterThan">
      <formula>1</formula>
    </cfRule>
    <cfRule type="cellIs" dxfId="217" priority="254" operator="between">
      <formula>0.751</formula>
      <formula>1</formula>
    </cfRule>
    <cfRule type="cellIs" dxfId="216" priority="255" operator="between">
      <formula>0.551</formula>
      <formula>0.75</formula>
    </cfRule>
    <cfRule type="cellIs" dxfId="215" priority="256" operator="between">
      <formula>0</formula>
      <formula>0.55</formula>
    </cfRule>
  </conditionalFormatting>
  <conditionalFormatting sqref="I87:J87">
    <cfRule type="cellIs" dxfId="214" priority="249" operator="greaterThan">
      <formula>1</formula>
    </cfRule>
    <cfRule type="cellIs" dxfId="213" priority="250" operator="between">
      <formula>0.751</formula>
      <formula>1</formula>
    </cfRule>
    <cfRule type="cellIs" dxfId="212" priority="251" operator="between">
      <formula>0.551</formula>
      <formula>0.75</formula>
    </cfRule>
    <cfRule type="cellIs" dxfId="211" priority="252" operator="between">
      <formula>0</formula>
      <formula>0.55</formula>
    </cfRule>
  </conditionalFormatting>
  <conditionalFormatting sqref="I94:J94">
    <cfRule type="cellIs" dxfId="210" priority="245" operator="greaterThan">
      <formula>1</formula>
    </cfRule>
    <cfRule type="cellIs" dxfId="209" priority="246" operator="between">
      <formula>0.751</formula>
      <formula>1</formula>
    </cfRule>
    <cfRule type="cellIs" dxfId="208" priority="247" operator="between">
      <formula>0.551</formula>
      <formula>0.75</formula>
    </cfRule>
    <cfRule type="cellIs" dxfId="207" priority="248" operator="between">
      <formula>0</formula>
      <formula>0.55</formula>
    </cfRule>
  </conditionalFormatting>
  <conditionalFormatting sqref="I95:J95">
    <cfRule type="cellIs" dxfId="206" priority="241" operator="greaterThan">
      <formula>1</formula>
    </cfRule>
    <cfRule type="cellIs" dxfId="205" priority="242" operator="between">
      <formula>0.751</formula>
      <formula>1</formula>
    </cfRule>
    <cfRule type="cellIs" dxfId="204" priority="243" operator="between">
      <formula>0.551</formula>
      <formula>0.75</formula>
    </cfRule>
    <cfRule type="cellIs" dxfId="203" priority="244" operator="between">
      <formula>0</formula>
      <formula>0.55</formula>
    </cfRule>
  </conditionalFormatting>
  <conditionalFormatting sqref="I96:J96">
    <cfRule type="cellIs" dxfId="202" priority="237" operator="greaterThan">
      <formula>1</formula>
    </cfRule>
    <cfRule type="cellIs" dxfId="201" priority="238" operator="between">
      <formula>0.751</formula>
      <formula>1</formula>
    </cfRule>
    <cfRule type="cellIs" dxfId="200" priority="239" operator="between">
      <formula>0.551</formula>
      <formula>0.75</formula>
    </cfRule>
    <cfRule type="cellIs" dxfId="199" priority="240" operator="between">
      <formula>0</formula>
      <formula>0.55</formula>
    </cfRule>
  </conditionalFormatting>
  <conditionalFormatting sqref="I104:J104">
    <cfRule type="cellIs" dxfId="198" priority="233" operator="greaterThan">
      <formula>1</formula>
    </cfRule>
    <cfRule type="cellIs" dxfId="197" priority="234" operator="between">
      <formula>0.751</formula>
      <formula>1</formula>
    </cfRule>
    <cfRule type="cellIs" dxfId="196" priority="235" operator="between">
      <formula>0.551</formula>
      <formula>0.75</formula>
    </cfRule>
    <cfRule type="cellIs" dxfId="195" priority="236" operator="between">
      <formula>0</formula>
      <formula>0.55</formula>
    </cfRule>
  </conditionalFormatting>
  <conditionalFormatting sqref="I110:J110">
    <cfRule type="cellIs" dxfId="194" priority="229" operator="greaterThan">
      <formula>1</formula>
    </cfRule>
    <cfRule type="cellIs" dxfId="193" priority="230" operator="between">
      <formula>0.751</formula>
      <formula>1</formula>
    </cfRule>
    <cfRule type="cellIs" dxfId="192" priority="231" operator="between">
      <formula>0.551</formula>
      <formula>0.75</formula>
    </cfRule>
    <cfRule type="cellIs" dxfId="191" priority="232" operator="between">
      <formula>0</formula>
      <formula>0.55</formula>
    </cfRule>
  </conditionalFormatting>
  <conditionalFormatting sqref="I119:J119">
    <cfRule type="cellIs" dxfId="190" priority="225" operator="greaterThan">
      <formula>1</formula>
    </cfRule>
    <cfRule type="cellIs" dxfId="189" priority="226" operator="between">
      <formula>0.751</formula>
      <formula>1</formula>
    </cfRule>
    <cfRule type="cellIs" dxfId="188" priority="227" operator="between">
      <formula>0.551</formula>
      <formula>0.75</formula>
    </cfRule>
    <cfRule type="cellIs" dxfId="187" priority="228" operator="between">
      <formula>0</formula>
      <formula>0.55</formula>
    </cfRule>
  </conditionalFormatting>
  <conditionalFormatting sqref="I120:J120">
    <cfRule type="cellIs" dxfId="186" priority="221" operator="greaterThan">
      <formula>1</formula>
    </cfRule>
    <cfRule type="cellIs" dxfId="185" priority="222" operator="between">
      <formula>0.751</formula>
      <formula>1</formula>
    </cfRule>
    <cfRule type="cellIs" dxfId="184" priority="223" operator="between">
      <formula>0.551</formula>
      <formula>0.75</formula>
    </cfRule>
    <cfRule type="cellIs" dxfId="183" priority="224" operator="between">
      <formula>0</formula>
      <formula>0.55</formula>
    </cfRule>
  </conditionalFormatting>
  <conditionalFormatting sqref="J43">
    <cfRule type="cellIs" dxfId="182" priority="217" operator="greaterThan">
      <formula>1</formula>
    </cfRule>
    <cfRule type="cellIs" dxfId="181" priority="218" operator="between">
      <formula>0.751</formula>
      <formula>1</formula>
    </cfRule>
    <cfRule type="cellIs" dxfId="180" priority="219" operator="between">
      <formula>0.551</formula>
      <formula>0.75</formula>
    </cfRule>
    <cfRule type="cellIs" dxfId="179" priority="220" operator="between">
      <formula>0</formula>
      <formula>0.55</formula>
    </cfRule>
  </conditionalFormatting>
  <conditionalFormatting sqref="J64">
    <cfRule type="cellIs" dxfId="178" priority="213" operator="greaterThan">
      <formula>1</formula>
    </cfRule>
    <cfRule type="cellIs" dxfId="177" priority="214" operator="between">
      <formula>0.751</formula>
      <formula>1</formula>
    </cfRule>
    <cfRule type="cellIs" dxfId="176" priority="215" operator="between">
      <formula>0.551</formula>
      <formula>0.75</formula>
    </cfRule>
    <cfRule type="cellIs" dxfId="175" priority="216" operator="between">
      <formula>0</formula>
      <formula>0.55</formula>
    </cfRule>
  </conditionalFormatting>
  <conditionalFormatting sqref="J85">
    <cfRule type="cellIs" dxfId="174" priority="209" operator="greaterThan">
      <formula>1</formula>
    </cfRule>
    <cfRule type="cellIs" dxfId="173" priority="210" operator="between">
      <formula>0.751</formula>
      <formula>1</formula>
    </cfRule>
    <cfRule type="cellIs" dxfId="172" priority="211" operator="between">
      <formula>0.551</formula>
      <formula>0.75</formula>
    </cfRule>
    <cfRule type="cellIs" dxfId="171" priority="212" operator="between">
      <formula>0</formula>
      <formula>0.55</formula>
    </cfRule>
  </conditionalFormatting>
  <conditionalFormatting sqref="J106">
    <cfRule type="cellIs" dxfId="170" priority="205" operator="greaterThan">
      <formula>1</formula>
    </cfRule>
    <cfRule type="cellIs" dxfId="169" priority="206" operator="between">
      <formula>0.751</formula>
      <formula>1</formula>
    </cfRule>
    <cfRule type="cellIs" dxfId="168" priority="207" operator="between">
      <formula>0.551</formula>
      <formula>0.75</formula>
    </cfRule>
    <cfRule type="cellIs" dxfId="167" priority="208" operator="between">
      <formula>0</formula>
      <formula>0.55</formula>
    </cfRule>
  </conditionalFormatting>
  <conditionalFormatting sqref="J121">
    <cfRule type="cellIs" dxfId="166" priority="201" operator="greaterThan">
      <formula>1</formula>
    </cfRule>
    <cfRule type="cellIs" dxfId="165" priority="202" operator="between">
      <formula>0.751</formula>
      <formula>1</formula>
    </cfRule>
    <cfRule type="cellIs" dxfId="164" priority="203" operator="between">
      <formula>0.551</formula>
      <formula>0.75</formula>
    </cfRule>
    <cfRule type="cellIs" dxfId="163" priority="204" operator="between">
      <formula>0</formula>
      <formula>0.55</formula>
    </cfRule>
  </conditionalFormatting>
  <conditionalFormatting sqref="I41:J41">
    <cfRule type="cellIs" dxfId="162" priority="197" operator="greaterThan">
      <formula>1</formula>
    </cfRule>
    <cfRule type="cellIs" dxfId="161" priority="198" operator="between">
      <formula>0.751</formula>
      <formula>1</formula>
    </cfRule>
    <cfRule type="cellIs" dxfId="160" priority="199" operator="between">
      <formula>0.551</formula>
      <formula>0.75</formula>
    </cfRule>
    <cfRule type="cellIs" dxfId="159" priority="200" operator="between">
      <formula>0</formula>
      <formula>0.55</formula>
    </cfRule>
  </conditionalFormatting>
  <conditionalFormatting sqref="I45:J45">
    <cfRule type="cellIs" dxfId="158" priority="193" operator="greaterThan">
      <formula>1</formula>
    </cfRule>
    <cfRule type="cellIs" dxfId="157" priority="194" operator="between">
      <formula>0.751</formula>
      <formula>1</formula>
    </cfRule>
    <cfRule type="cellIs" dxfId="156" priority="195" operator="between">
      <formula>0.551</formula>
      <formula>0.75</formula>
    </cfRule>
    <cfRule type="cellIs" dxfId="155" priority="196" operator="between">
      <formula>0</formula>
      <formula>0.55</formula>
    </cfRule>
  </conditionalFormatting>
  <conditionalFormatting sqref="I46:J46">
    <cfRule type="cellIs" dxfId="154" priority="189" operator="greaterThan">
      <formula>1</formula>
    </cfRule>
    <cfRule type="cellIs" dxfId="153" priority="190" operator="between">
      <formula>0.751</formula>
      <formula>1</formula>
    </cfRule>
    <cfRule type="cellIs" dxfId="152" priority="191" operator="between">
      <formula>0.551</formula>
      <formula>0.75</formula>
    </cfRule>
    <cfRule type="cellIs" dxfId="151" priority="192" operator="between">
      <formula>0</formula>
      <formula>0.55</formula>
    </cfRule>
  </conditionalFormatting>
  <conditionalFormatting sqref="I50:J50">
    <cfRule type="cellIs" dxfId="150" priority="185" operator="greaterThan">
      <formula>1</formula>
    </cfRule>
    <cfRule type="cellIs" dxfId="149" priority="186" operator="between">
      <formula>0.751</formula>
      <formula>1</formula>
    </cfRule>
    <cfRule type="cellIs" dxfId="148" priority="187" operator="between">
      <formula>0.551</formula>
      <formula>0.75</formula>
    </cfRule>
    <cfRule type="cellIs" dxfId="147" priority="188" operator="between">
      <formula>0</formula>
      <formula>0.55</formula>
    </cfRule>
  </conditionalFormatting>
  <conditionalFormatting sqref="I61:J61">
    <cfRule type="cellIs" dxfId="146" priority="181" operator="greaterThan">
      <formula>1</formula>
    </cfRule>
    <cfRule type="cellIs" dxfId="145" priority="182" operator="between">
      <formula>0.751</formula>
      <formula>1</formula>
    </cfRule>
    <cfRule type="cellIs" dxfId="144" priority="183" operator="between">
      <formula>0.551</formula>
      <formula>0.75</formula>
    </cfRule>
    <cfRule type="cellIs" dxfId="143" priority="184" operator="between">
      <formula>0</formula>
      <formula>0.55</formula>
    </cfRule>
  </conditionalFormatting>
  <conditionalFormatting sqref="I65:J65">
    <cfRule type="cellIs" dxfId="142" priority="177" operator="greaterThan">
      <formula>1</formula>
    </cfRule>
    <cfRule type="cellIs" dxfId="141" priority="178" operator="between">
      <formula>0.751</formula>
      <formula>1</formula>
    </cfRule>
    <cfRule type="cellIs" dxfId="140" priority="179" operator="between">
      <formula>0.551</formula>
      <formula>0.75</formula>
    </cfRule>
    <cfRule type="cellIs" dxfId="139" priority="180" operator="between">
      <formula>0</formula>
      <formula>0.55</formula>
    </cfRule>
  </conditionalFormatting>
  <conditionalFormatting sqref="I77:J77">
    <cfRule type="cellIs" dxfId="138" priority="173" operator="greaterThan">
      <formula>1</formula>
    </cfRule>
    <cfRule type="cellIs" dxfId="137" priority="174" operator="between">
      <formula>0.751</formula>
      <formula>1</formula>
    </cfRule>
    <cfRule type="cellIs" dxfId="136" priority="175" operator="between">
      <formula>0.551</formula>
      <formula>0.75</formula>
    </cfRule>
    <cfRule type="cellIs" dxfId="135" priority="176" operator="between">
      <formula>0</formula>
      <formula>0.55</formula>
    </cfRule>
  </conditionalFormatting>
  <conditionalFormatting sqref="I79:J79">
    <cfRule type="cellIs" dxfId="134" priority="169" operator="greaterThan">
      <formula>1</formula>
    </cfRule>
    <cfRule type="cellIs" dxfId="133" priority="170" operator="between">
      <formula>0.751</formula>
      <formula>1</formula>
    </cfRule>
    <cfRule type="cellIs" dxfId="132" priority="171" operator="between">
      <formula>0.551</formula>
      <formula>0.75</formula>
    </cfRule>
    <cfRule type="cellIs" dxfId="131" priority="172" operator="between">
      <formula>0</formula>
      <formula>0.55</formula>
    </cfRule>
  </conditionalFormatting>
  <conditionalFormatting sqref="I80:J80">
    <cfRule type="cellIs" dxfId="130" priority="165" operator="greaterThan">
      <formula>1</formula>
    </cfRule>
    <cfRule type="cellIs" dxfId="129" priority="166" operator="between">
      <formula>0.751</formula>
      <formula>1</formula>
    </cfRule>
    <cfRule type="cellIs" dxfId="128" priority="167" operator="between">
      <formula>0.551</formula>
      <formula>0.75</formula>
    </cfRule>
    <cfRule type="cellIs" dxfId="127" priority="168" operator="between">
      <formula>0</formula>
      <formula>0.55</formula>
    </cfRule>
  </conditionalFormatting>
  <conditionalFormatting sqref="I107:J107">
    <cfRule type="cellIs" dxfId="126" priority="161" operator="greaterThan">
      <formula>1</formula>
    </cfRule>
    <cfRule type="cellIs" dxfId="125" priority="162" operator="between">
      <formula>0.751</formula>
      <formula>1</formula>
    </cfRule>
    <cfRule type="cellIs" dxfId="124" priority="163" operator="between">
      <formula>0.551</formula>
      <formula>0.75</formula>
    </cfRule>
    <cfRule type="cellIs" dxfId="123" priority="164" operator="between">
      <formula>0</formula>
      <formula>0.55</formula>
    </cfRule>
  </conditionalFormatting>
  <conditionalFormatting sqref="I122:J122">
    <cfRule type="cellIs" dxfId="122" priority="157" operator="greaterThan">
      <formula>1</formula>
    </cfRule>
    <cfRule type="cellIs" dxfId="121" priority="158" operator="between">
      <formula>0.751</formula>
      <formula>1</formula>
    </cfRule>
    <cfRule type="cellIs" dxfId="120" priority="159" operator="between">
      <formula>0.551</formula>
      <formula>0.75</formula>
    </cfRule>
    <cfRule type="cellIs" dxfId="119" priority="160" operator="between">
      <formula>0</formula>
      <formula>0.55</formula>
    </cfRule>
  </conditionalFormatting>
  <conditionalFormatting sqref="I40:J40">
    <cfRule type="cellIs" dxfId="118" priority="153" operator="greaterThan">
      <formula>1</formula>
    </cfRule>
    <cfRule type="cellIs" dxfId="117" priority="154" operator="between">
      <formula>0.751</formula>
      <formula>1</formula>
    </cfRule>
    <cfRule type="cellIs" dxfId="116" priority="155" operator="between">
      <formula>0.551</formula>
      <formula>0.75</formula>
    </cfRule>
    <cfRule type="cellIs" dxfId="115" priority="156" operator="between">
      <formula>0</formula>
      <formula>0.55</formula>
    </cfRule>
  </conditionalFormatting>
  <conditionalFormatting sqref="I331:J331">
    <cfRule type="cellIs" dxfId="114" priority="149" operator="greaterThan">
      <formula>1</formula>
    </cfRule>
    <cfRule type="cellIs" dxfId="113" priority="150" operator="between">
      <formula>0.751</formula>
      <formula>1</formula>
    </cfRule>
    <cfRule type="cellIs" dxfId="112" priority="151" operator="between">
      <formula>0.551</formula>
      <formula>0.75</formula>
    </cfRule>
    <cfRule type="cellIs" dxfId="111" priority="152" operator="between">
      <formula>0</formula>
      <formula>0.55</formula>
    </cfRule>
  </conditionalFormatting>
  <conditionalFormatting sqref="I334:J334">
    <cfRule type="cellIs" dxfId="110" priority="141" operator="greaterThan">
      <formula>1</formula>
    </cfRule>
    <cfRule type="cellIs" dxfId="109" priority="142" operator="between">
      <formula>0.751</formula>
      <formula>1</formula>
    </cfRule>
    <cfRule type="cellIs" dxfId="108" priority="143" operator="between">
      <formula>0.551</formula>
      <formula>0.75</formula>
    </cfRule>
    <cfRule type="cellIs" dxfId="107" priority="144" operator="between">
      <formula>0</formula>
      <formula>0.55</formula>
    </cfRule>
  </conditionalFormatting>
  <conditionalFormatting sqref="I337:J337">
    <cfRule type="cellIs" dxfId="106" priority="137" operator="greaterThan">
      <formula>1</formula>
    </cfRule>
    <cfRule type="cellIs" dxfId="105" priority="138" operator="between">
      <formula>0.751</formula>
      <formula>1</formula>
    </cfRule>
    <cfRule type="cellIs" dxfId="104" priority="139" operator="between">
      <formula>0.551</formula>
      <formula>0.75</formula>
    </cfRule>
    <cfRule type="cellIs" dxfId="103" priority="140" operator="between">
      <formula>0</formula>
      <formula>0.55</formula>
    </cfRule>
  </conditionalFormatting>
  <conditionalFormatting sqref="I367:J367">
    <cfRule type="cellIs" dxfId="102" priority="17" operator="greaterThan">
      <formula>1</formula>
    </cfRule>
    <cfRule type="cellIs" dxfId="101" priority="18" operator="between">
      <formula>0.751</formula>
      <formula>1</formula>
    </cfRule>
    <cfRule type="cellIs" dxfId="100" priority="19" operator="between">
      <formula>0.551</formula>
      <formula>0.75</formula>
    </cfRule>
    <cfRule type="cellIs" dxfId="99" priority="20" operator="between">
      <formula>0</formula>
      <formula>0.55</formula>
    </cfRule>
  </conditionalFormatting>
  <conditionalFormatting sqref="I371:J371">
    <cfRule type="cellIs" dxfId="98" priority="93" operator="greaterThan">
      <formula>1</formula>
    </cfRule>
    <cfRule type="cellIs" dxfId="97" priority="94" operator="between">
      <formula>0.751</formula>
      <formula>1</formula>
    </cfRule>
    <cfRule type="cellIs" dxfId="96" priority="95" operator="between">
      <formula>0.551</formula>
      <formula>0.75</formula>
    </cfRule>
    <cfRule type="cellIs" dxfId="95" priority="96" operator="between">
      <formula>0</formula>
      <formula>0.55</formula>
    </cfRule>
  </conditionalFormatting>
  <conditionalFormatting sqref="I369:J369">
    <cfRule type="cellIs" dxfId="94" priority="97" operator="greaterThan">
      <formula>1</formula>
    </cfRule>
    <cfRule type="cellIs" dxfId="93" priority="98" operator="between">
      <formula>0.751</formula>
      <formula>1</formula>
    </cfRule>
    <cfRule type="cellIs" dxfId="92" priority="99" operator="between">
      <formula>0.551</formula>
      <formula>0.75</formula>
    </cfRule>
    <cfRule type="cellIs" dxfId="91" priority="100" operator="between">
      <formula>0</formula>
      <formula>0.55</formula>
    </cfRule>
  </conditionalFormatting>
  <conditionalFormatting sqref="I374:J374">
    <cfRule type="cellIs" dxfId="90" priority="89" operator="greaterThan">
      <formula>1</formula>
    </cfRule>
    <cfRule type="cellIs" dxfId="89" priority="90" operator="between">
      <formula>0.751</formula>
      <formula>1</formula>
    </cfRule>
    <cfRule type="cellIs" dxfId="88" priority="91" operator="between">
      <formula>0.551</formula>
      <formula>0.75</formula>
    </cfRule>
    <cfRule type="cellIs" dxfId="87" priority="92" operator="between">
      <formula>0</formula>
      <formula>0.55</formula>
    </cfRule>
  </conditionalFormatting>
  <conditionalFormatting sqref="I377:J377">
    <cfRule type="cellIs" dxfId="86" priority="85" operator="greaterThan">
      <formula>1</formula>
    </cfRule>
    <cfRule type="cellIs" dxfId="85" priority="86" operator="between">
      <formula>0.751</formula>
      <formula>1</formula>
    </cfRule>
    <cfRule type="cellIs" dxfId="84" priority="87" operator="between">
      <formula>0.551</formula>
      <formula>0.75</formula>
    </cfRule>
    <cfRule type="cellIs" dxfId="83" priority="88" operator="between">
      <formula>0</formula>
      <formula>0.55</formula>
    </cfRule>
  </conditionalFormatting>
  <conditionalFormatting sqref="I378:J378">
    <cfRule type="cellIs" dxfId="82" priority="81" operator="greaterThan">
      <formula>1</formula>
    </cfRule>
    <cfRule type="cellIs" dxfId="81" priority="82" operator="between">
      <formula>0.751</formula>
      <formula>1</formula>
    </cfRule>
    <cfRule type="cellIs" dxfId="80" priority="83" operator="between">
      <formula>0.551</formula>
      <formula>0.75</formula>
    </cfRule>
    <cfRule type="cellIs" dxfId="79" priority="84" operator="between">
      <formula>0</formula>
      <formula>0.55</formula>
    </cfRule>
  </conditionalFormatting>
  <conditionalFormatting sqref="I379:J379">
    <cfRule type="cellIs" dxfId="78" priority="77" operator="greaterThan">
      <formula>1</formula>
    </cfRule>
    <cfRule type="cellIs" dxfId="77" priority="78" operator="between">
      <formula>0.751</formula>
      <formula>1</formula>
    </cfRule>
    <cfRule type="cellIs" dxfId="76" priority="79" operator="between">
      <formula>0.551</formula>
      <formula>0.75</formula>
    </cfRule>
    <cfRule type="cellIs" dxfId="75" priority="80" operator="between">
      <formula>0</formula>
      <formula>0.55</formula>
    </cfRule>
  </conditionalFormatting>
  <conditionalFormatting sqref="I380:J380">
    <cfRule type="cellIs" dxfId="74" priority="73" operator="greaterThan">
      <formula>1</formula>
    </cfRule>
    <cfRule type="cellIs" dxfId="73" priority="74" operator="between">
      <formula>0.751</formula>
      <formula>1</formula>
    </cfRule>
    <cfRule type="cellIs" dxfId="72" priority="75" operator="between">
      <formula>0.551</formula>
      <formula>0.75</formula>
    </cfRule>
    <cfRule type="cellIs" dxfId="71" priority="76" operator="between">
      <formula>0</formula>
      <formula>0.55</formula>
    </cfRule>
  </conditionalFormatting>
  <conditionalFormatting sqref="I381:J381">
    <cfRule type="cellIs" dxfId="70" priority="69" operator="greaterThan">
      <formula>1</formula>
    </cfRule>
    <cfRule type="cellIs" dxfId="69" priority="70" operator="between">
      <formula>0.751</formula>
      <formula>1</formula>
    </cfRule>
    <cfRule type="cellIs" dxfId="68" priority="71" operator="between">
      <formula>0.551</formula>
      <formula>0.75</formula>
    </cfRule>
    <cfRule type="cellIs" dxfId="67" priority="72" operator="between">
      <formula>0</formula>
      <formula>0.55</formula>
    </cfRule>
  </conditionalFormatting>
  <conditionalFormatting sqref="I382:J382">
    <cfRule type="cellIs" dxfId="66" priority="65" operator="greaterThan">
      <formula>1</formula>
    </cfRule>
    <cfRule type="cellIs" dxfId="65" priority="66" operator="between">
      <formula>0.751</formula>
      <formula>1</formula>
    </cfRule>
    <cfRule type="cellIs" dxfId="64" priority="67" operator="between">
      <formula>0.551</formula>
      <formula>0.75</formula>
    </cfRule>
    <cfRule type="cellIs" dxfId="63" priority="68" operator="between">
      <formula>0</formula>
      <formula>0.55</formula>
    </cfRule>
  </conditionalFormatting>
  <conditionalFormatting sqref="I383:J383">
    <cfRule type="cellIs" dxfId="62" priority="61" operator="greaterThan">
      <formula>1</formula>
    </cfRule>
    <cfRule type="cellIs" dxfId="61" priority="62" operator="between">
      <formula>0.751</formula>
      <formula>1</formula>
    </cfRule>
    <cfRule type="cellIs" dxfId="60" priority="63" operator="between">
      <formula>0.551</formula>
      <formula>0.75</formula>
    </cfRule>
    <cfRule type="cellIs" dxfId="59" priority="64" operator="between">
      <formula>0</formula>
      <formula>0.55</formula>
    </cfRule>
  </conditionalFormatting>
  <conditionalFormatting sqref="I384:J384">
    <cfRule type="cellIs" dxfId="58" priority="57" operator="greaterThan">
      <formula>1</formula>
    </cfRule>
    <cfRule type="cellIs" dxfId="57" priority="58" operator="between">
      <formula>0.751</formula>
      <formula>1</formula>
    </cfRule>
    <cfRule type="cellIs" dxfId="56" priority="59" operator="between">
      <formula>0.551</formula>
      <formula>0.75</formula>
    </cfRule>
    <cfRule type="cellIs" dxfId="55" priority="60" operator="between">
      <formula>0</formula>
      <formula>0.55</formula>
    </cfRule>
  </conditionalFormatting>
  <conditionalFormatting sqref="I385:J385 I385:I389">
    <cfRule type="cellIs" dxfId="54" priority="53" operator="greaterThan">
      <formula>1</formula>
    </cfRule>
    <cfRule type="cellIs" dxfId="53" priority="54" operator="between">
      <formula>0.751</formula>
      <formula>1</formula>
    </cfRule>
    <cfRule type="cellIs" dxfId="52" priority="55" operator="between">
      <formula>0.551</formula>
      <formula>0.75</formula>
    </cfRule>
    <cfRule type="cellIs" dxfId="51" priority="56" operator="between">
      <formula>0</formula>
      <formula>0.55</formula>
    </cfRule>
  </conditionalFormatting>
  <conditionalFormatting sqref="I339:J339">
    <cfRule type="cellIs" dxfId="50" priority="49" operator="greaterThan">
      <formula>1</formula>
    </cfRule>
    <cfRule type="cellIs" dxfId="49" priority="50" operator="between">
      <formula>0.751</formula>
      <formula>1</formula>
    </cfRule>
    <cfRule type="cellIs" dxfId="48" priority="51" operator="between">
      <formula>0.551</formula>
      <formula>0.75</formula>
    </cfRule>
    <cfRule type="cellIs" dxfId="47" priority="52" operator="between">
      <formula>0</formula>
      <formula>0.55</formula>
    </cfRule>
  </conditionalFormatting>
  <conditionalFormatting sqref="I340:J340">
    <cfRule type="cellIs" dxfId="46" priority="45" operator="greaterThan">
      <formula>1</formula>
    </cfRule>
    <cfRule type="cellIs" dxfId="45" priority="46" operator="between">
      <formula>0.751</formula>
      <formula>1</formula>
    </cfRule>
    <cfRule type="cellIs" dxfId="44" priority="47" operator="between">
      <formula>0.551</formula>
      <formula>0.75</formula>
    </cfRule>
    <cfRule type="cellIs" dxfId="43" priority="48" operator="between">
      <formula>0</formula>
      <formula>0.55</formula>
    </cfRule>
  </conditionalFormatting>
  <conditionalFormatting sqref="I358:J358">
    <cfRule type="cellIs" dxfId="42" priority="41" operator="greaterThan">
      <formula>1</formula>
    </cfRule>
    <cfRule type="cellIs" dxfId="41" priority="42" operator="between">
      <formula>0.751</formula>
      <formula>1</formula>
    </cfRule>
    <cfRule type="cellIs" dxfId="40" priority="43" operator="between">
      <formula>0.551</formula>
      <formula>0.75</formula>
    </cfRule>
    <cfRule type="cellIs" dxfId="39" priority="44" operator="between">
      <formula>0</formula>
      <formula>0.55</formula>
    </cfRule>
  </conditionalFormatting>
  <conditionalFormatting sqref="I360:J360">
    <cfRule type="cellIs" dxfId="38" priority="33" operator="greaterThan">
      <formula>1</formula>
    </cfRule>
    <cfRule type="cellIs" dxfId="37" priority="34" operator="between">
      <formula>0.751</formula>
      <formula>1</formula>
    </cfRule>
    <cfRule type="cellIs" dxfId="36" priority="35" operator="between">
      <formula>0.551</formula>
      <formula>0.75</formula>
    </cfRule>
    <cfRule type="cellIs" dxfId="35" priority="36" operator="between">
      <formula>0</formula>
      <formula>0.55</formula>
    </cfRule>
  </conditionalFormatting>
  <conditionalFormatting sqref="I363:J363">
    <cfRule type="cellIs" dxfId="34" priority="29" operator="greaterThan">
      <formula>1</formula>
    </cfRule>
    <cfRule type="cellIs" dxfId="33" priority="30" operator="between">
      <formula>0.751</formula>
      <formula>1</formula>
    </cfRule>
    <cfRule type="cellIs" dxfId="32" priority="31" operator="between">
      <formula>0.551</formula>
      <formula>0.75</formula>
    </cfRule>
    <cfRule type="cellIs" dxfId="31" priority="32" operator="between">
      <formula>0</formula>
      <formula>0.55</formula>
    </cfRule>
  </conditionalFormatting>
  <conditionalFormatting sqref="I364:J364">
    <cfRule type="cellIs" dxfId="30" priority="25" operator="greaterThan">
      <formula>1</formula>
    </cfRule>
    <cfRule type="cellIs" dxfId="29" priority="26" operator="between">
      <formula>0.751</formula>
      <formula>1</formula>
    </cfRule>
    <cfRule type="cellIs" dxfId="28" priority="27" operator="between">
      <formula>0.551</formula>
      <formula>0.75</formula>
    </cfRule>
    <cfRule type="cellIs" dxfId="27" priority="28" operator="between">
      <formula>0</formula>
      <formula>0.55</formula>
    </cfRule>
  </conditionalFormatting>
  <conditionalFormatting sqref="I365:J365">
    <cfRule type="cellIs" dxfId="26" priority="21" operator="greaterThan">
      <formula>1</formula>
    </cfRule>
    <cfRule type="cellIs" dxfId="25" priority="22" operator="between">
      <formula>0.751</formula>
      <formula>1</formula>
    </cfRule>
    <cfRule type="cellIs" dxfId="24" priority="23" operator="between">
      <formula>0.551</formula>
      <formula>0.75</formula>
    </cfRule>
    <cfRule type="cellIs" dxfId="23" priority="24" operator="between">
      <formula>0</formula>
      <formula>0.55</formula>
    </cfRule>
  </conditionalFormatting>
  <conditionalFormatting sqref="I375:J376">
    <cfRule type="cellIs" dxfId="22" priority="13" operator="greaterThan">
      <formula>1</formula>
    </cfRule>
    <cfRule type="cellIs" dxfId="21" priority="14" operator="between">
      <formula>0.751</formula>
      <formula>1</formula>
    </cfRule>
    <cfRule type="cellIs" dxfId="20" priority="15" operator="between">
      <formula>0.551</formula>
      <formula>0.75</formula>
    </cfRule>
    <cfRule type="cellIs" dxfId="19" priority="16" operator="between">
      <formula>0</formula>
      <formula>0.55</formula>
    </cfRule>
  </conditionalFormatting>
  <conditionalFormatting sqref="I390:J394 I396:J399 I416:J418 I420:J421 I454:J454 I461:J464 I386:I389">
    <cfRule type="cellIs" dxfId="18" priority="9" operator="greaterThan">
      <formula>1</formula>
    </cfRule>
    <cfRule type="cellIs" dxfId="17" priority="10" operator="between">
      <formula>0.751</formula>
      <formula>1</formula>
    </cfRule>
    <cfRule type="cellIs" dxfId="16" priority="11" operator="between">
      <formula>0.551</formula>
      <formula>0.75</formula>
    </cfRule>
    <cfRule type="cellIs" dxfId="15" priority="12" operator="between">
      <formula>0</formula>
      <formula>0.55</formula>
    </cfRule>
  </conditionalFormatting>
  <conditionalFormatting sqref="I455:I460 I422:I453 I419 I400:I415 I395">
    <cfRule type="cellIs" dxfId="14" priority="5" operator="greaterThan">
      <formula>1</formula>
    </cfRule>
    <cfRule type="cellIs" dxfId="13" priority="6" operator="between">
      <formula>0.751</formula>
      <formula>1</formula>
    </cfRule>
    <cfRule type="cellIs" dxfId="12" priority="7" operator="between">
      <formula>0.551</formula>
      <formula>0.75</formula>
    </cfRule>
    <cfRule type="cellIs" dxfId="11" priority="8" operator="between">
      <formula>0</formula>
      <formula>0.55</formula>
    </cfRule>
  </conditionalFormatting>
  <conditionalFormatting sqref="J455:J460 J422:J453 J419 J400:J415 J395 J386:J389">
    <cfRule type="cellIs" dxfId="10" priority="1" operator="greaterThan">
      <formula>1</formula>
    </cfRule>
    <cfRule type="cellIs" dxfId="9" priority="2" operator="between">
      <formula>0.751</formula>
      <formula>1</formula>
    </cfRule>
    <cfRule type="cellIs" dxfId="8" priority="3" operator="between">
      <formula>0.551</formula>
      <formula>0.75</formula>
    </cfRule>
    <cfRule type="cellIs" dxfId="7" priority="4" operator="between">
      <formula>0</formula>
      <formula>0.55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[1]Hoja3!#REF!</xm:f>
          </x14:formula1>
          <xm:sqref>B233:B306 B2:B3 B145:B224 B123:B143</xm:sqref>
        </x14:dataValidation>
        <x14:dataValidation type="list" allowBlank="1" showInputMessage="1" showErrorMessage="1">
          <x14:formula1>
            <xm:f>[2]Hoja3!#REF!</xm:f>
          </x14:formula1>
          <xm:sqref>B318:B328 B307:B315</xm:sqref>
        </x14:dataValidation>
        <x14:dataValidation type="list" allowBlank="1" showInputMessage="1" showErrorMessage="1">
          <x14:formula1>
            <xm:f>Hoja3!$B$3:$B$27</xm:f>
          </x14:formula1>
          <xm:sqref>B329 B465:B675</xm:sqref>
        </x14:dataValidation>
        <x14:dataValidation type="list" allowBlank="1" showInputMessage="1" showErrorMessage="1">
          <x14:formula1>
            <xm:f>[3]Hoja3!#REF!</xm:f>
          </x14:formula1>
          <xm:sqref>B144 B375:B376 B4:B122</xm:sqref>
        </x14:dataValidation>
        <x14:dataValidation type="list" allowBlank="1" showInputMessage="1" showErrorMessage="1">
          <x14:formula1>
            <xm:f>[4]Hoja3!#REF!</xm:f>
          </x14:formula1>
          <xm:sqref>B330:B374 B377:B385 B461:B464</xm:sqref>
        </x14:dataValidation>
        <x14:dataValidation type="list" allowBlank="1" showInputMessage="1" showErrorMessage="1">
          <x14:formula1>
            <xm:f>[5]Hoja3!#REF!</xm:f>
          </x14:formula1>
          <xm:sqref>B386:B460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5"/>
  <sheetViews>
    <sheetView zoomScaleNormal="100" workbookViewId="0">
      <pane xSplit="3" ySplit="2" topLeftCell="H8" activePane="bottomRight" state="frozen"/>
      <selection pane="topRight" activeCell="D1" sqref="D1"/>
      <selection pane="bottomLeft" activeCell="A3" sqref="A3"/>
      <selection pane="bottomRight" activeCell="O23" sqref="O23"/>
    </sheetView>
  </sheetViews>
  <sheetFormatPr baseColWidth="10" defaultRowHeight="15" x14ac:dyDescent="0.25"/>
  <cols>
    <col min="1" max="1" width="22.5703125" style="5" customWidth="1"/>
    <col min="2" max="2" width="18" style="5" customWidth="1"/>
    <col min="3" max="3" width="16.85546875" style="5" bestFit="1" customWidth="1"/>
    <col min="4" max="4" width="18.140625" style="5" bestFit="1" customWidth="1"/>
    <col min="5" max="5" width="18.7109375" style="5" bestFit="1" customWidth="1"/>
    <col min="6" max="7" width="20.7109375" style="5" customWidth="1"/>
    <col min="8" max="8" width="11.42578125" style="5"/>
    <col min="9" max="9" width="9.140625" style="5" customWidth="1"/>
    <col min="10" max="10" width="11" style="91" customWidth="1"/>
    <col min="11" max="11" width="10.42578125" style="91" customWidth="1"/>
    <col min="12" max="12" width="7.85546875" style="91" customWidth="1"/>
    <col min="13" max="13" width="11.42578125" style="91"/>
    <col min="14" max="14" width="15.5703125" style="91" bestFit="1" customWidth="1"/>
    <col min="15" max="15" width="15" style="91" customWidth="1"/>
    <col min="16" max="16" width="13.140625" style="91" customWidth="1"/>
    <col min="17" max="17" width="12.85546875" style="91" bestFit="1" customWidth="1"/>
    <col min="18" max="18" width="12.42578125" style="91" bestFit="1" customWidth="1"/>
    <col min="19" max="24" width="11.42578125" style="91"/>
    <col min="25" max="25" width="14" style="91" bestFit="1" customWidth="1"/>
    <col min="26" max="16384" width="11.42578125" style="91"/>
  </cols>
  <sheetData>
    <row r="1" spans="1:25" ht="20.25" customHeight="1" x14ac:dyDescent="0.35">
      <c r="A1" s="139" t="s">
        <v>119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24"/>
      <c r="S1" s="134" t="s">
        <v>120</v>
      </c>
      <c r="T1" s="134"/>
      <c r="U1" s="134"/>
      <c r="V1" s="134"/>
      <c r="W1" s="134"/>
      <c r="X1" s="134"/>
      <c r="Y1" s="134"/>
    </row>
    <row r="2" spans="1:25" ht="28.5" customHeight="1" x14ac:dyDescent="0.25">
      <c r="A2" s="25" t="s">
        <v>1</v>
      </c>
      <c r="B2" s="25" t="s">
        <v>121</v>
      </c>
      <c r="C2" s="26" t="s">
        <v>2</v>
      </c>
      <c r="D2" s="27" t="s">
        <v>122</v>
      </c>
      <c r="E2" s="27" t="s">
        <v>123</v>
      </c>
      <c r="F2" s="27" t="s">
        <v>124</v>
      </c>
      <c r="G2" s="28" t="s">
        <v>125</v>
      </c>
      <c r="H2" s="25" t="s">
        <v>126</v>
      </c>
      <c r="I2" s="25" t="s">
        <v>127</v>
      </c>
      <c r="J2" s="27" t="s">
        <v>128</v>
      </c>
      <c r="K2" s="26" t="s">
        <v>129</v>
      </c>
      <c r="L2" s="25" t="s">
        <v>130</v>
      </c>
      <c r="M2" s="27" t="s">
        <v>131</v>
      </c>
      <c r="N2" s="25" t="s">
        <v>132</v>
      </c>
      <c r="O2" s="29" t="s">
        <v>133</v>
      </c>
      <c r="P2" s="25" t="s">
        <v>134</v>
      </c>
      <c r="Q2" s="27" t="s">
        <v>135</v>
      </c>
      <c r="R2" s="30"/>
      <c r="S2" s="31" t="s">
        <v>136</v>
      </c>
      <c r="T2" s="31" t="s">
        <v>137</v>
      </c>
      <c r="U2" s="31" t="s">
        <v>138</v>
      </c>
      <c r="V2" s="31" t="s">
        <v>139</v>
      </c>
      <c r="W2" s="32" t="s">
        <v>140</v>
      </c>
      <c r="X2" s="33" t="s">
        <v>141</v>
      </c>
      <c r="Y2" s="33" t="s">
        <v>142</v>
      </c>
    </row>
    <row r="3" spans="1:25" x14ac:dyDescent="0.25">
      <c r="A3" s="34" t="s">
        <v>143</v>
      </c>
      <c r="B3" s="34" t="s">
        <v>93</v>
      </c>
      <c r="C3" s="11" t="s">
        <v>84</v>
      </c>
      <c r="D3" s="35"/>
      <c r="E3" s="36">
        <v>640</v>
      </c>
      <c r="F3" s="37">
        <f>AVERAGE(D3:E3)</f>
        <v>640</v>
      </c>
      <c r="G3" s="38">
        <v>650</v>
      </c>
      <c r="H3" s="39">
        <f>+G3/10</f>
        <v>65</v>
      </c>
      <c r="I3" s="39">
        <v>10</v>
      </c>
      <c r="J3" s="37">
        <f>+H3*I3</f>
        <v>650</v>
      </c>
      <c r="K3" s="40">
        <f>+J3/1000</f>
        <v>0.65</v>
      </c>
      <c r="L3" s="34">
        <v>20</v>
      </c>
      <c r="M3" s="37">
        <f>+J3*L3</f>
        <v>13000</v>
      </c>
      <c r="N3" s="41">
        <v>153.38</v>
      </c>
      <c r="O3" s="42">
        <f>+N3/M3</f>
        <v>1.1798461538461539E-2</v>
      </c>
      <c r="P3" s="43">
        <f t="shared" ref="P3:P22" si="0">+O3*1000</f>
        <v>11.798461538461538</v>
      </c>
      <c r="Q3" s="44" t="s">
        <v>144</v>
      </c>
      <c r="R3" s="30"/>
      <c r="S3" s="45">
        <f>+J3</f>
        <v>650</v>
      </c>
      <c r="T3" s="5">
        <v>20</v>
      </c>
      <c r="U3" s="37">
        <f>+S3*T3</f>
        <v>13000</v>
      </c>
      <c r="V3" s="46">
        <f>+O3</f>
        <v>1.1798461538461539E-2</v>
      </c>
      <c r="W3" s="47">
        <f>+U3*V3</f>
        <v>153.38</v>
      </c>
      <c r="X3" s="48">
        <f>+N3</f>
        <v>153.38</v>
      </c>
      <c r="Y3" s="49">
        <f>+W3-X3</f>
        <v>0</v>
      </c>
    </row>
    <row r="4" spans="1:25" x14ac:dyDescent="0.25">
      <c r="A4" s="34" t="s">
        <v>143</v>
      </c>
      <c r="B4" s="34" t="s">
        <v>93</v>
      </c>
      <c r="C4" s="11" t="s">
        <v>85</v>
      </c>
      <c r="D4" s="35"/>
      <c r="E4" s="36">
        <v>1016</v>
      </c>
      <c r="F4" s="37">
        <f t="shared" ref="F4:F22" si="1">AVERAGE(D4:E4)</f>
        <v>1016</v>
      </c>
      <c r="G4" s="38">
        <v>900</v>
      </c>
      <c r="H4" s="39">
        <f t="shared" ref="H4:H26" si="2">+G4/10</f>
        <v>90</v>
      </c>
      <c r="I4" s="39">
        <v>10</v>
      </c>
      <c r="J4" s="37">
        <f t="shared" ref="J4:J24" si="3">+H4*I4</f>
        <v>900</v>
      </c>
      <c r="K4" s="40">
        <f t="shared" ref="K4:K22" si="4">+J4/1000</f>
        <v>0.9</v>
      </c>
      <c r="L4" s="34">
        <v>20</v>
      </c>
      <c r="M4" s="37">
        <f t="shared" ref="M4:M22" si="5">+J4*L4</f>
        <v>18000</v>
      </c>
      <c r="N4" s="41">
        <v>153.38</v>
      </c>
      <c r="O4" s="42">
        <f t="shared" ref="O4:O21" si="6">+N4/M4</f>
        <v>8.5211111111111112E-3</v>
      </c>
      <c r="P4" s="43">
        <f t="shared" si="0"/>
        <v>8.5211111111111109</v>
      </c>
      <c r="Q4" s="44" t="s">
        <v>144</v>
      </c>
      <c r="R4" s="30"/>
      <c r="S4" s="45">
        <v>2000</v>
      </c>
      <c r="T4" s="5">
        <v>20</v>
      </c>
      <c r="U4" s="37">
        <f t="shared" ref="U4:U22" si="7">+S4*T4</f>
        <v>40000</v>
      </c>
      <c r="V4" s="46">
        <f t="shared" ref="V4:V26" si="8">+O4</f>
        <v>8.5211111111111112E-3</v>
      </c>
      <c r="W4" s="47">
        <f t="shared" ref="W4:W25" si="9">+U4*V4</f>
        <v>340.84444444444443</v>
      </c>
      <c r="X4" s="48">
        <f t="shared" ref="X4:X26" si="10">+N4</f>
        <v>153.38</v>
      </c>
      <c r="Y4" s="49">
        <f t="shared" ref="Y4:Y26" si="11">+W4-X4</f>
        <v>187.46444444444444</v>
      </c>
    </row>
    <row r="5" spans="1:25" x14ac:dyDescent="0.25">
      <c r="A5" s="50" t="s">
        <v>143</v>
      </c>
      <c r="B5" s="50" t="s">
        <v>93</v>
      </c>
      <c r="C5" s="14" t="s">
        <v>86</v>
      </c>
      <c r="D5" s="51"/>
      <c r="E5" s="52">
        <v>839</v>
      </c>
      <c r="F5" s="53">
        <f t="shared" si="1"/>
        <v>839</v>
      </c>
      <c r="G5" s="16">
        <v>750</v>
      </c>
      <c r="H5" s="54">
        <f t="shared" si="2"/>
        <v>75</v>
      </c>
      <c r="I5" s="54">
        <v>10</v>
      </c>
      <c r="J5" s="53">
        <f t="shared" si="3"/>
        <v>750</v>
      </c>
      <c r="K5" s="55">
        <f t="shared" si="4"/>
        <v>0.75</v>
      </c>
      <c r="L5" s="50">
        <v>20</v>
      </c>
      <c r="M5" s="53">
        <f t="shared" si="5"/>
        <v>15000</v>
      </c>
      <c r="N5" s="56">
        <v>153.38</v>
      </c>
      <c r="O5" s="57">
        <f t="shared" si="6"/>
        <v>1.0225333333333333E-2</v>
      </c>
      <c r="P5" s="58">
        <f t="shared" si="0"/>
        <v>10.225333333333333</v>
      </c>
      <c r="Q5" s="44" t="s">
        <v>144</v>
      </c>
      <c r="R5" s="30"/>
      <c r="S5" s="45">
        <f t="shared" ref="S5:S22" si="12">+J5</f>
        <v>750</v>
      </c>
      <c r="T5" s="5">
        <v>20</v>
      </c>
      <c r="U5" s="37">
        <f t="shared" si="7"/>
        <v>15000</v>
      </c>
      <c r="V5" s="46">
        <f t="shared" si="8"/>
        <v>1.0225333333333333E-2</v>
      </c>
      <c r="W5" s="47">
        <f t="shared" si="9"/>
        <v>153.38</v>
      </c>
      <c r="X5" s="48">
        <f t="shared" si="10"/>
        <v>153.38</v>
      </c>
      <c r="Y5" s="49">
        <f t="shared" si="11"/>
        <v>0</v>
      </c>
    </row>
    <row r="6" spans="1:25" x14ac:dyDescent="0.25">
      <c r="A6" s="11" t="s">
        <v>145</v>
      </c>
      <c r="B6" s="34" t="s">
        <v>93</v>
      </c>
      <c r="C6" s="11" t="s">
        <v>146</v>
      </c>
      <c r="D6" s="35">
        <v>404</v>
      </c>
      <c r="E6" s="36">
        <v>502.5</v>
      </c>
      <c r="F6" s="37">
        <f t="shared" si="1"/>
        <v>453.25</v>
      </c>
      <c r="G6" s="38">
        <v>450</v>
      </c>
      <c r="H6" s="59">
        <f t="shared" si="2"/>
        <v>45</v>
      </c>
      <c r="I6" s="39">
        <v>10</v>
      </c>
      <c r="J6" s="37">
        <f t="shared" si="3"/>
        <v>450</v>
      </c>
      <c r="K6" s="40">
        <f t="shared" si="4"/>
        <v>0.45</v>
      </c>
      <c r="L6" s="34">
        <v>20</v>
      </c>
      <c r="M6" s="37">
        <f t="shared" si="5"/>
        <v>9000</v>
      </c>
      <c r="N6" s="41">
        <v>102.25</v>
      </c>
      <c r="O6" s="42">
        <f t="shared" si="6"/>
        <v>1.1361111111111112E-2</v>
      </c>
      <c r="P6" s="43">
        <f t="shared" si="0"/>
        <v>11.361111111111112</v>
      </c>
      <c r="Q6" s="44" t="s">
        <v>144</v>
      </c>
      <c r="R6" s="30"/>
      <c r="S6" s="45">
        <f t="shared" si="12"/>
        <v>450</v>
      </c>
      <c r="T6" s="5">
        <v>20</v>
      </c>
      <c r="U6" s="37">
        <f t="shared" si="7"/>
        <v>9000</v>
      </c>
      <c r="V6" s="46">
        <f t="shared" si="8"/>
        <v>1.1361111111111112E-2</v>
      </c>
      <c r="W6" s="47">
        <f t="shared" si="9"/>
        <v>102.25</v>
      </c>
      <c r="X6" s="48">
        <f t="shared" si="10"/>
        <v>102.25</v>
      </c>
      <c r="Y6" s="49">
        <f t="shared" si="11"/>
        <v>0</v>
      </c>
    </row>
    <row r="7" spans="1:25" x14ac:dyDescent="0.25">
      <c r="A7" s="11" t="s">
        <v>145</v>
      </c>
      <c r="B7" s="34" t="s">
        <v>45</v>
      </c>
      <c r="C7" s="11" t="s">
        <v>147</v>
      </c>
      <c r="D7" s="35">
        <v>760</v>
      </c>
      <c r="E7" s="36">
        <v>915</v>
      </c>
      <c r="F7" s="37">
        <f t="shared" si="1"/>
        <v>837.5</v>
      </c>
      <c r="G7" s="38">
        <v>820</v>
      </c>
      <c r="H7" s="39">
        <f t="shared" si="2"/>
        <v>82</v>
      </c>
      <c r="I7" s="39">
        <v>10</v>
      </c>
      <c r="J7" s="37">
        <f t="shared" si="3"/>
        <v>820</v>
      </c>
      <c r="K7" s="40">
        <f t="shared" si="4"/>
        <v>0.82</v>
      </c>
      <c r="L7" s="34">
        <v>20</v>
      </c>
      <c r="M7" s="37">
        <f t="shared" si="5"/>
        <v>16400</v>
      </c>
      <c r="N7" s="41">
        <v>102.25</v>
      </c>
      <c r="O7" s="42">
        <f t="shared" si="6"/>
        <v>6.2347560975609759E-3</v>
      </c>
      <c r="P7" s="43">
        <f t="shared" si="0"/>
        <v>6.2347560975609762</v>
      </c>
      <c r="Q7" s="44" t="s">
        <v>144</v>
      </c>
      <c r="R7" s="30"/>
      <c r="S7" s="45">
        <f t="shared" si="12"/>
        <v>820</v>
      </c>
      <c r="T7" s="5">
        <v>20</v>
      </c>
      <c r="U7" s="37">
        <f t="shared" si="7"/>
        <v>16400</v>
      </c>
      <c r="V7" s="46">
        <f t="shared" si="8"/>
        <v>6.2347560975609759E-3</v>
      </c>
      <c r="W7" s="47">
        <f t="shared" si="9"/>
        <v>102.25</v>
      </c>
      <c r="X7" s="48">
        <f t="shared" si="10"/>
        <v>102.25</v>
      </c>
      <c r="Y7" s="49">
        <f t="shared" si="11"/>
        <v>0</v>
      </c>
    </row>
    <row r="8" spans="1:25" x14ac:dyDescent="0.25">
      <c r="A8" s="11" t="s">
        <v>145</v>
      </c>
      <c r="B8" s="34" t="s">
        <v>45</v>
      </c>
      <c r="C8" s="11" t="s">
        <v>87</v>
      </c>
      <c r="D8" s="35">
        <v>804</v>
      </c>
      <c r="E8" s="36">
        <v>1012</v>
      </c>
      <c r="F8" s="37">
        <f t="shared" si="1"/>
        <v>908</v>
      </c>
      <c r="G8" s="38">
        <v>920</v>
      </c>
      <c r="H8" s="39">
        <f t="shared" si="2"/>
        <v>92</v>
      </c>
      <c r="I8" s="39">
        <v>10</v>
      </c>
      <c r="J8" s="37">
        <f t="shared" si="3"/>
        <v>920</v>
      </c>
      <c r="K8" s="40">
        <f t="shared" si="4"/>
        <v>0.92</v>
      </c>
      <c r="L8" s="34">
        <v>20</v>
      </c>
      <c r="M8" s="37">
        <f t="shared" si="5"/>
        <v>18400</v>
      </c>
      <c r="N8" s="41">
        <v>102.25</v>
      </c>
      <c r="O8" s="42">
        <f t="shared" si="6"/>
        <v>5.5570652173913045E-3</v>
      </c>
      <c r="P8" s="43">
        <f t="shared" si="0"/>
        <v>5.5570652173913047</v>
      </c>
      <c r="Q8" s="44" t="s">
        <v>144</v>
      </c>
      <c r="R8" s="30"/>
      <c r="S8" s="45">
        <f t="shared" si="12"/>
        <v>920</v>
      </c>
      <c r="T8" s="5">
        <v>20</v>
      </c>
      <c r="U8" s="37">
        <f t="shared" si="7"/>
        <v>18400</v>
      </c>
      <c r="V8" s="46">
        <f t="shared" si="8"/>
        <v>5.5570652173913045E-3</v>
      </c>
      <c r="W8" s="47">
        <f t="shared" si="9"/>
        <v>102.25</v>
      </c>
      <c r="X8" s="48">
        <f t="shared" si="10"/>
        <v>102.25</v>
      </c>
      <c r="Y8" s="49">
        <f t="shared" si="11"/>
        <v>0</v>
      </c>
    </row>
    <row r="9" spans="1:25" x14ac:dyDescent="0.25">
      <c r="A9" s="11" t="s">
        <v>145</v>
      </c>
      <c r="B9" s="60" t="s">
        <v>47</v>
      </c>
      <c r="C9" s="11" t="s">
        <v>147</v>
      </c>
      <c r="D9" s="51">
        <v>400</v>
      </c>
      <c r="E9" s="52">
        <v>593</v>
      </c>
      <c r="F9" s="53">
        <v>550</v>
      </c>
      <c r="G9" s="16">
        <v>550</v>
      </c>
      <c r="H9" s="54">
        <f t="shared" si="2"/>
        <v>55</v>
      </c>
      <c r="I9" s="54">
        <v>10</v>
      </c>
      <c r="J9" s="53">
        <f t="shared" si="3"/>
        <v>550</v>
      </c>
      <c r="K9" s="55">
        <f t="shared" si="4"/>
        <v>0.55000000000000004</v>
      </c>
      <c r="L9" s="50">
        <v>20</v>
      </c>
      <c r="M9" s="53">
        <f t="shared" si="5"/>
        <v>11000</v>
      </c>
      <c r="N9" s="56">
        <v>102.25</v>
      </c>
      <c r="O9" s="57">
        <f t="shared" si="6"/>
        <v>9.295454545454546E-3</v>
      </c>
      <c r="P9" s="58">
        <f t="shared" si="0"/>
        <v>9.2954545454545467</v>
      </c>
      <c r="Q9" s="44" t="s">
        <v>144</v>
      </c>
      <c r="R9" s="30"/>
      <c r="S9" s="45">
        <f t="shared" si="12"/>
        <v>550</v>
      </c>
      <c r="T9" s="5">
        <v>20</v>
      </c>
      <c r="U9" s="37">
        <f t="shared" si="7"/>
        <v>11000</v>
      </c>
      <c r="V9" s="46">
        <f t="shared" si="8"/>
        <v>9.295454545454546E-3</v>
      </c>
      <c r="W9" s="47">
        <f t="shared" si="9"/>
        <v>102.25</v>
      </c>
      <c r="X9" s="48">
        <f t="shared" si="10"/>
        <v>102.25</v>
      </c>
      <c r="Y9" s="49">
        <f t="shared" si="11"/>
        <v>0</v>
      </c>
    </row>
    <row r="10" spans="1:25" x14ac:dyDescent="0.25">
      <c r="A10" s="11" t="s">
        <v>145</v>
      </c>
      <c r="B10" s="60" t="s">
        <v>47</v>
      </c>
      <c r="C10" s="11" t="s">
        <v>178</v>
      </c>
      <c r="D10" s="51">
        <v>419</v>
      </c>
      <c r="E10" s="52">
        <v>568</v>
      </c>
      <c r="F10" s="53">
        <v>450</v>
      </c>
      <c r="G10" s="16">
        <v>450</v>
      </c>
      <c r="H10" s="54">
        <f t="shared" si="2"/>
        <v>45</v>
      </c>
      <c r="I10" s="54">
        <v>10</v>
      </c>
      <c r="J10" s="53">
        <f t="shared" si="3"/>
        <v>450</v>
      </c>
      <c r="K10" s="55">
        <f t="shared" si="4"/>
        <v>0.45</v>
      </c>
      <c r="L10" s="50">
        <v>20</v>
      </c>
      <c r="M10" s="53">
        <f t="shared" si="5"/>
        <v>9000</v>
      </c>
      <c r="N10" s="56">
        <v>102.25</v>
      </c>
      <c r="O10" s="57">
        <f t="shared" si="6"/>
        <v>1.1361111111111112E-2</v>
      </c>
      <c r="P10" s="58">
        <f t="shared" si="0"/>
        <v>11.361111111111112</v>
      </c>
      <c r="Q10" s="44"/>
      <c r="R10" s="30"/>
      <c r="S10" s="45">
        <f t="shared" si="12"/>
        <v>450</v>
      </c>
      <c r="T10" s="5">
        <v>20</v>
      </c>
      <c r="U10" s="37">
        <f t="shared" si="7"/>
        <v>9000</v>
      </c>
      <c r="V10" s="46">
        <f t="shared" si="8"/>
        <v>1.1361111111111112E-2</v>
      </c>
      <c r="W10" s="47">
        <f t="shared" si="9"/>
        <v>102.25</v>
      </c>
      <c r="X10" s="48">
        <f t="shared" si="10"/>
        <v>102.25</v>
      </c>
      <c r="Y10" s="49">
        <f t="shared" si="11"/>
        <v>0</v>
      </c>
    </row>
    <row r="11" spans="1:25" x14ac:dyDescent="0.25">
      <c r="A11" s="11" t="s">
        <v>145</v>
      </c>
      <c r="B11" s="60" t="s">
        <v>47</v>
      </c>
      <c r="C11" s="11" t="s">
        <v>87</v>
      </c>
      <c r="D11" s="51">
        <v>616</v>
      </c>
      <c r="E11" s="52">
        <v>878.5</v>
      </c>
      <c r="F11" s="53">
        <f t="shared" si="1"/>
        <v>747.25</v>
      </c>
      <c r="G11" s="16">
        <v>800</v>
      </c>
      <c r="H11" s="54">
        <f t="shared" si="2"/>
        <v>80</v>
      </c>
      <c r="I11" s="54">
        <v>10</v>
      </c>
      <c r="J11" s="53">
        <f t="shared" si="3"/>
        <v>800</v>
      </c>
      <c r="K11" s="55">
        <f t="shared" si="4"/>
        <v>0.8</v>
      </c>
      <c r="L11" s="50">
        <v>20</v>
      </c>
      <c r="M11" s="53">
        <f t="shared" si="5"/>
        <v>16000</v>
      </c>
      <c r="N11" s="56">
        <v>102.25</v>
      </c>
      <c r="O11" s="57">
        <f t="shared" si="6"/>
        <v>6.3906249999999996E-3</v>
      </c>
      <c r="P11" s="58">
        <f t="shared" si="0"/>
        <v>6.390625</v>
      </c>
      <c r="Q11" s="44" t="s">
        <v>144</v>
      </c>
      <c r="R11" s="30"/>
      <c r="S11" s="45">
        <f t="shared" si="12"/>
        <v>800</v>
      </c>
      <c r="T11" s="5">
        <v>20</v>
      </c>
      <c r="U11" s="37">
        <f t="shared" si="7"/>
        <v>16000</v>
      </c>
      <c r="V11" s="46">
        <f t="shared" si="8"/>
        <v>6.3906249999999996E-3</v>
      </c>
      <c r="W11" s="47">
        <f t="shared" si="9"/>
        <v>102.25</v>
      </c>
      <c r="X11" s="48">
        <f t="shared" si="10"/>
        <v>102.25</v>
      </c>
      <c r="Y11" s="49">
        <f t="shared" si="11"/>
        <v>0</v>
      </c>
    </row>
    <row r="12" spans="1:25" x14ac:dyDescent="0.25">
      <c r="A12" s="12" t="s">
        <v>148</v>
      </c>
      <c r="B12" s="34" t="s">
        <v>93</v>
      </c>
      <c r="C12" s="12" t="s">
        <v>149</v>
      </c>
      <c r="D12" s="35">
        <v>990.142857142857</v>
      </c>
      <c r="E12" s="36">
        <v>1655</v>
      </c>
      <c r="F12" s="37">
        <f t="shared" si="1"/>
        <v>1322.5714285714284</v>
      </c>
      <c r="G12" s="38">
        <v>1500</v>
      </c>
      <c r="H12" s="59">
        <f t="shared" si="2"/>
        <v>150</v>
      </c>
      <c r="I12" s="39">
        <v>10</v>
      </c>
      <c r="J12" s="37">
        <f t="shared" si="3"/>
        <v>1500</v>
      </c>
      <c r="K12" s="40">
        <f t="shared" si="4"/>
        <v>1.5</v>
      </c>
      <c r="L12" s="34">
        <v>20</v>
      </c>
      <c r="M12" s="37">
        <f t="shared" si="5"/>
        <v>30000</v>
      </c>
      <c r="N12" s="41">
        <v>153.38</v>
      </c>
      <c r="O12" s="42">
        <f t="shared" si="6"/>
        <v>5.1126666666666664E-3</v>
      </c>
      <c r="P12" s="43">
        <f t="shared" si="0"/>
        <v>5.1126666666666667</v>
      </c>
      <c r="Q12" s="44" t="s">
        <v>144</v>
      </c>
      <c r="R12" s="30"/>
      <c r="S12" s="45">
        <f t="shared" si="12"/>
        <v>1500</v>
      </c>
      <c r="T12" s="5">
        <v>20</v>
      </c>
      <c r="U12" s="37">
        <f t="shared" si="7"/>
        <v>30000</v>
      </c>
      <c r="V12" s="46">
        <f t="shared" si="8"/>
        <v>5.1126666666666664E-3</v>
      </c>
      <c r="W12" s="47">
        <f t="shared" si="9"/>
        <v>153.38</v>
      </c>
      <c r="X12" s="48">
        <f t="shared" si="10"/>
        <v>153.38</v>
      </c>
      <c r="Y12" s="49">
        <f t="shared" si="11"/>
        <v>0</v>
      </c>
    </row>
    <row r="13" spans="1:25" x14ac:dyDescent="0.25">
      <c r="A13" s="34" t="s">
        <v>148</v>
      </c>
      <c r="B13" s="34" t="s">
        <v>45</v>
      </c>
      <c r="C13" s="34" t="s">
        <v>150</v>
      </c>
      <c r="D13" s="35">
        <v>5024</v>
      </c>
      <c r="E13" s="36">
        <v>7200</v>
      </c>
      <c r="F13" s="37">
        <f t="shared" si="1"/>
        <v>6112</v>
      </c>
      <c r="G13" s="38">
        <v>7000</v>
      </c>
      <c r="H13" s="39">
        <f t="shared" si="2"/>
        <v>700</v>
      </c>
      <c r="I13" s="39">
        <v>10</v>
      </c>
      <c r="J13" s="37">
        <f t="shared" si="3"/>
        <v>7000</v>
      </c>
      <c r="K13" s="40">
        <f t="shared" si="4"/>
        <v>7</v>
      </c>
      <c r="L13" s="34">
        <v>20</v>
      </c>
      <c r="M13" s="37">
        <f t="shared" si="5"/>
        <v>140000</v>
      </c>
      <c r="N13" s="41">
        <v>153.38</v>
      </c>
      <c r="O13" s="42">
        <f t="shared" si="6"/>
        <v>1.0955714285714286E-3</v>
      </c>
      <c r="P13" s="43">
        <f t="shared" si="0"/>
        <v>1.0955714285714286</v>
      </c>
      <c r="Q13" s="44" t="s">
        <v>144</v>
      </c>
      <c r="R13" s="30"/>
      <c r="S13" s="45">
        <f t="shared" si="12"/>
        <v>7000</v>
      </c>
      <c r="T13" s="5">
        <v>20</v>
      </c>
      <c r="U13" s="37">
        <f t="shared" si="7"/>
        <v>140000</v>
      </c>
      <c r="V13" s="46">
        <f t="shared" si="8"/>
        <v>1.0955714285714286E-3</v>
      </c>
      <c r="W13" s="47">
        <f t="shared" si="9"/>
        <v>153.38</v>
      </c>
      <c r="X13" s="48">
        <f t="shared" si="10"/>
        <v>153.38</v>
      </c>
      <c r="Y13" s="49">
        <f t="shared" si="11"/>
        <v>0</v>
      </c>
    </row>
    <row r="14" spans="1:25" x14ac:dyDescent="0.25">
      <c r="A14" s="50" t="s">
        <v>148</v>
      </c>
      <c r="B14" s="50" t="s">
        <v>47</v>
      </c>
      <c r="C14" s="50" t="s">
        <v>192</v>
      </c>
      <c r="D14" s="51">
        <v>2582</v>
      </c>
      <c r="E14" s="52">
        <v>3152</v>
      </c>
      <c r="F14" s="53">
        <f t="shared" ref="F14" si="13">AVERAGE(D14:E14)</f>
        <v>2867</v>
      </c>
      <c r="G14" s="16">
        <v>700</v>
      </c>
      <c r="H14" s="54">
        <f t="shared" ref="H14:H15" si="14">+G14/10</f>
        <v>70</v>
      </c>
      <c r="I14" s="54">
        <v>10</v>
      </c>
      <c r="J14" s="53">
        <f t="shared" ref="J14" si="15">+H14*I14</f>
        <v>700</v>
      </c>
      <c r="K14" s="55">
        <f t="shared" ref="K14" si="16">+J14/1000</f>
        <v>0.7</v>
      </c>
      <c r="L14" s="50">
        <v>20</v>
      </c>
      <c r="M14" s="53">
        <f t="shared" ref="M14" si="17">+J14*L14</f>
        <v>14000</v>
      </c>
      <c r="N14" s="56">
        <v>153.38</v>
      </c>
      <c r="O14" s="57">
        <f t="shared" ref="O14" si="18">+N14/M14</f>
        <v>1.0955714285714286E-2</v>
      </c>
      <c r="P14" s="58">
        <f t="shared" ref="P14" si="19">+O14*1000</f>
        <v>10.955714285714286</v>
      </c>
      <c r="Q14" s="44" t="s">
        <v>144</v>
      </c>
      <c r="R14" s="30"/>
      <c r="S14" s="45">
        <f t="shared" ref="S14" si="20">+J14</f>
        <v>700</v>
      </c>
      <c r="T14" s="5">
        <v>20</v>
      </c>
      <c r="U14" s="37">
        <f t="shared" ref="U14" si="21">+S14*T14</f>
        <v>14000</v>
      </c>
      <c r="V14" s="46">
        <f t="shared" ref="V14" si="22">+O14</f>
        <v>1.0955714285714286E-2</v>
      </c>
      <c r="W14" s="47">
        <f t="shared" ref="W14" si="23">+U14*V14</f>
        <v>153.38</v>
      </c>
      <c r="X14" s="48">
        <f t="shared" ref="X14" si="24">+N14</f>
        <v>153.38</v>
      </c>
      <c r="Y14" s="49">
        <f t="shared" ref="Y14" si="25">+W14-X14</f>
        <v>0</v>
      </c>
    </row>
    <row r="15" spans="1:25" x14ac:dyDescent="0.25">
      <c r="A15" s="50" t="s">
        <v>33</v>
      </c>
      <c r="B15" s="50" t="s">
        <v>234</v>
      </c>
      <c r="C15" s="50"/>
      <c r="D15" s="51"/>
      <c r="E15" s="52"/>
      <c r="F15" s="53"/>
      <c r="G15" s="16">
        <v>3500</v>
      </c>
      <c r="H15" s="54">
        <f t="shared" si="14"/>
        <v>350</v>
      </c>
      <c r="I15" s="54">
        <v>10</v>
      </c>
      <c r="J15" s="53">
        <f t="shared" ref="J15" si="26">+H15*I15</f>
        <v>3500</v>
      </c>
      <c r="K15" s="55">
        <f t="shared" ref="K15" si="27">+J15/1000</f>
        <v>3.5</v>
      </c>
      <c r="L15" s="50">
        <v>20</v>
      </c>
      <c r="M15" s="53">
        <f t="shared" ref="M15" si="28">+J15*L15</f>
        <v>70000</v>
      </c>
      <c r="N15" s="56">
        <v>153.38</v>
      </c>
      <c r="O15" s="57">
        <f t="shared" ref="O15" si="29">+N15/M15</f>
        <v>2.1911428571428572E-3</v>
      </c>
      <c r="P15" s="58">
        <f t="shared" ref="P15" si="30">+O15*1000</f>
        <v>2.1911428571428573</v>
      </c>
      <c r="Q15" s="44"/>
      <c r="R15" s="30"/>
      <c r="S15" s="45"/>
      <c r="T15" s="5"/>
      <c r="U15" s="37"/>
      <c r="V15" s="46"/>
      <c r="W15" s="47"/>
      <c r="X15" s="48"/>
      <c r="Y15" s="49"/>
    </row>
    <row r="16" spans="1:25" x14ac:dyDescent="0.25">
      <c r="A16" s="50" t="s">
        <v>148</v>
      </c>
      <c r="B16" s="50" t="s">
        <v>47</v>
      </c>
      <c r="C16" s="50" t="s">
        <v>88</v>
      </c>
      <c r="D16" s="51">
        <v>2582</v>
      </c>
      <c r="E16" s="52">
        <v>3152</v>
      </c>
      <c r="F16" s="53">
        <f t="shared" si="1"/>
        <v>2867</v>
      </c>
      <c r="G16" s="16">
        <v>3500</v>
      </c>
      <c r="H16" s="54">
        <f t="shared" si="2"/>
        <v>350</v>
      </c>
      <c r="I16" s="54">
        <v>10</v>
      </c>
      <c r="J16" s="53">
        <f t="shared" si="3"/>
        <v>3500</v>
      </c>
      <c r="K16" s="55">
        <f t="shared" si="4"/>
        <v>3.5</v>
      </c>
      <c r="L16" s="50">
        <v>20</v>
      </c>
      <c r="M16" s="53">
        <f t="shared" si="5"/>
        <v>70000</v>
      </c>
      <c r="N16" s="56">
        <v>153.38</v>
      </c>
      <c r="O16" s="57">
        <f t="shared" si="6"/>
        <v>2.1911428571428572E-3</v>
      </c>
      <c r="P16" s="58">
        <f t="shared" si="0"/>
        <v>2.1911428571428573</v>
      </c>
      <c r="Q16" s="44" t="s">
        <v>144</v>
      </c>
      <c r="R16" s="30"/>
      <c r="S16" s="45">
        <f t="shared" si="12"/>
        <v>3500</v>
      </c>
      <c r="T16" s="5">
        <v>20</v>
      </c>
      <c r="U16" s="37">
        <f t="shared" si="7"/>
        <v>70000</v>
      </c>
      <c r="V16" s="46">
        <f t="shared" si="8"/>
        <v>2.1911428571428572E-3</v>
      </c>
      <c r="W16" s="47">
        <f t="shared" si="9"/>
        <v>153.38</v>
      </c>
      <c r="X16" s="48">
        <f t="shared" si="10"/>
        <v>153.38</v>
      </c>
      <c r="Y16" s="49">
        <f t="shared" si="11"/>
        <v>0</v>
      </c>
    </row>
    <row r="17" spans="1:25" x14ac:dyDescent="0.25">
      <c r="A17" s="13" t="s">
        <v>151</v>
      </c>
      <c r="B17" s="12" t="s">
        <v>93</v>
      </c>
      <c r="C17" s="13" t="s">
        <v>89</v>
      </c>
      <c r="D17" s="61">
        <v>3300</v>
      </c>
      <c r="E17" s="62">
        <v>4050</v>
      </c>
      <c r="F17" s="63">
        <f t="shared" si="1"/>
        <v>3675</v>
      </c>
      <c r="G17" s="17">
        <v>4000</v>
      </c>
      <c r="H17" s="59">
        <f t="shared" si="2"/>
        <v>400</v>
      </c>
      <c r="I17" s="59">
        <v>10</v>
      </c>
      <c r="J17" s="63">
        <f t="shared" si="3"/>
        <v>4000</v>
      </c>
      <c r="K17" s="64">
        <f t="shared" si="4"/>
        <v>4</v>
      </c>
      <c r="L17" s="12">
        <v>20</v>
      </c>
      <c r="M17" s="63">
        <f t="shared" si="5"/>
        <v>80000</v>
      </c>
      <c r="N17" s="65">
        <v>153.38</v>
      </c>
      <c r="O17" s="66">
        <f t="shared" si="6"/>
        <v>1.9172499999999999E-3</v>
      </c>
      <c r="P17" s="67">
        <f t="shared" si="0"/>
        <v>1.9172499999999999</v>
      </c>
      <c r="Q17" s="44" t="s">
        <v>144</v>
      </c>
      <c r="R17" s="30"/>
      <c r="S17" s="45">
        <f t="shared" si="12"/>
        <v>4000</v>
      </c>
      <c r="T17" s="5">
        <v>20</v>
      </c>
      <c r="U17" s="37">
        <f t="shared" si="7"/>
        <v>80000</v>
      </c>
      <c r="V17" s="46">
        <f t="shared" si="8"/>
        <v>1.9172499999999999E-3</v>
      </c>
      <c r="W17" s="47">
        <f t="shared" si="9"/>
        <v>153.38</v>
      </c>
      <c r="X17" s="48">
        <f t="shared" si="10"/>
        <v>153.38</v>
      </c>
      <c r="Y17" s="49">
        <f t="shared" si="11"/>
        <v>0</v>
      </c>
    </row>
    <row r="18" spans="1:25" x14ac:dyDescent="0.25">
      <c r="A18" s="11" t="s">
        <v>151</v>
      </c>
      <c r="B18" s="34" t="s">
        <v>93</v>
      </c>
      <c r="C18" s="11" t="s">
        <v>90</v>
      </c>
      <c r="D18" s="35">
        <v>3425</v>
      </c>
      <c r="E18" s="36">
        <v>3425</v>
      </c>
      <c r="F18" s="37">
        <f t="shared" si="1"/>
        <v>3425</v>
      </c>
      <c r="G18" s="38">
        <v>4000</v>
      </c>
      <c r="H18" s="39">
        <f t="shared" si="2"/>
        <v>400</v>
      </c>
      <c r="I18" s="39">
        <v>10</v>
      </c>
      <c r="J18" s="37">
        <f t="shared" si="3"/>
        <v>4000</v>
      </c>
      <c r="K18" s="40">
        <f t="shared" si="4"/>
        <v>4</v>
      </c>
      <c r="L18" s="34">
        <v>20</v>
      </c>
      <c r="M18" s="37">
        <f t="shared" si="5"/>
        <v>80000</v>
      </c>
      <c r="N18" s="41">
        <v>153.38</v>
      </c>
      <c r="O18" s="42">
        <f t="shared" si="6"/>
        <v>1.9172499999999999E-3</v>
      </c>
      <c r="P18" s="43">
        <f t="shared" si="0"/>
        <v>1.9172499999999999</v>
      </c>
      <c r="Q18" s="44" t="s">
        <v>144</v>
      </c>
      <c r="R18" s="30"/>
      <c r="S18" s="45">
        <f t="shared" si="12"/>
        <v>4000</v>
      </c>
      <c r="T18" s="5">
        <v>20</v>
      </c>
      <c r="U18" s="37">
        <f t="shared" si="7"/>
        <v>80000</v>
      </c>
      <c r="V18" s="46">
        <f t="shared" si="8"/>
        <v>1.9172499999999999E-3</v>
      </c>
      <c r="W18" s="47">
        <f t="shared" si="9"/>
        <v>153.38</v>
      </c>
      <c r="X18" s="48">
        <f t="shared" si="10"/>
        <v>153.38</v>
      </c>
      <c r="Y18" s="49">
        <f t="shared" si="11"/>
        <v>0</v>
      </c>
    </row>
    <row r="19" spans="1:25" x14ac:dyDescent="0.25">
      <c r="A19" s="11" t="s">
        <v>151</v>
      </c>
      <c r="B19" s="34" t="s">
        <v>93</v>
      </c>
      <c r="C19" s="11" t="s">
        <v>91</v>
      </c>
      <c r="D19" s="35">
        <v>3000</v>
      </c>
      <c r="E19" s="36">
        <v>3350</v>
      </c>
      <c r="F19" s="37">
        <f t="shared" si="1"/>
        <v>3175</v>
      </c>
      <c r="G19" s="38">
        <v>4000</v>
      </c>
      <c r="H19" s="39">
        <f t="shared" si="2"/>
        <v>400</v>
      </c>
      <c r="I19" s="39">
        <v>10</v>
      </c>
      <c r="J19" s="37">
        <f t="shared" si="3"/>
        <v>4000</v>
      </c>
      <c r="K19" s="40">
        <f t="shared" si="4"/>
        <v>4</v>
      </c>
      <c r="L19" s="34">
        <v>20</v>
      </c>
      <c r="M19" s="37">
        <f t="shared" si="5"/>
        <v>80000</v>
      </c>
      <c r="N19" s="41">
        <v>153.38</v>
      </c>
      <c r="O19" s="42">
        <f t="shared" si="6"/>
        <v>1.9172499999999999E-3</v>
      </c>
      <c r="P19" s="43">
        <f t="shared" si="0"/>
        <v>1.9172499999999999</v>
      </c>
      <c r="Q19" s="44" t="s">
        <v>144</v>
      </c>
      <c r="R19" s="30"/>
      <c r="S19" s="45">
        <f t="shared" si="12"/>
        <v>4000</v>
      </c>
      <c r="T19" s="5">
        <v>20</v>
      </c>
      <c r="U19" s="37">
        <f t="shared" si="7"/>
        <v>80000</v>
      </c>
      <c r="V19" s="46">
        <f t="shared" si="8"/>
        <v>1.9172499999999999E-3</v>
      </c>
      <c r="W19" s="47">
        <f t="shared" si="9"/>
        <v>153.38</v>
      </c>
      <c r="X19" s="48">
        <f t="shared" si="10"/>
        <v>153.38</v>
      </c>
      <c r="Y19" s="49">
        <f t="shared" si="11"/>
        <v>0</v>
      </c>
    </row>
    <row r="20" spans="1:25" x14ac:dyDescent="0.25">
      <c r="A20" s="11" t="s">
        <v>152</v>
      </c>
      <c r="B20" s="50" t="s">
        <v>45</v>
      </c>
      <c r="C20" s="14" t="s">
        <v>150</v>
      </c>
      <c r="D20" s="35">
        <v>2.5</v>
      </c>
      <c r="E20" s="36"/>
      <c r="F20" s="37"/>
      <c r="G20" s="38">
        <v>2500</v>
      </c>
      <c r="H20" s="39">
        <f t="shared" si="2"/>
        <v>250</v>
      </c>
      <c r="I20" s="39">
        <v>10</v>
      </c>
      <c r="J20" s="37">
        <f t="shared" si="3"/>
        <v>2500</v>
      </c>
      <c r="K20" s="40">
        <f t="shared" si="4"/>
        <v>2.5</v>
      </c>
      <c r="L20" s="34">
        <v>20</v>
      </c>
      <c r="M20" s="37">
        <f t="shared" si="5"/>
        <v>50000</v>
      </c>
      <c r="N20" s="41">
        <v>153.38</v>
      </c>
      <c r="O20" s="42">
        <f>+N20/M20</f>
        <v>3.0675999999999998E-3</v>
      </c>
      <c r="P20" s="43">
        <f t="shared" si="0"/>
        <v>3.0675999999999997</v>
      </c>
      <c r="Q20" s="44" t="s">
        <v>144</v>
      </c>
      <c r="R20" s="30"/>
      <c r="S20" s="45">
        <f t="shared" si="12"/>
        <v>2500</v>
      </c>
      <c r="T20" s="5">
        <v>20</v>
      </c>
      <c r="U20" s="37">
        <f t="shared" si="7"/>
        <v>50000</v>
      </c>
      <c r="V20" s="46">
        <f t="shared" si="8"/>
        <v>3.0675999999999998E-3</v>
      </c>
      <c r="W20" s="47">
        <f t="shared" si="9"/>
        <v>153.38</v>
      </c>
      <c r="X20" s="48">
        <f t="shared" ref="X20" si="31">+N20</f>
        <v>153.38</v>
      </c>
      <c r="Y20" s="49">
        <f t="shared" ref="Y20" si="32">+W20-X20</f>
        <v>0</v>
      </c>
    </row>
    <row r="21" spans="1:25" x14ac:dyDescent="0.25">
      <c r="A21" s="14" t="s">
        <v>151</v>
      </c>
      <c r="B21" s="50" t="s">
        <v>45</v>
      </c>
      <c r="C21" s="14" t="s">
        <v>150</v>
      </c>
      <c r="D21" s="51">
        <v>5728</v>
      </c>
      <c r="E21" s="52">
        <v>6825</v>
      </c>
      <c r="F21" s="53">
        <f t="shared" si="1"/>
        <v>6276.5</v>
      </c>
      <c r="G21" s="16">
        <v>7000</v>
      </c>
      <c r="H21" s="54">
        <f t="shared" si="2"/>
        <v>700</v>
      </c>
      <c r="I21" s="54">
        <v>10</v>
      </c>
      <c r="J21" s="53">
        <f t="shared" si="3"/>
        <v>7000</v>
      </c>
      <c r="K21" s="55">
        <f t="shared" si="4"/>
        <v>7</v>
      </c>
      <c r="L21" s="50">
        <v>20</v>
      </c>
      <c r="M21" s="53">
        <f t="shared" si="5"/>
        <v>140000</v>
      </c>
      <c r="N21" s="56">
        <v>153.38</v>
      </c>
      <c r="O21" s="57">
        <f t="shared" si="6"/>
        <v>1.0955714285714286E-3</v>
      </c>
      <c r="P21" s="58">
        <f t="shared" si="0"/>
        <v>1.0955714285714286</v>
      </c>
      <c r="Q21" s="44" t="s">
        <v>144</v>
      </c>
      <c r="R21" s="30"/>
      <c r="S21" s="45">
        <f t="shared" si="12"/>
        <v>7000</v>
      </c>
      <c r="T21" s="5">
        <v>20</v>
      </c>
      <c r="U21" s="37">
        <f t="shared" si="7"/>
        <v>140000</v>
      </c>
      <c r="V21" s="46">
        <f t="shared" si="8"/>
        <v>1.0955714285714286E-3</v>
      </c>
      <c r="W21" s="47">
        <f t="shared" si="9"/>
        <v>153.38</v>
      </c>
      <c r="X21" s="48">
        <f t="shared" si="10"/>
        <v>153.38</v>
      </c>
      <c r="Y21" s="49">
        <f t="shared" si="11"/>
        <v>0</v>
      </c>
    </row>
    <row r="22" spans="1:25" x14ac:dyDescent="0.25">
      <c r="A22" s="15" t="s">
        <v>153</v>
      </c>
      <c r="B22" s="68"/>
      <c r="C22" s="15"/>
      <c r="D22" s="69">
        <v>5038</v>
      </c>
      <c r="E22" s="70">
        <v>5406</v>
      </c>
      <c r="F22" s="71">
        <f t="shared" si="1"/>
        <v>5222</v>
      </c>
      <c r="G22" s="18">
        <v>5000</v>
      </c>
      <c r="H22" s="72">
        <f t="shared" si="2"/>
        <v>500</v>
      </c>
      <c r="I22" s="72">
        <v>10</v>
      </c>
      <c r="J22" s="71">
        <f t="shared" si="3"/>
        <v>5000</v>
      </c>
      <c r="K22" s="73">
        <f t="shared" si="4"/>
        <v>5</v>
      </c>
      <c r="L22" s="68">
        <v>20</v>
      </c>
      <c r="M22" s="71">
        <f t="shared" si="5"/>
        <v>100000</v>
      </c>
      <c r="N22" s="74">
        <v>102.25</v>
      </c>
      <c r="O22" s="75">
        <f>+N22/M22</f>
        <v>1.0225E-3</v>
      </c>
      <c r="P22" s="58">
        <f t="shared" si="0"/>
        <v>1.0225</v>
      </c>
      <c r="Q22" s="76" t="s">
        <v>144</v>
      </c>
      <c r="R22" s="30"/>
      <c r="S22" s="45">
        <f t="shared" si="12"/>
        <v>5000</v>
      </c>
      <c r="T22" s="5">
        <v>20</v>
      </c>
      <c r="U22" s="37">
        <f t="shared" si="7"/>
        <v>100000</v>
      </c>
      <c r="V22" s="46">
        <f t="shared" si="8"/>
        <v>1.0225E-3</v>
      </c>
      <c r="W22" s="47">
        <f t="shared" si="9"/>
        <v>102.25</v>
      </c>
      <c r="X22" s="48">
        <f t="shared" si="10"/>
        <v>102.25</v>
      </c>
      <c r="Y22" s="49">
        <f t="shared" si="11"/>
        <v>0</v>
      </c>
    </row>
    <row r="23" spans="1:25" x14ac:dyDescent="0.25">
      <c r="A23" s="15" t="s">
        <v>153</v>
      </c>
      <c r="B23" s="68" t="s">
        <v>234</v>
      </c>
      <c r="C23" s="15"/>
      <c r="D23" s="69"/>
      <c r="E23" s="70"/>
      <c r="F23" s="71"/>
      <c r="G23" s="18">
        <v>3000</v>
      </c>
      <c r="H23" s="72">
        <f t="shared" si="2"/>
        <v>300</v>
      </c>
      <c r="I23" s="72">
        <v>10</v>
      </c>
      <c r="J23" s="71">
        <f t="shared" ref="J23" si="33">+H23*I23</f>
        <v>3000</v>
      </c>
      <c r="K23" s="73">
        <f t="shared" ref="K23" si="34">+J23/1000</f>
        <v>3</v>
      </c>
      <c r="L23" s="68">
        <v>20</v>
      </c>
      <c r="M23" s="71">
        <f t="shared" ref="M23" si="35">+J23*L23</f>
        <v>60000</v>
      </c>
      <c r="N23" s="74">
        <v>102.25</v>
      </c>
      <c r="O23" s="75">
        <f>+N23/M23</f>
        <v>1.7041666666666668E-3</v>
      </c>
      <c r="P23" s="58">
        <f t="shared" ref="P23" si="36">+O23*1000</f>
        <v>1.7041666666666668</v>
      </c>
      <c r="Q23" s="76" t="s">
        <v>144</v>
      </c>
      <c r="R23" s="30"/>
      <c r="S23" s="45"/>
      <c r="T23" s="5"/>
      <c r="U23" s="37"/>
      <c r="V23" s="46"/>
      <c r="W23" s="47"/>
      <c r="X23" s="48"/>
      <c r="Y23" s="49"/>
    </row>
    <row r="24" spans="1:25" x14ac:dyDescent="0.25">
      <c r="A24" s="15" t="s">
        <v>154</v>
      </c>
      <c r="B24" s="68"/>
      <c r="C24" s="15" t="s">
        <v>55</v>
      </c>
      <c r="D24" s="69">
        <v>142</v>
      </c>
      <c r="E24" s="70">
        <v>176</v>
      </c>
      <c r="F24" s="71">
        <f>AVERAGE(D24:E24)</f>
        <v>159</v>
      </c>
      <c r="G24" s="18">
        <v>170</v>
      </c>
      <c r="H24" s="72">
        <f t="shared" si="2"/>
        <v>17</v>
      </c>
      <c r="I24" s="72">
        <v>10</v>
      </c>
      <c r="J24" s="71">
        <f t="shared" si="3"/>
        <v>170</v>
      </c>
      <c r="K24" s="73">
        <f>+J24/1000</f>
        <v>0.17</v>
      </c>
      <c r="L24" s="68">
        <v>20</v>
      </c>
      <c r="M24" s="71">
        <f>+J24*L24</f>
        <v>3400</v>
      </c>
      <c r="N24" s="74">
        <v>102.25</v>
      </c>
      <c r="O24" s="75">
        <f>+N24/M24</f>
        <v>3.0073529411764707E-2</v>
      </c>
      <c r="P24" s="58"/>
      <c r="Q24" s="76" t="s">
        <v>155</v>
      </c>
      <c r="R24" s="30"/>
      <c r="S24" s="45">
        <f>+J24</f>
        <v>170</v>
      </c>
      <c r="T24" s="5">
        <v>20</v>
      </c>
      <c r="U24" s="37">
        <f>+S24*T24</f>
        <v>3400</v>
      </c>
      <c r="V24" s="46">
        <f t="shared" si="8"/>
        <v>3.0073529411764707E-2</v>
      </c>
      <c r="W24" s="47">
        <f t="shared" si="9"/>
        <v>102.25</v>
      </c>
      <c r="X24" s="48">
        <f t="shared" si="10"/>
        <v>102.25</v>
      </c>
      <c r="Y24" s="49">
        <f t="shared" si="11"/>
        <v>0</v>
      </c>
    </row>
    <row r="25" spans="1:25" x14ac:dyDescent="0.25">
      <c r="A25" s="15" t="s">
        <v>82</v>
      </c>
      <c r="B25" s="68"/>
      <c r="C25" s="15" t="s">
        <v>92</v>
      </c>
      <c r="D25" s="69">
        <v>149</v>
      </c>
      <c r="E25" s="70">
        <v>159</v>
      </c>
      <c r="F25" s="71">
        <f>AVERAGE(D25:E25)</f>
        <v>154</v>
      </c>
      <c r="G25" s="18">
        <v>155</v>
      </c>
      <c r="H25" s="72">
        <f t="shared" si="2"/>
        <v>15.5</v>
      </c>
      <c r="I25" s="72">
        <v>10</v>
      </c>
      <c r="J25" s="71">
        <f>+H25*I25</f>
        <v>155</v>
      </c>
      <c r="K25" s="73">
        <f>+J25/1000</f>
        <v>0.155</v>
      </c>
      <c r="L25" s="68">
        <v>20</v>
      </c>
      <c r="M25" s="71">
        <f>+J25*L25</f>
        <v>3100</v>
      </c>
      <c r="N25" s="74">
        <v>102.25</v>
      </c>
      <c r="O25" s="75">
        <f>+N25/M25</f>
        <v>3.2983870967741934E-2</v>
      </c>
      <c r="P25" s="58"/>
      <c r="Q25" s="76" t="s">
        <v>155</v>
      </c>
      <c r="R25" s="30"/>
      <c r="S25" s="45">
        <f>+J25</f>
        <v>155</v>
      </c>
      <c r="T25" s="5">
        <v>20</v>
      </c>
      <c r="U25" s="37">
        <f>+S25*T25</f>
        <v>3100</v>
      </c>
      <c r="V25" s="46">
        <f t="shared" si="8"/>
        <v>3.2983870967741934E-2</v>
      </c>
      <c r="W25" s="47">
        <f t="shared" si="9"/>
        <v>102.25</v>
      </c>
      <c r="X25" s="48">
        <f t="shared" si="10"/>
        <v>102.25</v>
      </c>
      <c r="Y25" s="49">
        <f t="shared" si="11"/>
        <v>0</v>
      </c>
    </row>
    <row r="26" spans="1:25" x14ac:dyDescent="0.25">
      <c r="A26" s="15" t="s">
        <v>83</v>
      </c>
      <c r="B26" s="68"/>
      <c r="C26" s="15" t="s">
        <v>82</v>
      </c>
      <c r="D26" s="69">
        <v>1100</v>
      </c>
      <c r="E26" s="70">
        <v>1700</v>
      </c>
      <c r="F26" s="71">
        <f>AVERAGE(D26:E26)</f>
        <v>1400</v>
      </c>
      <c r="G26" s="18">
        <v>1700</v>
      </c>
      <c r="H26" s="72">
        <f t="shared" si="2"/>
        <v>170</v>
      </c>
      <c r="I26" s="72">
        <v>10</v>
      </c>
      <c r="J26" s="71">
        <f>+H26*I26</f>
        <v>1700</v>
      </c>
      <c r="K26" s="73">
        <f>+J26/1000</f>
        <v>1.7</v>
      </c>
      <c r="L26" s="68">
        <v>20</v>
      </c>
      <c r="M26" s="71">
        <f>+J26*L26</f>
        <v>34000</v>
      </c>
      <c r="N26" s="74">
        <v>102.25</v>
      </c>
      <c r="O26" s="75">
        <f>+N26/M26</f>
        <v>3.0073529411764706E-3</v>
      </c>
      <c r="P26" s="58"/>
      <c r="Q26" s="76" t="s">
        <v>155</v>
      </c>
      <c r="R26" s="30"/>
      <c r="S26" s="45">
        <f>+J26</f>
        <v>1700</v>
      </c>
      <c r="T26" s="5">
        <v>20</v>
      </c>
      <c r="U26" s="37">
        <f>+S26*T26</f>
        <v>34000</v>
      </c>
      <c r="V26" s="46">
        <f t="shared" si="8"/>
        <v>3.0073529411764706E-3</v>
      </c>
      <c r="W26" s="47">
        <f>+U26*V26</f>
        <v>102.25</v>
      </c>
      <c r="X26" s="48">
        <f t="shared" si="10"/>
        <v>102.25</v>
      </c>
      <c r="Y26" s="49">
        <f t="shared" si="11"/>
        <v>0</v>
      </c>
    </row>
    <row r="27" spans="1:25" ht="21" customHeight="1" x14ac:dyDescent="0.25">
      <c r="A27" s="15" t="s">
        <v>156</v>
      </c>
      <c r="B27" s="68"/>
      <c r="C27" s="15"/>
      <c r="D27" s="69"/>
      <c r="E27" s="70"/>
      <c r="F27" s="71"/>
      <c r="G27" s="18"/>
      <c r="H27" s="77"/>
      <c r="I27" s="72"/>
      <c r="J27" s="72"/>
      <c r="K27" s="73"/>
      <c r="L27" s="68"/>
      <c r="M27" s="71"/>
      <c r="N27" s="74"/>
      <c r="O27" s="75">
        <v>0.3483</v>
      </c>
      <c r="P27" s="58"/>
      <c r="Q27" s="76" t="s">
        <v>157</v>
      </c>
      <c r="R27" s="30"/>
      <c r="S27" s="31"/>
      <c r="T27" s="31"/>
      <c r="U27" s="31"/>
      <c r="V27" s="31"/>
      <c r="W27" s="32"/>
      <c r="X27" s="33"/>
      <c r="Y27" s="33"/>
    </row>
    <row r="28" spans="1:25" x14ac:dyDescent="0.25">
      <c r="F28" s="78"/>
      <c r="G28" s="78"/>
      <c r="H28" s="78"/>
      <c r="I28" s="78"/>
      <c r="J28" s="78"/>
      <c r="K28" s="79"/>
      <c r="L28" s="5"/>
      <c r="M28" s="78"/>
      <c r="N28" s="80"/>
      <c r="O28" s="81"/>
      <c r="P28" s="82"/>
      <c r="Q28" s="5"/>
      <c r="R28" s="30"/>
      <c r="S28" s="31"/>
      <c r="T28" s="31"/>
      <c r="U28" s="31"/>
      <c r="V28" s="31"/>
      <c r="W28" s="32"/>
      <c r="X28" s="33"/>
      <c r="Y28" s="33"/>
    </row>
    <row r="29" spans="1:25" x14ac:dyDescent="0.25">
      <c r="F29" s="78"/>
      <c r="G29" s="78"/>
      <c r="H29" s="78"/>
      <c r="I29" s="78"/>
      <c r="J29" s="78"/>
      <c r="K29" s="79"/>
      <c r="L29" s="5"/>
      <c r="M29" s="78"/>
      <c r="N29" s="80"/>
      <c r="O29" s="81"/>
      <c r="P29" s="82"/>
      <c r="Q29" s="5"/>
      <c r="R29" s="30"/>
      <c r="S29" s="31"/>
      <c r="T29" s="31"/>
      <c r="U29" s="31"/>
      <c r="V29" s="31"/>
      <c r="W29" s="32"/>
      <c r="X29" s="33"/>
      <c r="Y29" s="33"/>
    </row>
    <row r="30" spans="1:25" x14ac:dyDescent="0.25">
      <c r="F30" s="78"/>
      <c r="G30" s="78"/>
      <c r="H30" s="78"/>
      <c r="I30" s="78"/>
      <c r="J30" s="78"/>
      <c r="K30" s="79"/>
      <c r="L30" s="5"/>
      <c r="M30" s="78"/>
      <c r="N30" s="80"/>
      <c r="O30" s="81"/>
      <c r="P30" s="82"/>
      <c r="Q30" s="5"/>
      <c r="R30" s="30"/>
      <c r="S30" s="31"/>
      <c r="T30" s="31"/>
      <c r="U30" s="31"/>
      <c r="V30" s="31"/>
      <c r="W30" s="32"/>
      <c r="X30" s="33"/>
      <c r="Y30" s="33"/>
    </row>
    <row r="32" spans="1:25" ht="20.25" customHeight="1" x14ac:dyDescent="0.25"/>
    <row r="34" spans="1:19" ht="32.25" customHeight="1" x14ac:dyDescent="0.3">
      <c r="A34" s="140" t="s">
        <v>120</v>
      </c>
      <c r="B34" s="140"/>
      <c r="C34" s="140"/>
      <c r="D34" s="140"/>
      <c r="E34" s="140"/>
      <c r="F34" s="83"/>
      <c r="G34" s="83"/>
      <c r="H34" s="83"/>
      <c r="I34" s="83"/>
      <c r="J34" s="84"/>
      <c r="K34" s="84"/>
      <c r="L34" s="84"/>
    </row>
    <row r="35" spans="1:19" x14ac:dyDescent="0.25">
      <c r="A35" s="85" t="s">
        <v>158</v>
      </c>
      <c r="B35" s="85"/>
      <c r="C35" s="85">
        <v>1</v>
      </c>
      <c r="D35" s="85"/>
      <c r="E35" s="85"/>
      <c r="F35" s="24"/>
      <c r="G35" s="24"/>
      <c r="H35" s="24"/>
      <c r="I35" s="24"/>
      <c r="J35" s="24"/>
    </row>
    <row r="36" spans="1:19" x14ac:dyDescent="0.25">
      <c r="A36" s="86" t="s">
        <v>1</v>
      </c>
      <c r="B36" s="86" t="s">
        <v>159</v>
      </c>
      <c r="C36" s="86" t="s">
        <v>144</v>
      </c>
      <c r="D36" s="86" t="s">
        <v>160</v>
      </c>
      <c r="E36" s="86" t="s">
        <v>161</v>
      </c>
    </row>
    <row r="37" spans="1:19" x14ac:dyDescent="0.25">
      <c r="A37" s="5" t="s">
        <v>29</v>
      </c>
      <c r="B37" s="5">
        <v>2</v>
      </c>
      <c r="C37" s="5">
        <f>+H3*B37</f>
        <v>130</v>
      </c>
      <c r="D37" s="87">
        <f>+O3</f>
        <v>1.1798461538461539E-2</v>
      </c>
      <c r="E37" s="88">
        <f>+D37*C37</f>
        <v>1.5338000000000001</v>
      </c>
    </row>
    <row r="38" spans="1:19" x14ac:dyDescent="0.25">
      <c r="A38" s="5" t="s">
        <v>33</v>
      </c>
      <c r="B38" s="5">
        <v>5</v>
      </c>
      <c r="C38" s="5">
        <f>+H12*B38</f>
        <v>750</v>
      </c>
      <c r="D38" s="87">
        <f>+O12</f>
        <v>5.1126666666666664E-3</v>
      </c>
      <c r="E38" s="88">
        <f>+D38*C38</f>
        <v>3.8344999999999998</v>
      </c>
    </row>
    <row r="39" spans="1:19" x14ac:dyDescent="0.25">
      <c r="A39" s="5" t="s">
        <v>34</v>
      </c>
      <c r="B39" s="5">
        <v>3</v>
      </c>
      <c r="C39" s="5">
        <f>+H21*B39</f>
        <v>2100</v>
      </c>
      <c r="D39" s="87">
        <f>+O21</f>
        <v>1.0955714285714286E-3</v>
      </c>
      <c r="E39" s="88">
        <f>+D39*C39</f>
        <v>2.3007</v>
      </c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88">
        <f>SUM(E37:E39)</f>
        <v>7.6689999999999996</v>
      </c>
    </row>
    <row r="42" spans="1:19" x14ac:dyDescent="0.25">
      <c r="A42" s="91"/>
      <c r="B42" s="91"/>
      <c r="C42" s="91"/>
      <c r="D42" s="91"/>
      <c r="E42" s="91">
        <f>153.38/20</f>
        <v>7.6689999999999996</v>
      </c>
    </row>
    <row r="43" spans="1:19" x14ac:dyDescent="0.25">
      <c r="A43" s="91"/>
      <c r="B43" s="91"/>
      <c r="C43" s="91"/>
      <c r="D43" s="91"/>
      <c r="E43" s="88">
        <f>+E41-E42</f>
        <v>0</v>
      </c>
    </row>
    <row r="44" spans="1:19" s="5" customFormat="1" x14ac:dyDescent="0.25">
      <c r="A44" s="99"/>
      <c r="B44" s="99"/>
      <c r="C44" s="101"/>
      <c r="D44" s="101"/>
      <c r="E44" s="101"/>
      <c r="F44" s="101"/>
      <c r="J44" s="91"/>
      <c r="K44" s="91"/>
      <c r="L44" s="91"/>
      <c r="M44" s="91"/>
      <c r="N44" s="91"/>
      <c r="O44" s="91"/>
      <c r="P44" s="91"/>
      <c r="Q44" s="91"/>
      <c r="R44" s="91"/>
      <c r="S44" s="91"/>
    </row>
    <row r="45" spans="1:19" s="5" customFormat="1" x14ac:dyDescent="0.25">
      <c r="A45" s="99"/>
      <c r="B45" s="99"/>
      <c r="C45" s="98"/>
      <c r="D45" s="98"/>
      <c r="E45" s="98"/>
      <c r="F45" s="98"/>
      <c r="G45" s="98"/>
      <c r="J45" s="91"/>
      <c r="K45" s="91"/>
      <c r="L45" s="91"/>
      <c r="M45" s="91"/>
      <c r="N45" s="91"/>
      <c r="O45" s="91"/>
      <c r="P45" s="91"/>
      <c r="Q45" s="91"/>
      <c r="R45" s="91"/>
      <c r="S45" s="91"/>
    </row>
    <row r="46" spans="1:19" s="5" customFormat="1" x14ac:dyDescent="0.25">
      <c r="A46" s="97"/>
      <c r="B46" s="97"/>
      <c r="C46" s="78"/>
      <c r="D46" s="78"/>
      <c r="E46" s="78"/>
      <c r="F46" s="78"/>
      <c r="G46" s="78"/>
      <c r="J46" s="91"/>
      <c r="K46" s="91"/>
      <c r="L46" s="91"/>
      <c r="M46" s="91"/>
      <c r="N46" s="91"/>
      <c r="O46" s="91"/>
      <c r="P46" s="91"/>
      <c r="Q46" s="91"/>
      <c r="R46" s="91"/>
      <c r="S46" s="91"/>
    </row>
    <row r="47" spans="1:19" s="5" customFormat="1" x14ac:dyDescent="0.25">
      <c r="A47" s="99"/>
      <c r="B47" s="99"/>
      <c r="C47" s="78"/>
      <c r="D47" s="78"/>
      <c r="E47" s="78"/>
      <c r="F47" s="78"/>
      <c r="G47" s="78"/>
      <c r="J47" s="91"/>
      <c r="K47" s="91"/>
      <c r="L47" s="91"/>
      <c r="M47" s="91"/>
      <c r="N47" s="91"/>
      <c r="O47" s="91"/>
      <c r="P47" s="91"/>
      <c r="Q47" s="91"/>
      <c r="R47" s="91"/>
      <c r="S47" s="91"/>
    </row>
    <row r="48" spans="1:19" s="5" customFormat="1" x14ac:dyDescent="0.25">
      <c r="A48" s="97"/>
      <c r="B48" s="97"/>
      <c r="C48" s="78"/>
      <c r="D48" s="78"/>
      <c r="E48" s="78"/>
      <c r="F48" s="78"/>
      <c r="G48" s="78"/>
      <c r="J48" s="91"/>
      <c r="K48" s="91"/>
      <c r="L48" s="91"/>
      <c r="M48" s="91"/>
      <c r="N48" s="91"/>
      <c r="O48" s="91"/>
      <c r="P48" s="91"/>
      <c r="Q48" s="91"/>
      <c r="R48" s="91"/>
      <c r="S48" s="91"/>
    </row>
    <row r="49" spans="1:19" s="5" customFormat="1" x14ac:dyDescent="0.25">
      <c r="A49" s="99"/>
      <c r="B49" s="99"/>
      <c r="C49" s="78"/>
      <c r="D49" s="78"/>
      <c r="E49" s="78"/>
      <c r="F49" s="78"/>
      <c r="G49" s="78"/>
      <c r="J49" s="91"/>
      <c r="K49" s="91"/>
      <c r="L49" s="91"/>
      <c r="M49" s="91"/>
      <c r="N49" s="91"/>
      <c r="O49" s="91"/>
      <c r="P49" s="91"/>
      <c r="Q49" s="91"/>
      <c r="R49" s="91"/>
      <c r="S49" s="91"/>
    </row>
    <row r="50" spans="1:19" s="5" customFormat="1" x14ac:dyDescent="0.25">
      <c r="A50" s="99"/>
      <c r="B50" s="99"/>
      <c r="C50" s="101"/>
      <c r="D50" s="101"/>
      <c r="E50" s="101"/>
      <c r="F50" s="101"/>
      <c r="G50" s="101"/>
      <c r="J50" s="91"/>
      <c r="K50" s="91"/>
      <c r="L50" s="91"/>
      <c r="M50" s="91"/>
      <c r="N50" s="91"/>
      <c r="O50" s="91"/>
      <c r="P50" s="91"/>
      <c r="Q50" s="91"/>
      <c r="R50" s="91"/>
      <c r="S50" s="91"/>
    </row>
    <row r="51" spans="1:19" s="5" customFormat="1" x14ac:dyDescent="0.25">
      <c r="A51" s="97"/>
      <c r="B51" s="97"/>
      <c r="C51" s="78"/>
      <c r="D51" s="78"/>
      <c r="E51" s="78"/>
      <c r="F51" s="78"/>
      <c r="G51" s="78"/>
      <c r="J51" s="91"/>
      <c r="K51" s="91"/>
      <c r="L51" s="91"/>
      <c r="M51" s="91"/>
      <c r="N51" s="91"/>
      <c r="O51" s="91"/>
      <c r="P51" s="91"/>
      <c r="Q51" s="91"/>
      <c r="R51" s="91"/>
      <c r="S51" s="91"/>
    </row>
    <row r="52" spans="1:19" s="5" customFormat="1" x14ac:dyDescent="0.25">
      <c r="A52" s="99"/>
      <c r="B52" s="99"/>
      <c r="C52" s="78"/>
      <c r="D52" s="78"/>
      <c r="E52" s="78"/>
      <c r="F52" s="78"/>
      <c r="G52" s="78"/>
      <c r="J52" s="91"/>
      <c r="K52" s="91"/>
      <c r="L52" s="91"/>
      <c r="M52" s="91"/>
      <c r="N52" s="91"/>
      <c r="O52" s="91"/>
      <c r="P52" s="91"/>
      <c r="Q52" s="91"/>
      <c r="R52" s="91"/>
      <c r="S52" s="91"/>
    </row>
    <row r="53" spans="1:19" s="5" customFormat="1" x14ac:dyDescent="0.25">
      <c r="A53" s="97"/>
      <c r="B53" s="97"/>
      <c r="C53" s="78"/>
      <c r="D53" s="78"/>
      <c r="E53" s="78"/>
      <c r="F53" s="78"/>
      <c r="G53" s="78"/>
      <c r="J53" s="91"/>
      <c r="K53" s="91"/>
      <c r="L53" s="91"/>
      <c r="M53" s="91"/>
      <c r="N53" s="91"/>
      <c r="O53" s="91"/>
      <c r="P53" s="91"/>
      <c r="Q53" s="91"/>
      <c r="R53" s="91"/>
      <c r="S53" s="91"/>
    </row>
    <row r="54" spans="1:19" s="5" customFormat="1" x14ac:dyDescent="0.25">
      <c r="A54" s="99"/>
      <c r="B54" s="99"/>
      <c r="C54" s="101"/>
      <c r="D54" s="101"/>
      <c r="E54" s="101"/>
      <c r="F54" s="101"/>
      <c r="G54" s="101"/>
      <c r="J54" s="91"/>
      <c r="K54" s="91"/>
      <c r="L54" s="91"/>
      <c r="M54" s="91"/>
      <c r="N54" s="91"/>
      <c r="O54" s="91"/>
      <c r="P54" s="91"/>
      <c r="Q54" s="91"/>
      <c r="R54" s="91"/>
      <c r="S54" s="91"/>
    </row>
    <row r="55" spans="1:19" s="5" customFormat="1" x14ac:dyDescent="0.25">
      <c r="A55" s="97"/>
      <c r="B55" s="97"/>
      <c r="C55" s="78"/>
      <c r="D55" s="78"/>
      <c r="E55" s="78"/>
      <c r="F55" s="78"/>
      <c r="G55" s="78"/>
      <c r="J55" s="91"/>
      <c r="K55" s="91"/>
      <c r="L55" s="91"/>
      <c r="M55" s="91"/>
      <c r="N55" s="91"/>
      <c r="O55" s="91"/>
      <c r="P55" s="91"/>
      <c r="Q55" s="91"/>
      <c r="R55" s="91"/>
      <c r="S55" s="91"/>
    </row>
    <row r="60" spans="1:19" s="5" customFormat="1" x14ac:dyDescent="0.25">
      <c r="A60" s="91"/>
      <c r="B60" s="91"/>
      <c r="C60" s="91"/>
      <c r="D60" s="91"/>
      <c r="E60" s="91"/>
      <c r="F60" s="91"/>
      <c r="G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19" s="5" customFormat="1" x14ac:dyDescent="0.25">
      <c r="A61" s="91"/>
      <c r="B61" s="91"/>
      <c r="C61" s="91"/>
      <c r="D61" s="91"/>
      <c r="E61" s="91"/>
      <c r="F61" s="91"/>
      <c r="G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19" s="5" customFormat="1" x14ac:dyDescent="0.25">
      <c r="A62" s="91"/>
      <c r="B62" s="91"/>
      <c r="C62" s="91"/>
      <c r="D62" s="91"/>
      <c r="E62" s="91"/>
      <c r="F62" s="91"/>
      <c r="G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19" s="5" customFormat="1" x14ac:dyDescent="0.25">
      <c r="A63" s="91"/>
      <c r="B63" s="91"/>
      <c r="C63" s="91"/>
      <c r="D63" s="91"/>
      <c r="E63" s="91"/>
      <c r="F63" s="91"/>
      <c r="G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19" s="5" customFormat="1" x14ac:dyDescent="0.25">
      <c r="A64" s="91"/>
      <c r="B64" s="91"/>
      <c r="C64" s="91"/>
      <c r="D64" s="91"/>
      <c r="E64" s="91"/>
      <c r="F64" s="91"/>
      <c r="G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s="5" customFormat="1" x14ac:dyDescent="0.25">
      <c r="A65" s="91"/>
      <c r="B65" s="91"/>
      <c r="C65" s="91"/>
      <c r="D65" s="91"/>
      <c r="E65" s="91"/>
      <c r="F65" s="91"/>
      <c r="G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</sheetData>
  <mergeCells count="3">
    <mergeCell ref="A1:Q1"/>
    <mergeCell ref="S1:Y1"/>
    <mergeCell ref="A34:E34"/>
  </mergeCells>
  <pageMargins left="0.7" right="0.7" top="0.75" bottom="0.75" header="0.3" footer="0.3"/>
  <pageSetup scale="35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opLeftCell="A4" workbookViewId="0">
      <selection activeCell="G12" sqref="G12"/>
    </sheetView>
  </sheetViews>
  <sheetFormatPr baseColWidth="10" defaultRowHeight="15" x14ac:dyDescent="0.25"/>
  <cols>
    <col min="1" max="1" width="35.5703125" bestFit="1" customWidth="1"/>
    <col min="2" max="2" width="22.42578125" bestFit="1" customWidth="1"/>
    <col min="3" max="5" width="6.28515625" bestFit="1" customWidth="1"/>
    <col min="6" max="6" width="9.42578125" bestFit="1" customWidth="1"/>
    <col min="7" max="7" width="12.5703125" bestFit="1" customWidth="1"/>
    <col min="8" max="8" width="7" bestFit="1" customWidth="1"/>
    <col min="9" max="9" width="9.140625" bestFit="1" customWidth="1"/>
    <col min="10" max="10" width="12.5703125" bestFit="1" customWidth="1"/>
  </cols>
  <sheetData>
    <row r="3" spans="1:7" x14ac:dyDescent="0.25">
      <c r="A3" s="96" t="s">
        <v>109</v>
      </c>
      <c r="B3" s="96" t="s">
        <v>108</v>
      </c>
    </row>
    <row r="4" spans="1:7" x14ac:dyDescent="0.25">
      <c r="B4" s="91" t="s">
        <v>174</v>
      </c>
      <c r="F4" s="91" t="s">
        <v>175</v>
      </c>
      <c r="G4" s="91" t="s">
        <v>107</v>
      </c>
    </row>
    <row r="5" spans="1:7" x14ac:dyDescent="0.25">
      <c r="A5" s="96" t="s">
        <v>105</v>
      </c>
      <c r="B5" s="91" t="s">
        <v>177</v>
      </c>
      <c r="C5" s="91" t="s">
        <v>171</v>
      </c>
      <c r="D5" s="91" t="s">
        <v>172</v>
      </c>
      <c r="E5" s="91" t="s">
        <v>173</v>
      </c>
    </row>
    <row r="6" spans="1:7" x14ac:dyDescent="0.25">
      <c r="A6" s="97" t="s">
        <v>97</v>
      </c>
      <c r="B6" s="98"/>
      <c r="C6" s="98">
        <v>10</v>
      </c>
      <c r="D6" s="98">
        <v>10</v>
      </c>
      <c r="E6" s="98">
        <v>10</v>
      </c>
      <c r="F6" s="98">
        <v>30</v>
      </c>
      <c r="G6" s="98">
        <v>30</v>
      </c>
    </row>
    <row r="7" spans="1:7" x14ac:dyDescent="0.25">
      <c r="A7" s="97" t="s">
        <v>56</v>
      </c>
      <c r="B7" s="98"/>
      <c r="C7" s="98">
        <v>10</v>
      </c>
      <c r="D7" s="98">
        <v>10</v>
      </c>
      <c r="E7" s="98">
        <v>10</v>
      </c>
      <c r="F7" s="98">
        <v>30</v>
      </c>
      <c r="G7" s="98">
        <v>30</v>
      </c>
    </row>
    <row r="8" spans="1:7" x14ac:dyDescent="0.25">
      <c r="A8" s="97" t="s">
        <v>58</v>
      </c>
      <c r="B8" s="98"/>
      <c r="C8" s="98">
        <v>10</v>
      </c>
      <c r="D8" s="98">
        <v>10</v>
      </c>
      <c r="E8" s="98">
        <v>10</v>
      </c>
      <c r="F8" s="98">
        <v>30</v>
      </c>
      <c r="G8" s="98">
        <v>30</v>
      </c>
    </row>
    <row r="9" spans="1:7" x14ac:dyDescent="0.25">
      <c r="A9" s="97" t="s">
        <v>69</v>
      </c>
      <c r="B9" s="98"/>
      <c r="C9" s="98">
        <v>10</v>
      </c>
      <c r="D9" s="98">
        <v>10</v>
      </c>
      <c r="E9" s="98">
        <v>10</v>
      </c>
      <c r="F9" s="98">
        <v>30</v>
      </c>
      <c r="G9" s="98">
        <v>30</v>
      </c>
    </row>
    <row r="10" spans="1:7" x14ac:dyDescent="0.25">
      <c r="A10" s="97" t="s">
        <v>72</v>
      </c>
      <c r="B10" s="98">
        <v>8</v>
      </c>
      <c r="C10" s="98">
        <v>10</v>
      </c>
      <c r="D10" s="98">
        <v>11</v>
      </c>
      <c r="E10" s="98"/>
      <c r="F10" s="98">
        <v>29</v>
      </c>
      <c r="G10" s="98">
        <v>29</v>
      </c>
    </row>
    <row r="11" spans="1:7" x14ac:dyDescent="0.25">
      <c r="A11" s="97" t="s">
        <v>96</v>
      </c>
      <c r="B11" s="98"/>
      <c r="C11" s="98">
        <v>10</v>
      </c>
      <c r="D11" s="98">
        <v>10</v>
      </c>
      <c r="E11" s="98">
        <v>10</v>
      </c>
      <c r="F11" s="98">
        <v>30</v>
      </c>
      <c r="G11" s="98">
        <v>30</v>
      </c>
    </row>
    <row r="12" spans="1:7" x14ac:dyDescent="0.25">
      <c r="A12" s="97" t="s">
        <v>43</v>
      </c>
      <c r="B12" s="98"/>
      <c r="C12" s="98">
        <v>10</v>
      </c>
      <c r="D12" s="98"/>
      <c r="E12" s="98">
        <v>10</v>
      </c>
      <c r="F12" s="98">
        <v>20</v>
      </c>
      <c r="G12" s="98">
        <v>20</v>
      </c>
    </row>
    <row r="13" spans="1:7" x14ac:dyDescent="0.25">
      <c r="A13" s="97" t="s">
        <v>57</v>
      </c>
      <c r="B13" s="98"/>
      <c r="C13" s="98">
        <v>10</v>
      </c>
      <c r="D13" s="98">
        <v>10</v>
      </c>
      <c r="E13" s="98">
        <v>10</v>
      </c>
      <c r="F13" s="98">
        <v>30</v>
      </c>
      <c r="G13" s="98">
        <v>30</v>
      </c>
    </row>
    <row r="14" spans="1:7" x14ac:dyDescent="0.25">
      <c r="A14" s="97" t="s">
        <v>63</v>
      </c>
      <c r="B14" s="98"/>
      <c r="C14" s="98">
        <v>10</v>
      </c>
      <c r="D14" s="98">
        <v>10</v>
      </c>
      <c r="E14" s="98">
        <v>10</v>
      </c>
      <c r="F14" s="98">
        <v>30</v>
      </c>
      <c r="G14" s="98">
        <v>30</v>
      </c>
    </row>
    <row r="15" spans="1:7" x14ac:dyDescent="0.25">
      <c r="A15" s="97" t="s">
        <v>102</v>
      </c>
      <c r="B15" s="98"/>
      <c r="C15" s="98">
        <v>10</v>
      </c>
      <c r="D15" s="98">
        <v>10</v>
      </c>
      <c r="E15" s="98"/>
      <c r="F15" s="98">
        <v>20</v>
      </c>
      <c r="G15" s="98">
        <v>20</v>
      </c>
    </row>
    <row r="16" spans="1:7" x14ac:dyDescent="0.25">
      <c r="A16" s="97" t="s">
        <v>12</v>
      </c>
      <c r="B16" s="98"/>
      <c r="C16" s="98">
        <v>10</v>
      </c>
      <c r="D16" s="98"/>
      <c r="E16" s="98">
        <v>10</v>
      </c>
      <c r="F16" s="98">
        <v>20</v>
      </c>
      <c r="G16" s="98">
        <v>20</v>
      </c>
    </row>
    <row r="17" spans="1:7" x14ac:dyDescent="0.25">
      <c r="A17" s="97" t="s">
        <v>44</v>
      </c>
      <c r="B17" s="98"/>
      <c r="C17" s="98">
        <v>10</v>
      </c>
      <c r="D17" s="98">
        <v>10</v>
      </c>
      <c r="E17" s="98">
        <v>10</v>
      </c>
      <c r="F17" s="98">
        <v>30</v>
      </c>
      <c r="G17" s="98">
        <v>30</v>
      </c>
    </row>
    <row r="18" spans="1:7" x14ac:dyDescent="0.25">
      <c r="A18" s="97" t="s">
        <v>100</v>
      </c>
      <c r="B18" s="98"/>
      <c r="C18" s="98">
        <v>10</v>
      </c>
      <c r="D18" s="98">
        <v>10</v>
      </c>
      <c r="E18" s="98">
        <v>10</v>
      </c>
      <c r="F18" s="98">
        <v>30</v>
      </c>
      <c r="G18" s="98">
        <v>30</v>
      </c>
    </row>
    <row r="19" spans="1:7" x14ac:dyDescent="0.25">
      <c r="A19" s="97" t="s">
        <v>64</v>
      </c>
      <c r="B19" s="98"/>
      <c r="C19" s="98">
        <v>10</v>
      </c>
      <c r="D19" s="98">
        <v>10</v>
      </c>
      <c r="E19" s="98">
        <v>10</v>
      </c>
      <c r="F19" s="98">
        <v>30</v>
      </c>
      <c r="G19" s="98">
        <v>30</v>
      </c>
    </row>
    <row r="20" spans="1:7" x14ac:dyDescent="0.25">
      <c r="A20" s="97" t="s">
        <v>75</v>
      </c>
      <c r="B20" s="98"/>
      <c r="C20" s="98">
        <v>10</v>
      </c>
      <c r="D20" s="98"/>
      <c r="E20" s="98"/>
      <c r="F20" s="98">
        <v>10</v>
      </c>
      <c r="G20" s="98">
        <v>10</v>
      </c>
    </row>
    <row r="21" spans="1:7" x14ac:dyDescent="0.25">
      <c r="A21" s="97" t="s">
        <v>77</v>
      </c>
      <c r="B21" s="98"/>
      <c r="C21" s="98">
        <v>10</v>
      </c>
      <c r="D21" s="98"/>
      <c r="E21" s="98"/>
      <c r="F21" s="98">
        <v>10</v>
      </c>
      <c r="G21" s="98">
        <v>10</v>
      </c>
    </row>
    <row r="22" spans="1:7" x14ac:dyDescent="0.25">
      <c r="A22" s="97" t="s">
        <v>169</v>
      </c>
      <c r="B22" s="98"/>
      <c r="C22" s="98"/>
      <c r="D22" s="98"/>
      <c r="E22" s="98"/>
      <c r="F22" s="98"/>
      <c r="G22" s="98"/>
    </row>
    <row r="23" spans="1:7" x14ac:dyDescent="0.25">
      <c r="A23" s="97" t="s">
        <v>107</v>
      </c>
      <c r="B23" s="98">
        <v>8</v>
      </c>
      <c r="C23" s="98">
        <v>160</v>
      </c>
      <c r="D23" s="98">
        <v>121</v>
      </c>
      <c r="E23" s="98">
        <v>120</v>
      </c>
      <c r="F23" s="98">
        <v>409</v>
      </c>
      <c r="G23" s="98">
        <v>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ySplit="1" topLeftCell="A116" activePane="bottomLeft" state="frozen"/>
      <selection pane="bottomLeft" activeCell="B7" sqref="B7"/>
    </sheetView>
  </sheetViews>
  <sheetFormatPr baseColWidth="10" defaultRowHeight="15" x14ac:dyDescent="0.25"/>
  <cols>
    <col min="2" max="2" width="15.5703125" style="20" customWidth="1"/>
    <col min="4" max="4" width="23.5703125" bestFit="1" customWidth="1"/>
    <col min="5" max="5" width="12.140625" bestFit="1" customWidth="1"/>
    <col min="6" max="6" width="12.7109375" bestFit="1" customWidth="1"/>
    <col min="12" max="12" width="12.28515625" customWidth="1"/>
  </cols>
  <sheetData>
    <row r="1" spans="1:16" ht="15.75" x14ac:dyDescent="0.25">
      <c r="A1" s="4" t="s">
        <v>14</v>
      </c>
      <c r="B1" s="21" t="s">
        <v>104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46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54</v>
      </c>
      <c r="M1" s="4" t="s">
        <v>26</v>
      </c>
      <c r="N1" s="4" t="s">
        <v>19</v>
      </c>
      <c r="O1" s="4" t="s">
        <v>27</v>
      </c>
      <c r="P1" s="4" t="s">
        <v>117</v>
      </c>
    </row>
    <row r="2" spans="1:16" x14ac:dyDescent="0.25">
      <c r="A2" s="3">
        <v>44139</v>
      </c>
      <c r="B2" s="20">
        <v>2</v>
      </c>
      <c r="C2">
        <v>701</v>
      </c>
      <c r="D2" t="s">
        <v>112</v>
      </c>
      <c r="E2" t="s">
        <v>45</v>
      </c>
      <c r="L2">
        <v>260</v>
      </c>
      <c r="M2">
        <v>2341</v>
      </c>
      <c r="P2">
        <f>Tabla2[[#This Row],[PESO]]+Tabla2[[#This Row],[PESO TFB]]</f>
        <v>260</v>
      </c>
    </row>
    <row r="3" spans="1:16" x14ac:dyDescent="0.25">
      <c r="A3" s="3">
        <v>44139</v>
      </c>
      <c r="B3" s="20">
        <v>2</v>
      </c>
      <c r="C3">
        <v>701</v>
      </c>
      <c r="D3" t="s">
        <v>112</v>
      </c>
      <c r="E3" t="s">
        <v>47</v>
      </c>
      <c r="F3" t="s">
        <v>48</v>
      </c>
      <c r="G3">
        <f>55+60+45+31</f>
        <v>191</v>
      </c>
      <c r="H3" s="9">
        <v>3027</v>
      </c>
      <c r="I3" s="6">
        <v>2919</v>
      </c>
      <c r="J3" s="6">
        <v>2936</v>
      </c>
      <c r="K3" s="6"/>
      <c r="P3">
        <f>Tabla2[[#This Row],[PESO]]+Tabla2[[#This Row],[PESO TFB]]</f>
        <v>191</v>
      </c>
    </row>
    <row r="4" spans="1:16" x14ac:dyDescent="0.25">
      <c r="A4" s="3">
        <v>44139</v>
      </c>
      <c r="B4" s="20">
        <v>2</v>
      </c>
      <c r="C4">
        <v>701</v>
      </c>
      <c r="D4" t="s">
        <v>112</v>
      </c>
      <c r="E4" t="s">
        <v>49</v>
      </c>
      <c r="F4" t="s">
        <v>50</v>
      </c>
      <c r="G4">
        <v>17</v>
      </c>
      <c r="H4" s="9">
        <v>3027</v>
      </c>
      <c r="I4" s="6">
        <v>2919</v>
      </c>
      <c r="J4" s="6">
        <v>2936</v>
      </c>
      <c r="K4" s="6">
        <v>2339</v>
      </c>
      <c r="P4">
        <f>Tabla2[[#This Row],[PESO]]+Tabla2[[#This Row],[PESO TFB]]</f>
        <v>17</v>
      </c>
    </row>
    <row r="5" spans="1:16" x14ac:dyDescent="0.25">
      <c r="A5" s="3">
        <v>44139</v>
      </c>
      <c r="B5" s="20">
        <v>2</v>
      </c>
      <c r="C5">
        <v>701</v>
      </c>
      <c r="D5" t="s">
        <v>112</v>
      </c>
      <c r="E5" t="s">
        <v>51</v>
      </c>
      <c r="F5" t="s">
        <v>50</v>
      </c>
      <c r="G5">
        <f>16+33+35+30+67</f>
        <v>181</v>
      </c>
      <c r="H5" s="9">
        <v>3027</v>
      </c>
      <c r="I5" s="6">
        <v>2919</v>
      </c>
      <c r="J5" s="6">
        <v>2936</v>
      </c>
      <c r="K5" s="6">
        <v>2339</v>
      </c>
      <c r="P5">
        <f>Tabla2[[#This Row],[PESO]]+Tabla2[[#This Row],[PESO TFB]]</f>
        <v>181</v>
      </c>
    </row>
    <row r="6" spans="1:16" x14ac:dyDescent="0.25">
      <c r="A6" s="3">
        <v>44139</v>
      </c>
      <c r="B6" s="20">
        <v>2</v>
      </c>
      <c r="C6">
        <v>701</v>
      </c>
      <c r="D6" t="s">
        <v>112</v>
      </c>
      <c r="E6" t="s">
        <v>51</v>
      </c>
      <c r="F6" t="s">
        <v>48</v>
      </c>
      <c r="G6">
        <f>45+21</f>
        <v>66</v>
      </c>
      <c r="H6" s="9">
        <v>3027</v>
      </c>
      <c r="I6" s="6">
        <v>2919</v>
      </c>
      <c r="J6" s="6">
        <v>2936</v>
      </c>
      <c r="K6" s="6">
        <v>2339</v>
      </c>
      <c r="P6">
        <f>Tabla2[[#This Row],[PESO]]+Tabla2[[#This Row],[PESO TFB]]</f>
        <v>66</v>
      </c>
    </row>
    <row r="7" spans="1:16" x14ac:dyDescent="0.25">
      <c r="A7" s="3">
        <v>44139</v>
      </c>
      <c r="B7" s="20">
        <v>2</v>
      </c>
      <c r="C7">
        <v>701</v>
      </c>
      <c r="D7" t="s">
        <v>112</v>
      </c>
      <c r="E7" t="s">
        <v>52</v>
      </c>
      <c r="F7" t="s">
        <v>53</v>
      </c>
      <c r="G7">
        <f>102+88</f>
        <v>190</v>
      </c>
      <c r="H7" s="9">
        <v>3027</v>
      </c>
      <c r="I7" s="6">
        <v>2919</v>
      </c>
      <c r="J7" s="6">
        <v>2936</v>
      </c>
      <c r="K7" s="6">
        <v>2339</v>
      </c>
      <c r="P7">
        <f>Tabla2[[#This Row],[PESO]]+Tabla2[[#This Row],[PESO TFB]]</f>
        <v>190</v>
      </c>
    </row>
    <row r="8" spans="1:16" x14ac:dyDescent="0.25">
      <c r="A8" s="3">
        <v>44139</v>
      </c>
      <c r="B8" s="20">
        <v>2</v>
      </c>
      <c r="C8">
        <v>699</v>
      </c>
      <c r="D8" t="s">
        <v>112</v>
      </c>
      <c r="E8" t="s">
        <v>49</v>
      </c>
      <c r="F8" t="s">
        <v>50</v>
      </c>
      <c r="G8">
        <v>87</v>
      </c>
      <c r="H8" s="9">
        <v>3049</v>
      </c>
      <c r="I8" s="6">
        <v>2941</v>
      </c>
      <c r="J8" s="6">
        <v>2958</v>
      </c>
      <c r="K8" s="6">
        <v>2393</v>
      </c>
      <c r="P8">
        <f>Tabla2[[#This Row],[PESO]]+Tabla2[[#This Row],[PESO TFB]]</f>
        <v>87</v>
      </c>
    </row>
    <row r="9" spans="1:16" x14ac:dyDescent="0.25">
      <c r="A9" s="3">
        <v>44139</v>
      </c>
      <c r="B9" s="20">
        <v>2</v>
      </c>
      <c r="C9">
        <v>699</v>
      </c>
      <c r="D9" t="s">
        <v>112</v>
      </c>
      <c r="E9" t="s">
        <v>20</v>
      </c>
      <c r="F9" t="s">
        <v>59</v>
      </c>
      <c r="G9">
        <v>49</v>
      </c>
      <c r="H9" s="9">
        <v>3049</v>
      </c>
      <c r="I9" s="6">
        <v>2941</v>
      </c>
      <c r="J9" s="6">
        <v>2958</v>
      </c>
      <c r="K9" s="6">
        <v>2393</v>
      </c>
      <c r="P9">
        <f>Tabla2[[#This Row],[PESO]]+Tabla2[[#This Row],[PESO TFB]]</f>
        <v>49</v>
      </c>
    </row>
    <row r="10" spans="1:16" x14ac:dyDescent="0.25">
      <c r="A10" s="3">
        <v>44139</v>
      </c>
      <c r="B10" s="20">
        <v>2</v>
      </c>
      <c r="C10">
        <v>699</v>
      </c>
      <c r="D10" t="s">
        <v>112</v>
      </c>
      <c r="E10" t="s">
        <v>51</v>
      </c>
      <c r="F10" t="s">
        <v>50</v>
      </c>
      <c r="G10">
        <v>93</v>
      </c>
      <c r="H10" s="9">
        <v>3049</v>
      </c>
      <c r="I10" s="6">
        <v>2941</v>
      </c>
      <c r="J10" s="6">
        <v>2958</v>
      </c>
      <c r="K10" s="6">
        <v>2393</v>
      </c>
      <c r="P10">
        <f>Tabla2[[#This Row],[PESO]]+Tabla2[[#This Row],[PESO TFB]]</f>
        <v>93</v>
      </c>
    </row>
    <row r="11" spans="1:16" x14ac:dyDescent="0.25">
      <c r="A11" s="3">
        <v>44139</v>
      </c>
      <c r="B11" s="20">
        <v>2</v>
      </c>
      <c r="C11">
        <v>699</v>
      </c>
      <c r="D11" t="s">
        <v>112</v>
      </c>
      <c r="E11" t="s">
        <v>51</v>
      </c>
      <c r="F11" t="s">
        <v>48</v>
      </c>
      <c r="G11">
        <v>38</v>
      </c>
      <c r="H11" s="9">
        <v>3049</v>
      </c>
      <c r="I11" s="6">
        <v>2941</v>
      </c>
      <c r="J11" s="6">
        <v>2958</v>
      </c>
      <c r="K11" s="6">
        <v>2393</v>
      </c>
      <c r="P11">
        <f>Tabla2[[#This Row],[PESO]]+Tabla2[[#This Row],[PESO TFB]]</f>
        <v>38</v>
      </c>
    </row>
    <row r="12" spans="1:16" x14ac:dyDescent="0.25">
      <c r="A12" s="3">
        <v>44139</v>
      </c>
      <c r="B12" s="20">
        <v>2</v>
      </c>
      <c r="C12">
        <v>699</v>
      </c>
      <c r="D12" t="s">
        <v>112</v>
      </c>
      <c r="E12" t="s">
        <v>47</v>
      </c>
      <c r="F12" t="s">
        <v>48</v>
      </c>
      <c r="G12">
        <v>119</v>
      </c>
      <c r="H12" s="9">
        <v>3049</v>
      </c>
      <c r="I12" s="6">
        <v>2941</v>
      </c>
      <c r="J12" s="6">
        <v>2958</v>
      </c>
      <c r="K12" s="6"/>
      <c r="P12">
        <f>Tabla2[[#This Row],[PESO]]+Tabla2[[#This Row],[PESO TFB]]</f>
        <v>119</v>
      </c>
    </row>
    <row r="13" spans="1:16" x14ac:dyDescent="0.25">
      <c r="A13" s="3">
        <v>44139</v>
      </c>
      <c r="B13" s="20">
        <v>3</v>
      </c>
      <c r="C13">
        <v>700</v>
      </c>
      <c r="D13" t="s">
        <v>112</v>
      </c>
      <c r="E13" t="s">
        <v>51</v>
      </c>
      <c r="F13" t="s">
        <v>50</v>
      </c>
      <c r="G13">
        <f>94+140+123</f>
        <v>357</v>
      </c>
      <c r="H13" s="9">
        <v>3028</v>
      </c>
      <c r="I13" s="9">
        <v>2920</v>
      </c>
      <c r="J13" s="9">
        <v>2937</v>
      </c>
      <c r="K13" s="9">
        <v>2343</v>
      </c>
      <c r="P13">
        <f>Tabla2[[#This Row],[PESO]]+Tabla2[[#This Row],[PESO TFB]]</f>
        <v>357</v>
      </c>
    </row>
    <row r="14" spans="1:16" x14ac:dyDescent="0.25">
      <c r="A14" s="3">
        <v>44139</v>
      </c>
      <c r="B14" s="20">
        <v>3</v>
      </c>
      <c r="C14">
        <v>700</v>
      </c>
      <c r="D14" t="s">
        <v>112</v>
      </c>
      <c r="E14" t="s">
        <v>51</v>
      </c>
      <c r="F14" t="s">
        <v>48</v>
      </c>
      <c r="G14">
        <f>48+28</f>
        <v>76</v>
      </c>
      <c r="H14" s="9">
        <v>3028</v>
      </c>
      <c r="I14" s="9">
        <v>2920</v>
      </c>
      <c r="J14" s="9">
        <v>2937</v>
      </c>
      <c r="K14" s="9">
        <v>2343</v>
      </c>
      <c r="P14">
        <f>Tabla2[[#This Row],[PESO]]+Tabla2[[#This Row],[PESO TFB]]</f>
        <v>76</v>
      </c>
    </row>
    <row r="15" spans="1:16" x14ac:dyDescent="0.25">
      <c r="A15" s="3">
        <v>44139</v>
      </c>
      <c r="B15" s="20">
        <v>3</v>
      </c>
      <c r="C15">
        <v>700</v>
      </c>
      <c r="D15" t="s">
        <v>112</v>
      </c>
      <c r="E15" t="s">
        <v>49</v>
      </c>
      <c r="F15" t="s">
        <v>50</v>
      </c>
      <c r="G15">
        <f>101+86+89+49</f>
        <v>325</v>
      </c>
      <c r="H15" s="9">
        <v>3028</v>
      </c>
      <c r="I15" s="9">
        <v>2920</v>
      </c>
      <c r="J15" s="9">
        <v>2937</v>
      </c>
      <c r="K15" s="9">
        <v>2343</v>
      </c>
      <c r="P15">
        <f>Tabla2[[#This Row],[PESO]]+Tabla2[[#This Row],[PESO TFB]]</f>
        <v>325</v>
      </c>
    </row>
    <row r="16" spans="1:16" x14ac:dyDescent="0.25">
      <c r="A16" s="3">
        <v>44139</v>
      </c>
      <c r="B16" s="20">
        <v>3</v>
      </c>
      <c r="C16">
        <v>700</v>
      </c>
      <c r="D16" t="s">
        <v>112</v>
      </c>
      <c r="E16" t="s">
        <v>20</v>
      </c>
      <c r="F16" t="s">
        <v>59</v>
      </c>
      <c r="G16">
        <f>68+81+72</f>
        <v>221</v>
      </c>
      <c r="H16" s="9">
        <v>3028</v>
      </c>
      <c r="I16" s="9">
        <v>2920</v>
      </c>
      <c r="J16" s="9">
        <v>2937</v>
      </c>
      <c r="K16" s="9">
        <v>2343</v>
      </c>
      <c r="P16">
        <f>Tabla2[[#This Row],[PESO]]+Tabla2[[#This Row],[PESO TFB]]</f>
        <v>221</v>
      </c>
    </row>
    <row r="17" spans="1:16" x14ac:dyDescent="0.25">
      <c r="A17" s="3">
        <v>44139</v>
      </c>
      <c r="B17" s="20">
        <v>3</v>
      </c>
      <c r="C17">
        <v>700</v>
      </c>
      <c r="D17" t="s">
        <v>112</v>
      </c>
      <c r="E17" t="s">
        <v>47</v>
      </c>
      <c r="F17" t="s">
        <v>48</v>
      </c>
      <c r="G17">
        <f>107+107</f>
        <v>214</v>
      </c>
      <c r="H17" s="9">
        <v>3028</v>
      </c>
      <c r="I17" s="9">
        <v>2920</v>
      </c>
      <c r="J17" s="9">
        <v>2937</v>
      </c>
      <c r="K17" s="9">
        <v>2343</v>
      </c>
      <c r="P17">
        <f>Tabla2[[#This Row],[PESO]]+Tabla2[[#This Row],[PESO TFB]]</f>
        <v>214</v>
      </c>
    </row>
    <row r="18" spans="1:16" x14ac:dyDescent="0.25">
      <c r="A18" s="3">
        <v>44139</v>
      </c>
      <c r="B18" s="20">
        <v>3</v>
      </c>
      <c r="C18">
        <v>700</v>
      </c>
      <c r="D18" t="s">
        <v>112</v>
      </c>
      <c r="E18" t="s">
        <v>47</v>
      </c>
      <c r="F18" t="s">
        <v>60</v>
      </c>
      <c r="G18">
        <f>50+32</f>
        <v>82</v>
      </c>
      <c r="H18" s="9">
        <v>3028</v>
      </c>
      <c r="I18" s="9">
        <v>2920</v>
      </c>
      <c r="J18" s="9">
        <v>2937</v>
      </c>
      <c r="K18" s="9">
        <v>2343</v>
      </c>
      <c r="P18">
        <f>Tabla2[[#This Row],[PESO]]+Tabla2[[#This Row],[PESO TFB]]</f>
        <v>82</v>
      </c>
    </row>
    <row r="19" spans="1:16" x14ac:dyDescent="0.25">
      <c r="A19" s="3">
        <v>44139</v>
      </c>
      <c r="B19" s="20">
        <v>3</v>
      </c>
      <c r="C19">
        <v>700</v>
      </c>
      <c r="D19" t="s">
        <v>112</v>
      </c>
      <c r="E19" t="s">
        <v>52</v>
      </c>
      <c r="G19">
        <v>103</v>
      </c>
      <c r="H19" s="9">
        <v>3028</v>
      </c>
      <c r="I19" s="9">
        <v>2920</v>
      </c>
      <c r="J19" s="9">
        <v>2937</v>
      </c>
      <c r="K19" s="9">
        <v>2343</v>
      </c>
      <c r="P19">
        <f>Tabla2[[#This Row],[PESO]]+Tabla2[[#This Row],[PESO TFB]]</f>
        <v>103</v>
      </c>
    </row>
    <row r="20" spans="1:16" x14ac:dyDescent="0.25">
      <c r="A20" s="3">
        <v>44139</v>
      </c>
      <c r="B20" s="20">
        <v>3</v>
      </c>
      <c r="C20">
        <v>698</v>
      </c>
      <c r="D20" t="s">
        <v>111</v>
      </c>
      <c r="E20" t="s">
        <v>20</v>
      </c>
      <c r="F20" t="s">
        <v>65</v>
      </c>
      <c r="G20">
        <f>54+25+52+55+41+39+18</f>
        <v>284</v>
      </c>
      <c r="H20" s="9">
        <v>3029</v>
      </c>
      <c r="I20" s="9">
        <v>2921</v>
      </c>
      <c r="J20" s="9">
        <v>2938</v>
      </c>
      <c r="K20" s="9">
        <v>2345</v>
      </c>
      <c r="P20">
        <f>Tabla2[[#This Row],[PESO]]+Tabla2[[#This Row],[PESO TFB]]</f>
        <v>284</v>
      </c>
    </row>
    <row r="21" spans="1:16" x14ac:dyDescent="0.25">
      <c r="A21" s="3">
        <v>44139</v>
      </c>
      <c r="B21" s="20">
        <v>3</v>
      </c>
      <c r="C21">
        <v>698</v>
      </c>
      <c r="D21" t="s">
        <v>111</v>
      </c>
      <c r="E21" t="s">
        <v>20</v>
      </c>
      <c r="F21" t="s">
        <v>66</v>
      </c>
      <c r="G21">
        <f>41+60+47+40+37</f>
        <v>225</v>
      </c>
      <c r="H21" s="9">
        <v>3029</v>
      </c>
      <c r="I21" s="9">
        <v>2921</v>
      </c>
      <c r="J21" s="9">
        <v>2938</v>
      </c>
      <c r="K21" s="9">
        <v>2345</v>
      </c>
      <c r="P21">
        <f>Tabla2[[#This Row],[PESO]]+Tabla2[[#This Row],[PESO TFB]]</f>
        <v>225</v>
      </c>
    </row>
    <row r="22" spans="1:16" x14ac:dyDescent="0.25">
      <c r="A22" s="3">
        <v>44139</v>
      </c>
      <c r="B22" s="20">
        <v>3</v>
      </c>
      <c r="C22">
        <v>698</v>
      </c>
      <c r="D22" t="s">
        <v>111</v>
      </c>
      <c r="E22" t="s">
        <v>20</v>
      </c>
      <c r="F22" t="s">
        <v>67</v>
      </c>
      <c r="G22">
        <f>38+26+34+56+46</f>
        <v>200</v>
      </c>
      <c r="H22" s="9">
        <v>3029</v>
      </c>
      <c r="I22" s="9">
        <v>2921</v>
      </c>
      <c r="J22" s="9">
        <v>2938</v>
      </c>
      <c r="K22" s="9">
        <v>2345</v>
      </c>
      <c r="P22">
        <f>Tabla2[[#This Row],[PESO]]+Tabla2[[#This Row],[PESO TFB]]</f>
        <v>200</v>
      </c>
    </row>
    <row r="23" spans="1:16" x14ac:dyDescent="0.25">
      <c r="A23" s="3">
        <v>44139</v>
      </c>
      <c r="B23" s="20">
        <v>3</v>
      </c>
      <c r="C23">
        <v>698</v>
      </c>
      <c r="D23" t="s">
        <v>111</v>
      </c>
      <c r="E23" t="s">
        <v>20</v>
      </c>
      <c r="F23" t="s">
        <v>21</v>
      </c>
      <c r="G23">
        <f>28+28+27+32+43</f>
        <v>158</v>
      </c>
      <c r="H23" s="9">
        <v>3029</v>
      </c>
      <c r="I23" s="9">
        <v>2921</v>
      </c>
      <c r="J23" s="9">
        <v>2938</v>
      </c>
      <c r="K23" s="9">
        <v>2345</v>
      </c>
      <c r="P23">
        <f>Tabla2[[#This Row],[PESO]]+Tabla2[[#This Row],[PESO TFB]]</f>
        <v>158</v>
      </c>
    </row>
    <row r="24" spans="1:16" x14ac:dyDescent="0.25">
      <c r="A24" s="3">
        <v>44139</v>
      </c>
      <c r="B24" s="20">
        <v>3</v>
      </c>
      <c r="C24">
        <v>698</v>
      </c>
      <c r="D24" t="s">
        <v>111</v>
      </c>
      <c r="E24" t="s">
        <v>20</v>
      </c>
      <c r="F24" t="s">
        <v>60</v>
      </c>
      <c r="G24">
        <f>46+67+85+28+11</f>
        <v>237</v>
      </c>
      <c r="H24" s="9">
        <v>3029</v>
      </c>
      <c r="I24" s="9">
        <v>2921</v>
      </c>
      <c r="J24" s="9">
        <v>2938</v>
      </c>
      <c r="K24" s="9">
        <v>2345</v>
      </c>
      <c r="P24">
        <f>Tabla2[[#This Row],[PESO]]+Tabla2[[#This Row],[PESO TFB]]</f>
        <v>237</v>
      </c>
    </row>
    <row r="25" spans="1:16" x14ac:dyDescent="0.25">
      <c r="A25" s="3">
        <v>44139</v>
      </c>
      <c r="B25" s="20">
        <v>3</v>
      </c>
      <c r="C25">
        <v>698</v>
      </c>
      <c r="D25" t="s">
        <v>111</v>
      </c>
      <c r="E25" t="s">
        <v>68</v>
      </c>
      <c r="F25" t="s">
        <v>66</v>
      </c>
      <c r="G25">
        <f>33+39+50</f>
        <v>122</v>
      </c>
      <c r="H25" s="9">
        <v>3029</v>
      </c>
      <c r="I25" s="9">
        <v>2921</v>
      </c>
      <c r="J25" s="9">
        <v>2938</v>
      </c>
      <c r="K25" s="9">
        <v>2345</v>
      </c>
      <c r="P25">
        <f>Tabla2[[#This Row],[PESO]]+Tabla2[[#This Row],[PESO TFB]]</f>
        <v>122</v>
      </c>
    </row>
    <row r="26" spans="1:16" x14ac:dyDescent="0.25">
      <c r="A26" s="3">
        <v>44139</v>
      </c>
      <c r="B26" s="20">
        <v>3</v>
      </c>
      <c r="C26">
        <v>698</v>
      </c>
      <c r="D26" t="s">
        <v>111</v>
      </c>
      <c r="E26" t="s">
        <v>68</v>
      </c>
      <c r="F26" t="s">
        <v>65</v>
      </c>
      <c r="G26">
        <f>29+50+50</f>
        <v>129</v>
      </c>
      <c r="H26" s="9">
        <v>3029</v>
      </c>
      <c r="I26" s="9">
        <v>2921</v>
      </c>
      <c r="J26" s="9">
        <v>2938</v>
      </c>
      <c r="K26" s="9">
        <v>2345</v>
      </c>
      <c r="P26">
        <f>Tabla2[[#This Row],[PESO]]+Tabla2[[#This Row],[PESO TFB]]</f>
        <v>129</v>
      </c>
    </row>
    <row r="27" spans="1:16" x14ac:dyDescent="0.25">
      <c r="A27" s="3">
        <v>44139</v>
      </c>
      <c r="B27" s="20">
        <v>3</v>
      </c>
      <c r="C27">
        <v>698</v>
      </c>
      <c r="D27" t="s">
        <v>111</v>
      </c>
      <c r="E27" t="s">
        <v>68</v>
      </c>
      <c r="F27" t="s">
        <v>60</v>
      </c>
      <c r="G27">
        <f>36+43+58</f>
        <v>137</v>
      </c>
      <c r="H27" s="9">
        <v>3029</v>
      </c>
      <c r="I27" s="9">
        <v>2921</v>
      </c>
      <c r="J27" s="9">
        <v>2938</v>
      </c>
      <c r="K27" s="9">
        <v>2345</v>
      </c>
      <c r="P27">
        <f>Tabla2[[#This Row],[PESO]]+Tabla2[[#This Row],[PESO TFB]]</f>
        <v>137</v>
      </c>
    </row>
    <row r="28" spans="1:16" x14ac:dyDescent="0.25">
      <c r="A28" s="3">
        <v>44139</v>
      </c>
      <c r="B28" s="20">
        <v>3</v>
      </c>
      <c r="C28">
        <v>698</v>
      </c>
      <c r="D28" t="s">
        <v>111</v>
      </c>
      <c r="E28" t="s">
        <v>68</v>
      </c>
      <c r="F28" t="s">
        <v>67</v>
      </c>
      <c r="G28">
        <f>34+21</f>
        <v>55</v>
      </c>
      <c r="H28" s="9">
        <v>3029</v>
      </c>
      <c r="I28" s="9">
        <v>2921</v>
      </c>
      <c r="J28" s="9">
        <v>2938</v>
      </c>
      <c r="K28" s="9">
        <v>2345</v>
      </c>
      <c r="P28">
        <f>Tabla2[[#This Row],[PESO]]+Tabla2[[#This Row],[PESO TFB]]</f>
        <v>55</v>
      </c>
    </row>
    <row r="29" spans="1:16" x14ac:dyDescent="0.25">
      <c r="A29" s="3">
        <v>44139</v>
      </c>
      <c r="B29" s="20">
        <v>3</v>
      </c>
      <c r="C29">
        <v>698</v>
      </c>
      <c r="D29" t="s">
        <v>111</v>
      </c>
      <c r="E29" t="s">
        <v>52</v>
      </c>
      <c r="G29">
        <v>27</v>
      </c>
      <c r="H29" s="9">
        <v>3029</v>
      </c>
      <c r="I29" s="9">
        <v>2921</v>
      </c>
      <c r="J29" s="9">
        <v>2938</v>
      </c>
      <c r="K29" s="9">
        <v>2345</v>
      </c>
      <c r="P29">
        <f>Tabla2[[#This Row],[PESO]]+Tabla2[[#This Row],[PESO TFB]]</f>
        <v>27</v>
      </c>
    </row>
    <row r="30" spans="1:16" x14ac:dyDescent="0.25">
      <c r="A30" s="3">
        <v>44139</v>
      </c>
      <c r="B30" s="20">
        <v>3</v>
      </c>
      <c r="C30">
        <v>698</v>
      </c>
      <c r="D30" t="s">
        <v>111</v>
      </c>
      <c r="E30" t="s">
        <v>47</v>
      </c>
      <c r="F30" t="s">
        <v>48</v>
      </c>
      <c r="H30" s="9"/>
      <c r="I30" s="9"/>
      <c r="J30" s="9"/>
      <c r="K30" s="9"/>
      <c r="L30">
        <v>40</v>
      </c>
      <c r="M30">
        <v>2347</v>
      </c>
      <c r="P30">
        <f>Tabla2[[#This Row],[PESO]]+Tabla2[[#This Row],[PESO TFB]]</f>
        <v>40</v>
      </c>
    </row>
    <row r="31" spans="1:16" x14ac:dyDescent="0.25">
      <c r="A31" s="3">
        <v>44139</v>
      </c>
      <c r="B31" s="20">
        <v>1</v>
      </c>
      <c r="C31">
        <v>342</v>
      </c>
      <c r="D31" t="s">
        <v>36</v>
      </c>
      <c r="E31" t="s">
        <v>68</v>
      </c>
      <c r="F31" t="s">
        <v>67</v>
      </c>
      <c r="G31">
        <v>349</v>
      </c>
      <c r="H31" s="9">
        <v>3030</v>
      </c>
      <c r="I31" s="9">
        <v>2922</v>
      </c>
      <c r="J31" s="9">
        <v>2939</v>
      </c>
      <c r="K31" s="9">
        <v>2349</v>
      </c>
      <c r="N31">
        <v>380</v>
      </c>
      <c r="O31" s="8">
        <f>(N31-G31)/N31</f>
        <v>8.1578947368421056E-2</v>
      </c>
      <c r="P31">
        <f>Tabla2[[#This Row],[PESO]]+Tabla2[[#This Row],[PESO TFB]]</f>
        <v>349</v>
      </c>
    </row>
    <row r="32" spans="1:16" x14ac:dyDescent="0.25">
      <c r="A32" s="3">
        <v>44134</v>
      </c>
      <c r="B32" s="20">
        <v>1</v>
      </c>
      <c r="C32">
        <v>342</v>
      </c>
      <c r="D32" t="s">
        <v>36</v>
      </c>
      <c r="E32" t="s">
        <v>68</v>
      </c>
      <c r="F32" t="s">
        <v>66</v>
      </c>
      <c r="G32">
        <v>472</v>
      </c>
      <c r="H32" s="9">
        <v>3030</v>
      </c>
      <c r="I32" s="9">
        <v>2922</v>
      </c>
      <c r="J32" s="9">
        <v>2939</v>
      </c>
      <c r="K32" s="9">
        <v>2349</v>
      </c>
      <c r="N32">
        <v>513</v>
      </c>
      <c r="O32" s="8">
        <f>(N32-G32)/N32</f>
        <v>7.9922027290448339E-2</v>
      </c>
      <c r="P32">
        <f>Tabla2[[#This Row],[PESO]]+Tabla2[[#This Row],[PESO TFB]]</f>
        <v>472</v>
      </c>
    </row>
    <row r="33" spans="1:16" x14ac:dyDescent="0.25">
      <c r="A33" s="3">
        <v>44134</v>
      </c>
      <c r="B33" s="20">
        <v>1</v>
      </c>
      <c r="C33">
        <v>342</v>
      </c>
      <c r="D33" t="s">
        <v>36</v>
      </c>
      <c r="E33" t="s">
        <v>68</v>
      </c>
      <c r="F33" t="s">
        <v>65</v>
      </c>
      <c r="G33">
        <v>467</v>
      </c>
      <c r="H33" s="9">
        <v>3030</v>
      </c>
      <c r="I33" s="9">
        <v>2922</v>
      </c>
      <c r="J33" s="9">
        <v>2939</v>
      </c>
      <c r="K33" s="9">
        <v>2349</v>
      </c>
      <c r="N33">
        <v>524</v>
      </c>
      <c r="O33" s="8">
        <f t="shared" ref="O33:O46" si="0">(N33-G33)/N33</f>
        <v>0.10877862595419847</v>
      </c>
      <c r="P33">
        <f>Tabla2[[#This Row],[PESO]]+Tabla2[[#This Row],[PESO TFB]]</f>
        <v>467</v>
      </c>
    </row>
    <row r="34" spans="1:16" x14ac:dyDescent="0.25">
      <c r="A34" s="3">
        <v>44134</v>
      </c>
      <c r="B34" s="20">
        <v>1</v>
      </c>
      <c r="C34">
        <v>342</v>
      </c>
      <c r="D34" t="s">
        <v>36</v>
      </c>
      <c r="E34" t="s">
        <v>20</v>
      </c>
      <c r="F34" t="s">
        <v>60</v>
      </c>
      <c r="G34">
        <f>454+244+439+325</f>
        <v>1462</v>
      </c>
      <c r="H34" s="9">
        <v>3030</v>
      </c>
      <c r="I34" s="9">
        <v>2922</v>
      </c>
      <c r="J34" s="9">
        <v>2939</v>
      </c>
      <c r="K34" s="9">
        <v>2349</v>
      </c>
      <c r="N34">
        <f>228+1135</f>
        <v>1363</v>
      </c>
      <c r="O34" s="8">
        <f t="shared" si="0"/>
        <v>-7.2633895818048425E-2</v>
      </c>
      <c r="P34">
        <f>Tabla2[[#This Row],[PESO]]+Tabla2[[#This Row],[PESO TFB]]</f>
        <v>1462</v>
      </c>
    </row>
    <row r="35" spans="1:16" x14ac:dyDescent="0.25">
      <c r="A35" s="3">
        <v>44134</v>
      </c>
      <c r="B35" s="20">
        <v>1</v>
      </c>
      <c r="C35">
        <v>342</v>
      </c>
      <c r="D35" t="s">
        <v>36</v>
      </c>
      <c r="E35" t="s">
        <v>20</v>
      </c>
      <c r="F35" t="s">
        <v>21</v>
      </c>
      <c r="G35">
        <f>225+274+543</f>
        <v>1042</v>
      </c>
      <c r="H35" s="9">
        <v>3030</v>
      </c>
      <c r="I35" s="9">
        <v>2922</v>
      </c>
      <c r="J35" s="9">
        <v>2939</v>
      </c>
      <c r="K35" s="9">
        <v>2349</v>
      </c>
      <c r="N35">
        <f>293+694</f>
        <v>987</v>
      </c>
      <c r="O35" s="8">
        <f t="shared" si="0"/>
        <v>-5.5724417426545089E-2</v>
      </c>
      <c r="P35">
        <f>Tabla2[[#This Row],[PESO]]+Tabla2[[#This Row],[PESO TFB]]</f>
        <v>1042</v>
      </c>
    </row>
    <row r="36" spans="1:16" x14ac:dyDescent="0.25">
      <c r="A36" s="3">
        <v>44134</v>
      </c>
      <c r="B36" s="20">
        <v>1</v>
      </c>
      <c r="C36">
        <v>342</v>
      </c>
      <c r="D36" t="s">
        <v>36</v>
      </c>
      <c r="E36" t="s">
        <v>68</v>
      </c>
      <c r="F36" t="s">
        <v>60</v>
      </c>
      <c r="G36">
        <v>501</v>
      </c>
      <c r="H36" s="9">
        <v>3030</v>
      </c>
      <c r="I36" s="9">
        <v>2922</v>
      </c>
      <c r="J36" s="9">
        <v>2939</v>
      </c>
      <c r="K36" s="9">
        <v>2349</v>
      </c>
      <c r="N36">
        <v>563</v>
      </c>
      <c r="O36" s="8">
        <f t="shared" si="0"/>
        <v>0.11012433392539965</v>
      </c>
      <c r="P36">
        <f>Tabla2[[#This Row],[PESO]]+Tabla2[[#This Row],[PESO TFB]]</f>
        <v>501</v>
      </c>
    </row>
    <row r="37" spans="1:16" x14ac:dyDescent="0.25">
      <c r="A37" s="3">
        <v>44134</v>
      </c>
      <c r="B37" s="20">
        <v>1</v>
      </c>
      <c r="C37">
        <v>102</v>
      </c>
      <c r="D37" t="s">
        <v>113</v>
      </c>
      <c r="E37" t="s">
        <v>73</v>
      </c>
      <c r="F37" t="s">
        <v>74</v>
      </c>
      <c r="G37">
        <v>405</v>
      </c>
      <c r="H37" s="5">
        <v>3031</v>
      </c>
      <c r="I37" s="5">
        <v>2923</v>
      </c>
      <c r="J37" s="5">
        <v>2940</v>
      </c>
      <c r="K37" s="5">
        <v>2351</v>
      </c>
      <c r="P37">
        <f>Tabla2[[#This Row],[PESO]]+Tabla2[[#This Row],[PESO TFB]]</f>
        <v>405</v>
      </c>
    </row>
    <row r="38" spans="1:16" x14ac:dyDescent="0.25">
      <c r="A38" s="3">
        <v>44139</v>
      </c>
      <c r="B38" s="20">
        <v>2</v>
      </c>
      <c r="C38">
        <v>1201</v>
      </c>
      <c r="D38" t="s">
        <v>33</v>
      </c>
      <c r="E38" t="s">
        <v>47</v>
      </c>
      <c r="F38" t="s">
        <v>48</v>
      </c>
      <c r="G38">
        <v>1149</v>
      </c>
      <c r="H38" s="10">
        <v>3032</v>
      </c>
      <c r="I38" s="10">
        <v>2924</v>
      </c>
      <c r="J38" s="10">
        <v>2941</v>
      </c>
      <c r="M38">
        <f>+N38-G38</f>
        <v>129</v>
      </c>
      <c r="N38">
        <v>1278</v>
      </c>
      <c r="O38" s="8">
        <f t="shared" si="0"/>
        <v>0.10093896713615023</v>
      </c>
      <c r="P38">
        <f>Tabla2[[#This Row],[PESO]]+Tabla2[[#This Row],[PESO TFB]]</f>
        <v>1149</v>
      </c>
    </row>
    <row r="39" spans="1:16" x14ac:dyDescent="0.25">
      <c r="A39" s="3">
        <v>44139</v>
      </c>
      <c r="B39" s="20">
        <v>2</v>
      </c>
      <c r="C39">
        <v>1202</v>
      </c>
      <c r="D39" t="s">
        <v>33</v>
      </c>
      <c r="E39" t="s">
        <v>78</v>
      </c>
      <c r="F39" t="s">
        <v>60</v>
      </c>
      <c r="G39">
        <v>386</v>
      </c>
      <c r="H39" s="10">
        <v>3033</v>
      </c>
      <c r="I39" s="10">
        <v>2925</v>
      </c>
      <c r="J39" s="10">
        <v>2942</v>
      </c>
      <c r="M39">
        <f>+N39-G39</f>
        <v>9</v>
      </c>
      <c r="N39">
        <v>395</v>
      </c>
      <c r="O39" s="8">
        <f t="shared" si="0"/>
        <v>2.2784810126582278E-2</v>
      </c>
      <c r="P39">
        <f>Tabla2[[#This Row],[PESO]]+Tabla2[[#This Row],[PESO TFB]]</f>
        <v>386</v>
      </c>
    </row>
    <row r="40" spans="1:16" x14ac:dyDescent="0.25">
      <c r="A40" s="3">
        <v>44139</v>
      </c>
      <c r="B40" s="20">
        <v>1</v>
      </c>
      <c r="C40">
        <v>343</v>
      </c>
      <c r="D40" t="s">
        <v>36</v>
      </c>
      <c r="E40" t="s">
        <v>20</v>
      </c>
      <c r="F40" t="s">
        <v>21</v>
      </c>
      <c r="G40">
        <v>224</v>
      </c>
      <c r="H40" s="9">
        <v>3034</v>
      </c>
      <c r="I40" s="9">
        <v>2926</v>
      </c>
      <c r="J40" s="9">
        <v>2943</v>
      </c>
      <c r="K40" s="9">
        <v>2353</v>
      </c>
      <c r="N40">
        <v>231</v>
      </c>
      <c r="O40" s="8">
        <f t="shared" si="0"/>
        <v>3.0303030303030304E-2</v>
      </c>
      <c r="P40">
        <f>Tabla2[[#This Row],[PESO]]+Tabla2[[#This Row],[PESO TFB]]</f>
        <v>224</v>
      </c>
    </row>
    <row r="41" spans="1:16" x14ac:dyDescent="0.25">
      <c r="A41" s="3">
        <v>44139</v>
      </c>
      <c r="B41" s="20">
        <v>1</v>
      </c>
      <c r="C41">
        <v>343</v>
      </c>
      <c r="D41" t="s">
        <v>36</v>
      </c>
      <c r="E41" t="s">
        <v>20</v>
      </c>
      <c r="F41" t="s">
        <v>60</v>
      </c>
      <c r="G41">
        <v>342</v>
      </c>
      <c r="H41" s="9">
        <v>3034</v>
      </c>
      <c r="I41" s="9">
        <v>2926</v>
      </c>
      <c r="J41" s="9">
        <v>2943</v>
      </c>
      <c r="K41" s="9">
        <v>2353</v>
      </c>
      <c r="N41">
        <v>344</v>
      </c>
      <c r="O41" s="8">
        <f t="shared" si="0"/>
        <v>5.8139534883720929E-3</v>
      </c>
      <c r="P41">
        <f>Tabla2[[#This Row],[PESO]]+Tabla2[[#This Row],[PESO TFB]]</f>
        <v>342</v>
      </c>
    </row>
    <row r="42" spans="1:16" x14ac:dyDescent="0.25">
      <c r="A42" s="3">
        <v>44139</v>
      </c>
      <c r="B42" s="20">
        <v>1</v>
      </c>
      <c r="C42">
        <v>343</v>
      </c>
      <c r="D42" t="s">
        <v>36</v>
      </c>
      <c r="E42" t="s">
        <v>80</v>
      </c>
      <c r="F42" t="s">
        <v>65</v>
      </c>
      <c r="G42">
        <f>344+230</f>
        <v>574</v>
      </c>
      <c r="H42" s="9">
        <v>3034</v>
      </c>
      <c r="I42" s="9">
        <v>2926</v>
      </c>
      <c r="J42" s="9">
        <v>2943</v>
      </c>
      <c r="K42" s="9">
        <v>2353</v>
      </c>
      <c r="N42">
        <f>353+264</f>
        <v>617</v>
      </c>
      <c r="O42" s="8">
        <f t="shared" si="0"/>
        <v>6.9692058346839544E-2</v>
      </c>
      <c r="P42">
        <f>Tabla2[[#This Row],[PESO]]+Tabla2[[#This Row],[PESO TFB]]</f>
        <v>574</v>
      </c>
    </row>
    <row r="43" spans="1:16" x14ac:dyDescent="0.25">
      <c r="A43" s="3">
        <v>44139</v>
      </c>
      <c r="B43" s="20">
        <v>1</v>
      </c>
      <c r="C43">
        <v>343</v>
      </c>
      <c r="D43" t="s">
        <v>36</v>
      </c>
      <c r="E43" t="s">
        <v>20</v>
      </c>
      <c r="F43" t="s">
        <v>67</v>
      </c>
      <c r="G43">
        <v>355</v>
      </c>
      <c r="H43" s="9">
        <v>3034</v>
      </c>
      <c r="I43" s="9">
        <v>2926</v>
      </c>
      <c r="J43" s="9">
        <v>2943</v>
      </c>
      <c r="K43" s="9">
        <v>2353</v>
      </c>
      <c r="N43">
        <v>386</v>
      </c>
      <c r="O43" s="8">
        <f t="shared" si="0"/>
        <v>8.0310880829015538E-2</v>
      </c>
      <c r="P43">
        <f>Tabla2[[#This Row],[PESO]]+Tabla2[[#This Row],[PESO TFB]]</f>
        <v>355</v>
      </c>
    </row>
    <row r="44" spans="1:16" x14ac:dyDescent="0.25">
      <c r="A44" s="3">
        <v>44139</v>
      </c>
      <c r="B44" s="20">
        <v>1</v>
      </c>
      <c r="C44">
        <v>343</v>
      </c>
      <c r="D44" t="s">
        <v>36</v>
      </c>
      <c r="E44" t="s">
        <v>20</v>
      </c>
      <c r="F44" t="s">
        <v>66</v>
      </c>
      <c r="G44">
        <f>365+300</f>
        <v>665</v>
      </c>
      <c r="H44" s="9">
        <v>3034</v>
      </c>
      <c r="I44" s="9">
        <v>2926</v>
      </c>
      <c r="J44" s="9">
        <v>2943</v>
      </c>
      <c r="K44" s="9">
        <v>2353</v>
      </c>
      <c r="N44">
        <f>372+347</f>
        <v>719</v>
      </c>
      <c r="O44" s="8">
        <f t="shared" si="0"/>
        <v>7.5104311543810851E-2</v>
      </c>
      <c r="P44">
        <f>Tabla2[[#This Row],[PESO]]+Tabla2[[#This Row],[PESO TFB]]</f>
        <v>665</v>
      </c>
    </row>
    <row r="45" spans="1:16" x14ac:dyDescent="0.25">
      <c r="A45" s="3">
        <v>44139</v>
      </c>
      <c r="B45" s="20">
        <v>1</v>
      </c>
      <c r="C45">
        <v>343</v>
      </c>
      <c r="D45" t="s">
        <v>36</v>
      </c>
      <c r="E45" t="s">
        <v>68</v>
      </c>
      <c r="F45" t="s">
        <v>60</v>
      </c>
      <c r="G45">
        <v>379</v>
      </c>
      <c r="H45" s="9">
        <v>3034</v>
      </c>
      <c r="I45" s="9">
        <v>2926</v>
      </c>
      <c r="J45" s="9">
        <v>2943</v>
      </c>
      <c r="K45" s="9">
        <v>2353</v>
      </c>
      <c r="N45">
        <v>318</v>
      </c>
      <c r="O45" s="8">
        <f t="shared" si="0"/>
        <v>-0.1918238993710692</v>
      </c>
      <c r="P45">
        <f>Tabla2[[#This Row],[PESO]]+Tabla2[[#This Row],[PESO TFB]]</f>
        <v>379</v>
      </c>
    </row>
    <row r="46" spans="1:16" x14ac:dyDescent="0.25">
      <c r="A46" s="3">
        <v>44139</v>
      </c>
      <c r="B46" s="20">
        <v>1</v>
      </c>
      <c r="C46">
        <v>343</v>
      </c>
      <c r="D46" t="s">
        <v>79</v>
      </c>
      <c r="E46" t="s">
        <v>49</v>
      </c>
      <c r="F46" t="s">
        <v>50</v>
      </c>
      <c r="G46">
        <f>243+221</f>
        <v>464</v>
      </c>
      <c r="H46">
        <v>3035</v>
      </c>
      <c r="I46">
        <v>2927</v>
      </c>
      <c r="J46">
        <v>2944</v>
      </c>
      <c r="K46">
        <v>2355</v>
      </c>
      <c r="N46">
        <v>464</v>
      </c>
      <c r="O46" s="8">
        <f t="shared" si="0"/>
        <v>0</v>
      </c>
      <c r="P46">
        <f>Tabla2[[#This Row],[PESO]]+Tabla2[[#This Row],[PESO TFB]]</f>
        <v>464</v>
      </c>
    </row>
    <row r="47" spans="1:16" x14ac:dyDescent="0.25">
      <c r="A47" s="3">
        <v>44139</v>
      </c>
      <c r="B47" s="20">
        <v>2</v>
      </c>
      <c r="C47">
        <v>103</v>
      </c>
      <c r="D47" t="s">
        <v>113</v>
      </c>
      <c r="E47" t="s">
        <v>101</v>
      </c>
      <c r="F47" t="s">
        <v>74</v>
      </c>
      <c r="G47">
        <f>59+56+80+43</f>
        <v>238</v>
      </c>
      <c r="H47" s="9">
        <v>3046</v>
      </c>
      <c r="I47" s="9">
        <v>2938</v>
      </c>
      <c r="J47" s="9">
        <v>2955</v>
      </c>
      <c r="K47" s="9">
        <v>2387</v>
      </c>
      <c r="O47" s="8"/>
      <c r="P47">
        <f>Tabla2[[#This Row],[PESO]]+Tabla2[[#This Row],[PESO TFB]]</f>
        <v>238</v>
      </c>
    </row>
    <row r="48" spans="1:16" x14ac:dyDescent="0.25">
      <c r="A48" s="3">
        <v>44139</v>
      </c>
      <c r="B48" s="20">
        <v>2</v>
      </c>
      <c r="C48">
        <v>705</v>
      </c>
      <c r="D48" t="s">
        <v>111</v>
      </c>
      <c r="E48" t="s">
        <v>20</v>
      </c>
      <c r="F48" t="s">
        <v>65</v>
      </c>
      <c r="G48">
        <f>82+20</f>
        <v>102</v>
      </c>
      <c r="H48" s="9">
        <v>3036</v>
      </c>
      <c r="I48" s="9">
        <v>2928</v>
      </c>
      <c r="J48" s="9">
        <v>2945</v>
      </c>
      <c r="P48">
        <f>Tabla2[[#This Row],[PESO]]+Tabla2[[#This Row],[PESO TFB]]</f>
        <v>102</v>
      </c>
    </row>
    <row r="49" spans="1:16" x14ac:dyDescent="0.25">
      <c r="A49" s="3">
        <v>44140</v>
      </c>
      <c r="B49" s="20">
        <v>2</v>
      </c>
      <c r="C49">
        <v>705</v>
      </c>
      <c r="D49" t="s">
        <v>111</v>
      </c>
      <c r="E49" t="s">
        <v>20</v>
      </c>
      <c r="F49" t="s">
        <v>66</v>
      </c>
      <c r="G49">
        <f>64+21</f>
        <v>85</v>
      </c>
      <c r="H49" s="9">
        <v>3036</v>
      </c>
      <c r="I49" s="9">
        <v>2928</v>
      </c>
      <c r="J49" s="9">
        <v>2945</v>
      </c>
      <c r="P49">
        <f>Tabla2[[#This Row],[PESO]]+Tabla2[[#This Row],[PESO TFB]]</f>
        <v>85</v>
      </c>
    </row>
    <row r="50" spans="1:16" x14ac:dyDescent="0.25">
      <c r="A50" s="3">
        <v>44140</v>
      </c>
      <c r="B50" s="20">
        <v>2</v>
      </c>
      <c r="C50">
        <v>705</v>
      </c>
      <c r="D50" t="s">
        <v>111</v>
      </c>
      <c r="E50" t="s">
        <v>20</v>
      </c>
      <c r="F50" t="s">
        <v>21</v>
      </c>
      <c r="G50">
        <v>45</v>
      </c>
      <c r="H50" s="9">
        <v>3036</v>
      </c>
      <c r="I50" s="9">
        <v>2928</v>
      </c>
      <c r="J50" s="9">
        <v>2945</v>
      </c>
      <c r="P50">
        <f>Tabla2[[#This Row],[PESO]]+Tabla2[[#This Row],[PESO TFB]]</f>
        <v>45</v>
      </c>
    </row>
    <row r="51" spans="1:16" x14ac:dyDescent="0.25">
      <c r="A51" s="3">
        <v>44140</v>
      </c>
      <c r="B51" s="20">
        <v>2</v>
      </c>
      <c r="C51">
        <v>705</v>
      </c>
      <c r="D51" t="s">
        <v>111</v>
      </c>
      <c r="E51" t="s">
        <v>68</v>
      </c>
      <c r="F51" t="s">
        <v>65</v>
      </c>
      <c r="G51">
        <f>29+37</f>
        <v>66</v>
      </c>
      <c r="H51" s="9">
        <v>3036</v>
      </c>
      <c r="I51" s="9">
        <v>2928</v>
      </c>
      <c r="J51" s="9">
        <v>2945</v>
      </c>
      <c r="P51">
        <f>Tabla2[[#This Row],[PESO]]+Tabla2[[#This Row],[PESO TFB]]</f>
        <v>66</v>
      </c>
    </row>
    <row r="52" spans="1:16" x14ac:dyDescent="0.25">
      <c r="A52" s="3">
        <v>44140</v>
      </c>
      <c r="B52" s="20">
        <v>2</v>
      </c>
      <c r="C52">
        <v>705</v>
      </c>
      <c r="D52" t="s">
        <v>111</v>
      </c>
      <c r="E52" t="s">
        <v>68</v>
      </c>
      <c r="F52" t="s">
        <v>66</v>
      </c>
      <c r="G52">
        <f>64+47</f>
        <v>111</v>
      </c>
      <c r="H52" s="9">
        <v>3036</v>
      </c>
      <c r="I52" s="9">
        <v>2928</v>
      </c>
      <c r="J52" s="9">
        <v>2945</v>
      </c>
      <c r="P52">
        <f>Tabla2[[#This Row],[PESO]]+Tabla2[[#This Row],[PESO TFB]]</f>
        <v>111</v>
      </c>
    </row>
    <row r="53" spans="1:16" x14ac:dyDescent="0.25">
      <c r="A53" s="3">
        <v>44140</v>
      </c>
      <c r="B53" s="20">
        <v>2</v>
      </c>
      <c r="C53">
        <v>705</v>
      </c>
      <c r="D53" t="s">
        <v>111</v>
      </c>
      <c r="E53" t="s">
        <v>68</v>
      </c>
      <c r="F53" t="s">
        <v>60</v>
      </c>
      <c r="G53">
        <f>65+45</f>
        <v>110</v>
      </c>
      <c r="H53" s="9">
        <v>3036</v>
      </c>
      <c r="I53" s="9">
        <v>2928</v>
      </c>
      <c r="J53" s="9">
        <v>2945</v>
      </c>
      <c r="P53">
        <f>Tabla2[[#This Row],[PESO]]+Tabla2[[#This Row],[PESO TFB]]</f>
        <v>110</v>
      </c>
    </row>
    <row r="54" spans="1:16" x14ac:dyDescent="0.25">
      <c r="A54" s="3">
        <v>44140</v>
      </c>
      <c r="B54" s="20">
        <v>2</v>
      </c>
      <c r="C54">
        <v>705</v>
      </c>
      <c r="D54" t="s">
        <v>111</v>
      </c>
      <c r="E54" t="s">
        <v>20</v>
      </c>
      <c r="F54" t="s">
        <v>67</v>
      </c>
      <c r="G54">
        <v>71</v>
      </c>
      <c r="H54" s="9">
        <v>3036</v>
      </c>
      <c r="I54" s="9">
        <v>2928</v>
      </c>
      <c r="J54" s="9">
        <v>2945</v>
      </c>
      <c r="P54">
        <f>Tabla2[[#This Row],[PESO]]+Tabla2[[#This Row],[PESO TFB]]</f>
        <v>71</v>
      </c>
    </row>
    <row r="55" spans="1:16" x14ac:dyDescent="0.25">
      <c r="A55" s="3">
        <v>44140</v>
      </c>
      <c r="B55" s="20">
        <v>2</v>
      </c>
      <c r="C55">
        <v>705</v>
      </c>
      <c r="D55" t="s">
        <v>111</v>
      </c>
      <c r="E55" t="s">
        <v>20</v>
      </c>
      <c r="F55" t="s">
        <v>60</v>
      </c>
      <c r="G55">
        <f>81+112</f>
        <v>193</v>
      </c>
      <c r="H55" s="9">
        <v>3036</v>
      </c>
      <c r="I55" s="9">
        <v>2928</v>
      </c>
      <c r="J55" s="9">
        <v>2945</v>
      </c>
      <c r="P55">
        <f>Tabla2[[#This Row],[PESO]]+Tabla2[[#This Row],[PESO TFB]]</f>
        <v>193</v>
      </c>
    </row>
    <row r="56" spans="1:16" x14ac:dyDescent="0.25">
      <c r="A56" s="3">
        <v>44140</v>
      </c>
      <c r="B56" s="20">
        <v>2</v>
      </c>
      <c r="C56">
        <v>705</v>
      </c>
      <c r="D56" t="s">
        <v>111</v>
      </c>
      <c r="E56" t="s">
        <v>68</v>
      </c>
      <c r="F56" t="s">
        <v>67</v>
      </c>
      <c r="G56">
        <v>39</v>
      </c>
      <c r="H56" s="9">
        <v>3036</v>
      </c>
      <c r="I56" s="9">
        <v>2928</v>
      </c>
      <c r="J56" s="9">
        <v>2945</v>
      </c>
      <c r="P56">
        <f>Tabla2[[#This Row],[PESO]]+Tabla2[[#This Row],[PESO TFB]]</f>
        <v>39</v>
      </c>
    </row>
    <row r="57" spans="1:16" x14ac:dyDescent="0.25">
      <c r="A57" s="3">
        <v>44140</v>
      </c>
      <c r="B57" s="20">
        <v>2</v>
      </c>
      <c r="C57">
        <v>705</v>
      </c>
      <c r="D57" t="s">
        <v>111</v>
      </c>
      <c r="E57" t="s">
        <v>47</v>
      </c>
      <c r="F57" t="s">
        <v>48</v>
      </c>
      <c r="L57">
        <v>106</v>
      </c>
      <c r="M57">
        <v>2357</v>
      </c>
      <c r="P57">
        <f>Tabla2[[#This Row],[PESO]]+Tabla2[[#This Row],[PESO TFB]]</f>
        <v>106</v>
      </c>
    </row>
    <row r="58" spans="1:16" x14ac:dyDescent="0.25">
      <c r="A58" s="3">
        <v>44140</v>
      </c>
      <c r="B58" s="20">
        <v>3</v>
      </c>
      <c r="C58">
        <v>706</v>
      </c>
      <c r="D58" t="s">
        <v>112</v>
      </c>
      <c r="E58" t="s">
        <v>51</v>
      </c>
      <c r="F58" t="s">
        <v>48</v>
      </c>
      <c r="G58">
        <v>64</v>
      </c>
      <c r="H58" s="9">
        <v>3037</v>
      </c>
      <c r="I58" s="9">
        <v>2929</v>
      </c>
      <c r="J58" s="9">
        <v>2946</v>
      </c>
      <c r="K58" s="9">
        <v>2359</v>
      </c>
      <c r="P58">
        <f>Tabla2[[#This Row],[PESO]]+Tabla2[[#This Row],[PESO TFB]]</f>
        <v>64</v>
      </c>
    </row>
    <row r="59" spans="1:16" x14ac:dyDescent="0.25">
      <c r="A59" s="3">
        <v>44140</v>
      </c>
      <c r="B59" s="20">
        <v>3</v>
      </c>
      <c r="C59">
        <v>706</v>
      </c>
      <c r="D59" t="s">
        <v>112</v>
      </c>
      <c r="E59" t="s">
        <v>51</v>
      </c>
      <c r="F59" t="s">
        <v>50</v>
      </c>
      <c r="G59">
        <f>146+129+49+161</f>
        <v>485</v>
      </c>
      <c r="H59" s="9">
        <v>3037</v>
      </c>
      <c r="I59" s="9">
        <v>2929</v>
      </c>
      <c r="J59" s="9">
        <v>2946</v>
      </c>
      <c r="K59" s="9">
        <v>2359</v>
      </c>
      <c r="P59">
        <f>Tabla2[[#This Row],[PESO]]+Tabla2[[#This Row],[PESO TFB]]</f>
        <v>485</v>
      </c>
    </row>
    <row r="60" spans="1:16" x14ac:dyDescent="0.25">
      <c r="A60" s="3">
        <v>44140</v>
      </c>
      <c r="B60" s="20">
        <v>3</v>
      </c>
      <c r="C60">
        <v>706</v>
      </c>
      <c r="D60" t="s">
        <v>112</v>
      </c>
      <c r="E60" t="s">
        <v>20</v>
      </c>
      <c r="F60" t="s">
        <v>59</v>
      </c>
      <c r="G60">
        <f>76+83+63</f>
        <v>222</v>
      </c>
      <c r="H60" s="9">
        <v>3037</v>
      </c>
      <c r="I60" s="9">
        <v>2929</v>
      </c>
      <c r="J60" s="9">
        <v>2946</v>
      </c>
      <c r="K60" s="9">
        <v>2359</v>
      </c>
      <c r="P60">
        <f>Tabla2[[#This Row],[PESO]]+Tabla2[[#This Row],[PESO TFB]]</f>
        <v>222</v>
      </c>
    </row>
    <row r="61" spans="1:16" x14ac:dyDescent="0.25">
      <c r="A61" s="3">
        <v>44140</v>
      </c>
      <c r="B61" s="20">
        <v>3</v>
      </c>
      <c r="C61">
        <v>706</v>
      </c>
      <c r="D61" t="s">
        <v>112</v>
      </c>
      <c r="E61" t="s">
        <v>20</v>
      </c>
      <c r="F61" t="s">
        <v>88</v>
      </c>
      <c r="G61">
        <f>120+106+95</f>
        <v>321</v>
      </c>
      <c r="H61" s="9">
        <v>3037</v>
      </c>
      <c r="I61" s="9">
        <v>2929</v>
      </c>
      <c r="J61" s="9">
        <v>2946</v>
      </c>
      <c r="K61" s="9">
        <v>2359</v>
      </c>
      <c r="P61">
        <f>Tabla2[[#This Row],[PESO]]+Tabla2[[#This Row],[PESO TFB]]</f>
        <v>321</v>
      </c>
    </row>
    <row r="62" spans="1:16" x14ac:dyDescent="0.25">
      <c r="A62" s="3">
        <v>44140</v>
      </c>
      <c r="B62" s="20">
        <v>3</v>
      </c>
      <c r="C62">
        <v>706</v>
      </c>
      <c r="D62" t="s">
        <v>112</v>
      </c>
      <c r="E62" t="s">
        <v>47</v>
      </c>
      <c r="F62" t="s">
        <v>48</v>
      </c>
      <c r="G62">
        <f>61+149+102+158</f>
        <v>470</v>
      </c>
      <c r="H62" s="9">
        <v>3037</v>
      </c>
      <c r="I62" s="9">
        <v>2929</v>
      </c>
      <c r="J62" s="9">
        <v>2946</v>
      </c>
      <c r="K62" s="9">
        <v>2359</v>
      </c>
      <c r="P62">
        <f>Tabla2[[#This Row],[PESO]]+Tabla2[[#This Row],[PESO TFB]]</f>
        <v>470</v>
      </c>
    </row>
    <row r="63" spans="1:16" x14ac:dyDescent="0.25">
      <c r="A63" s="3">
        <v>44140</v>
      </c>
      <c r="B63" s="20">
        <v>3</v>
      </c>
      <c r="C63">
        <v>706</v>
      </c>
      <c r="D63" t="s">
        <v>112</v>
      </c>
      <c r="E63" t="s">
        <v>52</v>
      </c>
      <c r="F63" t="s">
        <v>53</v>
      </c>
      <c r="G63">
        <v>130</v>
      </c>
      <c r="H63" s="9">
        <v>3037</v>
      </c>
      <c r="I63" s="9">
        <v>2929</v>
      </c>
      <c r="J63" s="9">
        <v>2946</v>
      </c>
      <c r="K63" s="9">
        <v>2359</v>
      </c>
      <c r="P63">
        <f>Tabla2[[#This Row],[PESO]]+Tabla2[[#This Row],[PESO TFB]]</f>
        <v>130</v>
      </c>
    </row>
    <row r="64" spans="1:16" x14ac:dyDescent="0.25">
      <c r="A64" s="3">
        <v>44140</v>
      </c>
      <c r="B64" s="20">
        <v>1</v>
      </c>
      <c r="C64">
        <v>344</v>
      </c>
      <c r="D64" t="s">
        <v>79</v>
      </c>
      <c r="E64" t="s">
        <v>49</v>
      </c>
      <c r="F64" t="s">
        <v>50</v>
      </c>
      <c r="G64">
        <v>1245</v>
      </c>
      <c r="H64" s="9">
        <v>3038</v>
      </c>
      <c r="I64" s="9">
        <v>2930</v>
      </c>
      <c r="J64" s="9">
        <v>2947</v>
      </c>
      <c r="K64" s="9">
        <v>2361</v>
      </c>
      <c r="N64">
        <v>1257</v>
      </c>
      <c r="O64" s="8">
        <f t="shared" ref="O64" si="1">(N64-G64)/N64</f>
        <v>9.5465393794749408E-3</v>
      </c>
      <c r="P64">
        <f>Tabla2[[#This Row],[PESO]]+Tabla2[[#This Row],[PESO TFB]]</f>
        <v>1245</v>
      </c>
    </row>
    <row r="65" spans="1:16" x14ac:dyDescent="0.25">
      <c r="A65" s="3">
        <v>44140</v>
      </c>
      <c r="B65" s="20">
        <v>1</v>
      </c>
      <c r="C65">
        <v>704</v>
      </c>
      <c r="D65" t="s">
        <v>112</v>
      </c>
      <c r="E65" t="s">
        <v>45</v>
      </c>
      <c r="L65">
        <f>82+58+31</f>
        <v>171</v>
      </c>
      <c r="M65">
        <v>2367</v>
      </c>
      <c r="P65">
        <f>Tabla2[[#This Row],[PESO]]+Tabla2[[#This Row],[PESO TFB]]</f>
        <v>171</v>
      </c>
    </row>
    <row r="66" spans="1:16" x14ac:dyDescent="0.25">
      <c r="A66" s="3">
        <v>44140</v>
      </c>
      <c r="B66" s="20">
        <v>1</v>
      </c>
      <c r="C66">
        <v>704</v>
      </c>
      <c r="D66" t="s">
        <v>112</v>
      </c>
      <c r="E66" t="s">
        <v>52</v>
      </c>
      <c r="F66" t="s">
        <v>53</v>
      </c>
      <c r="G66">
        <f>80+94</f>
        <v>174</v>
      </c>
      <c r="H66" s="9">
        <v>3039</v>
      </c>
      <c r="I66" s="9">
        <v>2931</v>
      </c>
      <c r="J66">
        <v>2948</v>
      </c>
      <c r="K66" s="9">
        <v>2365</v>
      </c>
      <c r="P66">
        <f>Tabla2[[#This Row],[PESO]]+Tabla2[[#This Row],[PESO TFB]]</f>
        <v>174</v>
      </c>
    </row>
    <row r="67" spans="1:16" x14ac:dyDescent="0.25">
      <c r="A67" s="3">
        <v>44140</v>
      </c>
      <c r="B67" s="20">
        <v>1</v>
      </c>
      <c r="C67">
        <v>704</v>
      </c>
      <c r="D67" t="s">
        <v>112</v>
      </c>
      <c r="E67" t="s">
        <v>47</v>
      </c>
      <c r="F67" t="s">
        <v>48</v>
      </c>
      <c r="G67">
        <v>66</v>
      </c>
      <c r="H67" s="9">
        <v>3039</v>
      </c>
      <c r="I67" s="9">
        <v>2931</v>
      </c>
      <c r="J67">
        <v>2948</v>
      </c>
      <c r="P67">
        <f>Tabla2[[#This Row],[PESO]]+Tabla2[[#This Row],[PESO TFB]]</f>
        <v>66</v>
      </c>
    </row>
    <row r="68" spans="1:16" x14ac:dyDescent="0.25">
      <c r="A68" s="3">
        <v>44140</v>
      </c>
      <c r="B68" s="20">
        <v>1</v>
      </c>
      <c r="C68">
        <v>704</v>
      </c>
      <c r="D68" t="s">
        <v>112</v>
      </c>
      <c r="E68" t="s">
        <v>51</v>
      </c>
      <c r="F68" t="s">
        <v>50</v>
      </c>
      <c r="G68">
        <v>34</v>
      </c>
      <c r="H68" s="9">
        <v>3039</v>
      </c>
      <c r="I68" s="9">
        <v>2931</v>
      </c>
      <c r="J68">
        <v>2948</v>
      </c>
      <c r="K68" s="9">
        <v>2363</v>
      </c>
      <c r="P68">
        <f>Tabla2[[#This Row],[PESO]]+Tabla2[[#This Row],[PESO TFB]]</f>
        <v>34</v>
      </c>
    </row>
    <row r="69" spans="1:16" x14ac:dyDescent="0.25">
      <c r="A69" s="3">
        <v>44140</v>
      </c>
      <c r="B69" s="20">
        <v>1</v>
      </c>
      <c r="C69">
        <v>704</v>
      </c>
      <c r="D69" t="s">
        <v>112</v>
      </c>
      <c r="E69" t="s">
        <v>51</v>
      </c>
      <c r="F69" t="s">
        <v>48</v>
      </c>
      <c r="G69">
        <v>33</v>
      </c>
      <c r="H69" s="9">
        <v>3039</v>
      </c>
      <c r="I69" s="9">
        <v>2931</v>
      </c>
      <c r="J69">
        <v>2948</v>
      </c>
      <c r="K69" s="9">
        <v>2363</v>
      </c>
      <c r="P69">
        <f>Tabla2[[#This Row],[PESO]]+Tabla2[[#This Row],[PESO TFB]]</f>
        <v>33</v>
      </c>
    </row>
    <row r="70" spans="1:16" x14ac:dyDescent="0.25">
      <c r="A70" s="3">
        <v>44140</v>
      </c>
      <c r="B70" s="20">
        <v>1</v>
      </c>
      <c r="C70">
        <v>704</v>
      </c>
      <c r="D70" t="s">
        <v>112</v>
      </c>
      <c r="E70" t="s">
        <v>51</v>
      </c>
      <c r="F70" t="s">
        <v>98</v>
      </c>
      <c r="G70">
        <v>16</v>
      </c>
      <c r="H70" s="9">
        <v>3039</v>
      </c>
      <c r="I70" s="9">
        <v>2931</v>
      </c>
      <c r="J70">
        <v>2948</v>
      </c>
      <c r="K70" s="9">
        <v>2363</v>
      </c>
      <c r="P70">
        <f>Tabla2[[#This Row],[PESO]]+Tabla2[[#This Row],[PESO TFB]]</f>
        <v>16</v>
      </c>
    </row>
    <row r="71" spans="1:16" x14ac:dyDescent="0.25">
      <c r="A71" s="3">
        <v>44140</v>
      </c>
      <c r="B71" s="20">
        <v>1</v>
      </c>
      <c r="C71">
        <v>704</v>
      </c>
      <c r="D71" t="s">
        <v>112</v>
      </c>
      <c r="E71" t="s">
        <v>99</v>
      </c>
      <c r="F71" t="s">
        <v>48</v>
      </c>
      <c r="G71">
        <v>66</v>
      </c>
      <c r="H71" s="9">
        <v>3039</v>
      </c>
      <c r="I71" s="9">
        <v>2931</v>
      </c>
      <c r="J71">
        <v>2948</v>
      </c>
      <c r="K71" s="9"/>
      <c r="P71">
        <f>Tabla2[[#This Row],[PESO]]+Tabla2[[#This Row],[PESO TFB]]</f>
        <v>66</v>
      </c>
    </row>
    <row r="72" spans="1:16" x14ac:dyDescent="0.25">
      <c r="A72" s="3">
        <v>44140</v>
      </c>
      <c r="B72" s="20">
        <v>1</v>
      </c>
      <c r="C72">
        <v>704</v>
      </c>
      <c r="D72" t="s">
        <v>112</v>
      </c>
      <c r="E72" t="s">
        <v>49</v>
      </c>
      <c r="F72" t="s">
        <v>50</v>
      </c>
      <c r="G72">
        <v>8</v>
      </c>
      <c r="H72" s="9">
        <v>3039</v>
      </c>
      <c r="I72" s="9">
        <v>2931</v>
      </c>
      <c r="J72">
        <v>2948</v>
      </c>
      <c r="K72" s="9">
        <v>2363</v>
      </c>
      <c r="P72">
        <f>Tabla2[[#This Row],[PESO]]+Tabla2[[#This Row],[PESO TFB]]</f>
        <v>8</v>
      </c>
    </row>
    <row r="73" spans="1:16" x14ac:dyDescent="0.25">
      <c r="A73" s="3">
        <v>44140</v>
      </c>
      <c r="B73" s="20">
        <v>2</v>
      </c>
      <c r="C73">
        <v>703</v>
      </c>
      <c r="D73" t="s">
        <v>112</v>
      </c>
      <c r="E73" t="s">
        <v>49</v>
      </c>
      <c r="F73" t="s">
        <v>50</v>
      </c>
      <c r="G73">
        <v>99</v>
      </c>
      <c r="H73" s="9">
        <v>3039</v>
      </c>
      <c r="I73" s="9">
        <v>2931</v>
      </c>
      <c r="J73">
        <v>2948</v>
      </c>
      <c r="K73" s="9">
        <v>2363</v>
      </c>
      <c r="P73">
        <f>Tabla2[[#This Row],[PESO]]+Tabla2[[#This Row],[PESO TFB]]</f>
        <v>99</v>
      </c>
    </row>
    <row r="74" spans="1:16" x14ac:dyDescent="0.25">
      <c r="A74" s="3">
        <v>44140</v>
      </c>
      <c r="B74" s="20">
        <v>2</v>
      </c>
      <c r="C74">
        <v>703</v>
      </c>
      <c r="D74" t="s">
        <v>112</v>
      </c>
      <c r="E74" t="s">
        <v>20</v>
      </c>
      <c r="F74" t="s">
        <v>59</v>
      </c>
      <c r="G74">
        <v>84</v>
      </c>
      <c r="H74" s="9">
        <v>3039</v>
      </c>
      <c r="I74" s="9">
        <v>2931</v>
      </c>
      <c r="J74">
        <v>2948</v>
      </c>
      <c r="K74" s="9">
        <v>2363</v>
      </c>
      <c r="P74">
        <f>Tabla2[[#This Row],[PESO]]+Tabla2[[#This Row],[PESO TFB]]</f>
        <v>84</v>
      </c>
    </row>
    <row r="75" spans="1:16" x14ac:dyDescent="0.25">
      <c r="A75" s="3">
        <v>44140</v>
      </c>
      <c r="B75" s="20">
        <v>2</v>
      </c>
      <c r="C75">
        <v>703</v>
      </c>
      <c r="D75" t="s">
        <v>112</v>
      </c>
      <c r="E75" t="s">
        <v>47</v>
      </c>
      <c r="F75" t="s">
        <v>48</v>
      </c>
      <c r="G75">
        <v>127</v>
      </c>
      <c r="H75" s="9">
        <v>3039</v>
      </c>
      <c r="I75" s="9">
        <v>2931</v>
      </c>
      <c r="J75">
        <v>2948</v>
      </c>
      <c r="P75">
        <f>Tabla2[[#This Row],[PESO]]+Tabla2[[#This Row],[PESO TFB]]</f>
        <v>127</v>
      </c>
    </row>
    <row r="76" spans="1:16" x14ac:dyDescent="0.25">
      <c r="A76" s="3">
        <v>44140</v>
      </c>
      <c r="B76" s="20">
        <v>2</v>
      </c>
      <c r="C76">
        <v>703</v>
      </c>
      <c r="D76" t="s">
        <v>112</v>
      </c>
      <c r="E76" t="s">
        <v>51</v>
      </c>
      <c r="F76" t="s">
        <v>50</v>
      </c>
      <c r="G76">
        <f>100+89+111</f>
        <v>300</v>
      </c>
      <c r="H76" s="9">
        <v>3039</v>
      </c>
      <c r="I76" s="9">
        <v>2931</v>
      </c>
      <c r="J76">
        <v>2948</v>
      </c>
      <c r="K76" s="9">
        <v>2363</v>
      </c>
      <c r="P76">
        <f>Tabla2[[#This Row],[PESO]]+Tabla2[[#This Row],[PESO TFB]]</f>
        <v>300</v>
      </c>
    </row>
    <row r="77" spans="1:16" x14ac:dyDescent="0.25">
      <c r="A77" s="3">
        <v>44140</v>
      </c>
      <c r="B77" s="20">
        <v>2</v>
      </c>
      <c r="C77">
        <v>703</v>
      </c>
      <c r="D77" t="s">
        <v>112</v>
      </c>
      <c r="E77" t="s">
        <v>51</v>
      </c>
      <c r="F77" t="s">
        <v>48</v>
      </c>
      <c r="G77">
        <f>71+26</f>
        <v>97</v>
      </c>
      <c r="H77" s="9">
        <v>3039</v>
      </c>
      <c r="I77" s="9">
        <v>2931</v>
      </c>
      <c r="J77">
        <v>2948</v>
      </c>
      <c r="K77" s="9">
        <v>2363</v>
      </c>
      <c r="P77">
        <f>Tabla2[[#This Row],[PESO]]+Tabla2[[#This Row],[PESO TFB]]</f>
        <v>97</v>
      </c>
    </row>
    <row r="78" spans="1:16" x14ac:dyDescent="0.25">
      <c r="A78" s="3">
        <v>44140</v>
      </c>
      <c r="B78" s="20">
        <v>2</v>
      </c>
      <c r="C78">
        <v>703</v>
      </c>
      <c r="D78" t="s">
        <v>112</v>
      </c>
      <c r="E78" t="s">
        <v>52</v>
      </c>
      <c r="F78" t="s">
        <v>53</v>
      </c>
      <c r="G78">
        <v>70</v>
      </c>
      <c r="H78" s="9">
        <v>3039</v>
      </c>
      <c r="I78" s="9">
        <v>2931</v>
      </c>
      <c r="J78">
        <v>2948</v>
      </c>
      <c r="K78" s="9">
        <v>2363</v>
      </c>
      <c r="P78">
        <f>Tabla2[[#This Row],[PESO]]+Tabla2[[#This Row],[PESO TFB]]</f>
        <v>70</v>
      </c>
    </row>
    <row r="79" spans="1:16" x14ac:dyDescent="0.25">
      <c r="A79" s="3">
        <v>44140</v>
      </c>
      <c r="B79" s="20">
        <v>2</v>
      </c>
      <c r="C79">
        <v>703</v>
      </c>
      <c r="D79" t="s">
        <v>112</v>
      </c>
      <c r="E79" t="s">
        <v>45</v>
      </c>
      <c r="L79">
        <v>31</v>
      </c>
      <c r="M79">
        <v>2367</v>
      </c>
      <c r="P79">
        <f>Tabla2[[#This Row],[PESO]]+Tabla2[[#This Row],[PESO TFB]]</f>
        <v>31</v>
      </c>
    </row>
    <row r="80" spans="1:16" x14ac:dyDescent="0.25">
      <c r="A80" s="3">
        <v>44140</v>
      </c>
      <c r="B80" s="20">
        <v>2</v>
      </c>
      <c r="C80">
        <v>104</v>
      </c>
      <c r="D80" t="s">
        <v>113</v>
      </c>
      <c r="E80" t="s">
        <v>101</v>
      </c>
      <c r="F80" t="s">
        <v>74</v>
      </c>
      <c r="G80">
        <v>767</v>
      </c>
      <c r="H80" s="9">
        <v>3045</v>
      </c>
      <c r="I80" s="9">
        <v>2937</v>
      </c>
      <c r="J80">
        <v>2954</v>
      </c>
      <c r="K80" s="9">
        <v>2385</v>
      </c>
      <c r="P80">
        <f>Tabla2[[#This Row],[PESO]]+Tabla2[[#This Row],[PESO TFB]]</f>
        <v>767</v>
      </c>
    </row>
    <row r="81" spans="1:16" x14ac:dyDescent="0.25">
      <c r="A81" s="3">
        <v>44140</v>
      </c>
      <c r="B81" s="20">
        <v>2</v>
      </c>
      <c r="C81">
        <v>713</v>
      </c>
      <c r="D81" t="s">
        <v>112</v>
      </c>
      <c r="E81" t="s">
        <v>45</v>
      </c>
      <c r="L81">
        <f>52+72+40+72+43</f>
        <v>279</v>
      </c>
      <c r="M81">
        <v>2371</v>
      </c>
      <c r="P81">
        <f>Tabla2[[#This Row],[PESO]]+Tabla2[[#This Row],[PESO TFB]]</f>
        <v>279</v>
      </c>
    </row>
    <row r="82" spans="1:16" x14ac:dyDescent="0.25">
      <c r="A82" s="3">
        <v>44141</v>
      </c>
      <c r="B82" s="20">
        <v>2</v>
      </c>
      <c r="C82">
        <v>713</v>
      </c>
      <c r="D82" t="s">
        <v>112</v>
      </c>
      <c r="E82" t="s">
        <v>47</v>
      </c>
      <c r="F82" t="s">
        <v>48</v>
      </c>
      <c r="G82">
        <f>48+40</f>
        <v>88</v>
      </c>
      <c r="H82" s="9">
        <v>3040</v>
      </c>
      <c r="I82" s="9">
        <v>2932</v>
      </c>
      <c r="J82">
        <v>2949</v>
      </c>
      <c r="P82">
        <f>Tabla2[[#This Row],[PESO]]+Tabla2[[#This Row],[PESO TFB]]</f>
        <v>88</v>
      </c>
    </row>
    <row r="83" spans="1:16" x14ac:dyDescent="0.25">
      <c r="A83" s="3">
        <v>44141</v>
      </c>
      <c r="B83" s="20">
        <v>2</v>
      </c>
      <c r="C83">
        <v>713</v>
      </c>
      <c r="D83" t="s">
        <v>112</v>
      </c>
      <c r="E83" t="s">
        <v>78</v>
      </c>
      <c r="F83" t="s">
        <v>48</v>
      </c>
      <c r="G83">
        <f>87+64</f>
        <v>151</v>
      </c>
      <c r="H83" s="9">
        <v>3040</v>
      </c>
      <c r="I83" s="9">
        <v>2932</v>
      </c>
      <c r="J83">
        <v>2949</v>
      </c>
      <c r="P83">
        <f>Tabla2[[#This Row],[PESO]]+Tabla2[[#This Row],[PESO TFB]]</f>
        <v>151</v>
      </c>
    </row>
    <row r="84" spans="1:16" x14ac:dyDescent="0.25">
      <c r="A84" s="3">
        <v>44141</v>
      </c>
      <c r="B84" s="20">
        <v>2</v>
      </c>
      <c r="C84">
        <v>713</v>
      </c>
      <c r="D84" t="s">
        <v>112</v>
      </c>
      <c r="E84" t="s">
        <v>99</v>
      </c>
      <c r="F84" t="s">
        <v>48</v>
      </c>
      <c r="G84">
        <v>114</v>
      </c>
      <c r="H84" s="9">
        <v>3040</v>
      </c>
      <c r="I84" s="9">
        <v>2932</v>
      </c>
      <c r="J84">
        <v>2949</v>
      </c>
      <c r="P84">
        <f>Tabla2[[#This Row],[PESO]]+Tabla2[[#This Row],[PESO TFB]]</f>
        <v>114</v>
      </c>
    </row>
    <row r="85" spans="1:16" x14ac:dyDescent="0.25">
      <c r="A85" s="3">
        <v>44141</v>
      </c>
      <c r="B85" s="20">
        <v>2</v>
      </c>
      <c r="C85">
        <v>713</v>
      </c>
      <c r="D85" t="s">
        <v>112</v>
      </c>
      <c r="E85" t="s">
        <v>52</v>
      </c>
      <c r="F85" t="s">
        <v>53</v>
      </c>
      <c r="G85">
        <f>133+120</f>
        <v>253</v>
      </c>
      <c r="H85" s="9">
        <v>3040</v>
      </c>
      <c r="I85" s="9">
        <v>2932</v>
      </c>
      <c r="J85">
        <v>2949</v>
      </c>
      <c r="K85">
        <v>2369</v>
      </c>
      <c r="P85">
        <f>Tabla2[[#This Row],[PESO]]+Tabla2[[#This Row],[PESO TFB]]</f>
        <v>253</v>
      </c>
    </row>
    <row r="86" spans="1:16" x14ac:dyDescent="0.25">
      <c r="A86" s="3">
        <v>44141</v>
      </c>
      <c r="B86" s="20">
        <v>2</v>
      </c>
      <c r="C86">
        <v>713</v>
      </c>
      <c r="D86" t="s">
        <v>112</v>
      </c>
      <c r="E86" t="s">
        <v>49</v>
      </c>
      <c r="F86" t="s">
        <v>50</v>
      </c>
      <c r="G86">
        <v>41</v>
      </c>
      <c r="H86" s="9">
        <v>3040</v>
      </c>
      <c r="I86" s="9">
        <v>2932</v>
      </c>
      <c r="J86">
        <v>2949</v>
      </c>
      <c r="K86">
        <v>2369</v>
      </c>
      <c r="P86">
        <f>Tabla2[[#This Row],[PESO]]+Tabla2[[#This Row],[PESO TFB]]</f>
        <v>41</v>
      </c>
    </row>
    <row r="87" spans="1:16" x14ac:dyDescent="0.25">
      <c r="A87" s="3">
        <v>44141</v>
      </c>
      <c r="B87" s="20">
        <v>2</v>
      </c>
      <c r="C87">
        <v>713</v>
      </c>
      <c r="D87" t="s">
        <v>112</v>
      </c>
      <c r="E87" t="s">
        <v>51</v>
      </c>
      <c r="F87" t="s">
        <v>50</v>
      </c>
      <c r="G87">
        <v>40</v>
      </c>
      <c r="H87" s="9">
        <v>3040</v>
      </c>
      <c r="I87" s="9">
        <v>2932</v>
      </c>
      <c r="J87">
        <v>2949</v>
      </c>
      <c r="K87">
        <v>2369</v>
      </c>
      <c r="P87">
        <f>Tabla2[[#This Row],[PESO]]+Tabla2[[#This Row],[PESO TFB]]</f>
        <v>40</v>
      </c>
    </row>
    <row r="88" spans="1:16" x14ac:dyDescent="0.25">
      <c r="A88" s="3">
        <v>44141</v>
      </c>
      <c r="B88" s="20">
        <v>2</v>
      </c>
      <c r="C88">
        <v>713</v>
      </c>
      <c r="D88" t="s">
        <v>112</v>
      </c>
      <c r="E88" t="s">
        <v>51</v>
      </c>
      <c r="F88" t="s">
        <v>48</v>
      </c>
      <c r="G88">
        <v>36</v>
      </c>
      <c r="H88" s="9">
        <v>3040</v>
      </c>
      <c r="I88" s="9">
        <v>2932</v>
      </c>
      <c r="J88">
        <v>2949</v>
      </c>
      <c r="K88">
        <v>2369</v>
      </c>
      <c r="P88">
        <f>Tabla2[[#This Row],[PESO]]+Tabla2[[#This Row],[PESO TFB]]</f>
        <v>36</v>
      </c>
    </row>
    <row r="89" spans="1:16" x14ac:dyDescent="0.25">
      <c r="A89" s="3">
        <v>44141</v>
      </c>
      <c r="B89" s="20">
        <v>2</v>
      </c>
      <c r="C89">
        <v>713</v>
      </c>
      <c r="D89" t="s">
        <v>112</v>
      </c>
      <c r="E89" t="s">
        <v>51</v>
      </c>
      <c r="F89" t="s">
        <v>98</v>
      </c>
      <c r="G89">
        <v>29</v>
      </c>
      <c r="H89" s="9">
        <v>3040</v>
      </c>
      <c r="I89" s="9">
        <v>2932</v>
      </c>
      <c r="J89">
        <v>2949</v>
      </c>
      <c r="K89">
        <v>2369</v>
      </c>
      <c r="P89">
        <f>Tabla2[[#This Row],[PESO]]+Tabla2[[#This Row],[PESO TFB]]</f>
        <v>29</v>
      </c>
    </row>
    <row r="90" spans="1:16" x14ac:dyDescent="0.25">
      <c r="A90" s="3">
        <v>44141</v>
      </c>
      <c r="B90" s="20">
        <v>3</v>
      </c>
      <c r="C90">
        <v>710</v>
      </c>
      <c r="D90" t="s">
        <v>112</v>
      </c>
      <c r="E90" t="s">
        <v>51</v>
      </c>
      <c r="F90" t="s">
        <v>50</v>
      </c>
      <c r="G90">
        <f>173+60+133</f>
        <v>366</v>
      </c>
      <c r="H90" s="9">
        <v>3041</v>
      </c>
      <c r="I90" s="9">
        <v>2933</v>
      </c>
      <c r="J90">
        <v>2950</v>
      </c>
      <c r="K90">
        <v>2375</v>
      </c>
      <c r="P90">
        <f>Tabla2[[#This Row],[PESO]]+Tabla2[[#This Row],[PESO TFB]]</f>
        <v>366</v>
      </c>
    </row>
    <row r="91" spans="1:16" x14ac:dyDescent="0.25">
      <c r="A91" s="3">
        <v>44141</v>
      </c>
      <c r="B91" s="20">
        <v>3</v>
      </c>
      <c r="C91">
        <v>710</v>
      </c>
      <c r="D91" t="s">
        <v>112</v>
      </c>
      <c r="E91" t="s">
        <v>51</v>
      </c>
      <c r="F91" t="s">
        <v>48</v>
      </c>
      <c r="G91">
        <f>56+69</f>
        <v>125</v>
      </c>
      <c r="H91" s="9">
        <v>3041</v>
      </c>
      <c r="I91" s="9">
        <v>2933</v>
      </c>
      <c r="J91">
        <v>2950</v>
      </c>
      <c r="K91">
        <v>2375</v>
      </c>
      <c r="P91">
        <f>Tabla2[[#This Row],[PESO]]+Tabla2[[#This Row],[PESO TFB]]</f>
        <v>125</v>
      </c>
    </row>
    <row r="92" spans="1:16" x14ac:dyDescent="0.25">
      <c r="A92" s="3">
        <v>44141</v>
      </c>
      <c r="B92" s="20">
        <v>3</v>
      </c>
      <c r="C92">
        <v>710</v>
      </c>
      <c r="D92" t="s">
        <v>112</v>
      </c>
      <c r="E92" t="s">
        <v>49</v>
      </c>
      <c r="F92" t="s">
        <v>50</v>
      </c>
      <c r="G92">
        <f>147+92</f>
        <v>239</v>
      </c>
      <c r="H92" s="9">
        <v>3041</v>
      </c>
      <c r="I92" s="9">
        <v>2933</v>
      </c>
      <c r="J92">
        <v>2950</v>
      </c>
      <c r="K92">
        <v>2375</v>
      </c>
      <c r="P92">
        <f>Tabla2[[#This Row],[PESO]]+Tabla2[[#This Row],[PESO TFB]]</f>
        <v>239</v>
      </c>
    </row>
    <row r="93" spans="1:16" x14ac:dyDescent="0.25">
      <c r="A93" s="3">
        <v>44141</v>
      </c>
      <c r="B93" s="20">
        <v>3</v>
      </c>
      <c r="C93">
        <v>710</v>
      </c>
      <c r="D93" t="s">
        <v>112</v>
      </c>
      <c r="E93" t="s">
        <v>20</v>
      </c>
      <c r="F93" t="s">
        <v>59</v>
      </c>
      <c r="G93">
        <f>122+70</f>
        <v>192</v>
      </c>
      <c r="H93" s="9">
        <v>3041</v>
      </c>
      <c r="I93" s="9">
        <v>2933</v>
      </c>
      <c r="J93">
        <v>2950</v>
      </c>
      <c r="K93">
        <v>2375</v>
      </c>
      <c r="P93">
        <f>Tabla2[[#This Row],[PESO]]+Tabla2[[#This Row],[PESO TFB]]</f>
        <v>192</v>
      </c>
    </row>
    <row r="94" spans="1:16" x14ac:dyDescent="0.25">
      <c r="A94" s="3">
        <v>44141</v>
      </c>
      <c r="B94" s="20">
        <v>3</v>
      </c>
      <c r="C94">
        <v>710</v>
      </c>
      <c r="D94" t="s">
        <v>112</v>
      </c>
      <c r="E94" t="s">
        <v>47</v>
      </c>
      <c r="F94" t="s">
        <v>48</v>
      </c>
      <c r="G94">
        <f>65+192+147</f>
        <v>404</v>
      </c>
      <c r="H94" s="9">
        <v>3041</v>
      </c>
      <c r="I94" s="9">
        <v>2933</v>
      </c>
      <c r="J94">
        <v>2950</v>
      </c>
      <c r="K94">
        <v>2375</v>
      </c>
      <c r="P94">
        <f>Tabla2[[#This Row],[PESO]]+Tabla2[[#This Row],[PESO TFB]]</f>
        <v>404</v>
      </c>
    </row>
    <row r="95" spans="1:16" x14ac:dyDescent="0.25">
      <c r="A95" s="3">
        <v>44141</v>
      </c>
      <c r="B95" s="20">
        <v>3</v>
      </c>
      <c r="C95">
        <v>710</v>
      </c>
      <c r="D95" t="s">
        <v>112</v>
      </c>
      <c r="E95" t="s">
        <v>52</v>
      </c>
      <c r="F95" t="s">
        <v>53</v>
      </c>
      <c r="G95">
        <v>97</v>
      </c>
      <c r="H95" s="9">
        <v>3041</v>
      </c>
      <c r="I95" s="9">
        <v>2933</v>
      </c>
      <c r="J95">
        <v>2950</v>
      </c>
      <c r="K95">
        <v>2375</v>
      </c>
      <c r="P95">
        <f>Tabla2[[#This Row],[PESO]]+Tabla2[[#This Row],[PESO TFB]]</f>
        <v>97</v>
      </c>
    </row>
    <row r="96" spans="1:16" x14ac:dyDescent="0.25">
      <c r="A96" s="3">
        <v>44141</v>
      </c>
      <c r="B96" s="20">
        <v>3</v>
      </c>
      <c r="C96">
        <v>709</v>
      </c>
      <c r="D96" t="s">
        <v>111</v>
      </c>
      <c r="E96" t="s">
        <v>20</v>
      </c>
      <c r="F96" t="s">
        <v>67</v>
      </c>
      <c r="G96">
        <f>32+30+35+38+52+30+48+40</f>
        <v>305</v>
      </c>
      <c r="H96" s="9">
        <v>3042</v>
      </c>
      <c r="I96" s="9">
        <v>2934</v>
      </c>
      <c r="J96">
        <v>2951</v>
      </c>
      <c r="P96">
        <f>Tabla2[[#This Row],[PESO]]+Tabla2[[#This Row],[PESO TFB]]</f>
        <v>305</v>
      </c>
    </row>
    <row r="97" spans="1:16" x14ac:dyDescent="0.25">
      <c r="A97" s="3">
        <v>44141</v>
      </c>
      <c r="B97" s="20">
        <v>3</v>
      </c>
      <c r="C97">
        <v>709</v>
      </c>
      <c r="D97" t="s">
        <v>111</v>
      </c>
      <c r="E97" t="s">
        <v>20</v>
      </c>
      <c r="F97" t="s">
        <v>60</v>
      </c>
      <c r="G97">
        <f>47+63+37+26+81+52</f>
        <v>306</v>
      </c>
      <c r="H97" s="9">
        <v>3042</v>
      </c>
      <c r="I97" s="9">
        <v>2934</v>
      </c>
      <c r="J97">
        <v>2951</v>
      </c>
      <c r="P97">
        <f>Tabla2[[#This Row],[PESO]]+Tabla2[[#This Row],[PESO TFB]]</f>
        <v>306</v>
      </c>
    </row>
    <row r="98" spans="1:16" x14ac:dyDescent="0.25">
      <c r="A98" s="3">
        <v>44141</v>
      </c>
      <c r="B98" s="20">
        <v>3</v>
      </c>
      <c r="C98">
        <v>709</v>
      </c>
      <c r="D98" t="s">
        <v>111</v>
      </c>
      <c r="E98" t="s">
        <v>20</v>
      </c>
      <c r="F98" t="s">
        <v>21</v>
      </c>
      <c r="G98">
        <f>40+18+26+43+23+88</f>
        <v>238</v>
      </c>
      <c r="H98" s="9">
        <v>3042</v>
      </c>
      <c r="I98" s="9">
        <v>2934</v>
      </c>
      <c r="J98">
        <v>2951</v>
      </c>
      <c r="P98">
        <f>Tabla2[[#This Row],[PESO]]+Tabla2[[#This Row],[PESO TFB]]</f>
        <v>238</v>
      </c>
    </row>
    <row r="99" spans="1:16" x14ac:dyDescent="0.25">
      <c r="A99" s="3">
        <v>44141</v>
      </c>
      <c r="B99" s="20">
        <v>3</v>
      </c>
      <c r="C99">
        <v>709</v>
      </c>
      <c r="D99" t="s">
        <v>111</v>
      </c>
      <c r="E99" t="s">
        <v>20</v>
      </c>
      <c r="F99" t="s">
        <v>65</v>
      </c>
      <c r="G99">
        <f>41+70+30+45+60+84+13+40+32</f>
        <v>415</v>
      </c>
      <c r="H99" s="9">
        <v>3042</v>
      </c>
      <c r="I99" s="9">
        <v>2934</v>
      </c>
      <c r="J99">
        <v>2951</v>
      </c>
      <c r="P99">
        <f>Tabla2[[#This Row],[PESO]]+Tabla2[[#This Row],[PESO TFB]]</f>
        <v>415</v>
      </c>
    </row>
    <row r="100" spans="1:16" x14ac:dyDescent="0.25">
      <c r="A100" s="3">
        <v>44141</v>
      </c>
      <c r="B100" s="20">
        <v>3</v>
      </c>
      <c r="C100">
        <v>709</v>
      </c>
      <c r="D100" t="s">
        <v>111</v>
      </c>
      <c r="E100" t="s">
        <v>20</v>
      </c>
      <c r="F100" t="s">
        <v>66</v>
      </c>
      <c r="G100">
        <f>47+47+48+48+38+45+96+23</f>
        <v>392</v>
      </c>
      <c r="H100" s="9">
        <v>3042</v>
      </c>
      <c r="I100" s="9">
        <v>2934</v>
      </c>
      <c r="J100">
        <v>2951</v>
      </c>
      <c r="P100">
        <f>Tabla2[[#This Row],[PESO]]+Tabla2[[#This Row],[PESO TFB]]</f>
        <v>392</v>
      </c>
    </row>
    <row r="101" spans="1:16" x14ac:dyDescent="0.25">
      <c r="A101" s="3">
        <v>44141</v>
      </c>
      <c r="B101" s="20">
        <v>3</v>
      </c>
      <c r="C101">
        <v>709</v>
      </c>
      <c r="D101" t="s">
        <v>111</v>
      </c>
      <c r="E101" t="s">
        <v>68</v>
      </c>
      <c r="F101" t="s">
        <v>65</v>
      </c>
      <c r="G101">
        <f>66+45+48+18+52+49</f>
        <v>278</v>
      </c>
      <c r="H101" s="9">
        <v>3042</v>
      </c>
      <c r="I101" s="9">
        <v>2934</v>
      </c>
      <c r="J101">
        <v>2951</v>
      </c>
      <c r="P101">
        <f>Tabla2[[#This Row],[PESO]]+Tabla2[[#This Row],[PESO TFB]]</f>
        <v>278</v>
      </c>
    </row>
    <row r="102" spans="1:16" x14ac:dyDescent="0.25">
      <c r="A102" s="3">
        <v>44141</v>
      </c>
      <c r="B102" s="20">
        <v>3</v>
      </c>
      <c r="C102">
        <v>709</v>
      </c>
      <c r="D102" t="s">
        <v>111</v>
      </c>
      <c r="E102" t="s">
        <v>68</v>
      </c>
      <c r="F102" t="s">
        <v>66</v>
      </c>
      <c r="G102">
        <f>37+32+37+33+32+44</f>
        <v>215</v>
      </c>
      <c r="H102" s="9">
        <v>3042</v>
      </c>
      <c r="I102" s="9">
        <v>2934</v>
      </c>
      <c r="J102">
        <v>2951</v>
      </c>
      <c r="P102">
        <f>Tabla2[[#This Row],[PESO]]+Tabla2[[#This Row],[PESO TFB]]</f>
        <v>215</v>
      </c>
    </row>
    <row r="103" spans="1:16" x14ac:dyDescent="0.25">
      <c r="A103" s="3">
        <v>44141</v>
      </c>
      <c r="B103" s="20">
        <v>3</v>
      </c>
      <c r="C103">
        <v>709</v>
      </c>
      <c r="D103" t="s">
        <v>111</v>
      </c>
      <c r="E103" t="s">
        <v>68</v>
      </c>
      <c r="F103" t="s">
        <v>60</v>
      </c>
      <c r="G103">
        <f>47+45+50+76+18</f>
        <v>236</v>
      </c>
      <c r="H103" s="9">
        <v>3042</v>
      </c>
      <c r="I103" s="9">
        <v>2934</v>
      </c>
      <c r="J103">
        <v>2951</v>
      </c>
      <c r="P103">
        <f>Tabla2[[#This Row],[PESO]]+Tabla2[[#This Row],[PESO TFB]]</f>
        <v>236</v>
      </c>
    </row>
    <row r="104" spans="1:16" x14ac:dyDescent="0.25">
      <c r="A104" s="3">
        <v>44141</v>
      </c>
      <c r="B104" s="20">
        <v>3</v>
      </c>
      <c r="C104">
        <v>709</v>
      </c>
      <c r="D104" t="s">
        <v>111</v>
      </c>
      <c r="E104" t="s">
        <v>68</v>
      </c>
      <c r="F104" t="s">
        <v>67</v>
      </c>
      <c r="G104">
        <f>29+19</f>
        <v>48</v>
      </c>
      <c r="H104" s="9">
        <v>3042</v>
      </c>
      <c r="I104" s="9">
        <v>2934</v>
      </c>
      <c r="J104">
        <v>2951</v>
      </c>
      <c r="P104">
        <f>Tabla2[[#This Row],[PESO]]+Tabla2[[#This Row],[PESO TFB]]</f>
        <v>48</v>
      </c>
    </row>
    <row r="105" spans="1:16" x14ac:dyDescent="0.25">
      <c r="A105" s="3">
        <v>44141</v>
      </c>
      <c r="B105" s="20">
        <v>3</v>
      </c>
      <c r="C105">
        <v>709</v>
      </c>
      <c r="D105" t="s">
        <v>111</v>
      </c>
      <c r="E105" t="s">
        <v>52</v>
      </c>
      <c r="F105" t="s">
        <v>53</v>
      </c>
      <c r="G105">
        <v>76</v>
      </c>
      <c r="H105" s="9">
        <v>3042</v>
      </c>
      <c r="I105" s="9">
        <v>2934</v>
      </c>
      <c r="J105">
        <v>2951</v>
      </c>
      <c r="K105">
        <v>2377</v>
      </c>
      <c r="P105">
        <f>Tabla2[[#This Row],[PESO]]+Tabla2[[#This Row],[PESO TFB]]</f>
        <v>76</v>
      </c>
    </row>
    <row r="106" spans="1:16" x14ac:dyDescent="0.25">
      <c r="A106" s="3">
        <v>44141</v>
      </c>
      <c r="B106" s="20">
        <v>3</v>
      </c>
      <c r="C106">
        <v>709</v>
      </c>
      <c r="D106" t="s">
        <v>111</v>
      </c>
      <c r="E106" t="s">
        <v>47</v>
      </c>
      <c r="F106" t="s">
        <v>48</v>
      </c>
      <c r="L106">
        <v>120</v>
      </c>
      <c r="M106">
        <v>2379</v>
      </c>
      <c r="P106">
        <f>Tabla2[[#This Row],[PESO]]+Tabla2[[#This Row],[PESO TFB]]</f>
        <v>120</v>
      </c>
    </row>
    <row r="107" spans="1:16" x14ac:dyDescent="0.25">
      <c r="A107" s="3">
        <v>44141</v>
      </c>
      <c r="B107" s="20">
        <v>2</v>
      </c>
      <c r="C107">
        <v>712</v>
      </c>
      <c r="D107" t="s">
        <v>112</v>
      </c>
      <c r="E107" t="s">
        <v>47</v>
      </c>
      <c r="F107" t="s">
        <v>48</v>
      </c>
      <c r="G107">
        <f>149+80</f>
        <v>229</v>
      </c>
      <c r="H107" s="9">
        <v>3043</v>
      </c>
      <c r="I107" s="9">
        <v>2935</v>
      </c>
      <c r="J107">
        <v>2952</v>
      </c>
      <c r="P107">
        <f>Tabla2[[#This Row],[PESO]]+Tabla2[[#This Row],[PESO TFB]]</f>
        <v>229</v>
      </c>
    </row>
    <row r="108" spans="1:16" x14ac:dyDescent="0.25">
      <c r="A108" s="3">
        <v>44141</v>
      </c>
      <c r="B108" s="20">
        <v>2</v>
      </c>
      <c r="C108">
        <v>712</v>
      </c>
      <c r="D108" t="s">
        <v>112</v>
      </c>
      <c r="E108" t="s">
        <v>51</v>
      </c>
      <c r="F108" t="s">
        <v>50</v>
      </c>
      <c r="G108">
        <f>125+131</f>
        <v>256</v>
      </c>
      <c r="H108" s="9">
        <v>3043</v>
      </c>
      <c r="I108" s="9">
        <v>2935</v>
      </c>
      <c r="J108">
        <v>2952</v>
      </c>
      <c r="K108">
        <v>2381</v>
      </c>
      <c r="P108">
        <f>Tabla2[[#This Row],[PESO]]+Tabla2[[#This Row],[PESO TFB]]</f>
        <v>256</v>
      </c>
    </row>
    <row r="109" spans="1:16" x14ac:dyDescent="0.25">
      <c r="A109" s="3">
        <v>44141</v>
      </c>
      <c r="B109" s="20">
        <v>2</v>
      </c>
      <c r="C109">
        <v>712</v>
      </c>
      <c r="D109" t="s">
        <v>112</v>
      </c>
      <c r="E109" t="s">
        <v>51</v>
      </c>
      <c r="F109" t="s">
        <v>48</v>
      </c>
      <c r="G109">
        <v>66</v>
      </c>
      <c r="H109" s="9">
        <v>3043</v>
      </c>
      <c r="I109" s="9">
        <v>2935</v>
      </c>
      <c r="J109">
        <v>2952</v>
      </c>
      <c r="K109">
        <v>2381</v>
      </c>
      <c r="P109">
        <f>Tabla2[[#This Row],[PESO]]+Tabla2[[#This Row],[PESO TFB]]</f>
        <v>66</v>
      </c>
    </row>
    <row r="110" spans="1:16" x14ac:dyDescent="0.25">
      <c r="A110" s="3">
        <v>44141</v>
      </c>
      <c r="B110" s="20">
        <v>2</v>
      </c>
      <c r="C110">
        <v>712</v>
      </c>
      <c r="D110" t="s">
        <v>112</v>
      </c>
      <c r="E110" t="s">
        <v>20</v>
      </c>
      <c r="F110" t="s">
        <v>59</v>
      </c>
      <c r="G110">
        <v>105</v>
      </c>
      <c r="H110" s="9">
        <v>3043</v>
      </c>
      <c r="I110" s="9">
        <v>2935</v>
      </c>
      <c r="J110">
        <v>2952</v>
      </c>
      <c r="K110">
        <v>2381</v>
      </c>
      <c r="P110">
        <f>Tabla2[[#This Row],[PESO]]+Tabla2[[#This Row],[PESO TFB]]</f>
        <v>105</v>
      </c>
    </row>
    <row r="111" spans="1:16" x14ac:dyDescent="0.25">
      <c r="A111" s="3">
        <v>44141</v>
      </c>
      <c r="B111" s="20">
        <v>2</v>
      </c>
      <c r="C111">
        <v>712</v>
      </c>
      <c r="D111" t="s">
        <v>112</v>
      </c>
      <c r="E111" t="s">
        <v>49</v>
      </c>
      <c r="F111" t="s">
        <v>50</v>
      </c>
      <c r="G111">
        <f>77+106</f>
        <v>183</v>
      </c>
      <c r="H111" s="9">
        <v>3043</v>
      </c>
      <c r="I111" s="9">
        <v>2935</v>
      </c>
      <c r="J111">
        <v>2952</v>
      </c>
      <c r="K111">
        <v>2381</v>
      </c>
      <c r="P111">
        <f>Tabla2[[#This Row],[PESO]]+Tabla2[[#This Row],[PESO TFB]]</f>
        <v>183</v>
      </c>
    </row>
    <row r="112" spans="1:16" x14ac:dyDescent="0.25">
      <c r="A112" s="3">
        <v>44141</v>
      </c>
      <c r="B112" s="20">
        <v>1</v>
      </c>
      <c r="C112">
        <v>105</v>
      </c>
      <c r="D112" t="s">
        <v>113</v>
      </c>
      <c r="E112" t="s">
        <v>101</v>
      </c>
      <c r="F112" t="s">
        <v>74</v>
      </c>
      <c r="G112">
        <v>444</v>
      </c>
      <c r="H112" s="9">
        <v>3044</v>
      </c>
      <c r="I112" s="9">
        <v>2936</v>
      </c>
      <c r="J112">
        <v>2953</v>
      </c>
      <c r="K112">
        <v>2383</v>
      </c>
      <c r="P112">
        <f>Tabla2[[#This Row],[PESO]]+Tabla2[[#This Row],[PESO TFB]]</f>
        <v>444</v>
      </c>
    </row>
    <row r="113" spans="1:16" x14ac:dyDescent="0.25">
      <c r="A113" s="3">
        <v>44141</v>
      </c>
      <c r="B113" s="20">
        <v>1</v>
      </c>
      <c r="C113">
        <v>345</v>
      </c>
      <c r="D113" t="s">
        <v>36</v>
      </c>
      <c r="E113" t="s">
        <v>68</v>
      </c>
      <c r="F113" t="s">
        <v>60</v>
      </c>
      <c r="G113">
        <v>301</v>
      </c>
      <c r="H113" s="9">
        <v>3047</v>
      </c>
      <c r="I113" s="9">
        <v>2939</v>
      </c>
      <c r="J113">
        <v>2956</v>
      </c>
      <c r="K113">
        <v>2389</v>
      </c>
      <c r="N113">
        <v>294</v>
      </c>
      <c r="O113" s="8">
        <f t="shared" ref="O113:O120" si="2">(N113-G113)/N113</f>
        <v>-2.3809523809523808E-2</v>
      </c>
      <c r="P113">
        <f>Tabla2[[#This Row],[PESO]]+Tabla2[[#This Row],[PESO TFB]]</f>
        <v>301</v>
      </c>
    </row>
    <row r="114" spans="1:16" x14ac:dyDescent="0.25">
      <c r="A114" s="3">
        <v>44141</v>
      </c>
      <c r="B114" s="20">
        <v>1</v>
      </c>
      <c r="C114">
        <v>345</v>
      </c>
      <c r="D114" t="s">
        <v>36</v>
      </c>
      <c r="E114" t="s">
        <v>68</v>
      </c>
      <c r="F114" t="s">
        <v>65</v>
      </c>
      <c r="G114">
        <v>331</v>
      </c>
      <c r="H114" s="9">
        <v>3047</v>
      </c>
      <c r="I114" s="9">
        <v>2939</v>
      </c>
      <c r="J114">
        <v>2956</v>
      </c>
      <c r="K114">
        <v>2389</v>
      </c>
      <c r="N114">
        <v>306</v>
      </c>
      <c r="O114" s="8">
        <f t="shared" si="2"/>
        <v>-8.1699346405228759E-2</v>
      </c>
      <c r="P114">
        <f>Tabla2[[#This Row],[PESO]]+Tabla2[[#This Row],[PESO TFB]]</f>
        <v>331</v>
      </c>
    </row>
    <row r="115" spans="1:16" x14ac:dyDescent="0.25">
      <c r="A115" s="3">
        <v>44141</v>
      </c>
      <c r="B115" s="20">
        <v>1</v>
      </c>
      <c r="C115">
        <v>345</v>
      </c>
      <c r="D115" t="s">
        <v>36</v>
      </c>
      <c r="E115" t="s">
        <v>68</v>
      </c>
      <c r="F115" t="s">
        <v>66</v>
      </c>
      <c r="G115">
        <v>417</v>
      </c>
      <c r="H115" s="9">
        <v>3047</v>
      </c>
      <c r="I115" s="9">
        <v>2939</v>
      </c>
      <c r="J115">
        <v>2956</v>
      </c>
      <c r="K115">
        <v>2389</v>
      </c>
      <c r="N115">
        <v>490</v>
      </c>
      <c r="O115" s="8">
        <f t="shared" si="2"/>
        <v>0.1489795918367347</v>
      </c>
      <c r="P115">
        <f>Tabla2[[#This Row],[PESO]]+Tabla2[[#This Row],[PESO TFB]]</f>
        <v>417</v>
      </c>
    </row>
    <row r="116" spans="1:16" x14ac:dyDescent="0.25">
      <c r="A116" s="3">
        <v>44141</v>
      </c>
      <c r="B116" s="20">
        <v>1</v>
      </c>
      <c r="C116">
        <v>345</v>
      </c>
      <c r="D116" t="s">
        <v>36</v>
      </c>
      <c r="E116" t="s">
        <v>20</v>
      </c>
      <c r="F116" t="s">
        <v>21</v>
      </c>
      <c r="G116">
        <v>240</v>
      </c>
      <c r="H116" s="9">
        <v>3047</v>
      </c>
      <c r="I116" s="9">
        <v>2939</v>
      </c>
      <c r="J116">
        <v>2956</v>
      </c>
      <c r="K116">
        <v>2389</v>
      </c>
      <c r="N116">
        <v>264</v>
      </c>
      <c r="O116" s="8">
        <f t="shared" si="2"/>
        <v>9.0909090909090912E-2</v>
      </c>
      <c r="P116">
        <f>Tabla2[[#This Row],[PESO]]+Tabla2[[#This Row],[PESO TFB]]</f>
        <v>240</v>
      </c>
    </row>
    <row r="117" spans="1:16" x14ac:dyDescent="0.25">
      <c r="A117" s="3">
        <v>44141</v>
      </c>
      <c r="B117" s="20">
        <v>1</v>
      </c>
      <c r="C117">
        <v>345</v>
      </c>
      <c r="D117" t="s">
        <v>36</v>
      </c>
      <c r="E117" t="s">
        <v>20</v>
      </c>
      <c r="F117" t="s">
        <v>65</v>
      </c>
      <c r="G117">
        <v>365</v>
      </c>
      <c r="H117" s="9">
        <v>3047</v>
      </c>
      <c r="I117" s="9">
        <v>2939</v>
      </c>
      <c r="J117">
        <v>2956</v>
      </c>
      <c r="K117">
        <v>2389</v>
      </c>
      <c r="N117">
        <v>344</v>
      </c>
      <c r="O117" s="8">
        <f t="shared" si="2"/>
        <v>-6.1046511627906974E-2</v>
      </c>
      <c r="P117">
        <f>Tabla2[[#This Row],[PESO]]+Tabla2[[#This Row],[PESO TFB]]</f>
        <v>365</v>
      </c>
    </row>
    <row r="118" spans="1:16" x14ac:dyDescent="0.25">
      <c r="A118" s="3">
        <v>44141</v>
      </c>
      <c r="B118" s="20">
        <v>1</v>
      </c>
      <c r="C118">
        <v>345</v>
      </c>
      <c r="D118" t="s">
        <v>36</v>
      </c>
      <c r="E118" t="s">
        <v>20</v>
      </c>
      <c r="F118" t="s">
        <v>67</v>
      </c>
      <c r="G118">
        <v>247</v>
      </c>
      <c r="H118" s="9">
        <v>3047</v>
      </c>
      <c r="I118" s="9">
        <v>2939</v>
      </c>
      <c r="J118">
        <v>2956</v>
      </c>
      <c r="K118">
        <v>2389</v>
      </c>
      <c r="N118">
        <v>269</v>
      </c>
      <c r="O118" s="8">
        <f t="shared" si="2"/>
        <v>8.1784386617100371E-2</v>
      </c>
      <c r="P118">
        <f>Tabla2[[#This Row],[PESO]]+Tabla2[[#This Row],[PESO TFB]]</f>
        <v>247</v>
      </c>
    </row>
    <row r="119" spans="1:16" x14ac:dyDescent="0.25">
      <c r="A119" s="3">
        <v>44141</v>
      </c>
      <c r="B119" s="20">
        <v>1</v>
      </c>
      <c r="C119">
        <v>345</v>
      </c>
      <c r="D119" t="s">
        <v>36</v>
      </c>
      <c r="E119" t="s">
        <v>20</v>
      </c>
      <c r="F119" t="s">
        <v>66</v>
      </c>
      <c r="G119">
        <v>179</v>
      </c>
      <c r="H119" s="9">
        <v>3047</v>
      </c>
      <c r="I119" s="9">
        <v>2939</v>
      </c>
      <c r="J119">
        <v>2956</v>
      </c>
      <c r="K119">
        <v>2389</v>
      </c>
      <c r="N119">
        <v>232</v>
      </c>
      <c r="O119" s="8">
        <f t="shared" si="2"/>
        <v>0.22844827586206898</v>
      </c>
      <c r="P119">
        <f>Tabla2[[#This Row],[PESO]]+Tabla2[[#This Row],[PESO TFB]]</f>
        <v>179</v>
      </c>
    </row>
    <row r="120" spans="1:16" x14ac:dyDescent="0.25">
      <c r="A120" s="3">
        <v>44141</v>
      </c>
      <c r="B120" s="20">
        <v>1</v>
      </c>
      <c r="C120">
        <v>345</v>
      </c>
      <c r="D120" t="s">
        <v>36</v>
      </c>
      <c r="E120" t="s">
        <v>20</v>
      </c>
      <c r="F120" t="s">
        <v>60</v>
      </c>
      <c r="G120">
        <v>476</v>
      </c>
      <c r="H120" s="9">
        <v>3047</v>
      </c>
      <c r="I120" s="9">
        <v>2939</v>
      </c>
      <c r="J120">
        <v>2956</v>
      </c>
      <c r="K120">
        <v>2389</v>
      </c>
      <c r="N120">
        <v>436</v>
      </c>
      <c r="O120" s="8">
        <f t="shared" si="2"/>
        <v>-9.1743119266055051E-2</v>
      </c>
      <c r="P120">
        <f>Tabla2[[#This Row],[PESO]]+Tabla2[[#This Row],[PESO TFB]]</f>
        <v>476</v>
      </c>
    </row>
    <row r="121" spans="1:16" x14ac:dyDescent="0.25">
      <c r="A121" s="3">
        <v>44141</v>
      </c>
      <c r="B121" s="20">
        <v>1</v>
      </c>
      <c r="C121">
        <v>346</v>
      </c>
      <c r="D121" t="s">
        <v>36</v>
      </c>
      <c r="E121" t="s">
        <v>49</v>
      </c>
      <c r="F121" t="s">
        <v>50</v>
      </c>
      <c r="G121">
        <f>256+219</f>
        <v>475</v>
      </c>
      <c r="H121" s="9">
        <v>3048</v>
      </c>
      <c r="I121" s="9">
        <v>2940</v>
      </c>
      <c r="J121">
        <v>2957</v>
      </c>
      <c r="K121">
        <v>2391</v>
      </c>
      <c r="N121">
        <v>475</v>
      </c>
      <c r="P121">
        <f>Tabla2[[#This Row],[PESO]]+Tabla2[[#This Row],[PESO TFB]]</f>
        <v>475</v>
      </c>
    </row>
    <row r="122" spans="1:16" x14ac:dyDescent="0.25">
      <c r="A122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Hoja3!$B$3:$B$27</xm:f>
          </x14:formula1>
          <xm:sqref>D2:D121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2"/>
  <sheetViews>
    <sheetView topLeftCell="A4" workbookViewId="0">
      <selection activeCell="G19" sqref="G19"/>
    </sheetView>
  </sheetViews>
  <sheetFormatPr baseColWidth="10" defaultRowHeight="15" x14ac:dyDescent="0.25"/>
  <cols>
    <col min="1" max="1" width="27.5703125" bestFit="1" customWidth="1"/>
    <col min="2" max="2" width="22.42578125" bestFit="1" customWidth="1"/>
    <col min="3" max="4" width="6.28515625" bestFit="1" customWidth="1"/>
    <col min="5" max="5" width="9.42578125" bestFit="1" customWidth="1"/>
    <col min="6" max="6" width="12.5703125" bestFit="1" customWidth="1"/>
    <col min="7" max="7" width="22.28515625" bestFit="1" customWidth="1"/>
  </cols>
  <sheetData>
    <row r="3" spans="1:6" x14ac:dyDescent="0.25">
      <c r="A3" s="96" t="s">
        <v>118</v>
      </c>
      <c r="B3" s="96" t="s">
        <v>108</v>
      </c>
    </row>
    <row r="4" spans="1:6" x14ac:dyDescent="0.25">
      <c r="B4" s="91" t="s">
        <v>174</v>
      </c>
      <c r="E4" s="91" t="s">
        <v>175</v>
      </c>
      <c r="F4" s="91" t="s">
        <v>107</v>
      </c>
    </row>
    <row r="5" spans="1:6" x14ac:dyDescent="0.25">
      <c r="A5" s="96" t="s">
        <v>105</v>
      </c>
      <c r="B5" s="92" t="s">
        <v>171</v>
      </c>
      <c r="C5" s="92" t="s">
        <v>172</v>
      </c>
      <c r="D5" s="92" t="s">
        <v>173</v>
      </c>
    </row>
    <row r="6" spans="1:6" x14ac:dyDescent="0.25">
      <c r="A6" s="97" t="s">
        <v>113</v>
      </c>
      <c r="B6" s="98">
        <v>238</v>
      </c>
      <c r="C6" s="98">
        <v>767</v>
      </c>
      <c r="D6" s="98">
        <v>444</v>
      </c>
      <c r="E6" s="98">
        <v>1449</v>
      </c>
      <c r="F6" s="98">
        <v>1449</v>
      </c>
    </row>
    <row r="7" spans="1:6" x14ac:dyDescent="0.25">
      <c r="A7" s="99" t="s">
        <v>101</v>
      </c>
      <c r="B7" s="98">
        <v>238</v>
      </c>
      <c r="C7" s="98">
        <v>767</v>
      </c>
      <c r="D7" s="98">
        <v>444</v>
      </c>
      <c r="E7" s="98">
        <v>1449</v>
      </c>
      <c r="F7" s="98">
        <v>1449</v>
      </c>
    </row>
    <row r="8" spans="1:6" x14ac:dyDescent="0.25">
      <c r="A8" s="100" t="s">
        <v>74</v>
      </c>
      <c r="B8" s="98">
        <v>238</v>
      </c>
      <c r="C8" s="98">
        <v>767</v>
      </c>
      <c r="D8" s="98">
        <v>444</v>
      </c>
      <c r="E8" s="98">
        <v>1449</v>
      </c>
      <c r="F8" s="98">
        <v>1449</v>
      </c>
    </row>
    <row r="9" spans="1:6" x14ac:dyDescent="0.25">
      <c r="A9" s="97" t="s">
        <v>111</v>
      </c>
      <c r="B9" s="98">
        <v>1716</v>
      </c>
      <c r="C9" s="98">
        <v>826</v>
      </c>
      <c r="D9" s="98">
        <v>2629</v>
      </c>
      <c r="E9" s="98">
        <v>5171</v>
      </c>
      <c r="F9" s="98">
        <v>5171</v>
      </c>
    </row>
    <row r="10" spans="1:6" x14ac:dyDescent="0.25">
      <c r="A10" s="99" t="s">
        <v>52</v>
      </c>
      <c r="B10" s="98">
        <v>27</v>
      </c>
      <c r="C10" s="98"/>
      <c r="D10" s="98">
        <v>76</v>
      </c>
      <c r="E10" s="98">
        <v>103</v>
      </c>
      <c r="F10" s="98">
        <v>103</v>
      </c>
    </row>
    <row r="11" spans="1:6" x14ac:dyDescent="0.25">
      <c r="A11" s="100" t="s">
        <v>53</v>
      </c>
      <c r="B11" s="98"/>
      <c r="C11" s="98"/>
      <c r="D11" s="98">
        <v>76</v>
      </c>
      <c r="E11" s="98">
        <v>76</v>
      </c>
      <c r="F11" s="98">
        <v>76</v>
      </c>
    </row>
    <row r="12" spans="1:6" x14ac:dyDescent="0.25">
      <c r="A12" s="100" t="s">
        <v>106</v>
      </c>
      <c r="B12" s="98">
        <v>27</v>
      </c>
      <c r="C12" s="98"/>
      <c r="D12" s="98"/>
      <c r="E12" s="98">
        <v>27</v>
      </c>
      <c r="F12" s="98">
        <v>27</v>
      </c>
    </row>
    <row r="13" spans="1:6" x14ac:dyDescent="0.25">
      <c r="A13" s="99" t="s">
        <v>68</v>
      </c>
      <c r="B13" s="98">
        <v>443</v>
      </c>
      <c r="C13" s="98">
        <v>326</v>
      </c>
      <c r="D13" s="98">
        <v>777</v>
      </c>
      <c r="E13" s="98">
        <v>1546</v>
      </c>
      <c r="F13" s="98">
        <v>1546</v>
      </c>
    </row>
    <row r="14" spans="1:6" x14ac:dyDescent="0.25">
      <c r="A14" s="100" t="s">
        <v>67</v>
      </c>
      <c r="B14" s="98">
        <v>55</v>
      </c>
      <c r="C14" s="98">
        <v>39</v>
      </c>
      <c r="D14" s="98">
        <v>48</v>
      </c>
      <c r="E14" s="98">
        <v>142</v>
      </c>
      <c r="F14" s="98">
        <v>142</v>
      </c>
    </row>
    <row r="15" spans="1:6" x14ac:dyDescent="0.25">
      <c r="A15" s="100" t="s">
        <v>66</v>
      </c>
      <c r="B15" s="98">
        <v>122</v>
      </c>
      <c r="C15" s="98">
        <v>111</v>
      </c>
      <c r="D15" s="98">
        <v>215</v>
      </c>
      <c r="E15" s="98">
        <v>448</v>
      </c>
      <c r="F15" s="98">
        <v>448</v>
      </c>
    </row>
    <row r="16" spans="1:6" x14ac:dyDescent="0.25">
      <c r="A16" s="100" t="s">
        <v>60</v>
      </c>
      <c r="B16" s="98">
        <v>137</v>
      </c>
      <c r="C16" s="98">
        <v>110</v>
      </c>
      <c r="D16" s="98">
        <v>236</v>
      </c>
      <c r="E16" s="98">
        <v>483</v>
      </c>
      <c r="F16" s="98">
        <v>483</v>
      </c>
    </row>
    <row r="17" spans="1:6" x14ac:dyDescent="0.25">
      <c r="A17" s="100" t="s">
        <v>65</v>
      </c>
      <c r="B17" s="98">
        <v>129</v>
      </c>
      <c r="C17" s="98">
        <v>66</v>
      </c>
      <c r="D17" s="98">
        <v>278</v>
      </c>
      <c r="E17" s="98">
        <v>473</v>
      </c>
      <c r="F17" s="98">
        <v>473</v>
      </c>
    </row>
    <row r="18" spans="1:6" x14ac:dyDescent="0.25">
      <c r="A18" s="99" t="s">
        <v>20</v>
      </c>
      <c r="B18" s="98">
        <v>1206</v>
      </c>
      <c r="C18" s="98">
        <v>394</v>
      </c>
      <c r="D18" s="98">
        <v>1656</v>
      </c>
      <c r="E18" s="98">
        <v>3256</v>
      </c>
      <c r="F18" s="98">
        <v>3256</v>
      </c>
    </row>
    <row r="19" spans="1:6" x14ac:dyDescent="0.25">
      <c r="A19" s="100" t="s">
        <v>67</v>
      </c>
      <c r="B19" s="98">
        <v>200</v>
      </c>
      <c r="C19" s="98">
        <v>71</v>
      </c>
      <c r="D19" s="98">
        <v>305</v>
      </c>
      <c r="E19" s="98">
        <v>576</v>
      </c>
      <c r="F19" s="98">
        <v>576</v>
      </c>
    </row>
    <row r="20" spans="1:6" x14ac:dyDescent="0.25">
      <c r="A20" s="100" t="s">
        <v>66</v>
      </c>
      <c r="B20" s="98">
        <v>225</v>
      </c>
      <c r="C20" s="98">
        <v>85</v>
      </c>
      <c r="D20" s="98">
        <v>392</v>
      </c>
      <c r="E20" s="98">
        <v>702</v>
      </c>
      <c r="F20" s="98">
        <v>702</v>
      </c>
    </row>
    <row r="21" spans="1:6" x14ac:dyDescent="0.25">
      <c r="A21" s="100" t="s">
        <v>60</v>
      </c>
      <c r="B21" s="98">
        <v>237</v>
      </c>
      <c r="C21" s="98">
        <v>193</v>
      </c>
      <c r="D21" s="98">
        <v>306</v>
      </c>
      <c r="E21" s="98">
        <v>736</v>
      </c>
      <c r="F21" s="98">
        <v>736</v>
      </c>
    </row>
    <row r="22" spans="1:6" x14ac:dyDescent="0.25">
      <c r="A22" s="100" t="s">
        <v>65</v>
      </c>
      <c r="B22" s="98">
        <v>386</v>
      </c>
      <c r="C22" s="98"/>
      <c r="D22" s="98">
        <v>415</v>
      </c>
      <c r="E22" s="98">
        <v>801</v>
      </c>
      <c r="F22" s="98">
        <v>801</v>
      </c>
    </row>
    <row r="23" spans="1:6" x14ac:dyDescent="0.25">
      <c r="A23" s="100" t="s">
        <v>21</v>
      </c>
      <c r="B23" s="98">
        <v>158</v>
      </c>
      <c r="C23" s="98">
        <v>45</v>
      </c>
      <c r="D23" s="98">
        <v>238</v>
      </c>
      <c r="E23" s="98">
        <v>441</v>
      </c>
      <c r="F23" s="98">
        <v>441</v>
      </c>
    </row>
    <row r="24" spans="1:6" x14ac:dyDescent="0.25">
      <c r="A24" s="99" t="s">
        <v>47</v>
      </c>
      <c r="B24" s="98">
        <v>40</v>
      </c>
      <c r="C24" s="98">
        <v>106</v>
      </c>
      <c r="D24" s="98">
        <v>120</v>
      </c>
      <c r="E24" s="98">
        <v>266</v>
      </c>
      <c r="F24" s="98">
        <v>266</v>
      </c>
    </row>
    <row r="25" spans="1:6" x14ac:dyDescent="0.25">
      <c r="A25" s="100" t="s">
        <v>48</v>
      </c>
      <c r="B25" s="98">
        <v>40</v>
      </c>
      <c r="C25" s="98">
        <v>106</v>
      </c>
      <c r="D25" s="98">
        <v>120</v>
      </c>
      <c r="E25" s="98">
        <v>266</v>
      </c>
      <c r="F25" s="98">
        <v>266</v>
      </c>
    </row>
    <row r="26" spans="1:6" x14ac:dyDescent="0.25">
      <c r="A26" s="97" t="s">
        <v>112</v>
      </c>
      <c r="B26" s="98">
        <v>2669</v>
      </c>
      <c r="C26" s="98">
        <v>3347</v>
      </c>
      <c r="D26" s="98">
        <v>3014</v>
      </c>
      <c r="E26" s="98">
        <v>9030</v>
      </c>
      <c r="F26" s="98">
        <v>9030</v>
      </c>
    </row>
    <row r="27" spans="1:6" x14ac:dyDescent="0.25">
      <c r="A27" s="99" t="s">
        <v>78</v>
      </c>
      <c r="B27" s="98"/>
      <c r="C27" s="98"/>
      <c r="D27" s="98">
        <v>151</v>
      </c>
      <c r="E27" s="98">
        <v>151</v>
      </c>
      <c r="F27" s="98">
        <v>151</v>
      </c>
    </row>
    <row r="28" spans="1:6" x14ac:dyDescent="0.25">
      <c r="A28" s="100" t="s">
        <v>48</v>
      </c>
      <c r="B28" s="98"/>
      <c r="C28" s="98"/>
      <c r="D28" s="98">
        <v>151</v>
      </c>
      <c r="E28" s="98">
        <v>151</v>
      </c>
      <c r="F28" s="98">
        <v>151</v>
      </c>
    </row>
    <row r="29" spans="1:6" x14ac:dyDescent="0.25">
      <c r="A29" s="99" t="s">
        <v>45</v>
      </c>
      <c r="B29" s="98">
        <v>260</v>
      </c>
      <c r="C29" s="98">
        <v>481</v>
      </c>
      <c r="D29" s="98"/>
      <c r="E29" s="98">
        <v>741</v>
      </c>
      <c r="F29" s="98">
        <v>741</v>
      </c>
    </row>
    <row r="30" spans="1:6" x14ac:dyDescent="0.25">
      <c r="A30" s="100" t="s">
        <v>106</v>
      </c>
      <c r="B30" s="98">
        <v>260</v>
      </c>
      <c r="C30" s="98">
        <v>481</v>
      </c>
      <c r="D30" s="98"/>
      <c r="E30" s="98">
        <v>741</v>
      </c>
      <c r="F30" s="98">
        <v>741</v>
      </c>
    </row>
    <row r="31" spans="1:6" x14ac:dyDescent="0.25">
      <c r="A31" s="99" t="s">
        <v>52</v>
      </c>
      <c r="B31" s="98">
        <v>293</v>
      </c>
      <c r="C31" s="98">
        <v>374</v>
      </c>
      <c r="D31" s="98">
        <v>350</v>
      </c>
      <c r="E31" s="98">
        <v>1017</v>
      </c>
      <c r="F31" s="98">
        <v>1017</v>
      </c>
    </row>
    <row r="32" spans="1:6" x14ac:dyDescent="0.25">
      <c r="A32" s="100" t="s">
        <v>53</v>
      </c>
      <c r="B32" s="98">
        <v>190</v>
      </c>
      <c r="C32" s="98">
        <v>374</v>
      </c>
      <c r="D32" s="98">
        <v>350</v>
      </c>
      <c r="E32" s="98">
        <v>914</v>
      </c>
      <c r="F32" s="98">
        <v>914</v>
      </c>
    </row>
    <row r="33" spans="1:6" x14ac:dyDescent="0.25">
      <c r="A33" s="100" t="s">
        <v>106</v>
      </c>
      <c r="B33" s="98">
        <v>103</v>
      </c>
      <c r="C33" s="98"/>
      <c r="D33" s="98"/>
      <c r="E33" s="98">
        <v>103</v>
      </c>
      <c r="F33" s="98">
        <v>103</v>
      </c>
    </row>
    <row r="34" spans="1:6" x14ac:dyDescent="0.25">
      <c r="A34" s="99" t="s">
        <v>51</v>
      </c>
      <c r="B34" s="98">
        <v>811</v>
      </c>
      <c r="C34" s="98">
        <v>1029</v>
      </c>
      <c r="D34" s="98">
        <v>918</v>
      </c>
      <c r="E34" s="98">
        <v>2758</v>
      </c>
      <c r="F34" s="98">
        <v>2758</v>
      </c>
    </row>
    <row r="35" spans="1:6" x14ac:dyDescent="0.25">
      <c r="A35" s="100" t="s">
        <v>98</v>
      </c>
      <c r="B35" s="98"/>
      <c r="C35" s="98">
        <v>16</v>
      </c>
      <c r="D35" s="98">
        <v>29</v>
      </c>
      <c r="E35" s="98">
        <v>45</v>
      </c>
      <c r="F35" s="98">
        <v>45</v>
      </c>
    </row>
    <row r="36" spans="1:6" x14ac:dyDescent="0.25">
      <c r="A36" s="100" t="s">
        <v>48</v>
      </c>
      <c r="B36" s="98">
        <v>180</v>
      </c>
      <c r="C36" s="98">
        <v>194</v>
      </c>
      <c r="D36" s="98">
        <v>227</v>
      </c>
      <c r="E36" s="98">
        <v>601</v>
      </c>
      <c r="F36" s="98">
        <v>601</v>
      </c>
    </row>
    <row r="37" spans="1:6" x14ac:dyDescent="0.25">
      <c r="A37" s="100" t="s">
        <v>50</v>
      </c>
      <c r="B37" s="98">
        <v>631</v>
      </c>
      <c r="C37" s="98">
        <v>819</v>
      </c>
      <c r="D37" s="98">
        <v>662</v>
      </c>
      <c r="E37" s="98">
        <v>2112</v>
      </c>
      <c r="F37" s="98">
        <v>2112</v>
      </c>
    </row>
    <row r="38" spans="1:6" x14ac:dyDescent="0.25">
      <c r="A38" s="99" t="s">
        <v>20</v>
      </c>
      <c r="B38" s="98">
        <v>270</v>
      </c>
      <c r="C38" s="98">
        <v>627</v>
      </c>
      <c r="D38" s="98">
        <v>297</v>
      </c>
      <c r="E38" s="98">
        <v>1194</v>
      </c>
      <c r="F38" s="98">
        <v>1194</v>
      </c>
    </row>
    <row r="39" spans="1:6" x14ac:dyDescent="0.25">
      <c r="A39" s="100" t="s">
        <v>88</v>
      </c>
      <c r="B39" s="98"/>
      <c r="C39" s="98">
        <v>321</v>
      </c>
      <c r="D39" s="98"/>
      <c r="E39" s="98">
        <v>321</v>
      </c>
      <c r="F39" s="98">
        <v>321</v>
      </c>
    </row>
    <row r="40" spans="1:6" x14ac:dyDescent="0.25">
      <c r="A40" s="100" t="s">
        <v>59</v>
      </c>
      <c r="B40" s="98">
        <v>270</v>
      </c>
      <c r="C40" s="98">
        <v>306</v>
      </c>
      <c r="D40" s="98">
        <v>297</v>
      </c>
      <c r="E40" s="98">
        <v>873</v>
      </c>
      <c r="F40" s="98">
        <v>873</v>
      </c>
    </row>
    <row r="41" spans="1:6" x14ac:dyDescent="0.25">
      <c r="A41" s="99" t="s">
        <v>47</v>
      </c>
      <c r="B41" s="98">
        <v>606</v>
      </c>
      <c r="C41" s="98">
        <v>663</v>
      </c>
      <c r="D41" s="98">
        <v>721</v>
      </c>
      <c r="E41" s="98">
        <v>1990</v>
      </c>
      <c r="F41" s="98">
        <v>1990</v>
      </c>
    </row>
    <row r="42" spans="1:6" x14ac:dyDescent="0.25">
      <c r="A42" s="100" t="s">
        <v>48</v>
      </c>
      <c r="B42" s="98">
        <v>524</v>
      </c>
      <c r="C42" s="98">
        <v>663</v>
      </c>
      <c r="D42" s="98">
        <v>721</v>
      </c>
      <c r="E42" s="98">
        <v>1908</v>
      </c>
      <c r="F42" s="98">
        <v>1908</v>
      </c>
    </row>
    <row r="43" spans="1:6" x14ac:dyDescent="0.25">
      <c r="A43" s="100" t="s">
        <v>60</v>
      </c>
      <c r="B43" s="98">
        <v>82</v>
      </c>
      <c r="C43" s="98"/>
      <c r="D43" s="98"/>
      <c r="E43" s="98">
        <v>82</v>
      </c>
      <c r="F43" s="98">
        <v>82</v>
      </c>
    </row>
    <row r="44" spans="1:6" x14ac:dyDescent="0.25">
      <c r="A44" s="99" t="s">
        <v>49</v>
      </c>
      <c r="B44" s="98">
        <v>429</v>
      </c>
      <c r="C44" s="98">
        <v>107</v>
      </c>
      <c r="D44" s="98">
        <v>463</v>
      </c>
      <c r="E44" s="98">
        <v>999</v>
      </c>
      <c r="F44" s="98">
        <v>999</v>
      </c>
    </row>
    <row r="45" spans="1:6" x14ac:dyDescent="0.25">
      <c r="A45" s="100" t="s">
        <v>50</v>
      </c>
      <c r="B45" s="98">
        <v>429</v>
      </c>
      <c r="C45" s="98">
        <v>107</v>
      </c>
      <c r="D45" s="98">
        <v>463</v>
      </c>
      <c r="E45" s="98">
        <v>999</v>
      </c>
      <c r="F45" s="98">
        <v>999</v>
      </c>
    </row>
    <row r="46" spans="1:6" x14ac:dyDescent="0.25">
      <c r="A46" s="99" t="s">
        <v>99</v>
      </c>
      <c r="B46" s="98"/>
      <c r="C46" s="98">
        <v>66</v>
      </c>
      <c r="D46" s="98">
        <v>114</v>
      </c>
      <c r="E46" s="98">
        <v>180</v>
      </c>
      <c r="F46" s="98">
        <v>180</v>
      </c>
    </row>
    <row r="47" spans="1:6" x14ac:dyDescent="0.25">
      <c r="A47" s="100" t="s">
        <v>48</v>
      </c>
      <c r="B47" s="98"/>
      <c r="C47" s="98">
        <v>66</v>
      </c>
      <c r="D47" s="98">
        <v>114</v>
      </c>
      <c r="E47" s="98">
        <v>180</v>
      </c>
      <c r="F47" s="98">
        <v>180</v>
      </c>
    </row>
    <row r="48" spans="1:6" x14ac:dyDescent="0.25">
      <c r="A48" s="97" t="s">
        <v>33</v>
      </c>
      <c r="B48" s="98">
        <v>1535</v>
      </c>
      <c r="C48" s="98"/>
      <c r="D48" s="98"/>
      <c r="E48" s="98">
        <v>1535</v>
      </c>
      <c r="F48" s="98">
        <v>1535</v>
      </c>
    </row>
    <row r="49" spans="1:6" x14ac:dyDescent="0.25">
      <c r="A49" s="99" t="s">
        <v>78</v>
      </c>
      <c r="B49" s="98">
        <v>386</v>
      </c>
      <c r="C49" s="98"/>
      <c r="D49" s="98"/>
      <c r="E49" s="98">
        <v>386</v>
      </c>
      <c r="F49" s="98">
        <v>386</v>
      </c>
    </row>
    <row r="50" spans="1:6" x14ac:dyDescent="0.25">
      <c r="A50" s="100" t="s">
        <v>60</v>
      </c>
      <c r="B50" s="98">
        <v>386</v>
      </c>
      <c r="C50" s="98"/>
      <c r="D50" s="98"/>
      <c r="E50" s="98">
        <v>386</v>
      </c>
      <c r="F50" s="98">
        <v>386</v>
      </c>
    </row>
    <row r="51" spans="1:6" x14ac:dyDescent="0.25">
      <c r="A51" s="99" t="s">
        <v>47</v>
      </c>
      <c r="B51" s="98">
        <v>1149</v>
      </c>
      <c r="C51" s="98"/>
      <c r="D51" s="98"/>
      <c r="E51" s="98">
        <v>1149</v>
      </c>
      <c r="F51" s="98">
        <v>1149</v>
      </c>
    </row>
    <row r="52" spans="1:6" x14ac:dyDescent="0.25">
      <c r="A52" s="100" t="s">
        <v>48</v>
      </c>
      <c r="B52" s="98">
        <v>1149</v>
      </c>
      <c r="C52" s="98"/>
      <c r="D52" s="98"/>
      <c r="E52" s="98">
        <v>1149</v>
      </c>
      <c r="F52" s="98">
        <v>1149</v>
      </c>
    </row>
    <row r="53" spans="1:6" x14ac:dyDescent="0.25">
      <c r="A53" s="97" t="s">
        <v>36</v>
      </c>
      <c r="B53" s="98">
        <v>2888</v>
      </c>
      <c r="C53" s="98"/>
      <c r="D53" s="98">
        <v>3031</v>
      </c>
      <c r="E53" s="98">
        <v>5919</v>
      </c>
      <c r="F53" s="98">
        <v>5919</v>
      </c>
    </row>
    <row r="54" spans="1:6" x14ac:dyDescent="0.25">
      <c r="A54" s="99" t="s">
        <v>68</v>
      </c>
      <c r="B54" s="98">
        <v>728</v>
      </c>
      <c r="C54" s="98"/>
      <c r="D54" s="98">
        <v>1049</v>
      </c>
      <c r="E54" s="98">
        <v>1777</v>
      </c>
      <c r="F54" s="98">
        <v>1777</v>
      </c>
    </row>
    <row r="55" spans="1:6" x14ac:dyDescent="0.25">
      <c r="A55" s="100" t="s">
        <v>67</v>
      </c>
      <c r="B55" s="98">
        <v>349</v>
      </c>
      <c r="C55" s="98"/>
      <c r="D55" s="98"/>
      <c r="E55" s="98">
        <v>349</v>
      </c>
      <c r="F55" s="98">
        <v>349</v>
      </c>
    </row>
    <row r="56" spans="1:6" x14ac:dyDescent="0.25">
      <c r="A56" s="100" t="s">
        <v>66</v>
      </c>
      <c r="B56" s="98"/>
      <c r="C56" s="98"/>
      <c r="D56" s="98">
        <v>417</v>
      </c>
      <c r="E56" s="98">
        <v>417</v>
      </c>
      <c r="F56" s="98">
        <v>417</v>
      </c>
    </row>
    <row r="57" spans="1:6" x14ac:dyDescent="0.25">
      <c r="A57" s="100" t="s">
        <v>60</v>
      </c>
      <c r="B57" s="98">
        <v>379</v>
      </c>
      <c r="C57" s="98"/>
      <c r="D57" s="98">
        <v>301</v>
      </c>
      <c r="E57" s="98">
        <v>680</v>
      </c>
      <c r="F57" s="98">
        <v>680</v>
      </c>
    </row>
    <row r="58" spans="1:6" x14ac:dyDescent="0.25">
      <c r="A58" s="100" t="s">
        <v>65</v>
      </c>
      <c r="B58" s="98"/>
      <c r="C58" s="98"/>
      <c r="D58" s="98">
        <v>331</v>
      </c>
      <c r="E58" s="98">
        <v>331</v>
      </c>
      <c r="F58" s="98">
        <v>331</v>
      </c>
    </row>
    <row r="59" spans="1:6" x14ac:dyDescent="0.25">
      <c r="A59" s="99" t="s">
        <v>20</v>
      </c>
      <c r="B59" s="98">
        <v>1586</v>
      </c>
      <c r="C59" s="98"/>
      <c r="D59" s="98">
        <v>1507</v>
      </c>
      <c r="E59" s="98">
        <v>3093</v>
      </c>
      <c r="F59" s="98">
        <v>3093</v>
      </c>
    </row>
    <row r="60" spans="1:6" x14ac:dyDescent="0.25">
      <c r="A60" s="100" t="s">
        <v>67</v>
      </c>
      <c r="B60" s="98">
        <v>355</v>
      </c>
      <c r="C60" s="98"/>
      <c r="D60" s="98">
        <v>247</v>
      </c>
      <c r="E60" s="98">
        <v>602</v>
      </c>
      <c r="F60" s="98">
        <v>602</v>
      </c>
    </row>
    <row r="61" spans="1:6" x14ac:dyDescent="0.25">
      <c r="A61" s="100" t="s">
        <v>66</v>
      </c>
      <c r="B61" s="98">
        <v>665</v>
      </c>
      <c r="C61" s="98"/>
      <c r="D61" s="98">
        <v>179</v>
      </c>
      <c r="E61" s="98">
        <v>844</v>
      </c>
      <c r="F61" s="98">
        <v>844</v>
      </c>
    </row>
    <row r="62" spans="1:6" x14ac:dyDescent="0.25">
      <c r="A62" s="100" t="s">
        <v>60</v>
      </c>
      <c r="B62" s="98">
        <v>342</v>
      </c>
      <c r="C62" s="98"/>
      <c r="D62" s="98">
        <v>476</v>
      </c>
      <c r="E62" s="98">
        <v>818</v>
      </c>
      <c r="F62" s="98">
        <v>818</v>
      </c>
    </row>
    <row r="63" spans="1:6" x14ac:dyDescent="0.25">
      <c r="A63" s="100" t="s">
        <v>65</v>
      </c>
      <c r="B63" s="98"/>
      <c r="C63" s="98"/>
      <c r="D63" s="98">
        <v>365</v>
      </c>
      <c r="E63" s="98">
        <v>365</v>
      </c>
      <c r="F63" s="98">
        <v>365</v>
      </c>
    </row>
    <row r="64" spans="1:6" x14ac:dyDescent="0.25">
      <c r="A64" s="100" t="s">
        <v>21</v>
      </c>
      <c r="B64" s="98">
        <v>224</v>
      </c>
      <c r="C64" s="98"/>
      <c r="D64" s="98">
        <v>240</v>
      </c>
      <c r="E64" s="98">
        <v>464</v>
      </c>
      <c r="F64" s="98">
        <v>464</v>
      </c>
    </row>
    <row r="65" spans="1:6" x14ac:dyDescent="0.25">
      <c r="A65" s="99" t="s">
        <v>80</v>
      </c>
      <c r="B65" s="98">
        <v>574</v>
      </c>
      <c r="C65" s="98"/>
      <c r="D65" s="98"/>
      <c r="E65" s="98">
        <v>574</v>
      </c>
      <c r="F65" s="98">
        <v>574</v>
      </c>
    </row>
    <row r="66" spans="1:6" x14ac:dyDescent="0.25">
      <c r="A66" s="100" t="s">
        <v>65</v>
      </c>
      <c r="B66" s="98">
        <v>574</v>
      </c>
      <c r="C66" s="98"/>
      <c r="D66" s="98"/>
      <c r="E66" s="98">
        <v>574</v>
      </c>
      <c r="F66" s="98">
        <v>574</v>
      </c>
    </row>
    <row r="67" spans="1:6" x14ac:dyDescent="0.25">
      <c r="A67" s="99" t="s">
        <v>49</v>
      </c>
      <c r="B67" s="98"/>
      <c r="C67" s="98"/>
      <c r="D67" s="98">
        <v>475</v>
      </c>
      <c r="E67" s="98">
        <v>475</v>
      </c>
      <c r="F67" s="98">
        <v>475</v>
      </c>
    </row>
    <row r="68" spans="1:6" x14ac:dyDescent="0.25">
      <c r="A68" s="100" t="s">
        <v>50</v>
      </c>
      <c r="B68" s="98"/>
      <c r="C68" s="98"/>
      <c r="D68" s="98">
        <v>475</v>
      </c>
      <c r="E68" s="98">
        <v>475</v>
      </c>
      <c r="F68" s="98">
        <v>475</v>
      </c>
    </row>
    <row r="69" spans="1:6" x14ac:dyDescent="0.25">
      <c r="A69" s="97" t="s">
        <v>79</v>
      </c>
      <c r="B69" s="98">
        <v>464</v>
      </c>
      <c r="C69" s="98">
        <v>1245</v>
      </c>
      <c r="D69" s="98"/>
      <c r="E69" s="98">
        <v>1709</v>
      </c>
      <c r="F69" s="98">
        <v>1709</v>
      </c>
    </row>
    <row r="70" spans="1:6" x14ac:dyDescent="0.25">
      <c r="A70" s="99" t="s">
        <v>49</v>
      </c>
      <c r="B70" s="98">
        <v>464</v>
      </c>
      <c r="C70" s="98">
        <v>1245</v>
      </c>
      <c r="D70" s="98"/>
      <c r="E70" s="98">
        <v>1709</v>
      </c>
      <c r="F70" s="98">
        <v>1709</v>
      </c>
    </row>
    <row r="71" spans="1:6" x14ac:dyDescent="0.25">
      <c r="A71" s="100" t="s">
        <v>50</v>
      </c>
      <c r="B71" s="98">
        <v>464</v>
      </c>
      <c r="C71" s="98">
        <v>1245</v>
      </c>
      <c r="D71" s="98"/>
      <c r="E71" s="98">
        <v>1709</v>
      </c>
      <c r="F71" s="98">
        <v>1709</v>
      </c>
    </row>
    <row r="72" spans="1:6" x14ac:dyDescent="0.25">
      <c r="A72" s="97" t="s">
        <v>107</v>
      </c>
      <c r="B72" s="98">
        <v>9510</v>
      </c>
      <c r="C72" s="98">
        <v>6185</v>
      </c>
      <c r="D72" s="98">
        <v>9118</v>
      </c>
      <c r="E72" s="98">
        <v>24813</v>
      </c>
      <c r="F72" s="98">
        <v>24813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opLeftCell="A4" workbookViewId="0">
      <selection activeCell="F26" sqref="F26"/>
    </sheetView>
  </sheetViews>
  <sheetFormatPr baseColWidth="10" defaultRowHeight="15" x14ac:dyDescent="0.25"/>
  <cols>
    <col min="1" max="1" width="24.42578125" bestFit="1" customWidth="1"/>
    <col min="2" max="2" width="12" bestFit="1" customWidth="1"/>
    <col min="3" max="3" width="32.42578125" bestFit="1" customWidth="1"/>
    <col min="4" max="5" width="11.42578125" style="90"/>
  </cols>
  <sheetData>
    <row r="1" spans="1:13" x14ac:dyDescent="0.25">
      <c r="E1" s="90" t="s">
        <v>181</v>
      </c>
      <c r="F1" s="5" t="s">
        <v>180</v>
      </c>
    </row>
    <row r="2" spans="1:13" x14ac:dyDescent="0.25">
      <c r="A2" s="103" t="s">
        <v>29</v>
      </c>
      <c r="B2" s="104" t="s">
        <v>84</v>
      </c>
      <c r="C2" s="103" t="str">
        <f>A2&amp;B2</f>
        <v>AGLOMERADOAlta Seco</v>
      </c>
      <c r="D2" s="105">
        <v>650</v>
      </c>
      <c r="E2" s="106">
        <f>D2/10</f>
        <v>65</v>
      </c>
      <c r="F2" s="91">
        <v>1.1798461538461539E-2</v>
      </c>
      <c r="J2" t="s">
        <v>145</v>
      </c>
      <c r="K2" t="s">
        <v>93</v>
      </c>
      <c r="L2" t="s">
        <v>146</v>
      </c>
      <c r="M2">
        <v>1.1361111111111112E-2</v>
      </c>
    </row>
    <row r="3" spans="1:13" x14ac:dyDescent="0.25">
      <c r="A3" s="103" t="s">
        <v>29</v>
      </c>
      <c r="B3" s="104" t="s">
        <v>85</v>
      </c>
      <c r="C3" s="103" t="str">
        <f t="shared" ref="C3:C27" si="0">A3&amp;B3</f>
        <v>AGLOMERADOBaja Seco</v>
      </c>
      <c r="D3" s="105">
        <v>900</v>
      </c>
      <c r="E3" s="106">
        <f t="shared" ref="E3:E27" si="1">D3/10</f>
        <v>90</v>
      </c>
      <c r="F3" s="91">
        <v>8.5211111111111112E-3</v>
      </c>
      <c r="J3" t="s">
        <v>145</v>
      </c>
      <c r="K3" t="s">
        <v>45</v>
      </c>
      <c r="L3" t="s">
        <v>147</v>
      </c>
      <c r="M3">
        <v>6.2347560975609759E-3</v>
      </c>
    </row>
    <row r="4" spans="1:13" x14ac:dyDescent="0.25">
      <c r="A4" s="103" t="s">
        <v>29</v>
      </c>
      <c r="B4" s="104" t="s">
        <v>86</v>
      </c>
      <c r="C4" s="103" t="str">
        <f t="shared" si="0"/>
        <v>AGLOMERADOChicle Seco</v>
      </c>
      <c r="D4" s="105">
        <v>750</v>
      </c>
      <c r="E4" s="106">
        <f t="shared" si="1"/>
        <v>75</v>
      </c>
      <c r="F4" s="91">
        <v>1.0225333333333333E-2</v>
      </c>
      <c r="J4" t="s">
        <v>145</v>
      </c>
      <c r="K4" t="s">
        <v>45</v>
      </c>
      <c r="L4" t="s">
        <v>87</v>
      </c>
      <c r="M4">
        <v>5.5570652173913045E-3</v>
      </c>
    </row>
    <row r="5" spans="1:13" x14ac:dyDescent="0.25">
      <c r="A5" s="103" t="s">
        <v>113</v>
      </c>
      <c r="B5" s="104" t="s">
        <v>94</v>
      </c>
      <c r="C5" s="103" t="str">
        <f t="shared" si="0"/>
        <v>CLASIFICACIÓN FILMMONTAÑA</v>
      </c>
      <c r="D5" s="105">
        <v>450</v>
      </c>
      <c r="E5" s="106">
        <f t="shared" si="1"/>
        <v>45</v>
      </c>
      <c r="F5" s="91">
        <v>1.1361111111111112E-2</v>
      </c>
      <c r="J5" t="s">
        <v>145</v>
      </c>
      <c r="K5" t="s">
        <v>47</v>
      </c>
      <c r="L5" t="s">
        <v>147</v>
      </c>
      <c r="M5">
        <v>9.295454545454546E-3</v>
      </c>
    </row>
    <row r="6" spans="1:13" x14ac:dyDescent="0.25">
      <c r="A6" s="103" t="s">
        <v>113</v>
      </c>
      <c r="B6" s="103" t="s">
        <v>71</v>
      </c>
      <c r="C6" s="103" t="str">
        <f t="shared" si="0"/>
        <v>CLASIFICACIÓN FILMGALPON</v>
      </c>
      <c r="D6" s="105">
        <v>450</v>
      </c>
      <c r="E6" s="106">
        <f t="shared" si="1"/>
        <v>45</v>
      </c>
      <c r="F6" s="91">
        <v>1.1361111111111112E-2</v>
      </c>
      <c r="J6" t="s">
        <v>145</v>
      </c>
      <c r="K6" t="s">
        <v>47</v>
      </c>
      <c r="L6" t="s">
        <v>178</v>
      </c>
      <c r="M6">
        <v>1.1361111111111112E-2</v>
      </c>
    </row>
    <row r="7" spans="1:13" x14ac:dyDescent="0.25">
      <c r="A7" s="103" t="s">
        <v>112</v>
      </c>
      <c r="B7" s="103" t="s">
        <v>55</v>
      </c>
      <c r="C7" s="103" t="str">
        <f t="shared" si="0"/>
        <v>CLASIFICACIÓN SOPLADOPACAS</v>
      </c>
      <c r="D7" s="105">
        <v>550</v>
      </c>
      <c r="E7" s="106">
        <f t="shared" si="1"/>
        <v>55</v>
      </c>
      <c r="F7" s="91">
        <v>9.295454545454546E-3</v>
      </c>
      <c r="J7" t="s">
        <v>145</v>
      </c>
      <c r="K7" t="s">
        <v>47</v>
      </c>
      <c r="L7" t="s">
        <v>87</v>
      </c>
      <c r="M7">
        <v>6.3906249999999996E-3</v>
      </c>
    </row>
    <row r="8" spans="1:13" x14ac:dyDescent="0.25">
      <c r="A8" s="103" t="s">
        <v>112</v>
      </c>
      <c r="B8" s="19" t="s">
        <v>42</v>
      </c>
      <c r="C8" s="103" t="str">
        <f t="shared" si="0"/>
        <v>CLASIFICACIÓN SOPLADOTULAS</v>
      </c>
      <c r="D8" s="105">
        <v>450</v>
      </c>
      <c r="E8" s="106">
        <f t="shared" si="1"/>
        <v>45</v>
      </c>
      <c r="F8" s="91">
        <v>1.1361111111111112E-2</v>
      </c>
      <c r="J8" t="s">
        <v>148</v>
      </c>
      <c r="K8" t="s">
        <v>93</v>
      </c>
      <c r="L8" t="s">
        <v>149</v>
      </c>
      <c r="M8">
        <v>5.1126666666666664E-3</v>
      </c>
    </row>
    <row r="9" spans="1:13" s="91" customFormat="1" x14ac:dyDescent="0.25">
      <c r="A9" s="103" t="s">
        <v>112</v>
      </c>
      <c r="B9" s="19" t="s">
        <v>62</v>
      </c>
      <c r="C9" s="103" t="str">
        <f t="shared" si="0"/>
        <v>CLASIFICACIÓN SOPLADOPIE</v>
      </c>
      <c r="D9" s="105">
        <v>800</v>
      </c>
      <c r="E9" s="106">
        <f t="shared" si="1"/>
        <v>80</v>
      </c>
      <c r="F9" s="91">
        <v>6.3906249999999996E-3</v>
      </c>
      <c r="J9" s="91" t="s">
        <v>148</v>
      </c>
      <c r="K9" s="91" t="s">
        <v>45</v>
      </c>
      <c r="L9" s="91" t="s">
        <v>150</v>
      </c>
      <c r="M9" s="91">
        <v>1.0955714285714286E-3</v>
      </c>
    </row>
    <row r="10" spans="1:13" x14ac:dyDescent="0.25">
      <c r="A10" s="103" t="s">
        <v>111</v>
      </c>
      <c r="B10" s="103" t="s">
        <v>55</v>
      </c>
      <c r="C10" s="103" t="str">
        <f t="shared" si="0"/>
        <v>CLASIFICACIÓN HOGARPACAS</v>
      </c>
      <c r="D10" s="105">
        <v>820</v>
      </c>
      <c r="E10" s="106">
        <f t="shared" si="1"/>
        <v>82</v>
      </c>
      <c r="F10" s="91">
        <v>6.2347560975609759E-3</v>
      </c>
      <c r="J10" t="s">
        <v>148</v>
      </c>
      <c r="K10" t="s">
        <v>47</v>
      </c>
      <c r="L10" t="s">
        <v>88</v>
      </c>
      <c r="M10">
        <v>2.1911428571428572E-3</v>
      </c>
    </row>
    <row r="11" spans="1:13" x14ac:dyDescent="0.25">
      <c r="A11" s="103" t="s">
        <v>111</v>
      </c>
      <c r="B11" s="104" t="s">
        <v>87</v>
      </c>
      <c r="C11" s="103" t="str">
        <f t="shared" si="0"/>
        <v>CLASIFICACIÓN HOGARPie</v>
      </c>
      <c r="D11" s="105">
        <v>920</v>
      </c>
      <c r="E11" s="106">
        <f t="shared" si="1"/>
        <v>92</v>
      </c>
      <c r="F11" s="91">
        <v>5.5570652173913045E-3</v>
      </c>
      <c r="J11" t="s">
        <v>151</v>
      </c>
      <c r="K11" t="s">
        <v>93</v>
      </c>
      <c r="L11" t="s">
        <v>89</v>
      </c>
      <c r="M11">
        <v>1.9172499999999999E-3</v>
      </c>
    </row>
    <row r="12" spans="1:13" x14ac:dyDescent="0.25">
      <c r="A12" s="103" t="s">
        <v>33</v>
      </c>
      <c r="B12" s="104" t="s">
        <v>93</v>
      </c>
      <c r="C12" s="103" t="str">
        <f t="shared" si="0"/>
        <v>LAVADOFILM</v>
      </c>
      <c r="D12" s="105">
        <v>1500</v>
      </c>
      <c r="E12" s="106">
        <f t="shared" si="1"/>
        <v>150</v>
      </c>
      <c r="F12" s="91">
        <v>5.1126666666666664E-3</v>
      </c>
      <c r="J12" t="s">
        <v>151</v>
      </c>
      <c r="K12" t="s">
        <v>93</v>
      </c>
      <c r="L12" t="s">
        <v>90</v>
      </c>
      <c r="M12">
        <v>1.9172499999999999E-3</v>
      </c>
    </row>
    <row r="13" spans="1:13" x14ac:dyDescent="0.25">
      <c r="A13" s="103" t="s">
        <v>33</v>
      </c>
      <c r="B13" s="103" t="s">
        <v>45</v>
      </c>
      <c r="C13" s="103" t="str">
        <f t="shared" si="0"/>
        <v>LAVADOHOGAR</v>
      </c>
      <c r="D13" s="105">
        <v>7000</v>
      </c>
      <c r="E13" s="106">
        <f t="shared" si="1"/>
        <v>700</v>
      </c>
      <c r="F13" s="91">
        <v>1.0955714285714286E-3</v>
      </c>
      <c r="J13" t="s">
        <v>151</v>
      </c>
      <c r="K13" t="s">
        <v>93</v>
      </c>
      <c r="L13" t="s">
        <v>91</v>
      </c>
      <c r="M13">
        <v>1.9172499999999999E-3</v>
      </c>
    </row>
    <row r="14" spans="1:13" x14ac:dyDescent="0.25">
      <c r="A14" s="103" t="s">
        <v>33</v>
      </c>
      <c r="B14" s="103" t="s">
        <v>47</v>
      </c>
      <c r="C14" s="103" t="str">
        <f t="shared" si="0"/>
        <v>LAVADOSOPLADO</v>
      </c>
      <c r="D14" s="105">
        <v>3500</v>
      </c>
      <c r="E14" s="106">
        <f>D14/10/5</f>
        <v>70</v>
      </c>
      <c r="F14" s="91">
        <v>2.1911428571428572E-3</v>
      </c>
      <c r="J14" t="s">
        <v>152</v>
      </c>
      <c r="K14" t="s">
        <v>45</v>
      </c>
      <c r="L14" t="s">
        <v>150</v>
      </c>
      <c r="M14">
        <v>3.0675999999999998E-3</v>
      </c>
    </row>
    <row r="15" spans="1:13" s="91" customFormat="1" x14ac:dyDescent="0.25">
      <c r="A15" s="103" t="s">
        <v>33</v>
      </c>
      <c r="B15" s="103" t="s">
        <v>207</v>
      </c>
      <c r="C15" s="103" t="str">
        <f t="shared" ref="C15:C16" si="2">A15&amp;B15</f>
        <v>LAVADOSOPLADO clasificado</v>
      </c>
      <c r="D15" s="105">
        <v>3500</v>
      </c>
      <c r="E15" s="106">
        <f>D15/10/5</f>
        <v>70</v>
      </c>
      <c r="F15" s="91">
        <v>2.1911428571428572E-3</v>
      </c>
    </row>
    <row r="16" spans="1:13" s="91" customFormat="1" x14ac:dyDescent="0.25">
      <c r="A16" s="103" t="s">
        <v>33</v>
      </c>
      <c r="B16" s="119" t="s">
        <v>234</v>
      </c>
      <c r="C16" s="119" t="str">
        <f t="shared" si="2"/>
        <v>LAVADOSUNCHOS</v>
      </c>
      <c r="D16" s="105">
        <v>3500</v>
      </c>
      <c r="E16" s="106">
        <v>350</v>
      </c>
      <c r="F16" s="91">
        <v>2.1911428571428572E-3</v>
      </c>
    </row>
    <row r="17" spans="1:13" x14ac:dyDescent="0.25">
      <c r="A17" s="103" t="s">
        <v>34</v>
      </c>
      <c r="B17" s="104" t="s">
        <v>89</v>
      </c>
      <c r="C17" s="103" t="str">
        <f t="shared" si="0"/>
        <v>PELLETIZADOBaja</v>
      </c>
      <c r="D17" s="105">
        <v>4000</v>
      </c>
      <c r="E17" s="106">
        <f t="shared" si="1"/>
        <v>400</v>
      </c>
      <c r="F17" s="91">
        <v>1.9172499999999999E-3</v>
      </c>
      <c r="J17" t="s">
        <v>151</v>
      </c>
      <c r="K17" t="s">
        <v>45</v>
      </c>
      <c r="L17" t="s">
        <v>150</v>
      </c>
      <c r="M17">
        <v>1.0955714285714286E-3</v>
      </c>
    </row>
    <row r="18" spans="1:13" x14ac:dyDescent="0.25">
      <c r="A18" s="103" t="s">
        <v>34</v>
      </c>
      <c r="B18" s="104" t="s">
        <v>90</v>
      </c>
      <c r="C18" s="103" t="str">
        <f t="shared" si="0"/>
        <v>PELLETIZADOAlta</v>
      </c>
      <c r="D18" s="105">
        <v>4000</v>
      </c>
      <c r="E18" s="106">
        <f t="shared" si="1"/>
        <v>400</v>
      </c>
      <c r="F18" s="91">
        <v>1.9172499999999999E-3</v>
      </c>
      <c r="J18" t="s">
        <v>153</v>
      </c>
      <c r="M18">
        <v>1.0225E-3</v>
      </c>
    </row>
    <row r="19" spans="1:13" x14ac:dyDescent="0.25">
      <c r="A19" s="103" t="s">
        <v>34</v>
      </c>
      <c r="B19" s="104" t="s">
        <v>91</v>
      </c>
      <c r="C19" s="103" t="str">
        <f t="shared" si="0"/>
        <v>PELLETIZADOChicle</v>
      </c>
      <c r="D19" s="105">
        <v>4000</v>
      </c>
      <c r="E19" s="106">
        <f t="shared" si="1"/>
        <v>400</v>
      </c>
      <c r="F19" s="91">
        <v>1.9172499999999999E-3</v>
      </c>
      <c r="J19" t="s">
        <v>154</v>
      </c>
      <c r="L19" t="s">
        <v>55</v>
      </c>
      <c r="M19">
        <v>3.0073529411764707E-2</v>
      </c>
    </row>
    <row r="20" spans="1:13" x14ac:dyDescent="0.25">
      <c r="A20" s="103" t="s">
        <v>110</v>
      </c>
      <c r="B20" s="103" t="s">
        <v>45</v>
      </c>
      <c r="C20" s="103" t="str">
        <f t="shared" si="0"/>
        <v>PELLETIZADO# 2HOGAR</v>
      </c>
      <c r="D20" s="105">
        <v>2500</v>
      </c>
      <c r="E20" s="106">
        <f t="shared" si="1"/>
        <v>250</v>
      </c>
      <c r="F20" s="91">
        <v>3.0675999999999998E-3</v>
      </c>
      <c r="J20" t="s">
        <v>82</v>
      </c>
      <c r="L20" t="s">
        <v>92</v>
      </c>
      <c r="M20">
        <v>3.2983870967741934E-2</v>
      </c>
    </row>
    <row r="21" spans="1:13" x14ac:dyDescent="0.25">
      <c r="A21" s="103" t="s">
        <v>34</v>
      </c>
      <c r="B21" s="103" t="s">
        <v>45</v>
      </c>
      <c r="C21" s="103" t="str">
        <f t="shared" si="0"/>
        <v>PELLETIZADOHOGAR</v>
      </c>
      <c r="D21" s="105">
        <v>7000</v>
      </c>
      <c r="E21" s="106">
        <f t="shared" si="1"/>
        <v>700</v>
      </c>
      <c r="F21" s="91">
        <v>1.0955714285714286E-3</v>
      </c>
      <c r="J21" t="s">
        <v>83</v>
      </c>
      <c r="L21" t="s">
        <v>82</v>
      </c>
      <c r="M21">
        <v>3.0073529411764706E-3</v>
      </c>
    </row>
    <row r="22" spans="1:13" x14ac:dyDescent="0.25">
      <c r="A22" s="103" t="s">
        <v>36</v>
      </c>
      <c r="B22" s="103" t="s">
        <v>45</v>
      </c>
      <c r="C22" s="103" t="str">
        <f t="shared" si="0"/>
        <v>TRITURADOHOGAR</v>
      </c>
      <c r="D22" s="105">
        <v>5000</v>
      </c>
      <c r="E22" s="106">
        <f t="shared" si="1"/>
        <v>500</v>
      </c>
      <c r="F22" s="91">
        <v>1.0225E-3</v>
      </c>
      <c r="J22" t="s">
        <v>156</v>
      </c>
      <c r="M22">
        <v>0.3483</v>
      </c>
    </row>
    <row r="23" spans="1:13" s="91" customFormat="1" x14ac:dyDescent="0.25">
      <c r="A23" s="119" t="s">
        <v>36</v>
      </c>
      <c r="B23" s="119" t="s">
        <v>234</v>
      </c>
      <c r="C23" s="119" t="str">
        <f t="shared" si="0"/>
        <v>TRITURADOSUNCHOS</v>
      </c>
      <c r="D23" s="105">
        <v>3000</v>
      </c>
      <c r="E23" s="106">
        <v>300</v>
      </c>
      <c r="F23" s="91">
        <v>1.7041666666666668E-3</v>
      </c>
    </row>
    <row r="24" spans="1:13" x14ac:dyDescent="0.25">
      <c r="A24" s="103" t="s">
        <v>79</v>
      </c>
      <c r="B24" s="103" t="s">
        <v>45</v>
      </c>
      <c r="C24" s="103" t="str">
        <f t="shared" si="0"/>
        <v>TRITURADO NELMORHOGAR</v>
      </c>
      <c r="D24" s="105">
        <v>2000</v>
      </c>
      <c r="E24" s="106">
        <f t="shared" si="1"/>
        <v>200</v>
      </c>
      <c r="F24" s="91">
        <v>2.5562499999999999E-3</v>
      </c>
      <c r="J24" t="s">
        <v>143</v>
      </c>
      <c r="K24" t="s">
        <v>93</v>
      </c>
      <c r="L24" t="s">
        <v>84</v>
      </c>
      <c r="M24">
        <v>1.1798461538461539E-2</v>
      </c>
    </row>
    <row r="25" spans="1:13" x14ac:dyDescent="0.25">
      <c r="A25" s="103" t="s">
        <v>32</v>
      </c>
      <c r="B25" s="104" t="s">
        <v>55</v>
      </c>
      <c r="C25" s="103" t="str">
        <f t="shared" si="0"/>
        <v>COMPACTADORAPACAS</v>
      </c>
      <c r="D25" s="105">
        <v>170</v>
      </c>
      <c r="E25" s="106">
        <f t="shared" si="1"/>
        <v>17</v>
      </c>
      <c r="F25">
        <v>3.0073529411764707E-2</v>
      </c>
      <c r="J25" t="s">
        <v>143</v>
      </c>
      <c r="K25" t="s">
        <v>93</v>
      </c>
      <c r="L25" t="s">
        <v>85</v>
      </c>
      <c r="M25">
        <v>8.5211111111111112E-3</v>
      </c>
    </row>
    <row r="26" spans="1:13" x14ac:dyDescent="0.25">
      <c r="A26" s="103" t="s">
        <v>116</v>
      </c>
      <c r="B26" s="104" t="s">
        <v>92</v>
      </c>
      <c r="C26" s="103" t="str">
        <f t="shared" si="0"/>
        <v>EXTRUSIÓN SEPARADORESPlanchas</v>
      </c>
      <c r="D26" s="105">
        <v>155</v>
      </c>
      <c r="E26" s="106">
        <f t="shared" si="1"/>
        <v>15.5</v>
      </c>
      <c r="F26">
        <v>3.2983870967741934E-2</v>
      </c>
      <c r="J26" t="s">
        <v>143</v>
      </c>
      <c r="K26" t="s">
        <v>93</v>
      </c>
      <c r="L26" t="s">
        <v>86</v>
      </c>
      <c r="M26">
        <v>1.0225333333333333E-2</v>
      </c>
    </row>
    <row r="27" spans="1:13" x14ac:dyDescent="0.25">
      <c r="A27" s="104" t="s">
        <v>83</v>
      </c>
      <c r="B27" s="104" t="s">
        <v>82</v>
      </c>
      <c r="C27" s="103" t="str">
        <f t="shared" si="0"/>
        <v>Corte y embalado Separadores</v>
      </c>
      <c r="D27" s="105">
        <v>1700</v>
      </c>
      <c r="E27" s="106">
        <f t="shared" si="1"/>
        <v>170</v>
      </c>
      <c r="F27">
        <v>3.0073529411764706E-3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workbookViewId="0">
      <selection activeCell="B7" sqref="B7"/>
    </sheetView>
  </sheetViews>
  <sheetFormatPr baseColWidth="10" defaultRowHeight="15" x14ac:dyDescent="0.25"/>
  <sheetData>
    <row r="2" spans="2:2" x14ac:dyDescent="0.25">
      <c r="B2" t="s">
        <v>28</v>
      </c>
    </row>
    <row r="3" spans="2:2" x14ac:dyDescent="0.25">
      <c r="B3" t="s">
        <v>114</v>
      </c>
    </row>
    <row r="4" spans="2:2" x14ac:dyDescent="0.25">
      <c r="B4" t="s">
        <v>29</v>
      </c>
    </row>
    <row r="5" spans="2:2" x14ac:dyDescent="0.25">
      <c r="B5" t="s">
        <v>30</v>
      </c>
    </row>
    <row r="6" spans="2:2" x14ac:dyDescent="0.25">
      <c r="B6" t="s">
        <v>31</v>
      </c>
    </row>
    <row r="7" spans="2:2" x14ac:dyDescent="0.25">
      <c r="B7" t="s">
        <v>113</v>
      </c>
    </row>
    <row r="8" spans="2:2" x14ac:dyDescent="0.25">
      <c r="B8" t="s">
        <v>111</v>
      </c>
    </row>
    <row r="9" spans="2:2" x14ac:dyDescent="0.25">
      <c r="B9" t="s">
        <v>61</v>
      </c>
    </row>
    <row r="10" spans="2:2" x14ac:dyDescent="0.25">
      <c r="B10" t="s">
        <v>112</v>
      </c>
    </row>
    <row r="11" spans="2:2" x14ac:dyDescent="0.25">
      <c r="B11" t="s">
        <v>32</v>
      </c>
    </row>
    <row r="12" spans="2:2" x14ac:dyDescent="0.25">
      <c r="B12" t="s">
        <v>33</v>
      </c>
    </row>
    <row r="13" spans="2:2" x14ac:dyDescent="0.25">
      <c r="B13" t="s">
        <v>38</v>
      </c>
    </row>
    <row r="14" spans="2:2" x14ac:dyDescent="0.25">
      <c r="B14" t="s">
        <v>39</v>
      </c>
    </row>
    <row r="15" spans="2:2" x14ac:dyDescent="0.25">
      <c r="B15" t="s">
        <v>115</v>
      </c>
    </row>
    <row r="16" spans="2:2" x14ac:dyDescent="0.25">
      <c r="B16" t="s">
        <v>34</v>
      </c>
    </row>
    <row r="17" spans="2:2" x14ac:dyDescent="0.25">
      <c r="B17" t="s">
        <v>110</v>
      </c>
    </row>
    <row r="18" spans="2:2" x14ac:dyDescent="0.25">
      <c r="B18" t="s">
        <v>40</v>
      </c>
    </row>
    <row r="19" spans="2:2" x14ac:dyDescent="0.25">
      <c r="B19" t="s">
        <v>41</v>
      </c>
    </row>
    <row r="20" spans="2:2" x14ac:dyDescent="0.25">
      <c r="B20" t="s">
        <v>35</v>
      </c>
    </row>
    <row r="21" spans="2:2" x14ac:dyDescent="0.25">
      <c r="B21" t="s">
        <v>116</v>
      </c>
    </row>
    <row r="22" spans="2:2" x14ac:dyDescent="0.25">
      <c r="B22" t="s">
        <v>36</v>
      </c>
    </row>
    <row r="23" spans="2:2" x14ac:dyDescent="0.25">
      <c r="B23" t="s">
        <v>79</v>
      </c>
    </row>
    <row r="24" spans="2:2" x14ac:dyDescent="0.25">
      <c r="B24" t="s">
        <v>37</v>
      </c>
    </row>
  </sheetData>
  <sortState ref="B3:B24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META VS KG</vt:lpstr>
      <vt:lpstr>CONSOLIDADO</vt:lpstr>
      <vt:lpstr>Base personal</vt:lpstr>
      <vt:lpstr>ACTUAL (12-10-2020) (2)</vt:lpstr>
      <vt:lpstr>Horas trabajadas</vt:lpstr>
      <vt:lpstr>BASE PRODUCCION</vt:lpstr>
      <vt:lpstr>RESUMEN PRODUCCIÓN</vt:lpstr>
      <vt:lpstr>base</vt:lpstr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Alarcon</dc:creator>
  <cp:lastModifiedBy>alvarezk</cp:lastModifiedBy>
  <cp:lastPrinted>2020-12-23T21:05:32Z</cp:lastPrinted>
  <dcterms:created xsi:type="dcterms:W3CDTF">2020-11-06T03:10:09Z</dcterms:created>
  <dcterms:modified xsi:type="dcterms:W3CDTF">2021-01-26T14:05:39Z</dcterms:modified>
</cp:coreProperties>
</file>