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van Barbosa\PycharmProjects\Dashboard - Usina Santa Clotilde\"/>
    </mc:Choice>
  </mc:AlternateContent>
  <xr:revisionPtr revIDLastSave="0" documentId="13_ncr:1_{0F03537A-F233-4D0C-9FD6-7993518CD266}" xr6:coauthVersionLast="47" xr6:coauthVersionMax="47" xr10:uidLastSave="{00000000-0000-0000-0000-000000000000}"/>
  <bookViews>
    <workbookView xWindow="10140" yWindow="0" windowWidth="10455" windowHeight="10905" activeTab="1" xr2:uid="{B02BADF4-0850-4713-B9F1-5620B94019FE}"/>
  </bookViews>
  <sheets>
    <sheet name="Unidades" sheetId="1" r:id="rId1"/>
    <sheet name="Valor" sheetId="3" r:id="rId2"/>
  </sheets>
  <definedNames>
    <definedName name="_xlnm._FilterDatabase" localSheetId="0" hidden="1">Unidades!$A$1:$O$13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M3" i="1" s="1"/>
  <c r="O4" i="1"/>
  <c r="M4" i="1" s="1"/>
  <c r="O5" i="1"/>
  <c r="O6" i="1"/>
  <c r="O7" i="1"/>
  <c r="O8" i="1"/>
  <c r="O9" i="1"/>
  <c r="M9" i="1" s="1"/>
  <c r="M5" i="1"/>
  <c r="M6" i="1"/>
  <c r="F5" i="1"/>
  <c r="M3" i="3"/>
  <c r="M4" i="3"/>
  <c r="M5" i="3"/>
  <c r="M6" i="3"/>
  <c r="M7" i="3"/>
  <c r="M8" i="3"/>
  <c r="M2" i="3"/>
  <c r="J3" i="1"/>
  <c r="J4" i="1"/>
  <c r="J5" i="1"/>
  <c r="J6" i="1"/>
  <c r="J7" i="1"/>
  <c r="J8" i="1"/>
  <c r="J2" i="1"/>
  <c r="E3" i="1"/>
  <c r="F3" i="1" s="1"/>
  <c r="E4" i="1"/>
  <c r="F4" i="1" s="1"/>
  <c r="E5" i="1"/>
  <c r="E6" i="1"/>
  <c r="F6" i="1" s="1"/>
  <c r="E7" i="1"/>
  <c r="F7" i="1" s="1"/>
  <c r="E8" i="1"/>
  <c r="F8" i="1" s="1"/>
  <c r="E2" i="1"/>
  <c r="F2" i="1" s="1"/>
  <c r="E3" i="3"/>
  <c r="E4" i="3"/>
  <c r="E5" i="3"/>
  <c r="E6" i="3"/>
  <c r="E7" i="3"/>
  <c r="E8" i="3"/>
  <c r="E2" i="3"/>
  <c r="I8" i="3" l="1"/>
  <c r="I7" i="3"/>
  <c r="I6" i="3"/>
  <c r="I5" i="3"/>
  <c r="I4" i="3"/>
  <c r="N3" i="3"/>
  <c r="I3" i="3"/>
  <c r="I2" i="3"/>
  <c r="N13" i="3"/>
  <c r="N12" i="3"/>
  <c r="N11" i="3"/>
  <c r="N10" i="3"/>
  <c r="N9" i="3"/>
  <c r="O10" i="1"/>
  <c r="M10" i="1" s="1"/>
  <c r="O11" i="1"/>
  <c r="M11" i="1" s="1"/>
  <c r="O12" i="1"/>
  <c r="M12" i="1" s="1"/>
  <c r="O13" i="1"/>
  <c r="M13" i="1" s="1"/>
</calcChain>
</file>

<file path=xl/sharedStrings.xml><?xml version="1.0" encoding="utf-8"?>
<sst xmlns="http://schemas.openxmlformats.org/spreadsheetml/2006/main" count="29" uniqueCount="28">
  <si>
    <t>Mês</t>
  </si>
  <si>
    <t>Consumo Fora Ponta (kWh)</t>
  </si>
  <si>
    <t>Consumo Ponta (kWh)</t>
  </si>
  <si>
    <t>Consumo Reservado (kWh)</t>
  </si>
  <si>
    <t>Demanda Ativa (kW)</t>
  </si>
  <si>
    <t>Demanda Ativa (kW)
CONTRATADA</t>
  </si>
  <si>
    <t>Demanda Reativa (kVAr)</t>
  </si>
  <si>
    <t>Consumo Reativo (kVAr)</t>
  </si>
  <si>
    <t>Consumo Fora Ponta (R$)</t>
  </si>
  <si>
    <t>Consumo Ponta (R$)</t>
  </si>
  <si>
    <t>Consumo Reservado (R$)</t>
  </si>
  <si>
    <t>Consumo Reativo (R$)</t>
  </si>
  <si>
    <t>Demanda Ativa (R$)</t>
  </si>
  <si>
    <t>Demanda Reativa (R$)</t>
  </si>
  <si>
    <t>Total (R$)</t>
  </si>
  <si>
    <t>Outros (R$)</t>
  </si>
  <si>
    <t>Consumo Ativo (R$)</t>
  </si>
  <si>
    <t>Consumo Ativo (kWh)</t>
  </si>
  <si>
    <t>Consumo Reativo Fora Ponta (R$)</t>
  </si>
  <si>
    <t>Consumo Reativo Ponta (R$)</t>
  </si>
  <si>
    <t>Consumo Reativo Reservado (R$)</t>
  </si>
  <si>
    <t>Consumo Reativo Fora Ponta (kVAr)</t>
  </si>
  <si>
    <t>Consumo Reativo Ponta (kVAr)</t>
  </si>
  <si>
    <t>Consumo Reativo Reservado (kVAr)</t>
  </si>
  <si>
    <t>Meta Consumo Ativo Reservado (kWh)</t>
  </si>
  <si>
    <t>Diferença Demanda (kW)</t>
  </si>
  <si>
    <t>Demanda de Ultrapassagem (R$)</t>
  </si>
  <si>
    <t>Demanda de Ultrapassagem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</si>
</sst>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/>
    </xf>
    <xf numFmtId="17" fontId="0" fillId="4" borderId="8" xfId="0" applyNumberFormat="1" applyFill="1" applyBorder="1" applyAlignment="1">
      <alignment horizontal="center" vertical="center"/>
    </xf>
    <xf numFmtId="17" fontId="0" fillId="4" borderId="10" xfId="0" applyNumberFormat="1" applyFill="1" applyBorder="1" applyAlignment="1">
      <alignment horizontal="center" vertical="center"/>
    </xf>
    <xf numFmtId="17" fontId="0" fillId="4" borderId="13" xfId="0" applyNumberFormat="1" applyFill="1" applyBorder="1" applyAlignment="1">
      <alignment horizontal="center" vertical="center"/>
    </xf>
    <xf numFmtId="17" fontId="0" fillId="4" borderId="3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0" borderId="0" xfId="0" applyNumberFormat="1"/>
    <xf numFmtId="9" fontId="0" fillId="0" borderId="0" xfId="1" applyFont="1"/>
    <xf numFmtId="2" fontId="3" fillId="5" borderId="2" xfId="0" applyNumberFormat="1" applyFont="1" applyFill="1" applyBorder="1" applyAlignment="1">
      <alignment horizontal="center"/>
    </xf>
    <xf numFmtId="2" fontId="0" fillId="5" borderId="2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1" defaultTableStyle="TableStyleMedium2" defaultPivotStyle="PivotStyleLight16">
    <tableStyle name="Estilo de Tabela Dinâmica 1" table="0" count="0" xr9:uid="{E1667372-02C4-44AB-9C3C-FEE14AD576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D048-E26D-43F8-8A45-756E0CC9B87A}">
  <dimension ref="A1:O17"/>
  <sheetViews>
    <sheetView topLeftCell="E1" zoomScaleNormal="100" workbookViewId="0">
      <selection activeCell="L9" sqref="L9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8" width="16.5703125" customWidth="1"/>
    <col min="9" max="9" width="17.140625" customWidth="1"/>
    <col min="10" max="10" width="17.28515625" bestFit="1" customWidth="1"/>
    <col min="11" max="11" width="14.5703125" bestFit="1" customWidth="1"/>
    <col min="12" max="12" width="14.5703125" customWidth="1"/>
    <col min="13" max="13" width="14.42578125" bestFit="1" customWidth="1"/>
    <col min="14" max="14" width="14.5703125" bestFit="1" customWidth="1"/>
    <col min="15" max="15" width="14.42578125" bestFit="1" customWidth="1"/>
  </cols>
  <sheetData>
    <row r="1" spans="1:15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24</v>
      </c>
      <c r="G1" s="2" t="s">
        <v>21</v>
      </c>
      <c r="H1" s="2" t="s">
        <v>22</v>
      </c>
      <c r="I1" s="2" t="s">
        <v>23</v>
      </c>
      <c r="J1" s="2" t="s">
        <v>7</v>
      </c>
      <c r="K1" s="2" t="s">
        <v>4</v>
      </c>
      <c r="L1" s="2" t="s">
        <v>6</v>
      </c>
      <c r="M1" s="2" t="s">
        <v>27</v>
      </c>
      <c r="N1" s="3" t="s">
        <v>5</v>
      </c>
      <c r="O1" s="4" t="s">
        <v>25</v>
      </c>
    </row>
    <row r="2" spans="1:15" x14ac:dyDescent="0.25">
      <c r="A2" s="5">
        <v>45444</v>
      </c>
      <c r="B2" s="10">
        <v>10464.299999999999</v>
      </c>
      <c r="C2" s="10">
        <v>864.15</v>
      </c>
      <c r="D2" s="10">
        <v>3827.25</v>
      </c>
      <c r="E2" s="10">
        <f>B2+C2+D2</f>
        <v>15155.699999999999</v>
      </c>
      <c r="F2" s="10">
        <f>E2*(9/20)</f>
        <v>6820.0649999999996</v>
      </c>
      <c r="G2" s="10">
        <v>11750.55</v>
      </c>
      <c r="H2" s="10">
        <v>1685.25</v>
      </c>
      <c r="I2" s="10">
        <v>3068.1</v>
      </c>
      <c r="J2" s="10">
        <f>SUM(G2:I2)</f>
        <v>16503.899999999998</v>
      </c>
      <c r="K2" s="10">
        <v>315</v>
      </c>
      <c r="L2" s="10">
        <v>50.4</v>
      </c>
      <c r="M2" s="10">
        <v>0</v>
      </c>
      <c r="N2" s="10">
        <v>300</v>
      </c>
      <c r="O2" s="11">
        <f t="shared" ref="O2:O13" si="0">IF(K2="","",N2-K2)</f>
        <v>-15</v>
      </c>
    </row>
    <row r="3" spans="1:15" x14ac:dyDescent="0.25">
      <c r="A3" s="5">
        <v>45474</v>
      </c>
      <c r="B3" s="10">
        <v>19685.400000000001</v>
      </c>
      <c r="C3" s="10">
        <v>1031.0999999999999</v>
      </c>
      <c r="D3" s="10">
        <v>10178.700000000001</v>
      </c>
      <c r="E3" s="10">
        <f t="shared" ref="E3:E8" si="1">B3+C3+D3</f>
        <v>30895.200000000001</v>
      </c>
      <c r="F3" s="10">
        <f t="shared" ref="F3:F8" si="2">E3*(9/20)</f>
        <v>13902.84</v>
      </c>
      <c r="G3" s="10">
        <v>12323.85</v>
      </c>
      <c r="H3" s="10">
        <v>1975.05</v>
      </c>
      <c r="I3" s="10">
        <v>3487.05</v>
      </c>
      <c r="J3" s="10">
        <f t="shared" ref="J3:J8" si="3">SUM(G3:I3)</f>
        <v>17785.95</v>
      </c>
      <c r="K3" s="10">
        <v>319.2</v>
      </c>
      <c r="L3" s="10">
        <v>1.05</v>
      </c>
      <c r="M3" s="10">
        <f t="shared" ref="M3:M13" si="4">IF(O3&gt;0,"",IF(SQRT(O3^2)&gt;N3*0.05,SQRT(O3^2),""))</f>
        <v>19.199999999999989</v>
      </c>
      <c r="N3" s="10">
        <v>300</v>
      </c>
      <c r="O3" s="11">
        <f t="shared" si="0"/>
        <v>-19.199999999999989</v>
      </c>
    </row>
    <row r="4" spans="1:15" ht="15.75" thickBot="1" x14ac:dyDescent="0.3">
      <c r="A4" s="6">
        <v>45505</v>
      </c>
      <c r="B4" s="12">
        <v>90227.55</v>
      </c>
      <c r="C4" s="12">
        <v>937.65</v>
      </c>
      <c r="D4" s="12">
        <v>59176.95</v>
      </c>
      <c r="E4" s="12">
        <f t="shared" si="1"/>
        <v>150342.15</v>
      </c>
      <c r="F4" s="12">
        <f t="shared" si="2"/>
        <v>67653.967499999999</v>
      </c>
      <c r="G4" s="12">
        <v>14696.85</v>
      </c>
      <c r="H4" s="12">
        <v>984.9</v>
      </c>
      <c r="I4" s="20">
        <v>3895.5</v>
      </c>
      <c r="J4" s="12">
        <f t="shared" si="3"/>
        <v>19577.25</v>
      </c>
      <c r="K4" s="21">
        <v>340.2</v>
      </c>
      <c r="L4" s="12">
        <v>66.150000000000006</v>
      </c>
      <c r="M4" s="12">
        <f t="shared" si="4"/>
        <v>40.199999999999989</v>
      </c>
      <c r="N4" s="12">
        <v>300</v>
      </c>
      <c r="O4" s="17">
        <f t="shared" si="0"/>
        <v>-40.199999999999989</v>
      </c>
    </row>
    <row r="5" spans="1:15" x14ac:dyDescent="0.25">
      <c r="A5" s="7">
        <v>45536</v>
      </c>
      <c r="B5" s="13">
        <v>144938.85</v>
      </c>
      <c r="C5" s="13">
        <v>1424.85</v>
      </c>
      <c r="D5" s="13">
        <v>91366.8</v>
      </c>
      <c r="E5" s="13">
        <f t="shared" si="1"/>
        <v>237730.5</v>
      </c>
      <c r="F5" s="13">
        <f>E5*(9/20)</f>
        <v>106978.72500000001</v>
      </c>
      <c r="G5" s="13">
        <v>20242.95</v>
      </c>
      <c r="H5" s="13">
        <v>1882.65</v>
      </c>
      <c r="I5" s="13">
        <v>4562.25</v>
      </c>
      <c r="J5" s="13">
        <f t="shared" si="3"/>
        <v>26687.850000000002</v>
      </c>
      <c r="K5" s="13">
        <v>1058.4000000000001</v>
      </c>
      <c r="L5" s="13">
        <v>87.15</v>
      </c>
      <c r="M5" s="13">
        <f t="shared" si="4"/>
        <v>58.400000000000091</v>
      </c>
      <c r="N5" s="13">
        <v>1000</v>
      </c>
      <c r="O5" s="16">
        <f t="shared" si="0"/>
        <v>-58.400000000000091</v>
      </c>
    </row>
    <row r="6" spans="1:15" x14ac:dyDescent="0.25">
      <c r="A6" s="5">
        <v>45566</v>
      </c>
      <c r="B6" s="10">
        <v>114662.1</v>
      </c>
      <c r="C6" s="10">
        <v>81.900000000000006</v>
      </c>
      <c r="D6" s="10">
        <v>84091.35</v>
      </c>
      <c r="E6" s="10">
        <f t="shared" si="1"/>
        <v>198835.35</v>
      </c>
      <c r="F6" s="10">
        <f t="shared" si="2"/>
        <v>89475.907500000001</v>
      </c>
      <c r="G6" s="10">
        <v>13742.4</v>
      </c>
      <c r="H6" s="10">
        <v>79.8</v>
      </c>
      <c r="I6" s="10">
        <v>3607.8</v>
      </c>
      <c r="J6" s="10">
        <f t="shared" si="3"/>
        <v>17430</v>
      </c>
      <c r="K6" s="10">
        <v>1104.5999999999999</v>
      </c>
      <c r="L6" s="10">
        <v>70.349999999999994</v>
      </c>
      <c r="M6" s="10">
        <f t="shared" si="4"/>
        <v>104.59999999999991</v>
      </c>
      <c r="N6" s="10">
        <v>1000</v>
      </c>
      <c r="O6" s="11">
        <f t="shared" si="0"/>
        <v>-104.59999999999991</v>
      </c>
    </row>
    <row r="7" spans="1:15" x14ac:dyDescent="0.25">
      <c r="A7" s="5">
        <v>45597</v>
      </c>
      <c r="B7" s="10">
        <v>109979.1</v>
      </c>
      <c r="C7" s="10">
        <v>0</v>
      </c>
      <c r="D7" s="10">
        <v>73286.850000000006</v>
      </c>
      <c r="E7" s="10">
        <f t="shared" si="1"/>
        <v>183265.95</v>
      </c>
      <c r="F7" s="10">
        <f t="shared" si="2"/>
        <v>82469.677500000005</v>
      </c>
      <c r="G7" s="10">
        <v>14190.75</v>
      </c>
      <c r="H7" s="10">
        <v>0</v>
      </c>
      <c r="I7" s="10">
        <v>3657.15</v>
      </c>
      <c r="J7" s="10">
        <f t="shared" si="3"/>
        <v>17847.900000000001</v>
      </c>
      <c r="K7" s="10">
        <v>1037.4000000000001</v>
      </c>
      <c r="L7" s="10">
        <v>71.400000000000006</v>
      </c>
      <c r="M7" s="10">
        <v>0</v>
      </c>
      <c r="N7" s="10">
        <v>1000</v>
      </c>
      <c r="O7" s="11">
        <f t="shared" si="0"/>
        <v>-37.400000000000091</v>
      </c>
    </row>
    <row r="8" spans="1:15" x14ac:dyDescent="0.25">
      <c r="A8" s="5">
        <v>45627</v>
      </c>
      <c r="B8" s="10">
        <v>53708.55</v>
      </c>
      <c r="C8" s="10">
        <v>8.4</v>
      </c>
      <c r="D8" s="10">
        <v>18012.75</v>
      </c>
      <c r="E8" s="10">
        <f t="shared" si="1"/>
        <v>71729.700000000012</v>
      </c>
      <c r="F8" s="10">
        <f t="shared" si="2"/>
        <v>32278.365000000005</v>
      </c>
      <c r="G8" s="10">
        <v>7697.55</v>
      </c>
      <c r="H8" s="10">
        <v>1.05</v>
      </c>
      <c r="I8" s="10">
        <v>825.3</v>
      </c>
      <c r="J8" s="10">
        <f t="shared" si="3"/>
        <v>8523.9</v>
      </c>
      <c r="K8" s="10">
        <v>1050</v>
      </c>
      <c r="L8" s="10">
        <v>0</v>
      </c>
      <c r="M8" s="10">
        <v>0</v>
      </c>
      <c r="N8" s="10">
        <v>1000</v>
      </c>
      <c r="O8" s="11">
        <f t="shared" si="0"/>
        <v>-50</v>
      </c>
    </row>
    <row r="9" spans="1:15" x14ac:dyDescent="0.25">
      <c r="A9" s="5">
        <v>45658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 t="str">
        <f>IF(O9&gt;0,"",IF(SQRT(O9^2)&gt;N9*0.05,SQRT(O9^2),""))</f>
        <v/>
      </c>
      <c r="N9" s="10">
        <v>1000</v>
      </c>
      <c r="O9" s="11" t="str">
        <f t="shared" si="0"/>
        <v/>
      </c>
    </row>
    <row r="10" spans="1:15" x14ac:dyDescent="0.25">
      <c r="A10" s="5">
        <v>45689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 t="str">
        <f t="shared" si="4"/>
        <v/>
      </c>
      <c r="N10" s="10">
        <v>1000</v>
      </c>
      <c r="O10" s="11" t="str">
        <f t="shared" si="0"/>
        <v/>
      </c>
    </row>
    <row r="11" spans="1:15" ht="15.75" thickBot="1" x14ac:dyDescent="0.3">
      <c r="A11" s="8">
        <v>45717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2" t="str">
        <f t="shared" si="4"/>
        <v/>
      </c>
      <c r="N11" s="14">
        <v>1000</v>
      </c>
      <c r="O11" s="17" t="str">
        <f t="shared" si="0"/>
        <v/>
      </c>
    </row>
    <row r="12" spans="1:15" x14ac:dyDescent="0.25">
      <c r="A12" s="9">
        <v>45748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3" t="str">
        <f t="shared" si="4"/>
        <v/>
      </c>
      <c r="N12" s="15">
        <v>300</v>
      </c>
      <c r="O12" s="16" t="str">
        <f t="shared" si="0"/>
        <v/>
      </c>
    </row>
    <row r="13" spans="1:15" ht="15.75" thickBot="1" x14ac:dyDescent="0.3">
      <c r="A13" s="6">
        <v>45778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0" t="str">
        <f t="shared" si="4"/>
        <v/>
      </c>
      <c r="N13" s="12">
        <v>300</v>
      </c>
      <c r="O13" s="11" t="str">
        <f t="shared" si="0"/>
        <v/>
      </c>
    </row>
    <row r="15" spans="1:15" x14ac:dyDescent="0.25">
      <c r="B15" s="18"/>
      <c r="C15" s="19"/>
      <c r="J15" s="19"/>
    </row>
    <row r="16" spans="1:15" x14ac:dyDescent="0.25">
      <c r="B16" s="18"/>
      <c r="C16" s="19"/>
    </row>
    <row r="17" spans="2:3" x14ac:dyDescent="0.25">
      <c r="B17" s="18"/>
      <c r="C17" s="19"/>
    </row>
  </sheetData>
  <autoFilter ref="A1:O13" xr:uid="{74ACD048-E26D-43F8-8A45-756E0CC9B87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E410-0106-4F7F-854D-002E584BAB18}">
  <dimension ref="A1:N13"/>
  <sheetViews>
    <sheetView tabSelected="1" topLeftCell="E1" zoomScaleNormal="100" workbookViewId="0">
      <selection activeCell="B5" sqref="B5"/>
    </sheetView>
  </sheetViews>
  <sheetFormatPr defaultRowHeight="15" x14ac:dyDescent="0.25"/>
  <cols>
    <col min="1" max="1" width="9.7109375" customWidth="1"/>
    <col min="2" max="2" width="14.140625" bestFit="1" customWidth="1"/>
    <col min="3" max="3" width="15.42578125" bestFit="1" customWidth="1"/>
    <col min="4" max="4" width="16.5703125" bestFit="1" customWidth="1"/>
    <col min="5" max="7" width="16.5703125" customWidth="1"/>
    <col min="8" max="8" width="19.140625" customWidth="1"/>
    <col min="9" max="9" width="17.28515625" bestFit="1" customWidth="1"/>
    <col min="10" max="10" width="14.5703125" bestFit="1" customWidth="1"/>
    <col min="11" max="11" width="14.5703125" customWidth="1"/>
    <col min="12" max="12" width="14.42578125" bestFit="1" customWidth="1"/>
    <col min="13" max="13" width="14.5703125" bestFit="1" customWidth="1"/>
    <col min="14" max="14" width="14.42578125" bestFit="1" customWidth="1"/>
  </cols>
  <sheetData>
    <row r="1" spans="1:14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16</v>
      </c>
      <c r="F1" s="2" t="s">
        <v>18</v>
      </c>
      <c r="G1" s="2" t="s">
        <v>19</v>
      </c>
      <c r="H1" s="2" t="s">
        <v>20</v>
      </c>
      <c r="I1" s="2" t="s">
        <v>11</v>
      </c>
      <c r="J1" s="2" t="s">
        <v>12</v>
      </c>
      <c r="K1" s="2" t="s">
        <v>13</v>
      </c>
      <c r="L1" s="2" t="s">
        <v>26</v>
      </c>
      <c r="M1" s="2" t="s">
        <v>15</v>
      </c>
      <c r="N1" s="4" t="s">
        <v>14</v>
      </c>
    </row>
    <row r="2" spans="1:14" x14ac:dyDescent="0.25">
      <c r="A2" s="5">
        <v>45444</v>
      </c>
      <c r="B2" s="10">
        <v>5845.19</v>
      </c>
      <c r="C2" s="10">
        <v>2757.87</v>
      </c>
      <c r="D2" s="10">
        <v>213.77</v>
      </c>
      <c r="E2" s="10">
        <f>B2+C2+D2</f>
        <v>8816.83</v>
      </c>
      <c r="F2" s="10">
        <v>4795.76</v>
      </c>
      <c r="G2" s="10">
        <v>1252.19</v>
      </c>
      <c r="H2" s="10">
        <v>687.8</v>
      </c>
      <c r="I2" s="10">
        <f>687.8+4795.76+1252.19</f>
        <v>6735.75</v>
      </c>
      <c r="J2" s="10">
        <v>11499.84</v>
      </c>
      <c r="K2" s="10">
        <v>1839.97</v>
      </c>
      <c r="L2" s="10">
        <v>0</v>
      </c>
      <c r="M2" s="10">
        <f>N2-E2-I2-J2-K2-L2</f>
        <v>715.2300000000007</v>
      </c>
      <c r="N2" s="11">
        <v>29607.62</v>
      </c>
    </row>
    <row r="3" spans="1:14" x14ac:dyDescent="0.25">
      <c r="A3" s="5">
        <v>45474</v>
      </c>
      <c r="B3" s="10">
        <v>10963.55</v>
      </c>
      <c r="C3" s="10">
        <v>3280.98</v>
      </c>
      <c r="D3" s="10">
        <v>566.88</v>
      </c>
      <c r="E3" s="10">
        <f t="shared" ref="E3:E8" si="0">B3+C3+D3</f>
        <v>14811.409999999998</v>
      </c>
      <c r="F3" s="10">
        <v>5014.92</v>
      </c>
      <c r="G3" s="10">
        <v>803.69</v>
      </c>
      <c r="H3" s="10">
        <v>1418.97</v>
      </c>
      <c r="I3" s="10">
        <f>803.69+5014.92+1418.97</f>
        <v>7237.5800000000008</v>
      </c>
      <c r="J3" s="10">
        <v>11618.83</v>
      </c>
      <c r="K3" s="10">
        <v>38.21</v>
      </c>
      <c r="L3" s="10">
        <v>1397.76</v>
      </c>
      <c r="M3" s="10">
        <f t="shared" ref="M3:M8" si="1">N3-E3-I3-J3-K3-L3</f>
        <v>2682.0499999999984</v>
      </c>
      <c r="N3" s="11">
        <f>37785.84</f>
        <v>37785.839999999997</v>
      </c>
    </row>
    <row r="4" spans="1:14" ht="15.75" thickBot="1" x14ac:dyDescent="0.3">
      <c r="A4" s="6">
        <v>45505</v>
      </c>
      <c r="B4" s="12">
        <v>49458.33</v>
      </c>
      <c r="C4" s="12">
        <v>2936.55</v>
      </c>
      <c r="D4" s="12">
        <v>3243.77</v>
      </c>
      <c r="E4" s="12">
        <f t="shared" si="0"/>
        <v>55638.65</v>
      </c>
      <c r="F4" s="12">
        <v>5886.19</v>
      </c>
      <c r="G4" s="12">
        <v>394.46</v>
      </c>
      <c r="H4" s="12">
        <v>1560.16</v>
      </c>
      <c r="I4" s="12">
        <f>394.46+5886.19+1560.16</f>
        <v>7840.8099999999995</v>
      </c>
      <c r="J4" s="12">
        <v>12187.84</v>
      </c>
      <c r="K4" s="12">
        <v>2369.86</v>
      </c>
      <c r="L4" s="12">
        <v>2880.36</v>
      </c>
      <c r="M4" s="12">
        <f t="shared" si="1"/>
        <v>7579.0800000000054</v>
      </c>
      <c r="N4" s="17">
        <v>88496.6</v>
      </c>
    </row>
    <row r="5" spans="1:14" x14ac:dyDescent="0.25">
      <c r="A5" s="7">
        <v>45536</v>
      </c>
      <c r="B5" s="13">
        <v>80220.710000000006</v>
      </c>
      <c r="C5" s="13">
        <v>4505.76</v>
      </c>
      <c r="D5" s="13">
        <v>5056.96</v>
      </c>
      <c r="E5" s="13">
        <f t="shared" si="0"/>
        <v>89783.430000000008</v>
      </c>
      <c r="F5" s="13">
        <v>8186.26</v>
      </c>
      <c r="G5" s="13">
        <v>761.33</v>
      </c>
      <c r="H5" s="13">
        <v>1844.96</v>
      </c>
      <c r="I5" s="13">
        <f>761.33+8186.26+1844.96</f>
        <v>10792.55</v>
      </c>
      <c r="J5" s="13">
        <v>38286.31</v>
      </c>
      <c r="K5" s="13">
        <v>3152.54</v>
      </c>
      <c r="L5" s="13">
        <v>4225.09</v>
      </c>
      <c r="M5" s="13">
        <f t="shared" si="1"/>
        <v>20925.34</v>
      </c>
      <c r="N5" s="16">
        <v>167165.26</v>
      </c>
    </row>
    <row r="6" spans="1:14" x14ac:dyDescent="0.25">
      <c r="A6" s="5">
        <v>45566</v>
      </c>
      <c r="B6" s="10">
        <v>64048.800000000003</v>
      </c>
      <c r="C6" s="10">
        <v>261.38</v>
      </c>
      <c r="D6" s="10">
        <v>4697.2299999999996</v>
      </c>
      <c r="E6" s="10">
        <f t="shared" si="0"/>
        <v>69007.41</v>
      </c>
      <c r="F6" s="10">
        <v>5608.73</v>
      </c>
      <c r="G6" s="10">
        <v>32.56</v>
      </c>
      <c r="H6" s="10">
        <v>1472.46</v>
      </c>
      <c r="I6" s="10">
        <f>32.56+5608.73+1472.46</f>
        <v>7113.75</v>
      </c>
      <c r="J6" s="10">
        <v>40326.29</v>
      </c>
      <c r="K6" s="10">
        <v>2568.3000000000002</v>
      </c>
      <c r="L6" s="10">
        <v>7637.38</v>
      </c>
      <c r="M6" s="10">
        <f t="shared" si="1"/>
        <v>27970.19</v>
      </c>
      <c r="N6" s="11">
        <v>154623.32</v>
      </c>
    </row>
    <row r="7" spans="1:14" x14ac:dyDescent="0.25">
      <c r="A7" s="5">
        <v>45597</v>
      </c>
      <c r="B7" s="10">
        <v>61153.27</v>
      </c>
      <c r="C7" s="10">
        <v>0</v>
      </c>
      <c r="D7" s="10">
        <v>4075.06</v>
      </c>
      <c r="E7" s="10">
        <f t="shared" si="0"/>
        <v>65228.329999999994</v>
      </c>
      <c r="F7" s="10">
        <v>5765.35</v>
      </c>
      <c r="G7" s="10">
        <v>0</v>
      </c>
      <c r="H7" s="10">
        <v>1485.8</v>
      </c>
      <c r="I7" s="10">
        <f>5765.35+1485.8</f>
        <v>7251.1500000000005</v>
      </c>
      <c r="J7" s="10">
        <v>37700.57</v>
      </c>
      <c r="K7" s="10">
        <v>2594.7600000000002</v>
      </c>
      <c r="L7" s="10">
        <v>0</v>
      </c>
      <c r="M7" s="10">
        <f t="shared" si="1"/>
        <v>15910.110000000002</v>
      </c>
      <c r="N7" s="11">
        <v>128684.92</v>
      </c>
    </row>
    <row r="8" spans="1:14" x14ac:dyDescent="0.25">
      <c r="A8" s="5">
        <v>45627</v>
      </c>
      <c r="B8" s="10">
        <v>29192.21</v>
      </c>
      <c r="C8" s="10">
        <v>26.07</v>
      </c>
      <c r="D8" s="10">
        <v>979.02</v>
      </c>
      <c r="E8" s="10">
        <f t="shared" si="0"/>
        <v>30197.3</v>
      </c>
      <c r="F8" s="10">
        <v>3056.94</v>
      </c>
      <c r="G8" s="10">
        <v>0.41</v>
      </c>
      <c r="H8" s="10">
        <v>327.75</v>
      </c>
      <c r="I8" s="10">
        <f>0.41+3056.94+327.75</f>
        <v>3385.1</v>
      </c>
      <c r="J8" s="10">
        <v>37299.699999999997</v>
      </c>
      <c r="K8" s="10">
        <v>0</v>
      </c>
      <c r="L8" s="10">
        <v>0</v>
      </c>
      <c r="M8" s="10">
        <f t="shared" si="1"/>
        <v>2773.489999999998</v>
      </c>
      <c r="N8" s="11">
        <v>73655.59</v>
      </c>
    </row>
    <row r="9" spans="1:14" x14ac:dyDescent="0.25">
      <c r="A9" s="5">
        <v>45658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1000</v>
      </c>
      <c r="N9" s="11" t="str">
        <f>IF(J9="","",M9-J9)</f>
        <v/>
      </c>
    </row>
    <row r="10" spans="1:14" x14ac:dyDescent="0.25">
      <c r="A10" s="5">
        <v>45689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>
        <v>1000</v>
      </c>
      <c r="N10" s="11" t="str">
        <f>IF(J10="","",M10-J10)</f>
        <v/>
      </c>
    </row>
    <row r="11" spans="1:14" ht="15.75" thickBot="1" x14ac:dyDescent="0.3">
      <c r="A11" s="8">
        <v>45717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>
        <v>1000</v>
      </c>
      <c r="N11" s="17" t="str">
        <f>IF(J11="","",M11-J11)</f>
        <v/>
      </c>
    </row>
    <row r="12" spans="1:14" x14ac:dyDescent="0.25">
      <c r="A12" s="9">
        <v>45748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>
        <v>300</v>
      </c>
      <c r="N12" s="16" t="str">
        <f>IF(J12="","",M12-J12)</f>
        <v/>
      </c>
    </row>
    <row r="13" spans="1:14" ht="15.75" thickBot="1" x14ac:dyDescent="0.3">
      <c r="A13" s="6">
        <v>45778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>
        <v>300</v>
      </c>
      <c r="N13" s="11" t="str">
        <f>IF(J13="","",M13-J13)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Unidades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Gilvan Barbosa</dc:creator>
  <cp:lastModifiedBy>Gilvan Barbosa</cp:lastModifiedBy>
  <dcterms:created xsi:type="dcterms:W3CDTF">2025-01-09T21:12:31Z</dcterms:created>
  <dcterms:modified xsi:type="dcterms:W3CDTF">2025-01-19T03:19:05Z</dcterms:modified>
</cp:coreProperties>
</file>