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van Barbosa\PycharmProjects\Dashboard - Usina Santa Clotilde\"/>
    </mc:Choice>
  </mc:AlternateContent>
  <xr:revisionPtr revIDLastSave="0" documentId="13_ncr:1_{EAEE2AE3-B7EA-47E5-A1B3-5FCB12AFDA67}" xr6:coauthVersionLast="47" xr6:coauthVersionMax="47" xr10:uidLastSave="{00000000-0000-0000-0000-000000000000}"/>
  <bookViews>
    <workbookView xWindow="-120" yWindow="-120" windowWidth="20730" windowHeight="11040" activeTab="1" xr2:uid="{B02BADF4-0850-4713-B9F1-5620B94019FE}"/>
  </bookViews>
  <sheets>
    <sheet name="Unidades" sheetId="1" r:id="rId1"/>
    <sheet name="Valor" sheetId="3" r:id="rId2"/>
  </sheets>
  <definedNames>
    <definedName name="_xlnm._FilterDatabase" localSheetId="0" hidden="1">Unidades!$A$1:$P$13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10" i="3"/>
  <c r="M10" i="3" s="1"/>
  <c r="I9" i="3"/>
  <c r="M9" i="3" s="1"/>
  <c r="E10" i="3"/>
  <c r="E9" i="3"/>
  <c r="G9" i="1"/>
  <c r="G10" i="1"/>
  <c r="F9" i="1"/>
  <c r="F10" i="1"/>
  <c r="E10" i="1"/>
  <c r="K9" i="1"/>
  <c r="K10" i="1"/>
  <c r="E9" i="1"/>
  <c r="F4" i="1" l="1"/>
  <c r="F5" i="1"/>
  <c r="F6" i="1"/>
  <c r="F7" i="1"/>
  <c r="F8" i="1"/>
  <c r="F2" i="1"/>
  <c r="G4" i="1"/>
  <c r="G5" i="1"/>
  <c r="G6" i="1"/>
  <c r="G7" i="1"/>
  <c r="G8" i="1"/>
  <c r="G2" i="1"/>
  <c r="G3" i="1"/>
  <c r="F3" i="1"/>
  <c r="F11" i="1"/>
  <c r="F12" i="1"/>
  <c r="F13" i="1"/>
  <c r="A13" i="3" l="1"/>
  <c r="A12" i="3"/>
  <c r="A11" i="3"/>
  <c r="A3" i="3"/>
  <c r="A4" i="3" s="1"/>
  <c r="A5" i="3" s="1"/>
  <c r="A6" i="3" s="1"/>
  <c r="A7" i="3" s="1"/>
  <c r="A8" i="3" s="1"/>
  <c r="A3" i="1"/>
  <c r="A4" i="1" s="1"/>
  <c r="A5" i="1" s="1"/>
  <c r="A6" i="1" s="1"/>
  <c r="A7" i="1" s="1"/>
  <c r="A8" i="1" s="1"/>
  <c r="A11" i="1"/>
  <c r="A12" i="1"/>
  <c r="A13" i="1"/>
  <c r="P2" i="1"/>
  <c r="P3" i="1"/>
  <c r="N3" i="1" s="1"/>
  <c r="P4" i="1"/>
  <c r="N4" i="1" s="1"/>
  <c r="P5" i="1"/>
  <c r="N5" i="1" s="1"/>
  <c r="P6" i="1"/>
  <c r="P7" i="1"/>
  <c r="P8" i="1"/>
  <c r="P9" i="1"/>
  <c r="N9" i="1" s="1"/>
  <c r="N6" i="1"/>
  <c r="M3" i="3"/>
  <c r="M4" i="3"/>
  <c r="M5" i="3"/>
  <c r="M6" i="3"/>
  <c r="M7" i="3"/>
  <c r="M8" i="3"/>
  <c r="M2" i="3"/>
  <c r="K3" i="1"/>
  <c r="K4" i="1"/>
  <c r="K5" i="1"/>
  <c r="K6" i="1"/>
  <c r="K7" i="1"/>
  <c r="K8" i="1"/>
  <c r="K2" i="1"/>
  <c r="E3" i="1"/>
  <c r="E4" i="1"/>
  <c r="E5" i="1"/>
  <c r="E6" i="1"/>
  <c r="E7" i="1"/>
  <c r="E8" i="1"/>
  <c r="E2" i="1"/>
  <c r="E3" i="3"/>
  <c r="E4" i="3"/>
  <c r="E5" i="3"/>
  <c r="E6" i="3"/>
  <c r="E7" i="3"/>
  <c r="E8" i="3"/>
  <c r="E2" i="3"/>
  <c r="I7" i="3" l="1"/>
  <c r="I6" i="3"/>
  <c r="I5" i="3"/>
  <c r="I4" i="3"/>
  <c r="N3" i="3"/>
  <c r="I3" i="3"/>
  <c r="I2" i="3"/>
  <c r="N13" i="3"/>
  <c r="N12" i="3"/>
  <c r="N11" i="3"/>
  <c r="P10" i="1"/>
  <c r="N10" i="1" s="1"/>
  <c r="P11" i="1"/>
  <c r="N11" i="1" s="1"/>
  <c r="P12" i="1"/>
  <c r="N12" i="1" s="1"/>
  <c r="P13" i="1"/>
  <c r="N13" i="1" s="1"/>
</calcChain>
</file>

<file path=xl/sharedStrings.xml><?xml version="1.0" encoding="utf-8"?>
<sst xmlns="http://schemas.openxmlformats.org/spreadsheetml/2006/main" count="30" uniqueCount="29">
  <si>
    <t>Mês</t>
  </si>
  <si>
    <t>Consumo Fora Ponta (kWh)</t>
  </si>
  <si>
    <t>Consumo Ponta (kWh)</t>
  </si>
  <si>
    <t>Consumo Reservado (kWh)</t>
  </si>
  <si>
    <t>Demanda Ativa (kW)</t>
  </si>
  <si>
    <t>Demanda Ativa (kW)
CONTRATADA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</si>
  <si>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</si>
  <si>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</si>
  <si>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</si>
  <si>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</si>
  <si>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</si>
  <si>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</si>
  <si>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</si>
  <si>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Reativa (R$)</t>
  </si>
  <si>
    <t>Total (R$)</t>
  </si>
  <si>
    <t>Outros (R$)</t>
  </si>
  <si>
    <t>Consumo Ativo (R$)</t>
  </si>
  <si>
    <t>Consumo Ativo (kWh)</t>
  </si>
  <si>
    <t>Consumo Reativo Fora Ponta (R$)</t>
  </si>
  <si>
    <t>Consumo Reativo Ponta (R$)</t>
  </si>
  <si>
    <t>Consumo Reativo Reservado (R$)</t>
  </si>
  <si>
    <t>Consumo Reativo Fora Ponta (kVAr)</t>
  </si>
  <si>
    <t>Consumo Reativo Ponta (kVAr)</t>
  </si>
  <si>
    <t>Consumo Reativo Reservado (kVAr)</t>
  </si>
  <si>
    <t>Diferença Demanda (kW)</t>
  </si>
  <si>
    <t>Demanda de Ultrapassagem (R$)</t>
  </si>
  <si>
    <t>Demanda de Ultrapassagem (kW)</t>
  </si>
  <si>
    <t>Meta Consumo Ativo Reservado (%)</t>
  </si>
  <si>
    <t>Consumo Reservado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</si>
</sst>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0" borderId="0" xfId="0" applyNumberFormat="1"/>
    <xf numFmtId="9" fontId="0" fillId="0" borderId="0" xfId="1" applyFont="1"/>
    <xf numFmtId="2" fontId="3" fillId="5" borderId="2" xfId="0" applyNumberFormat="1" applyFont="1" applyFill="1" applyBorder="1" applyAlignment="1">
      <alignment horizontal="center"/>
    </xf>
    <xf numFmtId="0" fontId="3" fillId="0" borderId="0" xfId="0" applyFont="1"/>
    <xf numFmtId="9" fontId="0" fillId="5" borderId="11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43" fontId="0" fillId="5" borderId="1" xfId="2" applyFont="1" applyFill="1" applyBorder="1" applyAlignment="1">
      <alignment horizontal="center"/>
    </xf>
    <xf numFmtId="43" fontId="0" fillId="5" borderId="2" xfId="2" applyFont="1" applyFill="1" applyBorder="1" applyAlignment="1">
      <alignment horizontal="center"/>
    </xf>
    <xf numFmtId="43" fontId="0" fillId="5" borderId="11" xfId="2" applyFont="1" applyFill="1" applyBorder="1" applyAlignment="1">
      <alignment horizontal="center"/>
    </xf>
    <xf numFmtId="2" fontId="0" fillId="5" borderId="2" xfId="1" applyNumberFormat="1" applyFont="1" applyFill="1" applyBorder="1" applyAlignment="1">
      <alignment horizontal="center"/>
    </xf>
    <xf numFmtId="2" fontId="0" fillId="5" borderId="11" xfId="1" applyNumberFormat="1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P17"/>
  <sheetViews>
    <sheetView topLeftCell="E1" zoomScaleNormal="100" workbookViewId="0">
      <selection activeCell="G8" sqref="G8:G10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9" width="16.5703125" customWidth="1"/>
    <col min="10" max="10" width="17.140625" customWidth="1"/>
    <col min="11" max="11" width="17.28515625" bestFit="1" customWidth="1"/>
    <col min="12" max="12" width="14.5703125" bestFit="1" customWidth="1"/>
    <col min="13" max="13" width="14.5703125" customWidth="1"/>
    <col min="14" max="14" width="14.42578125" bestFit="1" customWidth="1"/>
    <col min="15" max="15" width="14.5703125" bestFit="1" customWidth="1"/>
    <col min="16" max="16" width="14.42578125" bestFit="1" customWidth="1"/>
  </cols>
  <sheetData>
    <row r="1" spans="1:1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28</v>
      </c>
      <c r="G1" s="2" t="s">
        <v>27</v>
      </c>
      <c r="H1" s="2" t="s">
        <v>21</v>
      </c>
      <c r="I1" s="2" t="s">
        <v>22</v>
      </c>
      <c r="J1" s="2" t="s">
        <v>23</v>
      </c>
      <c r="K1" s="2" t="s">
        <v>7</v>
      </c>
      <c r="L1" s="2" t="s">
        <v>4</v>
      </c>
      <c r="M1" s="2" t="s">
        <v>6</v>
      </c>
      <c r="N1" s="2" t="s">
        <v>26</v>
      </c>
      <c r="O1" s="3" t="s">
        <v>5</v>
      </c>
      <c r="P1" s="4" t="s">
        <v>24</v>
      </c>
    </row>
    <row r="2" spans="1:16" x14ac:dyDescent="0.25">
      <c r="A2" s="5">
        <v>45444</v>
      </c>
      <c r="B2" s="8">
        <v>10464.299999999999</v>
      </c>
      <c r="C2" s="8">
        <v>864.15</v>
      </c>
      <c r="D2" s="8">
        <v>3827.25</v>
      </c>
      <c r="E2" s="8">
        <f>B2+C2+D2</f>
        <v>15155.699999999999</v>
      </c>
      <c r="F2" s="22">
        <f>IFERROR(D2/E2*100,"")</f>
        <v>25.252875155881949</v>
      </c>
      <c r="G2" s="22">
        <f>(9/20)*100</f>
        <v>45</v>
      </c>
      <c r="H2" s="8">
        <v>11750.55</v>
      </c>
      <c r="I2" s="8">
        <v>1685.25</v>
      </c>
      <c r="J2" s="8">
        <v>3068.1</v>
      </c>
      <c r="K2" s="8">
        <f>SUM(H2:J2)</f>
        <v>16503.899999999998</v>
      </c>
      <c r="L2" s="8">
        <v>315</v>
      </c>
      <c r="M2" s="8">
        <v>50.4</v>
      </c>
      <c r="N2" s="8">
        <v>0</v>
      </c>
      <c r="O2" s="8">
        <v>300</v>
      </c>
      <c r="P2" s="9">
        <f t="shared" ref="P2:P13" si="0">IF(L2="","",O2-L2)</f>
        <v>-15</v>
      </c>
    </row>
    <row r="3" spans="1:16" x14ac:dyDescent="0.25">
      <c r="A3" s="5">
        <f t="shared" ref="A3:A13" si="1">IF(B3="","",A2+31)</f>
        <v>45475</v>
      </c>
      <c r="B3" s="8">
        <v>19685.400000000001</v>
      </c>
      <c r="C3" s="8">
        <v>1031.0999999999999</v>
      </c>
      <c r="D3" s="8">
        <v>10178.700000000001</v>
      </c>
      <c r="E3" s="8">
        <f t="shared" ref="E3:E10" si="2">B3+C3+D3</f>
        <v>30895.200000000001</v>
      </c>
      <c r="F3" s="22">
        <f>IFERROR(D3/E3*100,"")</f>
        <v>32.945894507884724</v>
      </c>
      <c r="G3" s="22">
        <f>(9/20)*100</f>
        <v>45</v>
      </c>
      <c r="H3" s="8">
        <v>12323.85</v>
      </c>
      <c r="I3" s="8">
        <v>1975.05</v>
      </c>
      <c r="J3" s="8">
        <v>3487.05</v>
      </c>
      <c r="K3" s="8">
        <f t="shared" ref="K3:K8" si="3">SUM(H3:J3)</f>
        <v>17785.95</v>
      </c>
      <c r="L3" s="8">
        <v>319.2</v>
      </c>
      <c r="M3" s="8">
        <v>1.05</v>
      </c>
      <c r="N3" s="8">
        <f t="shared" ref="N3:N13" si="4">IF(P3&gt;0,"",IF(SQRT(P3^2)&gt;O3*0.05,SQRT(P3^2),""))</f>
        <v>19.199999999999989</v>
      </c>
      <c r="O3" s="8">
        <v>300</v>
      </c>
      <c r="P3" s="9">
        <f t="shared" si="0"/>
        <v>-19.199999999999989</v>
      </c>
    </row>
    <row r="4" spans="1:16" ht="15.75" thickBot="1" x14ac:dyDescent="0.3">
      <c r="A4" s="6">
        <f t="shared" si="1"/>
        <v>45506</v>
      </c>
      <c r="B4" s="10">
        <v>90227.55</v>
      </c>
      <c r="C4" s="10">
        <v>937.65</v>
      </c>
      <c r="D4" s="10">
        <v>59176.95</v>
      </c>
      <c r="E4" s="10">
        <f t="shared" si="2"/>
        <v>150342.15</v>
      </c>
      <c r="F4" s="23">
        <f t="shared" ref="F4:F10" si="5">IFERROR(D4/E4*100,"")</f>
        <v>39.361516381134635</v>
      </c>
      <c r="G4" s="23">
        <f t="shared" ref="G4:G10" si="6">(9/20)*100</f>
        <v>45</v>
      </c>
      <c r="H4" s="10">
        <v>14696.85</v>
      </c>
      <c r="I4" s="10">
        <v>984.9</v>
      </c>
      <c r="J4" s="18">
        <v>3895.5</v>
      </c>
      <c r="K4" s="10">
        <f t="shared" si="3"/>
        <v>19577.25</v>
      </c>
      <c r="L4" s="10">
        <v>340.2</v>
      </c>
      <c r="M4" s="10">
        <v>66.150000000000006</v>
      </c>
      <c r="N4" s="10">
        <f t="shared" si="4"/>
        <v>40.199999999999989</v>
      </c>
      <c r="O4" s="10">
        <v>300</v>
      </c>
      <c r="P4" s="15">
        <f t="shared" si="0"/>
        <v>-40.199999999999989</v>
      </c>
    </row>
    <row r="5" spans="1:16" x14ac:dyDescent="0.25">
      <c r="A5" s="7">
        <f t="shared" si="1"/>
        <v>45537</v>
      </c>
      <c r="B5" s="11">
        <v>144938.85</v>
      </c>
      <c r="C5" s="11">
        <v>1424.85</v>
      </c>
      <c r="D5" s="11">
        <v>91366.8</v>
      </c>
      <c r="E5" s="11">
        <f t="shared" si="2"/>
        <v>237730.5</v>
      </c>
      <c r="F5" s="24">
        <f t="shared" si="5"/>
        <v>38.432931407623336</v>
      </c>
      <c r="G5" s="24">
        <f t="shared" si="6"/>
        <v>45</v>
      </c>
      <c r="H5" s="11">
        <v>20242.95</v>
      </c>
      <c r="I5" s="11">
        <v>1882.65</v>
      </c>
      <c r="J5" s="11">
        <v>4562.25</v>
      </c>
      <c r="K5" s="11">
        <f t="shared" si="3"/>
        <v>26687.850000000002</v>
      </c>
      <c r="L5" s="11">
        <v>1058.4000000000001</v>
      </c>
      <c r="M5" s="11">
        <v>87.15</v>
      </c>
      <c r="N5" s="11">
        <f t="shared" si="4"/>
        <v>58.400000000000091</v>
      </c>
      <c r="O5" s="11">
        <v>1000</v>
      </c>
      <c r="P5" s="14">
        <f t="shared" si="0"/>
        <v>-58.400000000000091</v>
      </c>
    </row>
    <row r="6" spans="1:16" x14ac:dyDescent="0.25">
      <c r="A6" s="5">
        <f t="shared" si="1"/>
        <v>45568</v>
      </c>
      <c r="B6" s="8">
        <v>114662.1</v>
      </c>
      <c r="C6" s="8">
        <v>81.900000000000006</v>
      </c>
      <c r="D6" s="8">
        <v>84091.35</v>
      </c>
      <c r="E6" s="8">
        <f t="shared" si="2"/>
        <v>198835.35</v>
      </c>
      <c r="F6" s="22">
        <f t="shared" si="5"/>
        <v>42.291951607196609</v>
      </c>
      <c r="G6" s="22">
        <f t="shared" si="6"/>
        <v>45</v>
      </c>
      <c r="H6" s="8">
        <v>13742.4</v>
      </c>
      <c r="I6" s="8">
        <v>79.8</v>
      </c>
      <c r="J6" s="8">
        <v>3607.8</v>
      </c>
      <c r="K6" s="8">
        <f t="shared" si="3"/>
        <v>17430</v>
      </c>
      <c r="L6" s="8">
        <v>1104.5999999999999</v>
      </c>
      <c r="M6" s="8">
        <v>70.349999999999994</v>
      </c>
      <c r="N6" s="8">
        <f t="shared" si="4"/>
        <v>104.59999999999991</v>
      </c>
      <c r="O6" s="8">
        <v>1000</v>
      </c>
      <c r="P6" s="9">
        <f t="shared" si="0"/>
        <v>-104.59999999999991</v>
      </c>
    </row>
    <row r="7" spans="1:16" x14ac:dyDescent="0.25">
      <c r="A7" s="5">
        <f t="shared" si="1"/>
        <v>45599</v>
      </c>
      <c r="B7" s="8">
        <v>109979.1</v>
      </c>
      <c r="C7" s="8">
        <v>0</v>
      </c>
      <c r="D7" s="8">
        <v>73286.850000000006</v>
      </c>
      <c r="E7" s="8">
        <f t="shared" si="2"/>
        <v>183265.95</v>
      </c>
      <c r="F7" s="22">
        <f t="shared" si="5"/>
        <v>39.989343355926181</v>
      </c>
      <c r="G7" s="22">
        <f t="shared" si="6"/>
        <v>45</v>
      </c>
      <c r="H7" s="8">
        <v>14190.75</v>
      </c>
      <c r="I7" s="8">
        <v>0</v>
      </c>
      <c r="J7" s="8">
        <v>3657.15</v>
      </c>
      <c r="K7" s="8">
        <f t="shared" si="3"/>
        <v>17847.900000000001</v>
      </c>
      <c r="L7" s="8">
        <v>1037.4000000000001</v>
      </c>
      <c r="M7" s="8">
        <v>71.400000000000006</v>
      </c>
      <c r="N7" s="8">
        <v>0</v>
      </c>
      <c r="O7" s="8">
        <v>1000</v>
      </c>
      <c r="P7" s="9">
        <f t="shared" si="0"/>
        <v>-37.400000000000091</v>
      </c>
    </row>
    <row r="8" spans="1:16" x14ac:dyDescent="0.25">
      <c r="A8" s="5">
        <f t="shared" si="1"/>
        <v>45630</v>
      </c>
      <c r="B8" s="8">
        <v>53708.55</v>
      </c>
      <c r="C8" s="8">
        <v>8.4</v>
      </c>
      <c r="D8" s="8">
        <v>18012.75</v>
      </c>
      <c r="E8" s="8">
        <f t="shared" si="2"/>
        <v>71729.700000000012</v>
      </c>
      <c r="F8" s="22">
        <f t="shared" si="5"/>
        <v>25.111982902479724</v>
      </c>
      <c r="G8" s="22">
        <f t="shared" si="6"/>
        <v>45</v>
      </c>
      <c r="H8" s="8">
        <v>7697.55</v>
      </c>
      <c r="I8" s="8">
        <v>1.05</v>
      </c>
      <c r="J8" s="8">
        <v>825.3</v>
      </c>
      <c r="K8" s="8">
        <f t="shared" si="3"/>
        <v>8523.9</v>
      </c>
      <c r="L8" s="8">
        <v>1050</v>
      </c>
      <c r="M8" s="8">
        <v>0</v>
      </c>
      <c r="N8" s="8">
        <v>0</v>
      </c>
      <c r="O8" s="8">
        <v>1000</v>
      </c>
      <c r="P8" s="9">
        <f t="shared" si="0"/>
        <v>-50</v>
      </c>
    </row>
    <row r="9" spans="1:16" x14ac:dyDescent="0.25">
      <c r="A9" s="5">
        <v>45658</v>
      </c>
      <c r="B9" s="8">
        <v>49373.1</v>
      </c>
      <c r="C9" s="8">
        <v>0</v>
      </c>
      <c r="D9" s="8">
        <v>22997.1</v>
      </c>
      <c r="E9" s="8">
        <f t="shared" si="2"/>
        <v>72370.2</v>
      </c>
      <c r="F9" s="22">
        <f t="shared" si="5"/>
        <v>31.777029771922699</v>
      </c>
      <c r="G9" s="22">
        <f t="shared" si="6"/>
        <v>45</v>
      </c>
      <c r="H9" s="8">
        <v>7459.2</v>
      </c>
      <c r="I9" s="8">
        <v>1075.2</v>
      </c>
      <c r="J9" s="8">
        <v>0</v>
      </c>
      <c r="K9" s="8">
        <f>SUM(H9:J9)</f>
        <v>8534.4</v>
      </c>
      <c r="L9" s="8">
        <v>1024.8</v>
      </c>
      <c r="M9" s="8">
        <v>70.349999999999994</v>
      </c>
      <c r="N9" s="8" t="str">
        <f>IF(P9&gt;0,"",IF(SQRT(P9^2)&gt;O9*0.05,SQRT(P9^2),""))</f>
        <v/>
      </c>
      <c r="O9" s="8">
        <v>1000</v>
      </c>
      <c r="P9" s="9">
        <f t="shared" si="0"/>
        <v>-24.799999999999955</v>
      </c>
    </row>
    <row r="10" spans="1:16" x14ac:dyDescent="0.25">
      <c r="A10" s="5">
        <v>45689</v>
      </c>
      <c r="B10" s="8">
        <v>111663.3</v>
      </c>
      <c r="C10" s="8">
        <v>141.75</v>
      </c>
      <c r="D10" s="8">
        <v>51834.3</v>
      </c>
      <c r="E10" s="8">
        <f t="shared" si="2"/>
        <v>163639.35</v>
      </c>
      <c r="F10" s="22">
        <f t="shared" si="5"/>
        <v>31.675938580787566</v>
      </c>
      <c r="G10" s="22">
        <f t="shared" si="6"/>
        <v>45</v>
      </c>
      <c r="H10" s="8">
        <v>14669.55</v>
      </c>
      <c r="I10" s="8">
        <v>226.8</v>
      </c>
      <c r="J10" s="8">
        <v>2613.4499999999998</v>
      </c>
      <c r="K10" s="8">
        <f>SUM(H10:J10)</f>
        <v>17509.8</v>
      </c>
      <c r="L10" s="8">
        <v>1092</v>
      </c>
      <c r="M10" s="8">
        <v>58.8</v>
      </c>
      <c r="N10" s="8">
        <f t="shared" si="4"/>
        <v>92</v>
      </c>
      <c r="O10" s="8">
        <v>1000</v>
      </c>
      <c r="P10" s="9">
        <f t="shared" si="0"/>
        <v>-92</v>
      </c>
    </row>
    <row r="11" spans="1:16" ht="15.75" thickBot="1" x14ac:dyDescent="0.3">
      <c r="A11" s="6" t="str">
        <f t="shared" si="1"/>
        <v/>
      </c>
      <c r="B11" s="12"/>
      <c r="C11" s="12"/>
      <c r="D11" s="12"/>
      <c r="E11" s="12"/>
      <c r="F11" s="21" t="str">
        <f t="shared" ref="F9:F13" si="7">IFERROR(D11/E11,"")</f>
        <v/>
      </c>
      <c r="G11" s="25"/>
      <c r="H11" s="12"/>
      <c r="I11" s="12"/>
      <c r="J11" s="12"/>
      <c r="K11" s="12"/>
      <c r="L11" s="12"/>
      <c r="M11" s="12"/>
      <c r="N11" s="10" t="str">
        <f t="shared" si="4"/>
        <v/>
      </c>
      <c r="O11" s="12">
        <v>1000</v>
      </c>
      <c r="P11" s="15" t="str">
        <f t="shared" si="0"/>
        <v/>
      </c>
    </row>
    <row r="12" spans="1:16" x14ac:dyDescent="0.25">
      <c r="A12" s="7" t="str">
        <f t="shared" si="1"/>
        <v/>
      </c>
      <c r="B12" s="13"/>
      <c r="C12" s="13"/>
      <c r="D12" s="13"/>
      <c r="E12" s="13"/>
      <c r="F12" s="20" t="str">
        <f t="shared" si="7"/>
        <v/>
      </c>
      <c r="G12" s="26"/>
      <c r="H12" s="13"/>
      <c r="I12" s="13"/>
      <c r="J12" s="13"/>
      <c r="K12" s="13"/>
      <c r="L12" s="13"/>
      <c r="M12" s="13"/>
      <c r="N12" s="11" t="str">
        <f t="shared" si="4"/>
        <v/>
      </c>
      <c r="O12" s="13">
        <v>600</v>
      </c>
      <c r="P12" s="14" t="str">
        <f t="shared" si="0"/>
        <v/>
      </c>
    </row>
    <row r="13" spans="1:16" ht="15.75" thickBot="1" x14ac:dyDescent="0.3">
      <c r="A13" s="5" t="str">
        <f t="shared" si="1"/>
        <v/>
      </c>
      <c r="B13" s="10"/>
      <c r="C13" s="10"/>
      <c r="D13" s="10"/>
      <c r="E13" s="10"/>
      <c r="F13" s="21" t="str">
        <f t="shared" si="7"/>
        <v/>
      </c>
      <c r="G13" s="25"/>
      <c r="H13" s="10"/>
      <c r="I13" s="10"/>
      <c r="J13" s="10"/>
      <c r="K13" s="10"/>
      <c r="L13" s="10"/>
      <c r="M13" s="10"/>
      <c r="N13" s="8" t="str">
        <f t="shared" si="4"/>
        <v/>
      </c>
      <c r="O13" s="10">
        <v>600</v>
      </c>
      <c r="P13" s="9" t="str">
        <f t="shared" si="0"/>
        <v/>
      </c>
    </row>
    <row r="15" spans="1:16" x14ac:dyDescent="0.25">
      <c r="B15" s="16"/>
      <c r="C15" s="17"/>
      <c r="H15" s="19"/>
      <c r="K15" s="17"/>
    </row>
    <row r="16" spans="1:16" x14ac:dyDescent="0.25">
      <c r="B16" s="16"/>
      <c r="C16" s="17"/>
    </row>
    <row r="17" spans="2:3" x14ac:dyDescent="0.25">
      <c r="B17" s="16"/>
      <c r="C17" s="17"/>
    </row>
  </sheetData>
  <autoFilter ref="A1:P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N13"/>
  <sheetViews>
    <sheetView tabSelected="1" topLeftCell="F1" zoomScaleNormal="100" workbookViewId="0">
      <selection activeCell="I10" sqref="I10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7" width="16.5703125" customWidth="1"/>
    <col min="8" max="8" width="19.140625" customWidth="1"/>
    <col min="9" max="9" width="17.28515625" bestFit="1" customWidth="1"/>
    <col min="10" max="10" width="14.5703125" bestFit="1" customWidth="1"/>
    <col min="11" max="11" width="14.5703125" customWidth="1"/>
    <col min="12" max="12" width="14.42578125" bestFit="1" customWidth="1"/>
    <col min="13" max="13" width="14.5703125" bestFit="1" customWidth="1"/>
    <col min="14" max="14" width="14.42578125" bestFit="1" customWidth="1"/>
  </cols>
  <sheetData>
    <row r="1" spans="1:14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16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12</v>
      </c>
      <c r="K1" s="2" t="s">
        <v>13</v>
      </c>
      <c r="L1" s="2" t="s">
        <v>25</v>
      </c>
      <c r="M1" s="2" t="s">
        <v>15</v>
      </c>
      <c r="N1" s="4" t="s">
        <v>14</v>
      </c>
    </row>
    <row r="2" spans="1:14" x14ac:dyDescent="0.25">
      <c r="A2" s="5">
        <v>45444</v>
      </c>
      <c r="B2" s="8">
        <v>5845.19</v>
      </c>
      <c r="C2" s="8">
        <v>2757.87</v>
      </c>
      <c r="D2" s="8">
        <v>213.77</v>
      </c>
      <c r="E2" s="8">
        <f>B2+C2+D2</f>
        <v>8816.83</v>
      </c>
      <c r="F2" s="8">
        <v>4795.76</v>
      </c>
      <c r="G2" s="8">
        <v>1252.19</v>
      </c>
      <c r="H2" s="8">
        <v>687.8</v>
      </c>
      <c r="I2" s="8">
        <f>687.8+4795.76+1252.19</f>
        <v>6735.75</v>
      </c>
      <c r="J2" s="8">
        <v>11499.84</v>
      </c>
      <c r="K2" s="8">
        <v>1839.97</v>
      </c>
      <c r="L2" s="8">
        <v>0</v>
      </c>
      <c r="M2" s="8">
        <f>N2-E2-I2-J2-K2-L2</f>
        <v>715.2300000000007</v>
      </c>
      <c r="N2" s="9">
        <v>29607.62</v>
      </c>
    </row>
    <row r="3" spans="1:14" x14ac:dyDescent="0.25">
      <c r="A3" s="5">
        <f t="shared" ref="A3:A13" si="0">IF(B3="","",A2+31)</f>
        <v>45475</v>
      </c>
      <c r="B3" s="8">
        <v>10963.55</v>
      </c>
      <c r="C3" s="8">
        <v>3280.98</v>
      </c>
      <c r="D3" s="8">
        <v>566.88</v>
      </c>
      <c r="E3" s="8">
        <f t="shared" ref="E3:E10" si="1">B3+C3+D3</f>
        <v>14811.409999999998</v>
      </c>
      <c r="F3" s="8">
        <v>5014.92</v>
      </c>
      <c r="G3" s="8">
        <v>803.69</v>
      </c>
      <c r="H3" s="8">
        <v>1418.97</v>
      </c>
      <c r="I3" s="8">
        <f>803.69+5014.92+1418.97</f>
        <v>7237.5800000000008</v>
      </c>
      <c r="J3" s="8">
        <v>11618.83</v>
      </c>
      <c r="K3" s="8">
        <v>38.21</v>
      </c>
      <c r="L3" s="8">
        <v>1397.76</v>
      </c>
      <c r="M3" s="8">
        <f t="shared" ref="M3:M10" si="2">N3-E3-I3-J3-K3-L3</f>
        <v>2682.0499999999984</v>
      </c>
      <c r="N3" s="9">
        <f>37785.84</f>
        <v>37785.839999999997</v>
      </c>
    </row>
    <row r="4" spans="1:14" ht="15.75" thickBot="1" x14ac:dyDescent="0.3">
      <c r="A4" s="6">
        <f t="shared" si="0"/>
        <v>45506</v>
      </c>
      <c r="B4" s="10">
        <v>49458.33</v>
      </c>
      <c r="C4" s="10">
        <v>2936.55</v>
      </c>
      <c r="D4" s="10">
        <v>3243.77</v>
      </c>
      <c r="E4" s="10">
        <f t="shared" si="1"/>
        <v>55638.65</v>
      </c>
      <c r="F4" s="10">
        <v>5886.19</v>
      </c>
      <c r="G4" s="10">
        <v>394.46</v>
      </c>
      <c r="H4" s="10">
        <v>1560.16</v>
      </c>
      <c r="I4" s="10">
        <f>394.46+5886.19+1560.16</f>
        <v>7840.8099999999995</v>
      </c>
      <c r="J4" s="10">
        <v>12187.84</v>
      </c>
      <c r="K4" s="10">
        <v>2369.86</v>
      </c>
      <c r="L4" s="10">
        <v>2880.36</v>
      </c>
      <c r="M4" s="10">
        <f t="shared" si="2"/>
        <v>7579.0800000000054</v>
      </c>
      <c r="N4" s="15">
        <v>88496.6</v>
      </c>
    </row>
    <row r="5" spans="1:14" x14ac:dyDescent="0.25">
      <c r="A5" s="7">
        <f t="shared" si="0"/>
        <v>45537</v>
      </c>
      <c r="B5" s="11">
        <v>80220.710000000006</v>
      </c>
      <c r="C5" s="11">
        <v>4505.76</v>
      </c>
      <c r="D5" s="11">
        <v>5056.96</v>
      </c>
      <c r="E5" s="11">
        <f t="shared" si="1"/>
        <v>89783.430000000008</v>
      </c>
      <c r="F5" s="11">
        <v>8186.26</v>
      </c>
      <c r="G5" s="11">
        <v>761.33</v>
      </c>
      <c r="H5" s="11">
        <v>1844.96</v>
      </c>
      <c r="I5" s="11">
        <f>761.33+8186.26+1844.96</f>
        <v>10792.55</v>
      </c>
      <c r="J5" s="11">
        <v>38286.31</v>
      </c>
      <c r="K5" s="11">
        <v>3152.54</v>
      </c>
      <c r="L5" s="11">
        <v>4225.09</v>
      </c>
      <c r="M5" s="11">
        <f t="shared" si="2"/>
        <v>20925.34</v>
      </c>
      <c r="N5" s="14">
        <v>167165.26</v>
      </c>
    </row>
    <row r="6" spans="1:14" x14ac:dyDescent="0.25">
      <c r="A6" s="5">
        <f t="shared" si="0"/>
        <v>45568</v>
      </c>
      <c r="B6" s="8">
        <v>64048.800000000003</v>
      </c>
      <c r="C6" s="8">
        <v>261.38</v>
      </c>
      <c r="D6" s="8">
        <v>4697.2299999999996</v>
      </c>
      <c r="E6" s="8">
        <f t="shared" si="1"/>
        <v>69007.41</v>
      </c>
      <c r="F6" s="8">
        <v>5608.73</v>
      </c>
      <c r="G6" s="8">
        <v>32.56</v>
      </c>
      <c r="H6" s="8">
        <v>1472.46</v>
      </c>
      <c r="I6" s="8">
        <f>32.56+5608.73+1472.46</f>
        <v>7113.75</v>
      </c>
      <c r="J6" s="8">
        <v>40326.29</v>
      </c>
      <c r="K6" s="8">
        <v>2568.3000000000002</v>
      </c>
      <c r="L6" s="8">
        <v>7637.38</v>
      </c>
      <c r="M6" s="8">
        <f t="shared" si="2"/>
        <v>27970.19</v>
      </c>
      <c r="N6" s="9">
        <v>154623.32</v>
      </c>
    </row>
    <row r="7" spans="1:14" x14ac:dyDescent="0.25">
      <c r="A7" s="5">
        <f t="shared" si="0"/>
        <v>45599</v>
      </c>
      <c r="B7" s="8">
        <v>61153.27</v>
      </c>
      <c r="C7" s="8">
        <v>0</v>
      </c>
      <c r="D7" s="8">
        <v>4075.06</v>
      </c>
      <c r="E7" s="8">
        <f t="shared" si="1"/>
        <v>65228.329999999994</v>
      </c>
      <c r="F7" s="8">
        <v>5765.35</v>
      </c>
      <c r="G7" s="8">
        <v>0</v>
      </c>
      <c r="H7" s="8">
        <v>1485.8</v>
      </c>
      <c r="I7" s="8">
        <f>5765.35+1485.8</f>
        <v>7251.1500000000005</v>
      </c>
      <c r="J7" s="8">
        <v>37700.57</v>
      </c>
      <c r="K7" s="8">
        <v>2594.7600000000002</v>
      </c>
      <c r="L7" s="8">
        <v>0</v>
      </c>
      <c r="M7" s="8">
        <f t="shared" si="2"/>
        <v>15910.110000000002</v>
      </c>
      <c r="N7" s="9">
        <v>128684.92</v>
      </c>
    </row>
    <row r="8" spans="1:14" x14ac:dyDescent="0.25">
      <c r="A8" s="5">
        <f t="shared" si="0"/>
        <v>45630</v>
      </c>
      <c r="B8" s="8">
        <v>29192.21</v>
      </c>
      <c r="C8" s="8">
        <v>26.07</v>
      </c>
      <c r="D8" s="8">
        <v>979.02</v>
      </c>
      <c r="E8" s="8">
        <f t="shared" si="1"/>
        <v>30197.3</v>
      </c>
      <c r="F8" s="8">
        <v>3056.94</v>
      </c>
      <c r="G8" s="8">
        <v>0.41</v>
      </c>
      <c r="H8" s="8">
        <v>327.75</v>
      </c>
      <c r="I8" s="8">
        <f>SUM(F8:H8)</f>
        <v>3385.1</v>
      </c>
      <c r="J8" s="8">
        <v>37299.699999999997</v>
      </c>
      <c r="K8" s="8">
        <v>0</v>
      </c>
      <c r="L8" s="8">
        <v>0</v>
      </c>
      <c r="M8" s="8">
        <f t="shared" si="2"/>
        <v>2773.489999999998</v>
      </c>
      <c r="N8" s="9">
        <v>73655.59</v>
      </c>
    </row>
    <row r="9" spans="1:14" x14ac:dyDescent="0.25">
      <c r="A9" s="5">
        <v>45658</v>
      </c>
      <c r="B9" s="8">
        <v>26584.34</v>
      </c>
      <c r="C9" s="8">
        <v>0</v>
      </c>
      <c r="D9" s="8">
        <v>1238.25</v>
      </c>
      <c r="E9" s="8">
        <f t="shared" si="1"/>
        <v>27822.59</v>
      </c>
      <c r="F9" s="8">
        <v>2934.54</v>
      </c>
      <c r="G9" s="8">
        <v>0</v>
      </c>
      <c r="H9" s="8">
        <v>422.99</v>
      </c>
      <c r="I9" s="8">
        <f>SUM(F9:H9)</f>
        <v>3357.5299999999997</v>
      </c>
      <c r="J9" s="8">
        <v>36063.43</v>
      </c>
      <c r="K9" s="8">
        <v>2475.66</v>
      </c>
      <c r="L9" s="8">
        <v>0</v>
      </c>
      <c r="M9" s="8">
        <f t="shared" si="2"/>
        <v>3220.1899999999987</v>
      </c>
      <c r="N9" s="9">
        <v>72939.399999999994</v>
      </c>
    </row>
    <row r="10" spans="1:14" x14ac:dyDescent="0.25">
      <c r="A10" s="5">
        <v>45689</v>
      </c>
      <c r="B10" s="8">
        <v>61358.27</v>
      </c>
      <c r="C10" s="8">
        <v>445.01</v>
      </c>
      <c r="D10" s="8">
        <v>2848.24</v>
      </c>
      <c r="E10" s="8">
        <f t="shared" si="1"/>
        <v>64651.519999999997</v>
      </c>
      <c r="F10" s="8">
        <v>5889.66</v>
      </c>
      <c r="G10" s="8">
        <v>91.06</v>
      </c>
      <c r="H10" s="8">
        <v>1049.26</v>
      </c>
      <c r="I10" s="8">
        <f>SUM(F10:H10)</f>
        <v>7029.9800000000005</v>
      </c>
      <c r="J10" s="8">
        <v>39217.29</v>
      </c>
      <c r="K10" s="8">
        <v>2111.69</v>
      </c>
      <c r="L10" s="8">
        <v>6608.05</v>
      </c>
      <c r="M10" s="8">
        <f t="shared" si="2"/>
        <v>6797.8899999999967</v>
      </c>
      <c r="N10" s="9">
        <v>126416.42</v>
      </c>
    </row>
    <row r="11" spans="1:14" ht="15.75" thickBot="1" x14ac:dyDescent="0.3">
      <c r="A11" s="6" t="str">
        <f t="shared" si="0"/>
        <v/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 t="str">
        <f>IF(J11="","",M11-J11)</f>
        <v/>
      </c>
    </row>
    <row r="12" spans="1:14" x14ac:dyDescent="0.25">
      <c r="A12" s="7" t="str">
        <f t="shared" si="0"/>
        <v/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 t="str">
        <f>IF(J12="","",M12-J12)</f>
        <v/>
      </c>
    </row>
    <row r="13" spans="1:14" ht="15.75" thickBot="1" x14ac:dyDescent="0.3">
      <c r="A13" s="5" t="str">
        <f t="shared" si="0"/>
        <v/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9" t="str">
        <f>IF(J13="","",M13-J13)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2025-03-05T22:31:24Z</dcterms:modified>
</cp:coreProperties>
</file>