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bookViews>
    <workbookView minimized="1" xWindow="0" yWindow="0" windowWidth="19200" windowHeight="7050" activeTab="3"/>
  </bookViews>
  <sheets>
    <sheet name="SP CE FC" sheetId="1" r:id="rId1"/>
    <sheet name="Capex e mutuo" sheetId="2" r:id="rId2"/>
    <sheet name="WACC" sheetId="3" r:id="rId3"/>
    <sheet name="EVA" sheetId="4" r:id="rId4"/>
    <sheet name="Break-even analysis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6" i="6"/>
  <c r="B4" i="6"/>
  <c r="B3" i="6"/>
  <c r="B5" i="6" l="1"/>
  <c r="D20" i="4"/>
  <c r="E20" i="4"/>
  <c r="F20" i="4"/>
  <c r="G20" i="4"/>
  <c r="H20" i="4"/>
  <c r="I20" i="4"/>
  <c r="J20" i="4"/>
  <c r="K20" i="4"/>
  <c r="L20" i="4"/>
  <c r="M20" i="4"/>
  <c r="C20" i="4"/>
  <c r="D19" i="4"/>
  <c r="E19" i="4"/>
  <c r="F19" i="4"/>
  <c r="G19" i="4"/>
  <c r="H19" i="4"/>
  <c r="I19" i="4"/>
  <c r="J19" i="4"/>
  <c r="K19" i="4"/>
  <c r="L19" i="4"/>
  <c r="M19" i="4"/>
  <c r="C19" i="4"/>
  <c r="E18" i="4"/>
  <c r="F18" i="4"/>
  <c r="G18" i="4" s="1"/>
  <c r="H18" i="4" s="1"/>
  <c r="I18" i="4" s="1"/>
  <c r="J18" i="4" s="1"/>
  <c r="K18" i="4" s="1"/>
  <c r="L18" i="4" s="1"/>
  <c r="M18" i="4" s="1"/>
  <c r="D18" i="4"/>
  <c r="C18" i="4"/>
  <c r="D17" i="4"/>
  <c r="E17" i="4"/>
  <c r="F17" i="4"/>
  <c r="G17" i="4"/>
  <c r="H17" i="4"/>
  <c r="I17" i="4"/>
  <c r="J17" i="4"/>
  <c r="K17" i="4"/>
  <c r="L17" i="4"/>
  <c r="M17" i="4"/>
  <c r="C17" i="4"/>
  <c r="J7" i="4"/>
  <c r="C3" i="4"/>
  <c r="D16" i="3"/>
  <c r="E16" i="3"/>
  <c r="F16" i="3"/>
  <c r="G16" i="3"/>
  <c r="H16" i="3"/>
  <c r="I16" i="3"/>
  <c r="J16" i="3"/>
  <c r="K16" i="3"/>
  <c r="L16" i="3"/>
  <c r="M16" i="3"/>
  <c r="C16" i="3"/>
  <c r="L83" i="1"/>
  <c r="C65" i="1"/>
  <c r="L49" i="1"/>
  <c r="L44" i="1"/>
  <c r="L24" i="1"/>
  <c r="D204" i="1"/>
  <c r="E204" i="1"/>
  <c r="F204" i="1"/>
  <c r="G204" i="1"/>
  <c r="H204" i="1"/>
  <c r="I204" i="1"/>
  <c r="J204" i="1"/>
  <c r="K204" i="1"/>
  <c r="L204" i="1"/>
  <c r="C204" i="1"/>
  <c r="E196" i="1"/>
  <c r="F196" i="1"/>
  <c r="G196" i="1"/>
  <c r="H196" i="1"/>
  <c r="I196" i="1"/>
  <c r="J196" i="1"/>
  <c r="K196" i="1"/>
  <c r="L196" i="1"/>
  <c r="D196" i="1"/>
  <c r="F173" i="1"/>
  <c r="G173" i="1" s="1"/>
  <c r="H173" i="1" s="1"/>
  <c r="I173" i="1" s="1"/>
  <c r="J173" i="1" s="1"/>
  <c r="K173" i="1" s="1"/>
  <c r="L173" i="1" s="1"/>
  <c r="E173" i="1"/>
  <c r="D173" i="1"/>
  <c r="L171" i="1"/>
  <c r="D176" i="1"/>
  <c r="E176" i="1" s="1"/>
  <c r="F176" i="1" s="1"/>
  <c r="G176" i="1" s="1"/>
  <c r="H176" i="1" s="1"/>
  <c r="I176" i="1" s="1"/>
  <c r="J176" i="1" s="1"/>
  <c r="K176" i="1" s="1"/>
  <c r="L176" i="1" s="1"/>
  <c r="E178" i="1"/>
  <c r="F178" i="1" s="1"/>
  <c r="G178" i="1" s="1"/>
  <c r="H178" i="1" s="1"/>
  <c r="I178" i="1" s="1"/>
  <c r="J178" i="1" s="1"/>
  <c r="K178" i="1" s="1"/>
  <c r="L178" i="1" s="1"/>
  <c r="L189" i="1"/>
  <c r="D14" i="3"/>
  <c r="E14" i="3"/>
  <c r="F14" i="3"/>
  <c r="G14" i="3"/>
  <c r="H14" i="3"/>
  <c r="I14" i="3"/>
  <c r="J14" i="3"/>
  <c r="K14" i="3"/>
  <c r="L14" i="3"/>
  <c r="M14" i="3"/>
  <c r="C14" i="3"/>
  <c r="D12" i="3"/>
  <c r="E12" i="3"/>
  <c r="F12" i="3"/>
  <c r="G12" i="3"/>
  <c r="H12" i="3"/>
  <c r="I12" i="3"/>
  <c r="J12" i="3"/>
  <c r="K12" i="3"/>
  <c r="L12" i="3"/>
  <c r="M12" i="3"/>
  <c r="C12" i="3"/>
  <c r="D8" i="3"/>
  <c r="E8" i="3"/>
  <c r="F8" i="3"/>
  <c r="G8" i="3"/>
  <c r="H8" i="3"/>
  <c r="I8" i="3"/>
  <c r="J8" i="3"/>
  <c r="K8" i="3"/>
  <c r="L8" i="3"/>
  <c r="M8" i="3"/>
  <c r="C8" i="3"/>
  <c r="D7" i="3"/>
  <c r="E7" i="3"/>
  <c r="F7" i="3"/>
  <c r="G7" i="3"/>
  <c r="H7" i="3"/>
  <c r="I7" i="3"/>
  <c r="J7" i="3"/>
  <c r="K7" i="3"/>
  <c r="L7" i="3"/>
  <c r="M7" i="3"/>
  <c r="C7" i="3"/>
  <c r="D61" i="1"/>
  <c r="E61" i="1" s="1"/>
  <c r="F61" i="1" s="1"/>
  <c r="G61" i="1" s="1"/>
  <c r="H61" i="1" s="1"/>
  <c r="I61" i="1" s="1"/>
  <c r="J61" i="1" s="1"/>
  <c r="K61" i="1" s="1"/>
  <c r="L61" i="1" s="1"/>
  <c r="C81" i="1"/>
  <c r="D81" i="1"/>
  <c r="L55" i="1"/>
  <c r="K55" i="1"/>
  <c r="J55" i="1"/>
  <c r="J189" i="1" s="1"/>
  <c r="I55" i="1"/>
  <c r="H55" i="1"/>
  <c r="H189" i="1" s="1"/>
  <c r="G55" i="1"/>
  <c r="F55" i="1"/>
  <c r="F189" i="1" s="1"/>
  <c r="E55" i="1"/>
  <c r="D55" i="1"/>
  <c r="D189" i="1" s="1"/>
  <c r="C55" i="1"/>
  <c r="C85" i="1" s="1"/>
  <c r="C54" i="1"/>
  <c r="D54" i="1" s="1"/>
  <c r="D30" i="1" s="1"/>
  <c r="E43" i="1"/>
  <c r="L29" i="1"/>
  <c r="K29" i="1"/>
  <c r="J29" i="1"/>
  <c r="I29" i="1"/>
  <c r="H29" i="1"/>
  <c r="G29" i="1"/>
  <c r="F29" i="1"/>
  <c r="E29" i="1"/>
  <c r="D29" i="1"/>
  <c r="C29" i="1"/>
  <c r="D26" i="1"/>
  <c r="E26" i="1" s="1"/>
  <c r="F26" i="1" s="1"/>
  <c r="G26" i="1" s="1"/>
  <c r="H26" i="1" s="1"/>
  <c r="I26" i="1" s="1"/>
  <c r="J26" i="1" s="1"/>
  <c r="K26" i="1" s="1"/>
  <c r="L26" i="1" s="1"/>
  <c r="C25" i="1"/>
  <c r="C72" i="1" s="1"/>
  <c r="C10" i="2"/>
  <c r="C8" i="2"/>
  <c r="G19" i="2"/>
  <c r="H19" i="2"/>
  <c r="J19" i="2"/>
  <c r="I19" i="2" s="1"/>
  <c r="K19" i="2" s="1"/>
  <c r="G20" i="2" s="1"/>
  <c r="H20" i="2"/>
  <c r="H21" i="2"/>
  <c r="K18" i="2"/>
  <c r="I18" i="2"/>
  <c r="J18" i="2"/>
  <c r="H18" i="2"/>
  <c r="G18" i="2"/>
  <c r="K17" i="2"/>
  <c r="I17" i="2"/>
  <c r="J17" i="2"/>
  <c r="H17" i="2"/>
  <c r="G17" i="2"/>
  <c r="D19" i="1"/>
  <c r="E19" i="1" s="1"/>
  <c r="F19" i="1" s="1"/>
  <c r="G19" i="1" s="1"/>
  <c r="H19" i="1" s="1"/>
  <c r="I19" i="1" s="1"/>
  <c r="J19" i="1" s="1"/>
  <c r="K19" i="1" s="1"/>
  <c r="L19" i="1" s="1"/>
  <c r="C18" i="1"/>
  <c r="C16" i="1"/>
  <c r="C15" i="1"/>
  <c r="D12" i="1"/>
  <c r="E12" i="1" s="1"/>
  <c r="F12" i="1" s="1"/>
  <c r="G12" i="1" s="1"/>
  <c r="H12" i="1" s="1"/>
  <c r="I12" i="1" s="1"/>
  <c r="J12" i="1" s="1"/>
  <c r="K12" i="1" s="1"/>
  <c r="L12" i="1" s="1"/>
  <c r="D11" i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C17" i="1" s="1"/>
  <c r="C48" i="1" s="1"/>
  <c r="D8" i="1"/>
  <c r="E8" i="1" s="1"/>
  <c r="F8" i="1" s="1"/>
  <c r="G8" i="1" s="1"/>
  <c r="H8" i="1" s="1"/>
  <c r="I8" i="1" s="1"/>
  <c r="J8" i="1" s="1"/>
  <c r="K8" i="1" s="1"/>
  <c r="L8" i="1" s="1"/>
  <c r="D7" i="1"/>
  <c r="E7" i="1" s="1"/>
  <c r="F7" i="1" s="1"/>
  <c r="G7" i="1" s="1"/>
  <c r="H7" i="1" s="1"/>
  <c r="I7" i="1" s="1"/>
  <c r="J7" i="1" s="1"/>
  <c r="K7" i="1" s="1"/>
  <c r="L7" i="1" s="1"/>
  <c r="D6" i="1"/>
  <c r="E6" i="1" s="1"/>
  <c r="F6" i="1" s="1"/>
  <c r="G6" i="1" s="1"/>
  <c r="H6" i="1" s="1"/>
  <c r="I6" i="1" s="1"/>
  <c r="J6" i="1" s="1"/>
  <c r="K6" i="1" s="1"/>
  <c r="L6" i="1" s="1"/>
  <c r="D5" i="1"/>
  <c r="E5" i="1" s="1"/>
  <c r="F5" i="1" s="1"/>
  <c r="G5" i="1" s="1"/>
  <c r="H5" i="1" s="1"/>
  <c r="I5" i="1" s="1"/>
  <c r="J5" i="1" s="1"/>
  <c r="K5" i="1" s="1"/>
  <c r="L5" i="1" s="1"/>
  <c r="D4" i="1"/>
  <c r="E4" i="1" s="1"/>
  <c r="F4" i="1" s="1"/>
  <c r="G4" i="1" s="1"/>
  <c r="H4" i="1" s="1"/>
  <c r="I4" i="1" s="1"/>
  <c r="J4" i="1" s="1"/>
  <c r="K4" i="1" s="1"/>
  <c r="L4" i="1" s="1"/>
  <c r="D3" i="1"/>
  <c r="D20" i="1" s="1"/>
  <c r="E20" i="1" s="1"/>
  <c r="F20" i="1" s="1"/>
  <c r="G20" i="1" s="1"/>
  <c r="H20" i="1" s="1"/>
  <c r="I20" i="1" s="1"/>
  <c r="J20" i="1" s="1"/>
  <c r="K20" i="1" s="1"/>
  <c r="L20" i="1" s="1"/>
  <c r="G16" i="4"/>
  <c r="H16" i="4" s="1"/>
  <c r="I16" i="4" s="1"/>
  <c r="J16" i="4" s="1"/>
  <c r="K16" i="4" s="1"/>
  <c r="L16" i="4" s="1"/>
  <c r="M16" i="4" s="1"/>
  <c r="F16" i="4"/>
  <c r="E16" i="4"/>
  <c r="M10" i="3"/>
  <c r="L10" i="3"/>
  <c r="K10" i="3"/>
  <c r="J10" i="3"/>
  <c r="I10" i="3"/>
  <c r="H10" i="3"/>
  <c r="G10" i="3"/>
  <c r="F10" i="3"/>
  <c r="E10" i="3"/>
  <c r="D10" i="3"/>
  <c r="C10" i="3"/>
  <c r="E3" i="3"/>
  <c r="F3" i="3" s="1"/>
  <c r="G3" i="3" s="1"/>
  <c r="H3" i="3" s="1"/>
  <c r="I3" i="3" s="1"/>
  <c r="J3" i="3" s="1"/>
  <c r="K3" i="3" s="1"/>
  <c r="L3" i="3" s="1"/>
  <c r="M3" i="3" s="1"/>
  <c r="C20" i="2"/>
  <c r="F19" i="2"/>
  <c r="F20" i="2" s="1"/>
  <c r="F21" i="2" s="1"/>
  <c r="F22" i="2" s="1"/>
  <c r="F23" i="2" s="1"/>
  <c r="F24" i="2" s="1"/>
  <c r="F25" i="2" s="1"/>
  <c r="F26" i="2" s="1"/>
  <c r="F18" i="2"/>
  <c r="E18" i="2"/>
  <c r="E19" i="2" s="1"/>
  <c r="E20" i="2" s="1"/>
  <c r="E21" i="2" s="1"/>
  <c r="E22" i="2" s="1"/>
  <c r="E23" i="2" s="1"/>
  <c r="E24" i="2" s="1"/>
  <c r="E25" i="2" s="1"/>
  <c r="E26" i="2" s="1"/>
  <c r="D201" i="1"/>
  <c r="E201" i="1" s="1"/>
  <c r="F201" i="1" s="1"/>
  <c r="G201" i="1" s="1"/>
  <c r="H201" i="1" s="1"/>
  <c r="I201" i="1" s="1"/>
  <c r="J201" i="1" s="1"/>
  <c r="K201" i="1" s="1"/>
  <c r="L201" i="1" s="1"/>
  <c r="D194" i="1"/>
  <c r="D192" i="1"/>
  <c r="E192" i="1" s="1"/>
  <c r="F192" i="1" s="1"/>
  <c r="G192" i="1" s="1"/>
  <c r="H192" i="1" s="1"/>
  <c r="I192" i="1" s="1"/>
  <c r="J192" i="1" s="1"/>
  <c r="K192" i="1" s="1"/>
  <c r="L192" i="1" s="1"/>
  <c r="D171" i="1"/>
  <c r="E171" i="1" s="1"/>
  <c r="F171" i="1" s="1"/>
  <c r="G171" i="1" s="1"/>
  <c r="H171" i="1" s="1"/>
  <c r="I171" i="1" s="1"/>
  <c r="J171" i="1" s="1"/>
  <c r="K171" i="1" s="1"/>
  <c r="D166" i="1"/>
  <c r="E166" i="1" s="1"/>
  <c r="F166" i="1" s="1"/>
  <c r="G166" i="1" s="1"/>
  <c r="H166" i="1" s="1"/>
  <c r="I166" i="1" s="1"/>
  <c r="J166" i="1" s="1"/>
  <c r="K166" i="1" s="1"/>
  <c r="L166" i="1" s="1"/>
  <c r="D110" i="1"/>
  <c r="E110" i="1" s="1"/>
  <c r="F110" i="1" s="1"/>
  <c r="G110" i="1" s="1"/>
  <c r="H110" i="1" s="1"/>
  <c r="I110" i="1" s="1"/>
  <c r="J110" i="1" s="1"/>
  <c r="K110" i="1" s="1"/>
  <c r="L110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D2" i="1"/>
  <c r="E2" i="1" s="1"/>
  <c r="F2" i="1" s="1"/>
  <c r="G2" i="1" s="1"/>
  <c r="H2" i="1" s="1"/>
  <c r="I2" i="1" s="1"/>
  <c r="J2" i="1" s="1"/>
  <c r="K2" i="1" s="1"/>
  <c r="L2" i="1" s="1"/>
  <c r="E85" i="1" l="1"/>
  <c r="I85" i="1"/>
  <c r="G85" i="1"/>
  <c r="K85" i="1"/>
  <c r="D85" i="1"/>
  <c r="H85" i="1"/>
  <c r="L85" i="1"/>
  <c r="I189" i="1"/>
  <c r="E189" i="1"/>
  <c r="F85" i="1"/>
  <c r="J85" i="1"/>
  <c r="K189" i="1"/>
  <c r="G189" i="1"/>
  <c r="C41" i="1"/>
  <c r="C79" i="1" s="1"/>
  <c r="C36" i="1"/>
  <c r="C53" i="1" s="1"/>
  <c r="D16" i="1"/>
  <c r="E3" i="1"/>
  <c r="F3" i="1" s="1"/>
  <c r="G3" i="1" s="1"/>
  <c r="G9" i="1" s="1"/>
  <c r="G17" i="1" s="1"/>
  <c r="D9" i="1"/>
  <c r="D17" i="1" s="1"/>
  <c r="C39" i="1"/>
  <c r="C77" i="1" s="1"/>
  <c r="C23" i="1"/>
  <c r="D39" i="1"/>
  <c r="D48" i="1"/>
  <c r="C73" i="1"/>
  <c r="C40" i="1"/>
  <c r="C78" i="1" s="1"/>
  <c r="C38" i="1"/>
  <c r="C76" i="1" s="1"/>
  <c r="C24" i="1"/>
  <c r="F18" i="1"/>
  <c r="E54" i="1"/>
  <c r="D15" i="1"/>
  <c r="E81" i="1"/>
  <c r="F43" i="1"/>
  <c r="C42" i="1"/>
  <c r="C80" i="1" s="1"/>
  <c r="D18" i="1"/>
  <c r="C37" i="1"/>
  <c r="D84" i="1"/>
  <c r="C30" i="1"/>
  <c r="C84" i="1"/>
  <c r="C27" i="1"/>
  <c r="C46" i="1" s="1"/>
  <c r="D25" i="1"/>
  <c r="J20" i="2"/>
  <c r="I20" i="2" s="1"/>
  <c r="K20" i="2"/>
  <c r="G21" i="2" s="1"/>
  <c r="H22" i="2"/>
  <c r="D36" i="1"/>
  <c r="E36" i="1" s="1"/>
  <c r="F36" i="1" s="1"/>
  <c r="G36" i="1" s="1"/>
  <c r="H36" i="1" s="1"/>
  <c r="I36" i="1" s="1"/>
  <c r="J36" i="1" s="1"/>
  <c r="K36" i="1" s="1"/>
  <c r="L36" i="1" s="1"/>
  <c r="E194" i="1"/>
  <c r="D23" i="1" l="1"/>
  <c r="E16" i="1"/>
  <c r="G16" i="1"/>
  <c r="G39" i="1" s="1"/>
  <c r="G18" i="1"/>
  <c r="G41" i="1" s="1"/>
  <c r="E9" i="1"/>
  <c r="E17" i="1" s="1"/>
  <c r="E48" i="1" s="1"/>
  <c r="C28" i="1"/>
  <c r="C134" i="1" s="1"/>
  <c r="F16" i="1"/>
  <c r="F41" i="1" s="1"/>
  <c r="H3" i="1"/>
  <c r="H16" i="1" s="1"/>
  <c r="H39" i="1" s="1"/>
  <c r="F9" i="1"/>
  <c r="F17" i="1" s="1"/>
  <c r="E15" i="1"/>
  <c r="E37" i="1" s="1"/>
  <c r="F15" i="1"/>
  <c r="F37" i="1" s="1"/>
  <c r="E18" i="1"/>
  <c r="E41" i="1" s="1"/>
  <c r="C44" i="1"/>
  <c r="D77" i="1"/>
  <c r="H9" i="1"/>
  <c r="H17" i="1" s="1"/>
  <c r="D27" i="1"/>
  <c r="D46" i="1" s="1"/>
  <c r="D72" i="1"/>
  <c r="E25" i="1"/>
  <c r="E23" i="1"/>
  <c r="E24" i="1" s="1"/>
  <c r="E39" i="1"/>
  <c r="E77" i="1" s="1"/>
  <c r="F54" i="1"/>
  <c r="E30" i="1"/>
  <c r="E84" i="1"/>
  <c r="E38" i="1"/>
  <c r="D41" i="1"/>
  <c r="D79" i="1" s="1"/>
  <c r="C82" i="1"/>
  <c r="C49" i="1"/>
  <c r="C75" i="1"/>
  <c r="G43" i="1"/>
  <c r="F81" i="1"/>
  <c r="D73" i="1"/>
  <c r="D42" i="1"/>
  <c r="D80" i="1" s="1"/>
  <c r="C31" i="1"/>
  <c r="G15" i="1"/>
  <c r="D40" i="1"/>
  <c r="D78" i="1" s="1"/>
  <c r="D38" i="1"/>
  <c r="D76" i="1" s="1"/>
  <c r="D24" i="1"/>
  <c r="D37" i="1"/>
  <c r="H23" i="2"/>
  <c r="J21" i="2"/>
  <c r="I21" i="2" s="1"/>
  <c r="K21" i="2"/>
  <c r="G22" i="2" s="1"/>
  <c r="D53" i="1"/>
  <c r="E53" i="1" s="1"/>
  <c r="F53" i="1" s="1"/>
  <c r="G53" i="1" s="1"/>
  <c r="H53" i="1" s="1"/>
  <c r="I53" i="1" s="1"/>
  <c r="J53" i="1" s="1"/>
  <c r="K53" i="1" s="1"/>
  <c r="L53" i="1" s="1"/>
  <c r="C70" i="1"/>
  <c r="F194" i="1"/>
  <c r="H18" i="1" l="1"/>
  <c r="H42" i="1" s="1"/>
  <c r="F79" i="1"/>
  <c r="G42" i="1"/>
  <c r="F42" i="1"/>
  <c r="F80" i="1" s="1"/>
  <c r="F38" i="1"/>
  <c r="G23" i="1"/>
  <c r="F39" i="1"/>
  <c r="G77" i="1" s="1"/>
  <c r="F40" i="1"/>
  <c r="F44" i="1" s="1"/>
  <c r="F23" i="1"/>
  <c r="F24" i="1" s="1"/>
  <c r="G79" i="1"/>
  <c r="H23" i="1"/>
  <c r="E42" i="1"/>
  <c r="E80" i="1" s="1"/>
  <c r="I3" i="1"/>
  <c r="I16" i="1" s="1"/>
  <c r="E40" i="1"/>
  <c r="H80" i="1"/>
  <c r="F77" i="1"/>
  <c r="F76" i="1"/>
  <c r="D82" i="1"/>
  <c r="D49" i="1"/>
  <c r="H43" i="1"/>
  <c r="G81" i="1"/>
  <c r="F48" i="1"/>
  <c r="E73" i="1"/>
  <c r="E76" i="1"/>
  <c r="G54" i="1"/>
  <c r="F84" i="1"/>
  <c r="F30" i="1"/>
  <c r="H77" i="1"/>
  <c r="D44" i="1"/>
  <c r="D51" i="1" s="1"/>
  <c r="D135" i="1" s="1"/>
  <c r="D142" i="1" s="1"/>
  <c r="D75" i="1"/>
  <c r="G24" i="1"/>
  <c r="G37" i="1"/>
  <c r="G38" i="1"/>
  <c r="H15" i="1"/>
  <c r="G40" i="1"/>
  <c r="G78" i="1" s="1"/>
  <c r="F75" i="1"/>
  <c r="C51" i="1"/>
  <c r="C135" i="1" s="1"/>
  <c r="E78" i="1"/>
  <c r="F25" i="1"/>
  <c r="E72" i="1"/>
  <c r="E27" i="1"/>
  <c r="E28" i="1" s="1"/>
  <c r="H41" i="1"/>
  <c r="H79" i="1" s="1"/>
  <c r="D28" i="1"/>
  <c r="C32" i="1"/>
  <c r="C33" i="1" s="1"/>
  <c r="E44" i="1"/>
  <c r="E75" i="1"/>
  <c r="E79" i="1"/>
  <c r="J3" i="1"/>
  <c r="I9" i="1"/>
  <c r="I17" i="1" s="1"/>
  <c r="J22" i="2"/>
  <c r="I22" i="2" s="1"/>
  <c r="K22" i="2" s="1"/>
  <c r="G23" i="2" s="1"/>
  <c r="H24" i="2"/>
  <c r="G194" i="1"/>
  <c r="D70" i="1"/>
  <c r="E70" i="1" s="1"/>
  <c r="F70" i="1" s="1"/>
  <c r="G70" i="1" s="1"/>
  <c r="H70" i="1" s="1"/>
  <c r="I70" i="1" s="1"/>
  <c r="J70" i="1" s="1"/>
  <c r="K70" i="1" s="1"/>
  <c r="L70" i="1" s="1"/>
  <c r="C97" i="1"/>
  <c r="I18" i="1" l="1"/>
  <c r="G80" i="1"/>
  <c r="G76" i="1"/>
  <c r="F78" i="1"/>
  <c r="C141" i="1"/>
  <c r="C136" i="1"/>
  <c r="C142" i="1"/>
  <c r="E31" i="1"/>
  <c r="E32" i="1" s="1"/>
  <c r="E33" i="1" s="1"/>
  <c r="E134" i="1"/>
  <c r="D31" i="1"/>
  <c r="D32" i="1" s="1"/>
  <c r="D134" i="1"/>
  <c r="C71" i="1"/>
  <c r="C74" i="1" s="1"/>
  <c r="C83" i="1" s="1"/>
  <c r="C64" i="1"/>
  <c r="G48" i="1"/>
  <c r="F73" i="1"/>
  <c r="E46" i="1"/>
  <c r="G25" i="1"/>
  <c r="F72" i="1"/>
  <c r="F27" i="1"/>
  <c r="F28" i="1" s="1"/>
  <c r="G75" i="1"/>
  <c r="G44" i="1"/>
  <c r="H54" i="1"/>
  <c r="G84" i="1"/>
  <c r="G30" i="1"/>
  <c r="I15" i="1"/>
  <c r="H40" i="1"/>
  <c r="H78" i="1" s="1"/>
  <c r="H38" i="1"/>
  <c r="H76" i="1" s="1"/>
  <c r="H24" i="1"/>
  <c r="H37" i="1"/>
  <c r="K3" i="1"/>
  <c r="J18" i="1"/>
  <c r="J9" i="1"/>
  <c r="J17" i="1" s="1"/>
  <c r="J16" i="1"/>
  <c r="I23" i="1"/>
  <c r="I42" i="1"/>
  <c r="I80" i="1" s="1"/>
  <c r="I41" i="1"/>
  <c r="I79" i="1" s="1"/>
  <c r="I39" i="1"/>
  <c r="I77" i="1" s="1"/>
  <c r="I43" i="1"/>
  <c r="H81" i="1"/>
  <c r="J23" i="2"/>
  <c r="I23" i="2" s="1"/>
  <c r="K23" i="2" s="1"/>
  <c r="G24" i="2" s="1"/>
  <c r="H25" i="2"/>
  <c r="H194" i="1"/>
  <c r="C109" i="1"/>
  <c r="D109" i="1" s="1"/>
  <c r="E109" i="1" s="1"/>
  <c r="F109" i="1" s="1"/>
  <c r="G109" i="1" s="1"/>
  <c r="H109" i="1" s="1"/>
  <c r="I109" i="1" s="1"/>
  <c r="J109" i="1" s="1"/>
  <c r="K109" i="1" s="1"/>
  <c r="L109" i="1" s="1"/>
  <c r="D97" i="1"/>
  <c r="E97" i="1" s="1"/>
  <c r="F97" i="1" s="1"/>
  <c r="G97" i="1" s="1"/>
  <c r="H97" i="1" s="1"/>
  <c r="I97" i="1" s="1"/>
  <c r="J97" i="1" s="1"/>
  <c r="K97" i="1" s="1"/>
  <c r="L97" i="1" s="1"/>
  <c r="D136" i="1" l="1"/>
  <c r="D141" i="1"/>
  <c r="D143" i="1" s="1"/>
  <c r="E141" i="1"/>
  <c r="C143" i="1"/>
  <c r="D33" i="1"/>
  <c r="D64" i="1" s="1"/>
  <c r="F31" i="1"/>
  <c r="F32" i="1" s="1"/>
  <c r="F33" i="1" s="1"/>
  <c r="F134" i="1"/>
  <c r="D63" i="1"/>
  <c r="C111" i="1"/>
  <c r="C89" i="1"/>
  <c r="E71" i="1"/>
  <c r="E74" i="1" s="1"/>
  <c r="E64" i="1"/>
  <c r="I54" i="1"/>
  <c r="H84" i="1"/>
  <c r="H30" i="1"/>
  <c r="H44" i="1"/>
  <c r="H75" i="1"/>
  <c r="J43" i="1"/>
  <c r="I81" i="1"/>
  <c r="H48" i="1"/>
  <c r="G73" i="1"/>
  <c r="J41" i="1"/>
  <c r="J79" i="1" s="1"/>
  <c r="J39" i="1"/>
  <c r="J77" i="1" s="1"/>
  <c r="J23" i="1"/>
  <c r="J42" i="1"/>
  <c r="J80" i="1" s="1"/>
  <c r="J15" i="1"/>
  <c r="I40" i="1"/>
  <c r="I78" i="1" s="1"/>
  <c r="I38" i="1"/>
  <c r="I76" i="1" s="1"/>
  <c r="I24" i="1"/>
  <c r="I37" i="1"/>
  <c r="F46" i="1"/>
  <c r="E82" i="1"/>
  <c r="E49" i="1"/>
  <c r="E51" i="1" s="1"/>
  <c r="E135" i="1" s="1"/>
  <c r="L3" i="1"/>
  <c r="K18" i="1"/>
  <c r="K9" i="1"/>
  <c r="K17" i="1" s="1"/>
  <c r="K16" i="1"/>
  <c r="H25" i="1"/>
  <c r="G72" i="1"/>
  <c r="G27" i="1"/>
  <c r="G28" i="1" s="1"/>
  <c r="J24" i="2"/>
  <c r="I24" i="2" s="1"/>
  <c r="K24" i="2"/>
  <c r="G25" i="2" s="1"/>
  <c r="H26" i="2"/>
  <c r="I194" i="1"/>
  <c r="C202" i="1" l="1"/>
  <c r="C168" i="1"/>
  <c r="F141" i="1"/>
  <c r="E136" i="1"/>
  <c r="E142" i="1"/>
  <c r="E143" i="1"/>
  <c r="D71" i="1"/>
  <c r="D74" i="1" s="1"/>
  <c r="D83" i="1" s="1"/>
  <c r="G31" i="1"/>
  <c r="G32" i="1" s="1"/>
  <c r="G33" i="1" s="1"/>
  <c r="G134" i="1"/>
  <c r="C90" i="1"/>
  <c r="C91" i="1" s="1"/>
  <c r="E63" i="1"/>
  <c r="D65" i="1"/>
  <c r="F71" i="1"/>
  <c r="F74" i="1" s="1"/>
  <c r="F64" i="1"/>
  <c r="G46" i="1"/>
  <c r="F82" i="1"/>
  <c r="F49" i="1"/>
  <c r="F51" i="1" s="1"/>
  <c r="F135" i="1" s="1"/>
  <c r="I48" i="1"/>
  <c r="H73" i="1"/>
  <c r="I25" i="1"/>
  <c r="H27" i="1"/>
  <c r="H28" i="1" s="1"/>
  <c r="H72" i="1"/>
  <c r="L9" i="1"/>
  <c r="L17" i="1" s="1"/>
  <c r="L18" i="1"/>
  <c r="L16" i="1"/>
  <c r="I44" i="1"/>
  <c r="I75" i="1"/>
  <c r="K15" i="1"/>
  <c r="J37" i="1"/>
  <c r="J40" i="1"/>
  <c r="J78" i="1" s="1"/>
  <c r="J38" i="1"/>
  <c r="J76" i="1" s="1"/>
  <c r="J24" i="1"/>
  <c r="J54" i="1"/>
  <c r="I30" i="1"/>
  <c r="I84" i="1"/>
  <c r="K41" i="1"/>
  <c r="K79" i="1" s="1"/>
  <c r="K39" i="1"/>
  <c r="K77" i="1" s="1"/>
  <c r="K23" i="1"/>
  <c r="K42" i="1"/>
  <c r="K80" i="1" s="1"/>
  <c r="K43" i="1"/>
  <c r="J81" i="1"/>
  <c r="E83" i="1"/>
  <c r="J25" i="2"/>
  <c r="I25" i="2" s="1"/>
  <c r="K25" i="2"/>
  <c r="G26" i="2" s="1"/>
  <c r="J194" i="1"/>
  <c r="E193" i="1" l="1"/>
  <c r="E195" i="1" s="1"/>
  <c r="E172" i="1"/>
  <c r="D111" i="1"/>
  <c r="D172" i="1"/>
  <c r="D193" i="1"/>
  <c r="D195" i="1" s="1"/>
  <c r="D89" i="1"/>
  <c r="G141" i="1"/>
  <c r="D202" i="1"/>
  <c r="D90" i="1"/>
  <c r="D91" i="1" s="1"/>
  <c r="D168" i="1"/>
  <c r="F136" i="1"/>
  <c r="F142" i="1"/>
  <c r="F143" i="1" s="1"/>
  <c r="H31" i="1"/>
  <c r="H32" i="1" s="1"/>
  <c r="H33" i="1" s="1"/>
  <c r="H134" i="1"/>
  <c r="E65" i="1"/>
  <c r="F63" i="1"/>
  <c r="E111" i="1"/>
  <c r="E89" i="1"/>
  <c r="J44" i="1"/>
  <c r="J75" i="1"/>
  <c r="L42" i="1"/>
  <c r="L80" i="1" s="1"/>
  <c r="L41" i="1"/>
  <c r="L79" i="1" s="1"/>
  <c r="L39" i="1"/>
  <c r="L77" i="1" s="1"/>
  <c r="L23" i="1"/>
  <c r="G64" i="1"/>
  <c r="G71" i="1"/>
  <c r="G74" i="1" s="1"/>
  <c r="K24" i="1"/>
  <c r="K37" i="1"/>
  <c r="K40" i="1"/>
  <c r="K78" i="1" s="1"/>
  <c r="K38" i="1"/>
  <c r="K76" i="1" s="1"/>
  <c r="L15" i="1"/>
  <c r="J25" i="1"/>
  <c r="I72" i="1"/>
  <c r="I27" i="1"/>
  <c r="I28" i="1" s="1"/>
  <c r="L43" i="1"/>
  <c r="L81" i="1" s="1"/>
  <c r="K81" i="1"/>
  <c r="K54" i="1"/>
  <c r="J84" i="1"/>
  <c r="J30" i="1"/>
  <c r="J48" i="1"/>
  <c r="I73" i="1"/>
  <c r="H46" i="1"/>
  <c r="G82" i="1"/>
  <c r="G49" i="1"/>
  <c r="G51" i="1" s="1"/>
  <c r="G135" i="1" s="1"/>
  <c r="F83" i="1"/>
  <c r="J26" i="2"/>
  <c r="I26" i="2" s="1"/>
  <c r="K26" i="2" s="1"/>
  <c r="K194" i="1"/>
  <c r="L194" i="1"/>
  <c r="F193" i="1" l="1"/>
  <c r="F195" i="1" s="1"/>
  <c r="F172" i="1"/>
  <c r="D174" i="1"/>
  <c r="C203" i="1" s="1"/>
  <c r="D177" i="1"/>
  <c r="D179" i="1" s="1"/>
  <c r="E202" i="1"/>
  <c r="E174" i="1"/>
  <c r="D203" i="1" s="1"/>
  <c r="E177" i="1"/>
  <c r="E90" i="1"/>
  <c r="E91" i="1" s="1"/>
  <c r="E168" i="1"/>
  <c r="H141" i="1"/>
  <c r="G83" i="1"/>
  <c r="G111" i="1" s="1"/>
  <c r="G136" i="1"/>
  <c r="G142" i="1"/>
  <c r="G143" i="1" s="1"/>
  <c r="I31" i="1"/>
  <c r="I32" i="1" s="1"/>
  <c r="I33" i="1" s="1"/>
  <c r="I134" i="1"/>
  <c r="G63" i="1"/>
  <c r="F65" i="1"/>
  <c r="F111" i="1"/>
  <c r="F89" i="1"/>
  <c r="H64" i="1"/>
  <c r="H71" i="1"/>
  <c r="H74" i="1" s="1"/>
  <c r="L54" i="1"/>
  <c r="K84" i="1"/>
  <c r="K30" i="1"/>
  <c r="K48" i="1"/>
  <c r="J73" i="1"/>
  <c r="K25" i="1"/>
  <c r="J72" i="1"/>
  <c r="J27" i="1"/>
  <c r="J28" i="1" s="1"/>
  <c r="K75" i="1"/>
  <c r="K44" i="1"/>
  <c r="L40" i="1"/>
  <c r="L78" i="1" s="1"/>
  <c r="L38" i="1"/>
  <c r="L76" i="1" s="1"/>
  <c r="L37" i="1"/>
  <c r="I46" i="1"/>
  <c r="H82" i="1"/>
  <c r="H49" i="1"/>
  <c r="H51" i="1" s="1"/>
  <c r="H135" i="1" s="1"/>
  <c r="E179" i="1" l="1"/>
  <c r="E180" i="1"/>
  <c r="F202" i="1"/>
  <c r="G89" i="1"/>
  <c r="G172" i="1"/>
  <c r="G193" i="1"/>
  <c r="G195" i="1" s="1"/>
  <c r="F174" i="1"/>
  <c r="E203" i="1" s="1"/>
  <c r="F177" i="1"/>
  <c r="H83" i="1"/>
  <c r="H89" i="1" s="1"/>
  <c r="I141" i="1"/>
  <c r="H136" i="1"/>
  <c r="H142" i="1"/>
  <c r="H143" i="1" s="1"/>
  <c r="F90" i="1"/>
  <c r="F91" i="1" s="1"/>
  <c r="F168" i="1"/>
  <c r="J31" i="1"/>
  <c r="J32" i="1" s="1"/>
  <c r="J33" i="1" s="1"/>
  <c r="J134" i="1"/>
  <c r="H63" i="1"/>
  <c r="G65" i="1"/>
  <c r="I71" i="1"/>
  <c r="I74" i="1" s="1"/>
  <c r="I64" i="1"/>
  <c r="L75" i="1"/>
  <c r="L25" i="1"/>
  <c r="K72" i="1"/>
  <c r="K27" i="1"/>
  <c r="K28" i="1" s="1"/>
  <c r="L30" i="1"/>
  <c r="L84" i="1"/>
  <c r="J46" i="1"/>
  <c r="I82" i="1"/>
  <c r="I49" i="1"/>
  <c r="I51" i="1" s="1"/>
  <c r="I135" i="1" s="1"/>
  <c r="L48" i="1"/>
  <c r="L73" i="1" s="1"/>
  <c r="K73" i="1"/>
  <c r="H172" i="1" l="1"/>
  <c r="H193" i="1"/>
  <c r="H195" i="1" s="1"/>
  <c r="H111" i="1"/>
  <c r="G202" i="1"/>
  <c r="F179" i="1"/>
  <c r="F181" i="1"/>
  <c r="F180" i="1"/>
  <c r="G174" i="1"/>
  <c r="F203" i="1" s="1"/>
  <c r="G177" i="1"/>
  <c r="J141" i="1"/>
  <c r="I136" i="1"/>
  <c r="I142" i="1"/>
  <c r="I143" i="1" s="1"/>
  <c r="G90" i="1"/>
  <c r="G91" i="1" s="1"/>
  <c r="G168" i="1"/>
  <c r="K31" i="1"/>
  <c r="K32" i="1" s="1"/>
  <c r="K33" i="1" s="1"/>
  <c r="K134" i="1"/>
  <c r="I63" i="1"/>
  <c r="H65" i="1"/>
  <c r="J71" i="1"/>
  <c r="J74" i="1" s="1"/>
  <c r="J64" i="1"/>
  <c r="K46" i="1"/>
  <c r="J82" i="1"/>
  <c r="J49" i="1"/>
  <c r="J51" i="1" s="1"/>
  <c r="J135" i="1" s="1"/>
  <c r="L27" i="1"/>
  <c r="L28" i="1" s="1"/>
  <c r="L31" i="1" s="1"/>
  <c r="L72" i="1"/>
  <c r="I83" i="1"/>
  <c r="H174" i="1" l="1"/>
  <c r="G203" i="1" s="1"/>
  <c r="H177" i="1"/>
  <c r="G182" i="1"/>
  <c r="G180" i="1"/>
  <c r="G179" i="1"/>
  <c r="G181" i="1"/>
  <c r="I193" i="1"/>
  <c r="I172" i="1"/>
  <c r="H202" i="1"/>
  <c r="J83" i="1"/>
  <c r="J111" i="1" s="1"/>
  <c r="K141" i="1"/>
  <c r="J136" i="1"/>
  <c r="J142" i="1"/>
  <c r="J143" i="1" s="1"/>
  <c r="H90" i="1"/>
  <c r="H91" i="1" s="1"/>
  <c r="H168" i="1"/>
  <c r="L32" i="1"/>
  <c r="L33" i="1" s="1"/>
  <c r="L134" i="1"/>
  <c r="J63" i="1"/>
  <c r="I65" i="1"/>
  <c r="I111" i="1"/>
  <c r="I89" i="1"/>
  <c r="J89" i="1"/>
  <c r="K64" i="1"/>
  <c r="K71" i="1"/>
  <c r="K74" i="1" s="1"/>
  <c r="L46" i="1"/>
  <c r="K49" i="1"/>
  <c r="K51" i="1" s="1"/>
  <c r="K135" i="1" s="1"/>
  <c r="K82" i="1"/>
  <c r="I195" i="1" l="1"/>
  <c r="I202" i="1"/>
  <c r="I168" i="1"/>
  <c r="J193" i="1"/>
  <c r="J172" i="1"/>
  <c r="H179" i="1"/>
  <c r="H182" i="1"/>
  <c r="H183" i="1"/>
  <c r="H180" i="1"/>
  <c r="H181" i="1"/>
  <c r="I174" i="1"/>
  <c r="H203" i="1" s="1"/>
  <c r="I177" i="1"/>
  <c r="L141" i="1"/>
  <c r="I90" i="1"/>
  <c r="I91" i="1" s="1"/>
  <c r="K136" i="1"/>
  <c r="K142" i="1"/>
  <c r="K143" i="1" s="1"/>
  <c r="K63" i="1"/>
  <c r="J65" i="1"/>
  <c r="L64" i="1"/>
  <c r="L71" i="1"/>
  <c r="L74" i="1" s="1"/>
  <c r="L82" i="1"/>
  <c r="L51" i="1"/>
  <c r="L135" i="1" s="1"/>
  <c r="K83" i="1"/>
  <c r="I181" i="1" l="1"/>
  <c r="I179" i="1"/>
  <c r="I183" i="1"/>
  <c r="I182" i="1"/>
  <c r="I184" i="1"/>
  <c r="I180" i="1"/>
  <c r="J202" i="1"/>
  <c r="J168" i="1"/>
  <c r="J174" i="1"/>
  <c r="I203" i="1" s="1"/>
  <c r="J177" i="1"/>
  <c r="J195" i="1"/>
  <c r="K172" i="1"/>
  <c r="K193" i="1"/>
  <c r="L111" i="1"/>
  <c r="J90" i="1"/>
  <c r="J91" i="1" s="1"/>
  <c r="L136" i="1"/>
  <c r="L142" i="1"/>
  <c r="L143" i="1" s="1"/>
  <c r="L63" i="1"/>
  <c r="L65" i="1" s="1"/>
  <c r="K65" i="1"/>
  <c r="K89" i="1"/>
  <c r="K111" i="1"/>
  <c r="L89" i="1" l="1"/>
  <c r="L168" i="1"/>
  <c r="L202" i="1"/>
  <c r="L172" i="1"/>
  <c r="L193" i="1"/>
  <c r="K195" i="1"/>
  <c r="K168" i="1"/>
  <c r="K202" i="1"/>
  <c r="K174" i="1"/>
  <c r="J203" i="1" s="1"/>
  <c r="K177" i="1"/>
  <c r="J179" i="1"/>
  <c r="J183" i="1"/>
  <c r="J182" i="1"/>
  <c r="J181" i="1"/>
  <c r="J180" i="1"/>
  <c r="J185" i="1"/>
  <c r="J184" i="1"/>
  <c r="K90" i="1"/>
  <c r="K91" i="1" s="1"/>
  <c r="L90" i="1"/>
  <c r="C120" i="1"/>
  <c r="L91" i="1" l="1"/>
  <c r="L177" i="1"/>
  <c r="L174" i="1"/>
  <c r="K203" i="1" s="1"/>
  <c r="K179" i="1"/>
  <c r="K182" i="1"/>
  <c r="K183" i="1"/>
  <c r="K185" i="1"/>
  <c r="K186" i="1"/>
  <c r="K181" i="1"/>
  <c r="K180" i="1"/>
  <c r="K184" i="1"/>
  <c r="L195" i="1"/>
  <c r="L179" i="1" l="1"/>
  <c r="L186" i="1"/>
  <c r="L181" i="1"/>
  <c r="L182" i="1"/>
  <c r="L180" i="1"/>
  <c r="L184" i="1"/>
  <c r="L187" i="1"/>
  <c r="L183" i="1"/>
  <c r="L185" i="1"/>
  <c r="C59" i="1" l="1"/>
  <c r="C169" i="1" s="1"/>
  <c r="C207" i="1" s="1"/>
  <c r="C93" i="1"/>
  <c r="D92" i="1"/>
  <c r="D93" i="1" s="1"/>
  <c r="D59" i="1" s="1"/>
  <c r="D206" i="1" l="1"/>
  <c r="D169" i="1"/>
  <c r="D207" i="1" s="1"/>
  <c r="D60" i="1"/>
  <c r="D188" i="1"/>
  <c r="D190" i="1" s="1"/>
  <c r="D198" i="1"/>
  <c r="E92" i="1"/>
  <c r="C206" i="1"/>
  <c r="C60" i="1"/>
  <c r="C205" i="1" l="1"/>
  <c r="J6" i="4"/>
  <c r="J8" i="4" s="1"/>
  <c r="R10" i="3"/>
  <c r="C167" i="1"/>
  <c r="R6" i="3"/>
  <c r="R7" i="3" s="1"/>
  <c r="C67" i="1"/>
  <c r="R9" i="3"/>
  <c r="D167" i="1"/>
  <c r="D205" i="1"/>
  <c r="D67" i="1"/>
  <c r="F92" i="1"/>
  <c r="E93" i="1"/>
  <c r="E59" i="1" s="1"/>
  <c r="E188" i="1" l="1"/>
  <c r="E190" i="1" s="1"/>
  <c r="E169" i="1"/>
  <c r="E207" i="1" s="1"/>
  <c r="E206" i="1"/>
  <c r="E198" i="1"/>
  <c r="E60" i="1"/>
  <c r="G92" i="1"/>
  <c r="F93" i="1"/>
  <c r="F59" i="1" s="1"/>
  <c r="R11" i="3"/>
  <c r="C115" i="1" l="1"/>
  <c r="C4" i="4"/>
  <c r="C7" i="4" s="1"/>
  <c r="C8" i="4" s="1"/>
  <c r="F198" i="1"/>
  <c r="F60" i="1"/>
  <c r="F206" i="1"/>
  <c r="F188" i="1"/>
  <c r="F190" i="1" s="1"/>
  <c r="F169" i="1"/>
  <c r="F207" i="1" s="1"/>
  <c r="G93" i="1"/>
  <c r="G59" i="1" s="1"/>
  <c r="H92" i="1"/>
  <c r="E205" i="1"/>
  <c r="E167" i="1"/>
  <c r="E67" i="1"/>
  <c r="G169" i="1" l="1"/>
  <c r="G207" i="1" s="1"/>
  <c r="G188" i="1"/>
  <c r="G190" i="1" s="1"/>
  <c r="G198" i="1"/>
  <c r="G60" i="1"/>
  <c r="G206" i="1"/>
  <c r="F205" i="1"/>
  <c r="F167" i="1"/>
  <c r="F67" i="1"/>
  <c r="H93" i="1"/>
  <c r="H59" i="1" s="1"/>
  <c r="I92" i="1"/>
  <c r="D112" i="1"/>
  <c r="H112" i="1"/>
  <c r="J112" i="1"/>
  <c r="E197" i="1"/>
  <c r="E199" i="1" s="1"/>
  <c r="G112" i="1"/>
  <c r="C125" i="1" s="1"/>
  <c r="C116" i="1"/>
  <c r="J197" i="1"/>
  <c r="F112" i="1"/>
  <c r="L197" i="1"/>
  <c r="L112" i="1"/>
  <c r="K197" i="1"/>
  <c r="C112" i="1"/>
  <c r="C113" i="1" s="1"/>
  <c r="D113" i="1" s="1"/>
  <c r="E112" i="1"/>
  <c r="G197" i="1"/>
  <c r="G199" i="1" s="1"/>
  <c r="I112" i="1"/>
  <c r="F197" i="1"/>
  <c r="F199" i="1" s="1"/>
  <c r="H197" i="1"/>
  <c r="K112" i="1"/>
  <c r="D197" i="1"/>
  <c r="D199" i="1" s="1"/>
  <c r="I197" i="1"/>
  <c r="E113" i="1" l="1"/>
  <c r="F113" i="1" s="1"/>
  <c r="G205" i="1"/>
  <c r="G67" i="1"/>
  <c r="G167" i="1"/>
  <c r="C126" i="1"/>
  <c r="C127" i="1" s="1"/>
  <c r="G113" i="1"/>
  <c r="H113" i="1" s="1"/>
  <c r="I113" i="1" s="1"/>
  <c r="J113" i="1" s="1"/>
  <c r="K113" i="1" s="1"/>
  <c r="L113" i="1" s="1"/>
  <c r="I93" i="1"/>
  <c r="I59" i="1" s="1"/>
  <c r="J92" i="1"/>
  <c r="H198" i="1"/>
  <c r="H199" i="1" s="1"/>
  <c r="H206" i="1"/>
  <c r="H169" i="1"/>
  <c r="H207" i="1" s="1"/>
  <c r="H60" i="1"/>
  <c r="H188" i="1"/>
  <c r="H190" i="1" s="1"/>
  <c r="K92" i="1" l="1"/>
  <c r="J93" i="1"/>
  <c r="J59" i="1" s="1"/>
  <c r="H67" i="1"/>
  <c r="H167" i="1"/>
  <c r="H205" i="1"/>
  <c r="I60" i="1"/>
  <c r="I169" i="1"/>
  <c r="I207" i="1" s="1"/>
  <c r="I198" i="1"/>
  <c r="I199" i="1" s="1"/>
  <c r="I188" i="1"/>
  <c r="I190" i="1" s="1"/>
  <c r="I206" i="1"/>
  <c r="G128" i="1"/>
  <c r="C128" i="1"/>
  <c r="I205" i="1" l="1"/>
  <c r="I167" i="1"/>
  <c r="I67" i="1"/>
  <c r="J60" i="1"/>
  <c r="J169" i="1"/>
  <c r="J207" i="1" s="1"/>
  <c r="J206" i="1"/>
  <c r="J198" i="1"/>
  <c r="J199" i="1" s="1"/>
  <c r="J188" i="1"/>
  <c r="J190" i="1" s="1"/>
  <c r="L92" i="1"/>
  <c r="L93" i="1" s="1"/>
  <c r="L59" i="1" s="1"/>
  <c r="K93" i="1"/>
  <c r="K59" i="1" s="1"/>
  <c r="J167" i="1" l="1"/>
  <c r="J205" i="1"/>
  <c r="J67" i="1"/>
  <c r="K198" i="1"/>
  <c r="K199" i="1" s="1"/>
  <c r="K60" i="1"/>
  <c r="K188" i="1"/>
  <c r="K190" i="1" s="1"/>
  <c r="K169" i="1"/>
  <c r="K207" i="1" s="1"/>
  <c r="K206" i="1"/>
  <c r="L188" i="1"/>
  <c r="L198" i="1"/>
  <c r="L169" i="1"/>
  <c r="L207" i="1" s="1"/>
  <c r="L60" i="1"/>
  <c r="L206" i="1"/>
  <c r="L67" i="1" l="1"/>
  <c r="L205" i="1"/>
  <c r="L167" i="1"/>
  <c r="K205" i="1"/>
  <c r="K167" i="1"/>
  <c r="K67" i="1"/>
</calcChain>
</file>

<file path=xl/sharedStrings.xml><?xml version="1.0" encoding="utf-8"?>
<sst xmlns="http://schemas.openxmlformats.org/spreadsheetml/2006/main" count="316" uniqueCount="219">
  <si>
    <t>DATI DI INPUT</t>
  </si>
  <si>
    <t>Numero di pezzi</t>
  </si>
  <si>
    <t>Prezzo medio di vendita</t>
  </si>
  <si>
    <t>Costo medio MP a pezzo</t>
  </si>
  <si>
    <t>Ore a pezzo</t>
  </si>
  <si>
    <t>Costo orario</t>
  </si>
  <si>
    <t>Costo MOD</t>
  </si>
  <si>
    <t>Costo del personale indiretto</t>
  </si>
  <si>
    <t>Kwh a pezzo</t>
  </si>
  <si>
    <t>CONTO ECONOMICO</t>
  </si>
  <si>
    <t>PRODUZIONE</t>
  </si>
  <si>
    <t>costo materie prime</t>
  </si>
  <si>
    <t xml:space="preserve">costo del personale </t>
  </si>
  <si>
    <t>costi energetici e utenze</t>
  </si>
  <si>
    <t>altri costi di produzione</t>
  </si>
  <si>
    <t>altri costi variabili</t>
  </si>
  <si>
    <t>TARI</t>
  </si>
  <si>
    <t>IMU</t>
  </si>
  <si>
    <t>COSTI OPERATIVI MONETARI</t>
  </si>
  <si>
    <t>Ammoramenti immobilizzazioni materiali</t>
  </si>
  <si>
    <t>Ammortamenti immobilizzazioni immateriali</t>
  </si>
  <si>
    <t>Ammortamenti</t>
  </si>
  <si>
    <t>Proventi (Oneri) finanziari su mutuo</t>
  </si>
  <si>
    <t>Altri proventi (Oneri) finanziari</t>
  </si>
  <si>
    <t>Imposte</t>
  </si>
  <si>
    <t>IMPIEGHI</t>
  </si>
  <si>
    <t>Crediti verso clienti</t>
  </si>
  <si>
    <t>Atri crediti operativi</t>
  </si>
  <si>
    <t>Rimanenze MP</t>
  </si>
  <si>
    <t>Rimanenze PF</t>
  </si>
  <si>
    <t>(Fornitori)</t>
  </si>
  <si>
    <t>(Altri debiti operativi)</t>
  </si>
  <si>
    <t>Ratei e risconti</t>
  </si>
  <si>
    <t>Capitale Circolante Netto</t>
  </si>
  <si>
    <t>Immobilizzazioni finanziarie</t>
  </si>
  <si>
    <t>Immobilizzazioni materiali</t>
  </si>
  <si>
    <t>Immobilizzazioni immateriali</t>
  </si>
  <si>
    <t>(TFR)</t>
  </si>
  <si>
    <t>Capitale immobilizzato netto</t>
  </si>
  <si>
    <t>TOTALE IMPIEGHI (CIN)</t>
  </si>
  <si>
    <t>FONTI</t>
  </si>
  <si>
    <t>Debito vs Banche BT</t>
  </si>
  <si>
    <t>Debito vs Banche MLT</t>
  </si>
  <si>
    <t>Altre passività finanziarie BT</t>
  </si>
  <si>
    <t>Altre passività finanziarie MLT</t>
  </si>
  <si>
    <t>Debito vs altri finanziatori</t>
  </si>
  <si>
    <t>(Liquidità)</t>
  </si>
  <si>
    <t>Posizione Finanziaria Netta</t>
  </si>
  <si>
    <t>Capitale Sociale</t>
  </si>
  <si>
    <t xml:space="preserve">Riserve </t>
  </si>
  <si>
    <t>Patrimonio Netto</t>
  </si>
  <si>
    <t>TOTALE FONTI</t>
  </si>
  <si>
    <t>FLUSSO DI CASSA</t>
  </si>
  <si>
    <t>Reddito Netto</t>
  </si>
  <si>
    <t>Ammortamenti e Accantonamenti</t>
  </si>
  <si>
    <t>Accantonamenti TFR</t>
  </si>
  <si>
    <t>LIQUIDITA' PRIMARIA</t>
  </si>
  <si>
    <t>Variazioni crediti verso clienti</t>
  </si>
  <si>
    <t>Variazioni altri crediti operativi</t>
  </si>
  <si>
    <t>Variazione rimanenze MP</t>
  </si>
  <si>
    <t>Variazione rimanenze PF</t>
  </si>
  <si>
    <t>Variazione debiti verso fornitori</t>
  </si>
  <si>
    <t>Variazione altri debiti operativi</t>
  </si>
  <si>
    <t>Altre variazioni</t>
  </si>
  <si>
    <t>CAPEX</t>
  </si>
  <si>
    <t>LIQUIDITA' GENERATA DALLA GESTIONE (FCFF)</t>
  </si>
  <si>
    <t>Variazione debiti finanziari a BT</t>
  </si>
  <si>
    <t>Variazione debiti finanziari a MLT</t>
  </si>
  <si>
    <t>Variazione altri debiti</t>
  </si>
  <si>
    <t>Variazioni debiti verso altri finanziatori</t>
  </si>
  <si>
    <t>Altro</t>
  </si>
  <si>
    <t>LIQUIDITA' DISPONIBILE</t>
  </si>
  <si>
    <t>Variazioni Patrimonio</t>
  </si>
  <si>
    <t>LIQUIDITA' GENERATA NETTA (FCFE)</t>
  </si>
  <si>
    <t>Liquidità iniziale</t>
  </si>
  <si>
    <t>LIQUIDITA' FINALE</t>
  </si>
  <si>
    <t>check</t>
  </si>
  <si>
    <t>PARAMETRI FINANZIARI</t>
  </si>
  <si>
    <t>Durata media crediti verso clienti</t>
  </si>
  <si>
    <t>Durata media altri crediti operativi</t>
  </si>
  <si>
    <t>Durata media scorte MP</t>
  </si>
  <si>
    <t>Durata media scorte PF</t>
  </si>
  <si>
    <t>Durata media debiti verso fornitori</t>
  </si>
  <si>
    <t>Durata media altri debiti operativi</t>
  </si>
  <si>
    <t>VAN</t>
  </si>
  <si>
    <t>Periodi</t>
  </si>
  <si>
    <t>Flusso</t>
  </si>
  <si>
    <t>Flusso attualizzato</t>
  </si>
  <si>
    <t>Flusso attaulizzato cumulato</t>
  </si>
  <si>
    <t>Tasso di interesse</t>
  </si>
  <si>
    <t>TIR</t>
  </si>
  <si>
    <t>VALORE</t>
  </si>
  <si>
    <t>PAYBACK PERIOD</t>
  </si>
  <si>
    <t>Anni interi con flusso cumulato negativo</t>
  </si>
  <si>
    <t>Flusso dell'anno di payback</t>
  </si>
  <si>
    <t>Saldo anno precedente al payback</t>
  </si>
  <si>
    <t>% anno con saldo negativo</t>
  </si>
  <si>
    <t>anni</t>
  </si>
  <si>
    <t>oppure</t>
  </si>
  <si>
    <t>ROIC</t>
  </si>
  <si>
    <t>Valore</t>
  </si>
  <si>
    <t>Reddito Operativo (EBIT)</t>
  </si>
  <si>
    <t>CIN (Capitale Investito Netto)</t>
  </si>
  <si>
    <t>OPPURE</t>
  </si>
  <si>
    <t>Reddito Operativo netto imposte (NOPAT)</t>
  </si>
  <si>
    <t>WACC</t>
  </si>
  <si>
    <t>altro foglio</t>
  </si>
  <si>
    <t>EVA</t>
  </si>
  <si>
    <t>INDICATORI STRUTTURALI</t>
  </si>
  <si>
    <t>Indice di indebitamento                                                 D / E</t>
  </si>
  <si>
    <t>Indice di compertura delle immobilizzazioni           (E + Dmlt) / AI</t>
  </si>
  <si>
    <t>DSCR</t>
  </si>
  <si>
    <t>Flusso di cassa</t>
  </si>
  <si>
    <t>Servizio del debito</t>
  </si>
  <si>
    <t>LLCR - primo metodo</t>
  </si>
  <si>
    <t>Anno</t>
  </si>
  <si>
    <t>Valore attuale flusso di cassa anno 2021</t>
  </si>
  <si>
    <t>Valore attuale flusso di cassa anno 2022</t>
  </si>
  <si>
    <t>Valore attuale flusso di cassa anno 2023</t>
  </si>
  <si>
    <t>Valore attuale flusso di cassa anno 2024</t>
  </si>
  <si>
    <t>Valore attuale flusso di cassa anno 2025</t>
  </si>
  <si>
    <t>Valore attuale flusso di cassa anno 2026</t>
  </si>
  <si>
    <t>Valore attuale flusso di cassa anno 2027</t>
  </si>
  <si>
    <t>Valore attuale flusso di cassa anno 2028</t>
  </si>
  <si>
    <t>Valore attuale flusso di cassa anno 2029</t>
  </si>
  <si>
    <t>Sommatoria (FC + R)</t>
  </si>
  <si>
    <t>Debito</t>
  </si>
  <si>
    <t>LLCR</t>
  </si>
  <si>
    <t>LLCR - secondo metodo</t>
  </si>
  <si>
    <t>Valore attuale flussi di cassa</t>
  </si>
  <si>
    <t>VAN flussi successivi</t>
  </si>
  <si>
    <t>R</t>
  </si>
  <si>
    <t>INDICATORI NORMATIVA CRISI DI IMPRESA</t>
  </si>
  <si>
    <t>Struttura patrimoniale                                                       PN &gt; 0</t>
  </si>
  <si>
    <t>Sostenibilità dei debiti                                                       DSCR &gt; 1</t>
  </si>
  <si>
    <t>Indice di adeguatezza patrimoniale                                PN / Debiti Totali &gt; 5,00%</t>
  </si>
  <si>
    <t>INVESTIMENTO</t>
  </si>
  <si>
    <t>Macchinari</t>
  </si>
  <si>
    <t>Impianti</t>
  </si>
  <si>
    <t>Lavori</t>
  </si>
  <si>
    <t>TOTALE</t>
  </si>
  <si>
    <t>Durata (anni)</t>
  </si>
  <si>
    <t>Ammortamento annuo</t>
  </si>
  <si>
    <t>MUTUO A TASSO FISSO</t>
  </si>
  <si>
    <t>AMMORTAMENTO FRANCESE (RATA COSTANTE)</t>
  </si>
  <si>
    <t>MUTUO</t>
  </si>
  <si>
    <t>IMPORTI</t>
  </si>
  <si>
    <t>RATA</t>
  </si>
  <si>
    <t>Debito Iniziale</t>
  </si>
  <si>
    <t>Rata</t>
  </si>
  <si>
    <t xml:space="preserve">Capitale </t>
  </si>
  <si>
    <t>Interessi</t>
  </si>
  <si>
    <t>Debito finale</t>
  </si>
  <si>
    <t>Importo</t>
  </si>
  <si>
    <t>IRS</t>
  </si>
  <si>
    <t>Spread</t>
  </si>
  <si>
    <t>Tasso annuale</t>
  </si>
  <si>
    <t>D / (D + E)</t>
  </si>
  <si>
    <t>Kf</t>
  </si>
  <si>
    <t>ß</t>
  </si>
  <si>
    <t>E' il WACC "effettivo"</t>
  </si>
  <si>
    <t xml:space="preserve">Km  </t>
  </si>
  <si>
    <t>Kd</t>
  </si>
  <si>
    <t>Onerosità effettiva</t>
  </si>
  <si>
    <t>Km - Kf</t>
  </si>
  <si>
    <t>Kd (1-t)</t>
  </si>
  <si>
    <t>Usata aliquota ipotetica di CE</t>
  </si>
  <si>
    <t>Ke</t>
  </si>
  <si>
    <t>Dato imposto</t>
  </si>
  <si>
    <t>D / (D+E)</t>
  </si>
  <si>
    <t>Struttura finanziaria effettiva</t>
  </si>
  <si>
    <t>E / (D+E)</t>
  </si>
  <si>
    <t>Dato risultante</t>
  </si>
  <si>
    <t>t</t>
  </si>
  <si>
    <t>Kd (1 - t)</t>
  </si>
  <si>
    <t>DATI</t>
  </si>
  <si>
    <t>VALORI</t>
  </si>
  <si>
    <t>COSTO</t>
  </si>
  <si>
    <t>IMPORTO</t>
  </si>
  <si>
    <t>Verifica del costo delle fonti</t>
  </si>
  <si>
    <t xml:space="preserve">EVA   </t>
  </si>
  <si>
    <t>Utilizzato Kd da foglio "EVA"</t>
  </si>
  <si>
    <t>EVA % = (ROIC - WACC)</t>
  </si>
  <si>
    <t>Equity</t>
  </si>
  <si>
    <t>Utilizzato Ke da foglio "EVA"</t>
  </si>
  <si>
    <t>EVA € = (ROIC - WACC) x CIN</t>
  </si>
  <si>
    <t>Totale</t>
  </si>
  <si>
    <t>Utilizzato WACC da foglio "EVA"</t>
  </si>
  <si>
    <t>quadratura</t>
  </si>
  <si>
    <t>VERIFICA</t>
  </si>
  <si>
    <t>Rendimento degli impieghi</t>
  </si>
  <si>
    <t>Costo delle fonti</t>
  </si>
  <si>
    <t>Differenza</t>
  </si>
  <si>
    <t>EVA %</t>
  </si>
  <si>
    <t>EVA €</t>
  </si>
  <si>
    <t>Costo del personale di struttura</t>
  </si>
  <si>
    <t>Risultato d'esercizio</t>
  </si>
  <si>
    <t>Utili o perdite portati a nuovo</t>
  </si>
  <si>
    <t>WACC 2023</t>
  </si>
  <si>
    <t xml:space="preserve">4 anni e </t>
  </si>
  <si>
    <t>mese</t>
  </si>
  <si>
    <t>Costo Kw/h</t>
  </si>
  <si>
    <t xml:space="preserve">Indice di liquidità totale                                                      AC / PBT     </t>
  </si>
  <si>
    <t>Indice di sostenibilità degli oneri finanziari                   OF / Ricavi &lt; 2,00%</t>
  </si>
  <si>
    <t>Indice di ritorno liquido dell'attivo                                  Flusso di cassa / Totale Attivo &gt; 1,70%</t>
  </si>
  <si>
    <t xml:space="preserve">Indice di liquidità                                                                 AC / PBT &gt; 0,95     </t>
  </si>
  <si>
    <t>Indice di indebitamento previdenziale e tributario     IPT / Totale Attivo &lt; 12,00%</t>
  </si>
  <si>
    <t>STATO PATRIMONIALE</t>
  </si>
  <si>
    <r>
      <t>EBITDA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</si>
  <si>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r>
      <t>EBIT 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</si>
  <si>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r>
      <t>RISULTATO ANTE IMPOSTE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</si>
  <si>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r>
      <t>RISULTATO NETTO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</si>
  <si>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t>Unità vendute</t>
  </si>
  <si>
    <t>Prezzo unitario</t>
  </si>
  <si>
    <t>Ricavo</t>
  </si>
  <si>
    <t>Costo unitario</t>
  </si>
  <si>
    <t>Costi variabili</t>
  </si>
  <si>
    <t>Costi fissi</t>
  </si>
  <si>
    <t>Punto di pareggio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</si>
</sst>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_-;\-* #,##0.00_-;_-* &quot;-&quot;??_-;_-@_-"/>
    <numFmt numFmtId="166" formatCode="_-* #,##0_-;\-* #,##0_-;_-* &quot;-&quot;??_-;_-@_-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133">
    <xf numFmtId="0" fontId="0" fillId="0" borderId="0" xfId="0"/>
    <xf numFmtId="164" fontId="0" fillId="0" borderId="0" xfId="1" applyNumberFormat="1" applyFont="1"/>
    <xf numFmtId="43" fontId="0" fillId="0" borderId="0" xfId="1" applyFont="1"/>
    <xf numFmtId="166" fontId="0" fillId="0" borderId="0" xfId="5" applyNumberFormat="1" applyFont="1"/>
    <xf numFmtId="164" fontId="0" fillId="0" borderId="0" xfId="1" applyNumberFormat="1" applyFont="1" applyFill="1" applyBorder="1"/>
    <xf numFmtId="0" fontId="0" fillId="0" borderId="4" xfId="0" applyBorder="1"/>
    <xf numFmtId="0" fontId="0" fillId="0" borderId="9" xfId="0" applyBorder="1"/>
    <xf numFmtId="10" fontId="0" fillId="0" borderId="0" xfId="0" applyNumberFormat="1"/>
    <xf numFmtId="0" fontId="4" fillId="0" borderId="4" xfId="0" applyFont="1" applyBorder="1"/>
    <xf numFmtId="164" fontId="4" fillId="0" borderId="4" xfId="1" applyNumberFormat="1" applyFont="1" applyFill="1" applyBorder="1"/>
    <xf numFmtId="0" fontId="0" fillId="0" borderId="0" xfId="0" applyFill="1"/>
    <xf numFmtId="0" fontId="4" fillId="0" borderId="9" xfId="0" applyFont="1" applyBorder="1"/>
    <xf numFmtId="10" fontId="4" fillId="0" borderId="9" xfId="0" applyNumberFormat="1" applyFont="1" applyFill="1" applyBorder="1"/>
    <xf numFmtId="0" fontId="4" fillId="0" borderId="0" xfId="0" applyFont="1"/>
    <xf numFmtId="10" fontId="4" fillId="0" borderId="0" xfId="0" applyNumberFormat="1" applyFont="1"/>
    <xf numFmtId="43" fontId="0" fillId="0" borderId="4" xfId="1" applyFont="1" applyFill="1" applyBorder="1"/>
    <xf numFmtId="0" fontId="0" fillId="0" borderId="0" xfId="0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4" fillId="0" borderId="4" xfId="0" applyFont="1" applyBorder="1" applyAlignment="1">
      <alignment vertical="center"/>
    </xf>
    <xf numFmtId="10" fontId="4" fillId="0" borderId="4" xfId="3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4" borderId="0" xfId="4" applyFont="1" applyFill="1" applyAlignment="1">
      <alignment vertical="center" wrapText="1"/>
    </xf>
    <xf numFmtId="0" fontId="6" fillId="4" borderId="1" xfId="4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0" fontId="0" fillId="0" borderId="0" xfId="3" applyNumberFormat="1" applyFont="1"/>
    <xf numFmtId="2" fontId="4" fillId="0" borderId="9" xfId="0" applyNumberFormat="1" applyFont="1" applyBorder="1"/>
    <xf numFmtId="10" fontId="0" fillId="0" borderId="4" xfId="3" applyNumberFormat="1" applyFont="1" applyFill="1" applyBorder="1"/>
    <xf numFmtId="0" fontId="0" fillId="0" borderId="11" xfId="0" applyBorder="1"/>
    <xf numFmtId="10" fontId="0" fillId="0" borderId="11" xfId="0" applyNumberFormat="1" applyFill="1" applyBorder="1"/>
    <xf numFmtId="43" fontId="0" fillId="0" borderId="0" xfId="0" applyNumberFormat="1"/>
    <xf numFmtId="10" fontId="0" fillId="0" borderId="0" xfId="0" applyNumberFormat="1" applyFill="1"/>
    <xf numFmtId="10" fontId="0" fillId="0" borderId="4" xfId="3" applyNumberFormat="1" applyFont="1" applyBorder="1"/>
    <xf numFmtId="10" fontId="0" fillId="0" borderId="0" xfId="3" applyNumberFormat="1" applyFont="1" applyFill="1"/>
    <xf numFmtId="10" fontId="0" fillId="0" borderId="9" xfId="0" applyNumberFormat="1" applyFill="1" applyBorder="1"/>
    <xf numFmtId="0" fontId="4" fillId="0" borderId="0" xfId="0" applyFont="1" applyAlignment="1">
      <alignment vertical="center"/>
    </xf>
    <xf numFmtId="10" fontId="4" fillId="0" borderId="0" xfId="3" applyNumberFormat="1" applyFont="1" applyFill="1" applyBorder="1" applyAlignment="1">
      <alignment vertical="center"/>
    </xf>
    <xf numFmtId="10" fontId="4" fillId="0" borderId="0" xfId="0" applyNumberFormat="1" applyFont="1" applyFill="1" applyAlignment="1">
      <alignment vertical="center"/>
    </xf>
    <xf numFmtId="3" fontId="4" fillId="0" borderId="4" xfId="0" applyNumberFormat="1" applyFont="1" applyBorder="1"/>
    <xf numFmtId="3" fontId="0" fillId="0" borderId="0" xfId="0" applyNumberFormat="1" applyAlignment="1">
      <alignment vertical="center"/>
    </xf>
    <xf numFmtId="0" fontId="0" fillId="0" borderId="9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2" fillId="4" borderId="0" xfId="4" applyFont="1" applyFill="1" applyAlignment="1">
      <alignment vertical="center" wrapText="1"/>
    </xf>
    <xf numFmtId="0" fontId="2" fillId="4" borderId="1" xfId="4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2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8" fillId="0" borderId="0" xfId="4" applyFont="1" applyBorder="1" applyAlignment="1">
      <alignment vertical="center" wrapText="1" readingOrder="1"/>
    </xf>
    <xf numFmtId="0" fontId="7" fillId="0" borderId="3" xfId="4" applyFont="1" applyBorder="1" applyAlignment="1">
      <alignment vertical="center"/>
    </xf>
    <xf numFmtId="0" fontId="7" fillId="0" borderId="0" xfId="4" applyFont="1" applyBorder="1" applyAlignment="1">
      <alignment vertical="center"/>
    </xf>
    <xf numFmtId="3" fontId="7" fillId="0" borderId="0" xfId="5" applyNumberFormat="1" applyFont="1" applyBorder="1" applyAlignment="1">
      <alignment vertical="center"/>
    </xf>
    <xf numFmtId="0" fontId="0" fillId="0" borderId="0" xfId="0" applyFont="1" applyFill="1"/>
    <xf numFmtId="0" fontId="2" fillId="4" borderId="0" xfId="4" applyFont="1" applyFill="1" applyAlignment="1">
      <alignment vertical="center"/>
    </xf>
    <xf numFmtId="0" fontId="8" fillId="0" borderId="0" xfId="0" applyFont="1" applyBorder="1" applyAlignment="1">
      <alignment vertical="center" readingOrder="1"/>
    </xf>
    <xf numFmtId="3" fontId="8" fillId="0" borderId="0" xfId="0" applyNumberFormat="1" applyFont="1" applyBorder="1"/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 readingOrder="1"/>
    </xf>
    <xf numFmtId="0" fontId="8" fillId="0" borderId="5" xfId="0" applyFont="1" applyBorder="1"/>
    <xf numFmtId="0" fontId="7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/>
    <xf numFmtId="167" fontId="8" fillId="0" borderId="0" xfId="5" applyNumberFormat="1" applyFont="1" applyFill="1" applyBorder="1" applyAlignment="1">
      <alignment horizontal="center" vertical="center"/>
    </xf>
    <xf numFmtId="0" fontId="8" fillId="0" borderId="5" xfId="4" applyFont="1" applyBorder="1" applyAlignment="1">
      <alignment vertical="center"/>
    </xf>
    <xf numFmtId="166" fontId="9" fillId="0" borderId="0" xfId="5" applyNumberFormat="1" applyFont="1" applyBorder="1" applyAlignment="1">
      <alignment horizontal="right" vertical="center"/>
    </xf>
    <xf numFmtId="164" fontId="8" fillId="0" borderId="0" xfId="1" applyNumberFormat="1" applyFont="1" applyBorder="1" applyAlignment="1">
      <alignment vertical="center"/>
    </xf>
    <xf numFmtId="0" fontId="8" fillId="0" borderId="4" xfId="4" applyFont="1" applyBorder="1" applyAlignment="1">
      <alignment vertical="center"/>
    </xf>
    <xf numFmtId="164" fontId="8" fillId="0" borderId="4" xfId="1" applyNumberFormat="1" applyFont="1" applyBorder="1" applyAlignment="1">
      <alignment vertical="center"/>
    </xf>
    <xf numFmtId="0" fontId="0" fillId="0" borderId="4" xfId="0" applyFont="1" applyBorder="1"/>
    <xf numFmtId="0" fontId="0" fillId="0" borderId="9" xfId="0" applyFont="1" applyBorder="1"/>
    <xf numFmtId="0" fontId="0" fillId="0" borderId="8" xfId="0" applyFont="1" applyBorder="1"/>
    <xf numFmtId="10" fontId="0" fillId="0" borderId="0" xfId="0" applyNumberFormat="1" applyFont="1"/>
    <xf numFmtId="0" fontId="2" fillId="4" borderId="0" xfId="4" applyFont="1" applyFill="1" applyAlignment="1">
      <alignment horizontal="center" vertical="center" wrapText="1"/>
    </xf>
    <xf numFmtId="0" fontId="0" fillId="0" borderId="8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vertical="center"/>
    </xf>
    <xf numFmtId="43" fontId="8" fillId="0" borderId="0" xfId="1" applyFont="1" applyBorder="1" applyAlignment="1">
      <alignment vertical="center"/>
    </xf>
    <xf numFmtId="43" fontId="8" fillId="0" borderId="4" xfId="1" applyFont="1" applyBorder="1" applyAlignment="1">
      <alignment vertical="center"/>
    </xf>
    <xf numFmtId="164" fontId="8" fillId="3" borderId="0" xfId="1" applyNumberFormat="1" applyFont="1" applyFill="1" applyBorder="1" applyAlignment="1">
      <alignment vertical="center"/>
    </xf>
    <xf numFmtId="43" fontId="8" fillId="3" borderId="4" xfId="1" applyFont="1" applyFill="1" applyBorder="1" applyAlignment="1">
      <alignment vertical="center"/>
    </xf>
    <xf numFmtId="0" fontId="2" fillId="2" borderId="0" xfId="4" applyFont="1" applyFill="1" applyAlignment="1">
      <alignment vertical="center"/>
    </xf>
    <xf numFmtId="0" fontId="2" fillId="2" borderId="1" xfId="4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vertical="center"/>
    </xf>
    <xf numFmtId="43" fontId="8" fillId="0" borderId="4" xfId="1" applyFont="1" applyFill="1" applyBorder="1" applyAlignment="1">
      <alignment vertical="center"/>
    </xf>
    <xf numFmtId="10" fontId="8" fillId="0" borderId="0" xfId="3" applyNumberFormat="1" applyFont="1" applyBorder="1" applyAlignment="1">
      <alignment vertical="center"/>
    </xf>
    <xf numFmtId="44" fontId="0" fillId="0" borderId="0" xfId="2" applyFont="1"/>
    <xf numFmtId="44" fontId="7" fillId="0" borderId="2" xfId="2" applyFont="1" applyBorder="1" applyAlignment="1">
      <alignment vertical="center"/>
    </xf>
    <xf numFmtId="44" fontId="8" fillId="0" borderId="0" xfId="2" applyFont="1" applyBorder="1" applyAlignment="1">
      <alignment vertical="center"/>
    </xf>
    <xf numFmtId="44" fontId="8" fillId="0" borderId="0" xfId="2" applyFont="1" applyBorder="1" applyAlignment="1">
      <alignment vertical="center" wrapText="1"/>
    </xf>
    <xf numFmtId="44" fontId="7" fillId="0" borderId="0" xfId="2" applyFont="1" applyBorder="1" applyAlignment="1">
      <alignment vertical="center" wrapText="1"/>
    </xf>
    <xf numFmtId="0" fontId="7" fillId="0" borderId="0" xfId="4" applyFont="1" applyBorder="1" applyAlignment="1">
      <alignment vertical="center" wrapText="1" readingOrder="1"/>
    </xf>
    <xf numFmtId="44" fontId="0" fillId="0" borderId="4" xfId="2" applyFont="1" applyBorder="1"/>
    <xf numFmtId="44" fontId="0" fillId="0" borderId="0" xfId="2" applyFont="1" applyBorder="1"/>
    <xf numFmtId="0" fontId="8" fillId="0" borderId="0" xfId="4" applyFont="1" applyFill="1" applyBorder="1" applyAlignment="1">
      <alignment vertical="center"/>
    </xf>
    <xf numFmtId="3" fontId="8" fillId="0" borderId="0" xfId="5" applyNumberFormat="1" applyFont="1" applyFill="1" applyBorder="1" applyAlignment="1">
      <alignment vertical="center"/>
    </xf>
    <xf numFmtId="0" fontId="8" fillId="0" borderId="4" xfId="4" applyFont="1" applyFill="1" applyBorder="1" applyAlignment="1">
      <alignment vertical="center"/>
    </xf>
    <xf numFmtId="44" fontId="7" fillId="0" borderId="3" xfId="2" applyFont="1" applyBorder="1" applyAlignment="1">
      <alignment vertical="center"/>
    </xf>
    <xf numFmtId="44" fontId="8" fillId="0" borderId="0" xfId="2" applyFont="1" applyBorder="1"/>
    <xf numFmtId="44" fontId="8" fillId="0" borderId="4" xfId="2" applyFont="1" applyBorder="1"/>
    <xf numFmtId="44" fontId="8" fillId="0" borderId="5" xfId="2" applyFont="1" applyBorder="1"/>
    <xf numFmtId="44" fontId="7" fillId="0" borderId="6" xfId="2" applyFont="1" applyBorder="1" applyAlignment="1">
      <alignment vertical="center"/>
    </xf>
    <xf numFmtId="44" fontId="7" fillId="0" borderId="0" xfId="2" applyFont="1" applyBorder="1" applyAlignment="1">
      <alignment vertical="center"/>
    </xf>
    <xf numFmtId="44" fontId="0" fillId="0" borderId="0" xfId="2" applyFont="1" applyFill="1"/>
    <xf numFmtId="44" fontId="8" fillId="0" borderId="4" xfId="2" applyFont="1" applyFill="1" applyBorder="1"/>
    <xf numFmtId="44" fontId="8" fillId="0" borderId="7" xfId="2" applyFont="1" applyBorder="1"/>
    <xf numFmtId="44" fontId="3" fillId="0" borderId="4" xfId="2" applyFont="1" applyBorder="1"/>
    <xf numFmtId="44" fontId="3" fillId="0" borderId="0" xfId="2" applyFont="1" applyBorder="1"/>
    <xf numFmtId="0" fontId="2" fillId="4" borderId="1" xfId="2" applyNumberFormat="1" applyFont="1" applyFill="1" applyBorder="1" applyAlignment="1">
      <alignment horizontal="center" vertical="center" wrapText="1"/>
    </xf>
    <xf numFmtId="44" fontId="3" fillId="0" borderId="0" xfId="2" applyFont="1" applyBorder="1" applyAlignment="1">
      <alignment vertical="center" wrapText="1"/>
    </xf>
    <xf numFmtId="44" fontId="0" fillId="0" borderId="0" xfId="0" applyNumberFormat="1" applyFont="1"/>
    <xf numFmtId="44" fontId="8" fillId="0" borderId="0" xfId="5" applyNumberFormat="1" applyFont="1" applyFill="1" applyBorder="1" applyAlignment="1">
      <alignment horizontal="center" vertical="center"/>
    </xf>
    <xf numFmtId="44" fontId="8" fillId="0" borderId="5" xfId="5" applyNumberFormat="1" applyFont="1" applyFill="1" applyBorder="1" applyAlignment="1">
      <alignment horizontal="center" vertical="center"/>
    </xf>
    <xf numFmtId="2" fontId="0" fillId="0" borderId="0" xfId="3" applyNumberFormat="1" applyFont="1" applyFill="1" applyBorder="1"/>
    <xf numFmtId="0" fontId="7" fillId="0" borderId="11" xfId="0" applyFont="1" applyBorder="1" applyAlignment="1">
      <alignment vertical="center" readingOrder="1"/>
    </xf>
    <xf numFmtId="0" fontId="7" fillId="0" borderId="11" xfId="4" applyFont="1" applyBorder="1" applyAlignment="1">
      <alignment vertical="center" wrapText="1" readingOrder="1"/>
    </xf>
    <xf numFmtId="44" fontId="0" fillId="0" borderId="0" xfId="2" applyFont="1" applyFill="1" applyAlignment="1">
      <alignment vertical="center"/>
    </xf>
    <xf numFmtId="44" fontId="0" fillId="0" borderId="0" xfId="2" applyFont="1" applyFill="1" applyBorder="1"/>
    <xf numFmtId="44" fontId="8" fillId="3" borderId="0" xfId="2" applyFont="1" applyFill="1" applyBorder="1" applyAlignment="1">
      <alignment vertical="center"/>
    </xf>
    <xf numFmtId="0" fontId="0" fillId="0" borderId="12" xfId="0" applyFont="1" applyBorder="1"/>
    <xf numFmtId="2" fontId="0" fillId="0" borderId="0" xfId="0" applyNumberFormat="1" applyFont="1"/>
    <xf numFmtId="44" fontId="8" fillId="0" borderId="0" xfId="3" applyNumberFormat="1" applyFont="1" applyBorder="1" applyAlignment="1">
      <alignment vertical="center"/>
    </xf>
    <xf numFmtId="44" fontId="4" fillId="0" borderId="4" xfId="0" applyNumberFormat="1" applyFont="1" applyFill="1" applyBorder="1" applyAlignment="1">
      <alignment vertical="center"/>
    </xf>
    <xf numFmtId="44" fontId="0" fillId="0" borderId="0" xfId="0" applyNumberFormat="1"/>
    <xf numFmtId="44" fontId="7" fillId="0" borderId="0" xfId="2" applyFont="1" applyFill="1" applyBorder="1" applyAlignment="1">
      <alignment vertical="center" wrapText="1"/>
    </xf>
    <xf numFmtId="0" fontId="2" fillId="4" borderId="0" xfId="4" applyFont="1" applyFill="1" applyAlignment="1">
      <alignment horizontal="center" vertical="center"/>
    </xf>
    <xf numFmtId="0" fontId="2" fillId="4" borderId="10" xfId="4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44" fontId="7" fillId="0" borderId="3" xfId="4" applyNumberFormat="1" applyFont="1" applyBorder="1" applyAlignment="1">
      <alignment vertical="center"/>
    </xf>
  </cellXfs>
  <cellStyles count="6">
    <cellStyle name="Migliaia" xfId="1" builtinId="3"/>
    <cellStyle name="Migliaia 2" xfId="5"/>
    <cellStyle name="Normale" xfId="0" builtinId="0"/>
    <cellStyle name="Normale 2 4" xfId="4"/>
    <cellStyle name="Percentuale" xfId="3" builtinId="5"/>
    <cellStyle name="Valuta" xfId="2" builtinId="4"/>
  </cellStyles>
  <dxfs count="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WACC!$B$16</c:f>
              <c:strCache>
                <c:ptCount val="1"/>
                <c:pt idx="0">
                  <c:v>WACC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WACC!$C$16:$M$16</c:f>
              <c:numCache>
                <c:formatCode>0.00%</c:formatCode>
                <c:ptCount val="11"/>
                <c:pt idx="0">
                  <c:v>8.2500000000000004E-2</c:v>
                </c:pt>
                <c:pt idx="1">
                  <c:v>7.7922600000000022E-2</c:v>
                </c:pt>
                <c:pt idx="2">
                  <c:v>7.3976800000000009E-2</c:v>
                </c:pt>
                <c:pt idx="3">
                  <c:v>7.1307199999999987E-2</c:v>
                </c:pt>
                <c:pt idx="4">
                  <c:v>6.8847199999999997E-2</c:v>
                </c:pt>
                <c:pt idx="5">
                  <c:v>6.8576500000000012E-2</c:v>
                </c:pt>
                <c:pt idx="6">
                  <c:v>6.9340000000000013E-2</c:v>
                </c:pt>
                <c:pt idx="7">
                  <c:v>7.156499999999999E-2</c:v>
                </c:pt>
                <c:pt idx="8">
                  <c:v>7.3060000000000014E-2</c:v>
                </c:pt>
                <c:pt idx="9">
                  <c:v>7.9385000000000011E-2</c:v>
                </c:pt>
                <c:pt idx="10">
                  <c:v>9.1200000000000017E-2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F-4745-90BC-2ADBCE82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39552"/>
        <c:axId val="430746208"/>
      </c:lineChart>
      <c:catAx>
        <c:axId val="43073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746208"/>
        <c:crosses val="autoZero"/>
        <c:auto val="1"/>
        <c:lblAlgn val="ctr"/>
        <c:lblOffset val="100"/>
        <c:noMultiLvlLbl val="0"/>
      </c:catAx>
      <c:valAx>
        <c:axId val="430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7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17</xdr:row>
      <xdr:rowOff>79374</xdr:rowOff>
    </xdr:from>
    <xdr:to>
      <xdr:col>11</xdr:col>
      <xdr:colOff>438149</xdr:colOff>
      <xdr:row>36</xdr:row>
      <xdr:rowOff>165099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tazione%20-%20Generale%20-%20comple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 FC"/>
      <sheetName val="Capex e mutuo"/>
      <sheetName val="WACC"/>
      <sheetName val="EVA"/>
    </sheetNames>
    <sheetDataSet>
      <sheetData sheetId="0">
        <row r="178">
          <cell r="D178">
            <v>1</v>
          </cell>
          <cell r="E178">
            <v>2</v>
          </cell>
          <cell r="F178">
            <v>3</v>
          </cell>
          <cell r="G178">
            <v>4</v>
          </cell>
          <cell r="H178">
            <v>5</v>
          </cell>
          <cell r="I178">
            <v>6</v>
          </cell>
          <cell r="J178">
            <v>7</v>
          </cell>
          <cell r="K178">
            <v>8</v>
          </cell>
          <cell r="L178">
            <v>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8"/>
  <sheetViews>
    <sheetView showGridLines="0" topLeftCell="B126" zoomScaleNormal="100" workbookViewId="0">
      <selection activeCell="C142" sqref="C142"/>
    </sheetView>
  </sheetViews>
  <sheetFormatPr defaultRowHeight="14.5" x14ac:dyDescent="0.35"/>
  <cols>
    <col min="1" max="1" width="6.1796875" style="45" customWidth="1"/>
    <col min="2" max="2" width="76.08984375" style="45" bestFit="1" customWidth="1"/>
    <col min="3" max="12" width="15.453125" style="45" bestFit="1" customWidth="1"/>
    <col min="13" max="16384" width="8.7265625" style="45"/>
  </cols>
  <sheetData>
    <row r="2" spans="2:12" x14ac:dyDescent="0.35">
      <c r="B2" s="43" t="s">
        <v>0</v>
      </c>
      <c r="C2" s="44">
        <v>2023</v>
      </c>
      <c r="D2" s="44">
        <f>+C2+1</f>
        <v>2024</v>
      </c>
      <c r="E2" s="44">
        <f t="shared" ref="E2:L2" si="0">+D2+1</f>
        <v>2025</v>
      </c>
      <c r="F2" s="44">
        <f t="shared" si="0"/>
        <v>2026</v>
      </c>
      <c r="G2" s="44">
        <f t="shared" si="0"/>
        <v>2027</v>
      </c>
      <c r="H2" s="44">
        <f t="shared" si="0"/>
        <v>2028</v>
      </c>
      <c r="I2" s="44">
        <f t="shared" si="0"/>
        <v>2029</v>
      </c>
      <c r="J2" s="44">
        <f t="shared" si="0"/>
        <v>2030</v>
      </c>
      <c r="K2" s="44">
        <f t="shared" si="0"/>
        <v>2031</v>
      </c>
      <c r="L2" s="44">
        <f t="shared" si="0"/>
        <v>2032</v>
      </c>
    </row>
    <row r="3" spans="2:12" x14ac:dyDescent="0.35">
      <c r="B3" s="45" t="s">
        <v>1</v>
      </c>
      <c r="C3" s="1">
        <v>1750</v>
      </c>
      <c r="D3" s="1">
        <f>+C3*1.05</f>
        <v>1837.5</v>
      </c>
      <c r="E3" s="1">
        <f t="shared" ref="E3:L3" si="1">+D3*1.05</f>
        <v>1929.375</v>
      </c>
      <c r="F3" s="1">
        <f t="shared" si="1"/>
        <v>2025.84375</v>
      </c>
      <c r="G3" s="1">
        <f t="shared" si="1"/>
        <v>2127.1359375000002</v>
      </c>
      <c r="H3" s="1">
        <f t="shared" si="1"/>
        <v>2233.4927343750005</v>
      </c>
      <c r="I3" s="1">
        <f t="shared" si="1"/>
        <v>2345.1673710937507</v>
      </c>
      <c r="J3" s="1">
        <f t="shared" si="1"/>
        <v>2462.4257396484381</v>
      </c>
      <c r="K3" s="1">
        <f t="shared" si="1"/>
        <v>2585.5470266308603</v>
      </c>
      <c r="L3" s="1">
        <f t="shared" si="1"/>
        <v>2714.8243779624036</v>
      </c>
    </row>
    <row r="4" spans="2:12" x14ac:dyDescent="0.35">
      <c r="B4" s="45" t="s">
        <v>2</v>
      </c>
      <c r="C4" s="89">
        <v>1000</v>
      </c>
      <c r="D4" s="89">
        <f>+C4*0.98</f>
        <v>980</v>
      </c>
      <c r="E4" s="89">
        <f t="shared" ref="E4:L4" si="2">+D4*0.98</f>
        <v>960.4</v>
      </c>
      <c r="F4" s="89">
        <f t="shared" si="2"/>
        <v>941.19200000000001</v>
      </c>
      <c r="G4" s="89">
        <f t="shared" si="2"/>
        <v>922.36815999999999</v>
      </c>
      <c r="H4" s="89">
        <f t="shared" si="2"/>
        <v>903.92079679999995</v>
      </c>
      <c r="I4" s="89">
        <f t="shared" si="2"/>
        <v>885.84238086399989</v>
      </c>
      <c r="J4" s="89">
        <f t="shared" si="2"/>
        <v>868.1255332467199</v>
      </c>
      <c r="K4" s="89">
        <f t="shared" si="2"/>
        <v>850.76302258178544</v>
      </c>
      <c r="L4" s="89">
        <f t="shared" si="2"/>
        <v>833.74776213014968</v>
      </c>
    </row>
    <row r="5" spans="2:12" x14ac:dyDescent="0.35">
      <c r="B5" s="45" t="s">
        <v>3</v>
      </c>
      <c r="C5" s="89">
        <v>335</v>
      </c>
      <c r="D5" s="89">
        <f>+C5*0.99</f>
        <v>331.65</v>
      </c>
      <c r="E5" s="89">
        <f t="shared" ref="E5:L5" si="3">+D5*0.99</f>
        <v>328.33349999999996</v>
      </c>
      <c r="F5" s="89">
        <f t="shared" si="3"/>
        <v>325.05016499999994</v>
      </c>
      <c r="G5" s="89">
        <f t="shared" si="3"/>
        <v>321.79966334999995</v>
      </c>
      <c r="H5" s="89">
        <f t="shared" si="3"/>
        <v>318.58166671649997</v>
      </c>
      <c r="I5" s="89">
        <f t="shared" si="3"/>
        <v>315.39585004933497</v>
      </c>
      <c r="J5" s="89">
        <f t="shared" si="3"/>
        <v>312.24189154884164</v>
      </c>
      <c r="K5" s="89">
        <f t="shared" si="3"/>
        <v>309.11947263335321</v>
      </c>
      <c r="L5" s="89">
        <f t="shared" si="3"/>
        <v>306.02827790701969</v>
      </c>
    </row>
    <row r="6" spans="2:12" x14ac:dyDescent="0.35">
      <c r="B6" s="45" t="s">
        <v>195</v>
      </c>
      <c r="C6" s="89">
        <v>85000</v>
      </c>
      <c r="D6" s="89">
        <f>+C6*1.01</f>
        <v>85850</v>
      </c>
      <c r="E6" s="89">
        <f t="shared" ref="E6:L6" si="4">+D6*1.01</f>
        <v>86708.5</v>
      </c>
      <c r="F6" s="89">
        <f t="shared" si="4"/>
        <v>87575.585000000006</v>
      </c>
      <c r="G6" s="89">
        <f t="shared" si="4"/>
        <v>88451.340850000008</v>
      </c>
      <c r="H6" s="89">
        <f t="shared" si="4"/>
        <v>89335.85425850001</v>
      </c>
      <c r="I6" s="89">
        <f t="shared" si="4"/>
        <v>90229.212801085014</v>
      </c>
      <c r="J6" s="89">
        <f t="shared" si="4"/>
        <v>91131.50492909587</v>
      </c>
      <c r="K6" s="89">
        <f t="shared" si="4"/>
        <v>92042.819978386833</v>
      </c>
      <c r="L6" s="89">
        <f t="shared" si="4"/>
        <v>92963.248178170703</v>
      </c>
    </row>
    <row r="7" spans="2:12" x14ac:dyDescent="0.35">
      <c r="B7" s="45" t="s">
        <v>4</v>
      </c>
      <c r="C7" s="2">
        <v>4</v>
      </c>
      <c r="D7" s="2">
        <f>+C7*0.95</f>
        <v>3.8</v>
      </c>
      <c r="E7" s="2">
        <f>+D7*0.95</f>
        <v>3.61</v>
      </c>
      <c r="F7" s="2">
        <f>E7</f>
        <v>3.61</v>
      </c>
      <c r="G7" s="2">
        <f t="shared" ref="G7:L7" si="5">F7</f>
        <v>3.61</v>
      </c>
      <c r="H7" s="2">
        <f t="shared" si="5"/>
        <v>3.61</v>
      </c>
      <c r="I7" s="2">
        <f t="shared" si="5"/>
        <v>3.61</v>
      </c>
      <c r="J7" s="2">
        <f t="shared" si="5"/>
        <v>3.61</v>
      </c>
      <c r="K7" s="2">
        <f t="shared" si="5"/>
        <v>3.61</v>
      </c>
      <c r="L7" s="2">
        <f t="shared" si="5"/>
        <v>3.61</v>
      </c>
    </row>
    <row r="8" spans="2:12" x14ac:dyDescent="0.35">
      <c r="B8" s="45" t="s">
        <v>5</v>
      </c>
      <c r="C8" s="89">
        <v>21</v>
      </c>
      <c r="D8" s="89">
        <f>+C8*1.025</f>
        <v>21.524999999999999</v>
      </c>
      <c r="E8" s="89">
        <f t="shared" ref="E8:L8" si="6">+D8*1.025</f>
        <v>22.063124999999996</v>
      </c>
      <c r="F8" s="89">
        <f t="shared" si="6"/>
        <v>22.614703124999995</v>
      </c>
      <c r="G8" s="89">
        <f t="shared" si="6"/>
        <v>23.180070703124994</v>
      </c>
      <c r="H8" s="89">
        <f t="shared" si="6"/>
        <v>23.759572470703116</v>
      </c>
      <c r="I8" s="89">
        <f t="shared" si="6"/>
        <v>24.353561782470692</v>
      </c>
      <c r="J8" s="89">
        <f t="shared" si="6"/>
        <v>24.962400827032457</v>
      </c>
      <c r="K8" s="89">
        <f t="shared" si="6"/>
        <v>25.586460847708267</v>
      </c>
      <c r="L8" s="89">
        <f t="shared" si="6"/>
        <v>26.22612236890097</v>
      </c>
    </row>
    <row r="9" spans="2:12" x14ac:dyDescent="0.35">
      <c r="B9" s="45" t="s">
        <v>6</v>
      </c>
      <c r="C9" s="89">
        <f>+C3*C7*C8</f>
        <v>147000</v>
      </c>
      <c r="D9" s="89">
        <f t="shared" ref="D9:K9" si="7">+D3*D7*D8</f>
        <v>150298.3125</v>
      </c>
      <c r="E9" s="89">
        <f t="shared" si="7"/>
        <v>153670.63088671872</v>
      </c>
      <c r="F9" s="89">
        <f t="shared" si="7"/>
        <v>165388.01649183102</v>
      </c>
      <c r="G9" s="89">
        <f t="shared" si="7"/>
        <v>177998.85274933313</v>
      </c>
      <c r="H9" s="89">
        <f t="shared" si="7"/>
        <v>191571.26527146981</v>
      </c>
      <c r="I9" s="89">
        <f t="shared" si="7"/>
        <v>206178.57424841938</v>
      </c>
      <c r="J9" s="89">
        <f t="shared" si="7"/>
        <v>221899.69053486132</v>
      </c>
      <c r="K9" s="89">
        <f t="shared" si="7"/>
        <v>238819.54193814448</v>
      </c>
      <c r="L9" s="89">
        <f>+L3*L7*L8</f>
        <v>257029.532010928</v>
      </c>
    </row>
    <row r="10" spans="2:12" x14ac:dyDescent="0.35">
      <c r="B10" s="45" t="s">
        <v>7</v>
      </c>
      <c r="C10" s="89">
        <v>85000</v>
      </c>
      <c r="D10" s="89">
        <f>+C10*1.025</f>
        <v>87124.999999999985</v>
      </c>
      <c r="E10" s="89">
        <f t="shared" ref="E10:L10" si="8">+D10*1.025</f>
        <v>89303.124999999971</v>
      </c>
      <c r="F10" s="89">
        <f t="shared" si="8"/>
        <v>91535.703124999956</v>
      </c>
      <c r="G10" s="89">
        <f t="shared" si="8"/>
        <v>93824.095703124942</v>
      </c>
      <c r="H10" s="89">
        <f t="shared" si="8"/>
        <v>96169.698095703061</v>
      </c>
      <c r="I10" s="89">
        <f t="shared" si="8"/>
        <v>98573.940548095634</v>
      </c>
      <c r="J10" s="89">
        <f t="shared" si="8"/>
        <v>101038.28906179802</v>
      </c>
      <c r="K10" s="89">
        <f t="shared" si="8"/>
        <v>103564.24628834295</v>
      </c>
      <c r="L10" s="89">
        <f t="shared" si="8"/>
        <v>106153.35244555151</v>
      </c>
    </row>
    <row r="11" spans="2:12" x14ac:dyDescent="0.35">
      <c r="B11" s="45" t="s">
        <v>8</v>
      </c>
      <c r="C11" s="1">
        <v>400</v>
      </c>
      <c r="D11" s="1">
        <f>C11</f>
        <v>400</v>
      </c>
      <c r="E11" s="1">
        <f t="shared" ref="E11:L11" si="9">D11</f>
        <v>400</v>
      </c>
      <c r="F11" s="1">
        <f t="shared" si="9"/>
        <v>400</v>
      </c>
      <c r="G11" s="1">
        <f t="shared" si="9"/>
        <v>400</v>
      </c>
      <c r="H11" s="1">
        <f t="shared" si="9"/>
        <v>400</v>
      </c>
      <c r="I11" s="1">
        <f t="shared" si="9"/>
        <v>400</v>
      </c>
      <c r="J11" s="1">
        <f t="shared" si="9"/>
        <v>400</v>
      </c>
      <c r="K11" s="1">
        <f t="shared" si="9"/>
        <v>400</v>
      </c>
      <c r="L11" s="1">
        <f t="shared" si="9"/>
        <v>400</v>
      </c>
    </row>
    <row r="12" spans="2:12" x14ac:dyDescent="0.35">
      <c r="B12" s="45" t="s">
        <v>201</v>
      </c>
      <c r="C12" s="89">
        <v>7.0000000000000007E-2</v>
      </c>
      <c r="D12" s="89">
        <f>C12*0.9</f>
        <v>6.3000000000000014E-2</v>
      </c>
      <c r="E12" s="89">
        <f>D12*0.95</f>
        <v>5.9850000000000007E-2</v>
      </c>
      <c r="F12" s="89">
        <f>E12</f>
        <v>5.9850000000000007E-2</v>
      </c>
      <c r="G12" s="89">
        <f t="shared" ref="G12:L12" si="10">F12</f>
        <v>5.9850000000000007E-2</v>
      </c>
      <c r="H12" s="89">
        <f t="shared" si="10"/>
        <v>5.9850000000000007E-2</v>
      </c>
      <c r="I12" s="89">
        <f t="shared" si="10"/>
        <v>5.9850000000000007E-2</v>
      </c>
      <c r="J12" s="89">
        <f t="shared" si="10"/>
        <v>5.9850000000000007E-2</v>
      </c>
      <c r="K12" s="89">
        <f t="shared" si="10"/>
        <v>5.9850000000000007E-2</v>
      </c>
      <c r="L12" s="89">
        <f t="shared" si="10"/>
        <v>5.9850000000000007E-2</v>
      </c>
    </row>
    <row r="14" spans="2:12" x14ac:dyDescent="0.35">
      <c r="B14" s="43" t="s">
        <v>9</v>
      </c>
      <c r="C14" s="44">
        <f>+C2</f>
        <v>2023</v>
      </c>
      <c r="D14" s="44">
        <f>+C14+1</f>
        <v>2024</v>
      </c>
      <c r="E14" s="44">
        <f t="shared" ref="E14:L14" si="11">+D14+1</f>
        <v>2025</v>
      </c>
      <c r="F14" s="44">
        <f t="shared" si="11"/>
        <v>2026</v>
      </c>
      <c r="G14" s="44">
        <f t="shared" si="11"/>
        <v>2027</v>
      </c>
      <c r="H14" s="44">
        <f t="shared" si="11"/>
        <v>2028</v>
      </c>
      <c r="I14" s="44">
        <f t="shared" si="11"/>
        <v>2029</v>
      </c>
      <c r="J14" s="44">
        <f t="shared" si="11"/>
        <v>2030</v>
      </c>
      <c r="K14" s="44">
        <f t="shared" si="11"/>
        <v>2031</v>
      </c>
      <c r="L14" s="44">
        <f t="shared" si="11"/>
        <v>2032</v>
      </c>
    </row>
    <row r="15" spans="2:12" x14ac:dyDescent="0.35">
      <c r="B15" s="46" t="s">
        <v>10</v>
      </c>
      <c r="C15" s="90">
        <f>+C3*C4</f>
        <v>1750000</v>
      </c>
      <c r="D15" s="90">
        <f t="shared" ref="D15:E15" si="12">+D3*D4</f>
        <v>1800750</v>
      </c>
      <c r="E15" s="90">
        <f t="shared" si="12"/>
        <v>1852971.75</v>
      </c>
      <c r="F15" s="90">
        <f>+F3*F4</f>
        <v>1906707.9307500001</v>
      </c>
      <c r="G15" s="90">
        <f>+F15*1.025</f>
        <v>1954375.6290187498</v>
      </c>
      <c r="H15" s="90">
        <f t="shared" ref="H15:K15" si="13">+G15*1.025</f>
        <v>2003235.0197442183</v>
      </c>
      <c r="I15" s="90">
        <f t="shared" si="13"/>
        <v>2053315.8952378237</v>
      </c>
      <c r="J15" s="90">
        <f t="shared" si="13"/>
        <v>2104648.7926187692</v>
      </c>
      <c r="K15" s="90">
        <f t="shared" si="13"/>
        <v>2157265.0124342381</v>
      </c>
      <c r="L15" s="90">
        <f>+K15*1.025</f>
        <v>2211196.637745094</v>
      </c>
    </row>
    <row r="16" spans="2:12" x14ac:dyDescent="0.35">
      <c r="B16" s="47" t="s">
        <v>11</v>
      </c>
      <c r="C16" s="91">
        <f>+C5*C3</f>
        <v>586250</v>
      </c>
      <c r="D16" s="91">
        <f t="shared" ref="D16:K16" si="14">+D5*D3</f>
        <v>609406.875</v>
      </c>
      <c r="E16" s="91">
        <f t="shared" si="14"/>
        <v>633478.44656249997</v>
      </c>
      <c r="F16" s="91">
        <f t="shared" si="14"/>
        <v>658500.84520171862</v>
      </c>
      <c r="G16" s="91">
        <f t="shared" si="14"/>
        <v>684511.62858718657</v>
      </c>
      <c r="H16" s="91">
        <f t="shared" si="14"/>
        <v>711549.83791638061</v>
      </c>
      <c r="I16" s="91">
        <f t="shared" si="14"/>
        <v>739656.0565140777</v>
      </c>
      <c r="J16" s="91">
        <f t="shared" si="14"/>
        <v>768872.47074638377</v>
      </c>
      <c r="K16" s="91">
        <f t="shared" si="14"/>
        <v>799242.933340866</v>
      </c>
      <c r="L16" s="91">
        <f>+L5*L3</f>
        <v>830813.02920783032</v>
      </c>
    </row>
    <row r="17" spans="2:14" x14ac:dyDescent="0.35">
      <c r="B17" s="47" t="s">
        <v>12</v>
      </c>
      <c r="C17" s="91">
        <f>+C9+C10</f>
        <v>232000</v>
      </c>
      <c r="D17" s="91">
        <f t="shared" ref="D17:L17" si="15">+D9+D10</f>
        <v>237423.3125</v>
      </c>
      <c r="E17" s="91">
        <f t="shared" si="15"/>
        <v>242973.75588671869</v>
      </c>
      <c r="F17" s="91">
        <f t="shared" si="15"/>
        <v>256923.71961683099</v>
      </c>
      <c r="G17" s="91">
        <f t="shared" si="15"/>
        <v>271822.94845245808</v>
      </c>
      <c r="H17" s="91">
        <f t="shared" si="15"/>
        <v>287740.96336717287</v>
      </c>
      <c r="I17" s="91">
        <f t="shared" si="15"/>
        <v>304752.514796515</v>
      </c>
      <c r="J17" s="91">
        <f t="shared" si="15"/>
        <v>322937.97959665931</v>
      </c>
      <c r="K17" s="91">
        <f t="shared" si="15"/>
        <v>342383.78822648746</v>
      </c>
      <c r="L17" s="91">
        <f t="shared" si="15"/>
        <v>363182.88445647951</v>
      </c>
    </row>
    <row r="18" spans="2:14" x14ac:dyDescent="0.35">
      <c r="B18" s="47" t="s">
        <v>13</v>
      </c>
      <c r="C18" s="91">
        <f>+C3*C11*C12</f>
        <v>49000.000000000007</v>
      </c>
      <c r="D18" s="91">
        <f t="shared" ref="D18:L18" si="16">+D3*D11*D12</f>
        <v>46305.000000000007</v>
      </c>
      <c r="E18" s="91">
        <f t="shared" si="16"/>
        <v>46189.237500000003</v>
      </c>
      <c r="F18" s="91">
        <f t="shared" si="16"/>
        <v>48498.699375000004</v>
      </c>
      <c r="G18" s="91">
        <f t="shared" si="16"/>
        <v>50923.634343750011</v>
      </c>
      <c r="H18" s="91">
        <f t="shared" si="16"/>
        <v>53469.816060937519</v>
      </c>
      <c r="I18" s="91">
        <f t="shared" si="16"/>
        <v>56143.306863984399</v>
      </c>
      <c r="J18" s="91">
        <f t="shared" si="16"/>
        <v>58950.472207183615</v>
      </c>
      <c r="K18" s="91">
        <f t="shared" si="16"/>
        <v>61897.995817542804</v>
      </c>
      <c r="L18" s="91">
        <f t="shared" si="16"/>
        <v>64992.895608419953</v>
      </c>
    </row>
    <row r="19" spans="2:14" x14ac:dyDescent="0.35">
      <c r="B19" s="47" t="s">
        <v>14</v>
      </c>
      <c r="C19" s="91">
        <v>55000</v>
      </c>
      <c r="D19" s="91">
        <f>+C19*1.025</f>
        <v>56374.999999999993</v>
      </c>
      <c r="E19" s="91">
        <f t="shared" ref="E19:L19" si="17">+D19*1.025</f>
        <v>57784.374999999985</v>
      </c>
      <c r="F19" s="91">
        <f t="shared" si="17"/>
        <v>59228.984374999978</v>
      </c>
      <c r="G19" s="91">
        <f t="shared" si="17"/>
        <v>60709.708984374971</v>
      </c>
      <c r="H19" s="91">
        <f t="shared" si="17"/>
        <v>62227.451708984343</v>
      </c>
      <c r="I19" s="91">
        <f t="shared" si="17"/>
        <v>63783.138001708947</v>
      </c>
      <c r="J19" s="91">
        <f t="shared" si="17"/>
        <v>65377.716451751665</v>
      </c>
      <c r="K19" s="91">
        <f t="shared" si="17"/>
        <v>67012.159363045444</v>
      </c>
      <c r="L19" s="91">
        <f t="shared" si="17"/>
        <v>68687.463347121578</v>
      </c>
    </row>
    <row r="20" spans="2:14" x14ac:dyDescent="0.35">
      <c r="B20" s="47" t="s">
        <v>15</v>
      </c>
      <c r="C20" s="91">
        <v>25000</v>
      </c>
      <c r="D20" s="91">
        <f>+C20*D3/C3</f>
        <v>26250</v>
      </c>
      <c r="E20" s="91">
        <f>D20*1.025</f>
        <v>26906.249999999996</v>
      </c>
      <c r="F20" s="91">
        <f t="shared" ref="F20:L20" si="18">E20*1.025</f>
        <v>27578.906249999993</v>
      </c>
      <c r="G20" s="91">
        <f t="shared" si="18"/>
        <v>28268.378906249989</v>
      </c>
      <c r="H20" s="91">
        <f t="shared" si="18"/>
        <v>28975.088378906235</v>
      </c>
      <c r="I20" s="91">
        <f t="shared" si="18"/>
        <v>29699.465588378887</v>
      </c>
      <c r="J20" s="91">
        <f t="shared" si="18"/>
        <v>30441.952228088358</v>
      </c>
      <c r="K20" s="91">
        <f t="shared" si="18"/>
        <v>31203.001033790562</v>
      </c>
      <c r="L20" s="91">
        <f t="shared" si="18"/>
        <v>31983.076059635325</v>
      </c>
    </row>
    <row r="21" spans="2:14" x14ac:dyDescent="0.35">
      <c r="B21" s="47" t="s">
        <v>16</v>
      </c>
      <c r="C21" s="91">
        <v>35000</v>
      </c>
      <c r="D21" s="91">
        <v>35000</v>
      </c>
      <c r="E21" s="91">
        <v>35000</v>
      </c>
      <c r="F21" s="91">
        <v>35000</v>
      </c>
      <c r="G21" s="91">
        <v>35000</v>
      </c>
      <c r="H21" s="91">
        <v>35000</v>
      </c>
      <c r="I21" s="91">
        <v>35000</v>
      </c>
      <c r="J21" s="91">
        <v>35000</v>
      </c>
      <c r="K21" s="91">
        <v>35000</v>
      </c>
      <c r="L21" s="91">
        <v>35000</v>
      </c>
    </row>
    <row r="22" spans="2:14" x14ac:dyDescent="0.35">
      <c r="B22" s="47" t="s">
        <v>17</v>
      </c>
      <c r="C22" s="91">
        <v>75000</v>
      </c>
      <c r="D22" s="91">
        <v>75000</v>
      </c>
      <c r="E22" s="91">
        <v>75000</v>
      </c>
      <c r="F22" s="91">
        <v>75000</v>
      </c>
      <c r="G22" s="91">
        <v>75000</v>
      </c>
      <c r="H22" s="91">
        <v>75000</v>
      </c>
      <c r="I22" s="91">
        <v>75000</v>
      </c>
      <c r="J22" s="91">
        <v>75000</v>
      </c>
      <c r="K22" s="91">
        <v>75000</v>
      </c>
      <c r="L22" s="91">
        <v>75000</v>
      </c>
    </row>
    <row r="23" spans="2:14" x14ac:dyDescent="0.35">
      <c r="B23" s="94" t="s">
        <v>18</v>
      </c>
      <c r="C23" s="93">
        <f>SUM(C16:C22)</f>
        <v>1057250</v>
      </c>
      <c r="D23" s="93">
        <f t="shared" ref="D23:L23" si="19">SUM(D16:D22)</f>
        <v>1085760.1875</v>
      </c>
      <c r="E23" s="93">
        <f t="shared" si="19"/>
        <v>1117332.0649492186</v>
      </c>
      <c r="F23" s="93">
        <f t="shared" si="19"/>
        <v>1160731.1548185495</v>
      </c>
      <c r="G23" s="93">
        <f t="shared" si="19"/>
        <v>1206236.2992740194</v>
      </c>
      <c r="H23" s="93">
        <f t="shared" si="19"/>
        <v>1253963.1574323815</v>
      </c>
      <c r="I23" s="93">
        <f t="shared" si="19"/>
        <v>1304034.4817646651</v>
      </c>
      <c r="J23" s="93">
        <f t="shared" si="19"/>
        <v>1356580.591230067</v>
      </c>
      <c r="K23" s="93">
        <f t="shared" si="19"/>
        <v>1411739.8777817322</v>
      </c>
      <c r="L23" s="93">
        <f t="shared" si="19"/>
        <v>1469659.3486794867</v>
      </c>
      <c r="N23" s="127"/>
    </row>
    <row r="24" spans="2:14" x14ac:dyDescent="0.35">
      <c r="B24" s="118" t="s">
        <v>208</v>
      </c>
      <c r="C24" s="100">
        <f>+C15-C23</f>
        <v>692750</v>
      </c>
      <c r="D24" s="100">
        <f t="shared" ref="D24:L24" si="20">+D15-D23</f>
        <v>714989.8125</v>
      </c>
      <c r="E24" s="100">
        <f t="shared" si="20"/>
        <v>735639.68505078135</v>
      </c>
      <c r="F24" s="100">
        <f t="shared" si="20"/>
        <v>745976.77593145054</v>
      </c>
      <c r="G24" s="100">
        <f t="shared" si="20"/>
        <v>748139.32974473038</v>
      </c>
      <c r="H24" s="132">
        <f t="shared" si="20"/>
        <v>749271.8623118368</v>
      </c>
      <c r="I24" s="100">
        <f t="shared" si="20"/>
        <v>749281.41347315861</v>
      </c>
      <c r="J24" s="100">
        <f t="shared" si="20"/>
        <v>748068.20138870226</v>
      </c>
      <c r="K24" s="100">
        <f t="shared" si="20"/>
        <v>745525.13465250586</v>
      </c>
      <c r="L24" s="100">
        <f t="shared" si="20"/>
        <v>741537.28906560736</v>
      </c>
    </row>
    <row r="25" spans="2:14" x14ac:dyDescent="0.35">
      <c r="B25" s="47" t="s">
        <v>19</v>
      </c>
      <c r="C25" s="91">
        <f>'Capex e mutuo'!C10</f>
        <v>165000</v>
      </c>
      <c r="D25" s="91">
        <f>C25</f>
        <v>165000</v>
      </c>
      <c r="E25" s="91">
        <f t="shared" ref="E25:L25" si="21">D25</f>
        <v>165000</v>
      </c>
      <c r="F25" s="91">
        <f t="shared" si="21"/>
        <v>165000</v>
      </c>
      <c r="G25" s="91">
        <f t="shared" si="21"/>
        <v>165000</v>
      </c>
      <c r="H25" s="91">
        <f t="shared" si="21"/>
        <v>165000</v>
      </c>
      <c r="I25" s="91">
        <f t="shared" si="21"/>
        <v>165000</v>
      </c>
      <c r="J25" s="91">
        <f t="shared" si="21"/>
        <v>165000</v>
      </c>
      <c r="K25" s="91">
        <f t="shared" si="21"/>
        <v>165000</v>
      </c>
      <c r="L25" s="91">
        <f t="shared" si="21"/>
        <v>165000</v>
      </c>
    </row>
    <row r="26" spans="2:14" x14ac:dyDescent="0.35">
      <c r="B26" s="47" t="s">
        <v>20</v>
      </c>
      <c r="C26" s="91">
        <v>0</v>
      </c>
      <c r="D26" s="91">
        <f>C26</f>
        <v>0</v>
      </c>
      <c r="E26" s="91">
        <f t="shared" ref="E26:K26" si="22">D26</f>
        <v>0</v>
      </c>
      <c r="F26" s="91">
        <f t="shared" si="22"/>
        <v>0</v>
      </c>
      <c r="G26" s="91">
        <f t="shared" si="22"/>
        <v>0</v>
      </c>
      <c r="H26" s="91">
        <f t="shared" si="22"/>
        <v>0</v>
      </c>
      <c r="I26" s="91">
        <f t="shared" si="22"/>
        <v>0</v>
      </c>
      <c r="J26" s="91">
        <f t="shared" si="22"/>
        <v>0</v>
      </c>
      <c r="K26" s="91">
        <f t="shared" si="22"/>
        <v>0</v>
      </c>
      <c r="L26" s="91">
        <f>K26</f>
        <v>0</v>
      </c>
    </row>
    <row r="27" spans="2:14" x14ac:dyDescent="0.35">
      <c r="B27" s="48" t="s">
        <v>21</v>
      </c>
      <c r="C27" s="92">
        <f>SUM(C25:C26)</f>
        <v>165000</v>
      </c>
      <c r="D27" s="92">
        <f t="shared" ref="D27:L27" si="23">SUM(D25:D26)</f>
        <v>165000</v>
      </c>
      <c r="E27" s="92">
        <f t="shared" si="23"/>
        <v>165000</v>
      </c>
      <c r="F27" s="92">
        <f t="shared" si="23"/>
        <v>165000</v>
      </c>
      <c r="G27" s="92">
        <f t="shared" si="23"/>
        <v>165000</v>
      </c>
      <c r="H27" s="92">
        <f t="shared" si="23"/>
        <v>165000</v>
      </c>
      <c r="I27" s="92">
        <f t="shared" si="23"/>
        <v>165000</v>
      </c>
      <c r="J27" s="92">
        <f t="shared" si="23"/>
        <v>165000</v>
      </c>
      <c r="K27" s="92">
        <f t="shared" si="23"/>
        <v>165000</v>
      </c>
      <c r="L27" s="92">
        <f t="shared" si="23"/>
        <v>165000</v>
      </c>
    </row>
    <row r="28" spans="2:14" x14ac:dyDescent="0.35">
      <c r="B28" s="118" t="s">
        <v>209</v>
      </c>
      <c r="C28" s="100">
        <f>+C24-C27</f>
        <v>527750</v>
      </c>
      <c r="D28" s="100">
        <f t="shared" ref="D28:L28" si="24">+D24-D27</f>
        <v>549989.8125</v>
      </c>
      <c r="E28" s="100">
        <f t="shared" si="24"/>
        <v>570639.68505078135</v>
      </c>
      <c r="F28" s="100">
        <f t="shared" si="24"/>
        <v>580976.77593145054</v>
      </c>
      <c r="G28" s="100">
        <f t="shared" si="24"/>
        <v>583139.32974473038</v>
      </c>
      <c r="H28" s="100">
        <f t="shared" si="24"/>
        <v>584271.8623118368</v>
      </c>
      <c r="I28" s="100">
        <f t="shared" si="24"/>
        <v>584281.41347315861</v>
      </c>
      <c r="J28" s="100">
        <f t="shared" si="24"/>
        <v>583068.20138870226</v>
      </c>
      <c r="K28" s="100">
        <f t="shared" si="24"/>
        <v>580525.13465250586</v>
      </c>
      <c r="L28" s="100">
        <f t="shared" si="24"/>
        <v>576537.28906560736</v>
      </c>
    </row>
    <row r="29" spans="2:14" x14ac:dyDescent="0.35">
      <c r="B29" s="48" t="s">
        <v>22</v>
      </c>
      <c r="C29" s="112">
        <f>-'Capex e mutuo'!J17</f>
        <v>-67500</v>
      </c>
      <c r="D29" s="112">
        <f>-'Capex e mutuo'!J18</f>
        <v>-62006.929532412345</v>
      </c>
      <c r="E29" s="112">
        <f>-'Capex e mutuo'!J19</f>
        <v>-56266.670893783252</v>
      </c>
      <c r="F29" s="112">
        <f>-'Capex e mutuo'!J20</f>
        <v>-50268.100616415839</v>
      </c>
      <c r="G29" s="112">
        <f>-'Capex e mutuo'!J21</f>
        <v>-43999.5946765669</v>
      </c>
      <c r="H29" s="112">
        <f>-'Capex e mutuo'!J22</f>
        <v>-37449.005969424754</v>
      </c>
      <c r="I29" s="112">
        <f>-'Capex e mutuo'!J23</f>
        <v>-30603.64077046121</v>
      </c>
      <c r="J29" s="112">
        <f>-'Capex e mutuo'!J24</f>
        <v>-23450.234137544314</v>
      </c>
      <c r="K29" s="112">
        <f>-'Capex e mutuo'!J25</f>
        <v>-15974.924206146154</v>
      </c>
      <c r="L29" s="112">
        <f>-'Capex e mutuo'!J26</f>
        <v>-8163.2253278350772</v>
      </c>
    </row>
    <row r="30" spans="2:14" x14ac:dyDescent="0.35">
      <c r="B30" s="48" t="s">
        <v>23</v>
      </c>
      <c r="C30" s="112">
        <f>-C54*'Capex e mutuo'!$C$20</f>
        <v>-6750</v>
      </c>
      <c r="D30" s="112">
        <f>-D54*'Capex e mutuo'!$C$20</f>
        <v>-6750</v>
      </c>
      <c r="E30" s="112">
        <f>-E54*'Capex e mutuo'!$C$20</f>
        <v>-6750</v>
      </c>
      <c r="F30" s="112">
        <f>-F54*'Capex e mutuo'!$C$20</f>
        <v>-6750</v>
      </c>
      <c r="G30" s="112">
        <f>-G54*'Capex e mutuo'!$C$20</f>
        <v>-6750</v>
      </c>
      <c r="H30" s="112">
        <f>-H54*'Capex e mutuo'!$C$20</f>
        <v>-6750</v>
      </c>
      <c r="I30" s="112">
        <f>-I54*'Capex e mutuo'!$C$20</f>
        <v>-6750</v>
      </c>
      <c r="J30" s="112">
        <f>-J54*'Capex e mutuo'!$C$20</f>
        <v>-6750</v>
      </c>
      <c r="K30" s="112">
        <f>-K54*'Capex e mutuo'!$C$20</f>
        <v>-6750</v>
      </c>
      <c r="L30" s="112">
        <f>-L54*'Capex e mutuo'!$C$20</f>
        <v>-6750</v>
      </c>
    </row>
    <row r="31" spans="2:14" x14ac:dyDescent="0.35">
      <c r="B31" s="94" t="s">
        <v>210</v>
      </c>
      <c r="C31" s="100">
        <f>SUM(C28:C30)</f>
        <v>453500</v>
      </c>
      <c r="D31" s="100">
        <f t="shared" ref="D31:L31" si="25">SUM(D28:D30)</f>
        <v>481232.88296758768</v>
      </c>
      <c r="E31" s="100">
        <f t="shared" si="25"/>
        <v>507623.01415699808</v>
      </c>
      <c r="F31" s="100">
        <f t="shared" si="25"/>
        <v>523958.67531503469</v>
      </c>
      <c r="G31" s="100">
        <f t="shared" si="25"/>
        <v>532389.73506816349</v>
      </c>
      <c r="H31" s="100">
        <f t="shared" si="25"/>
        <v>540072.85634241207</v>
      </c>
      <c r="I31" s="100">
        <f t="shared" si="25"/>
        <v>546927.77270269743</v>
      </c>
      <c r="J31" s="100">
        <f t="shared" si="25"/>
        <v>552867.96725115797</v>
      </c>
      <c r="K31" s="100">
        <f t="shared" si="25"/>
        <v>557800.21044635971</v>
      </c>
      <c r="L31" s="100">
        <f t="shared" si="25"/>
        <v>561624.06373777229</v>
      </c>
    </row>
    <row r="32" spans="2:14" x14ac:dyDescent="0.35">
      <c r="B32" s="48" t="s">
        <v>24</v>
      </c>
      <c r="C32" s="92">
        <f>+C31*0.279</f>
        <v>126526.50000000001</v>
      </c>
      <c r="D32" s="92">
        <f t="shared" ref="D32:L32" si="26">+D31*0.279</f>
        <v>134263.97434795697</v>
      </c>
      <c r="E32" s="92">
        <f t="shared" si="26"/>
        <v>141626.82094980247</v>
      </c>
      <c r="F32" s="92">
        <f t="shared" si="26"/>
        <v>146184.47041289471</v>
      </c>
      <c r="G32" s="92">
        <f t="shared" si="26"/>
        <v>148536.73608401761</v>
      </c>
      <c r="H32" s="92">
        <f t="shared" si="26"/>
        <v>150680.32691953299</v>
      </c>
      <c r="I32" s="92">
        <f t="shared" si="26"/>
        <v>152592.84858405261</v>
      </c>
      <c r="J32" s="92">
        <f t="shared" si="26"/>
        <v>154250.16286307308</v>
      </c>
      <c r="K32" s="92">
        <f t="shared" si="26"/>
        <v>155626.25871453437</v>
      </c>
      <c r="L32" s="92">
        <f t="shared" si="26"/>
        <v>156693.11378283848</v>
      </c>
    </row>
    <row r="33" spans="2:15" x14ac:dyDescent="0.35">
      <c r="B33" s="117" t="s">
        <v>211</v>
      </c>
      <c r="C33" s="100">
        <f>+C31-C32</f>
        <v>326973.5</v>
      </c>
      <c r="D33" s="100">
        <f t="shared" ref="D33:K33" si="27">+D31-D32</f>
        <v>346968.90861963073</v>
      </c>
      <c r="E33" s="100">
        <f t="shared" si="27"/>
        <v>365996.19320719561</v>
      </c>
      <c r="F33" s="100">
        <f t="shared" si="27"/>
        <v>377774.20490213996</v>
      </c>
      <c r="G33" s="100">
        <f t="shared" si="27"/>
        <v>383852.99898414587</v>
      </c>
      <c r="H33" s="100">
        <f t="shared" si="27"/>
        <v>389392.5294228791</v>
      </c>
      <c r="I33" s="100">
        <f t="shared" si="27"/>
        <v>394334.92411864479</v>
      </c>
      <c r="J33" s="100">
        <f t="shared" si="27"/>
        <v>398617.80438808491</v>
      </c>
      <c r="K33" s="100">
        <f t="shared" si="27"/>
        <v>402173.95173182536</v>
      </c>
      <c r="L33" s="100">
        <f>+L31-L32</f>
        <v>404930.94995493384</v>
      </c>
    </row>
    <row r="34" spans="2:15" x14ac:dyDescent="0.35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</row>
    <row r="35" spans="2:15" x14ac:dyDescent="0.35">
      <c r="B35" s="128" t="s">
        <v>207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</row>
    <row r="36" spans="2:15" x14ac:dyDescent="0.35">
      <c r="B36" s="53" t="s">
        <v>25</v>
      </c>
      <c r="C36" s="44">
        <f>+C14</f>
        <v>2023</v>
      </c>
      <c r="D36" s="44">
        <f>+C36+1</f>
        <v>2024</v>
      </c>
      <c r="E36" s="44">
        <f t="shared" ref="E36:L36" si="28">+D36+1</f>
        <v>2025</v>
      </c>
      <c r="F36" s="44">
        <f t="shared" si="28"/>
        <v>2026</v>
      </c>
      <c r="G36" s="44">
        <f t="shared" si="28"/>
        <v>2027</v>
      </c>
      <c r="H36" s="44">
        <f t="shared" si="28"/>
        <v>2028</v>
      </c>
      <c r="I36" s="44">
        <f t="shared" si="28"/>
        <v>2029</v>
      </c>
      <c r="J36" s="44">
        <f t="shared" si="28"/>
        <v>2030</v>
      </c>
      <c r="K36" s="44">
        <f t="shared" si="28"/>
        <v>2031</v>
      </c>
      <c r="L36" s="44">
        <f t="shared" si="28"/>
        <v>2032</v>
      </c>
    </row>
    <row r="37" spans="2:15" x14ac:dyDescent="0.35">
      <c r="B37" s="54" t="s">
        <v>26</v>
      </c>
      <c r="C37" s="101">
        <f>+C15*C98/365</f>
        <v>359589.0410958904</v>
      </c>
      <c r="D37" s="101">
        <f t="shared" ref="D37:L37" si="29">+D15*D98/365</f>
        <v>370017.12328767125</v>
      </c>
      <c r="E37" s="101">
        <f t="shared" si="29"/>
        <v>380747.61986301368</v>
      </c>
      <c r="F37" s="101">
        <f t="shared" si="29"/>
        <v>391789.30083904113</v>
      </c>
      <c r="G37" s="101">
        <f t="shared" si="29"/>
        <v>401584.03336001706</v>
      </c>
      <c r="H37" s="101">
        <f t="shared" si="29"/>
        <v>411623.63419401745</v>
      </c>
      <c r="I37" s="101">
        <f t="shared" si="29"/>
        <v>421914.22504886787</v>
      </c>
      <c r="J37" s="101">
        <f t="shared" si="29"/>
        <v>432462.08067508962</v>
      </c>
      <c r="K37" s="101">
        <f t="shared" si="29"/>
        <v>443273.63269196678</v>
      </c>
      <c r="L37" s="101">
        <f t="shared" si="29"/>
        <v>454355.47350926587</v>
      </c>
    </row>
    <row r="38" spans="2:15" x14ac:dyDescent="0.35">
      <c r="B38" s="54" t="s">
        <v>27</v>
      </c>
      <c r="C38" s="101">
        <f>+C15*C99/365</f>
        <v>71917.808219178085</v>
      </c>
      <c r="D38" s="101">
        <f t="shared" ref="D38:L38" si="30">+D15*D99/365</f>
        <v>74003.42465753424</v>
      </c>
      <c r="E38" s="101">
        <f t="shared" si="30"/>
        <v>76149.523972602736</v>
      </c>
      <c r="F38" s="101">
        <f t="shared" si="30"/>
        <v>78357.86016780822</v>
      </c>
      <c r="G38" s="101">
        <f t="shared" si="30"/>
        <v>80316.806672003411</v>
      </c>
      <c r="H38" s="101">
        <f t="shared" si="30"/>
        <v>82324.726838803501</v>
      </c>
      <c r="I38" s="101">
        <f t="shared" si="30"/>
        <v>84382.845009773577</v>
      </c>
      <c r="J38" s="101">
        <f t="shared" si="30"/>
        <v>86492.416135017906</v>
      </c>
      <c r="K38" s="101">
        <f t="shared" si="30"/>
        <v>88654.726538393355</v>
      </c>
      <c r="L38" s="101">
        <f t="shared" si="30"/>
        <v>90871.094701853173</v>
      </c>
    </row>
    <row r="39" spans="2:15" x14ac:dyDescent="0.35">
      <c r="B39" s="54" t="s">
        <v>28</v>
      </c>
      <c r="C39" s="101">
        <f>+C16*C100/365</f>
        <v>48184.931506849316</v>
      </c>
      <c r="D39" s="101">
        <f t="shared" ref="D39:L39" si="31">+D16*D100/365</f>
        <v>50088.236301369863</v>
      </c>
      <c r="E39" s="101">
        <f t="shared" si="31"/>
        <v>52066.721635273963</v>
      </c>
      <c r="F39" s="101">
        <f t="shared" si="31"/>
        <v>54123.357139867279</v>
      </c>
      <c r="G39" s="101">
        <f t="shared" si="31"/>
        <v>56261.229746892051</v>
      </c>
      <c r="H39" s="101">
        <f t="shared" si="31"/>
        <v>58483.548321894305</v>
      </c>
      <c r="I39" s="101">
        <f t="shared" si="31"/>
        <v>60793.648480609132</v>
      </c>
      <c r="J39" s="101">
        <f t="shared" si="31"/>
        <v>63194.997595593188</v>
      </c>
      <c r="K39" s="101">
        <f t="shared" si="31"/>
        <v>65691.200000619123</v>
      </c>
      <c r="L39" s="101">
        <f t="shared" si="31"/>
        <v>68286.0024006436</v>
      </c>
    </row>
    <row r="40" spans="2:15" x14ac:dyDescent="0.35">
      <c r="B40" s="54" t="s">
        <v>29</v>
      </c>
      <c r="C40" s="101">
        <f>+C15*C101/365</f>
        <v>71917.808219178085</v>
      </c>
      <c r="D40" s="101">
        <f t="shared" ref="D40:L40" si="32">+D15*D101/365</f>
        <v>74003.42465753424</v>
      </c>
      <c r="E40" s="101">
        <f t="shared" si="32"/>
        <v>76149.523972602736</v>
      </c>
      <c r="F40" s="101">
        <f t="shared" si="32"/>
        <v>78357.86016780822</v>
      </c>
      <c r="G40" s="101">
        <f t="shared" si="32"/>
        <v>80316.806672003411</v>
      </c>
      <c r="H40" s="101">
        <f t="shared" si="32"/>
        <v>82324.726838803501</v>
      </c>
      <c r="I40" s="101">
        <f t="shared" si="32"/>
        <v>84382.845009773577</v>
      </c>
      <c r="J40" s="101">
        <f t="shared" si="32"/>
        <v>86492.416135017906</v>
      </c>
      <c r="K40" s="101">
        <f t="shared" si="32"/>
        <v>88654.726538393355</v>
      </c>
      <c r="L40" s="101">
        <f t="shared" si="32"/>
        <v>90871.094701853173</v>
      </c>
    </row>
    <row r="41" spans="2:15" x14ac:dyDescent="0.35">
      <c r="B41" s="56" t="s">
        <v>30</v>
      </c>
      <c r="C41" s="110">
        <f>-(C16+C18+C19+C20)*C102/365</f>
        <v>-146969.17808219179</v>
      </c>
      <c r="D41" s="110">
        <f t="shared" ref="D41:L41" si="33">-(D16+D18+D19+D20)*D102/365</f>
        <v>-151713.0565068493</v>
      </c>
      <c r="E41" s="110">
        <f t="shared" si="33"/>
        <v>-157059.92651969177</v>
      </c>
      <c r="F41" s="110">
        <f t="shared" si="33"/>
        <v>-163111.11682227094</v>
      </c>
      <c r="G41" s="110">
        <f t="shared" si="33"/>
        <v>-169400.00359347154</v>
      </c>
      <c r="H41" s="110">
        <f t="shared" si="33"/>
        <v>-175936.06727367302</v>
      </c>
      <c r="I41" s="110">
        <f t="shared" si="33"/>
        <v>-182729.1712948253</v>
      </c>
      <c r="J41" s="110">
        <f t="shared" si="33"/>
        <v>-189789.57773289195</v>
      </c>
      <c r="K41" s="110">
        <f t="shared" si="33"/>
        <v>-197127.9636072421</v>
      </c>
      <c r="L41" s="110">
        <f t="shared" si="33"/>
        <v>-204755.43785404257</v>
      </c>
      <c r="M41" s="101"/>
      <c r="N41" s="101"/>
      <c r="O41" s="101"/>
    </row>
    <row r="42" spans="2:15" x14ac:dyDescent="0.35">
      <c r="B42" s="56" t="s">
        <v>31</v>
      </c>
      <c r="C42" s="110">
        <f>-(C16+C18+C19+C20)*C103/365</f>
        <v>-29393.835616438355</v>
      </c>
      <c r="D42" s="110">
        <f t="shared" ref="D42:L42" si="34">-(D16+D18+D19+D20)*D103/365</f>
        <v>-30342.611301369863</v>
      </c>
      <c r="E42" s="110">
        <f t="shared" si="34"/>
        <v>-31411.98530393836</v>
      </c>
      <c r="F42" s="110">
        <f t="shared" si="34"/>
        <v>-32622.223364454185</v>
      </c>
      <c r="G42" s="110">
        <f t="shared" si="34"/>
        <v>-33880.000718694311</v>
      </c>
      <c r="H42" s="110">
        <f t="shared" si="34"/>
        <v>-35187.2134547346</v>
      </c>
      <c r="I42" s="110">
        <f t="shared" si="34"/>
        <v>-36545.834258965064</v>
      </c>
      <c r="J42" s="110">
        <f t="shared" si="34"/>
        <v>-37957.915546578392</v>
      </c>
      <c r="K42" s="110">
        <f t="shared" si="34"/>
        <v>-39425.592721448418</v>
      </c>
      <c r="L42" s="110">
        <f t="shared" si="34"/>
        <v>-40951.087570808515</v>
      </c>
    </row>
    <row r="43" spans="2:15" x14ac:dyDescent="0.35">
      <c r="B43" s="54" t="s">
        <v>32</v>
      </c>
      <c r="C43" s="102">
        <v>10000</v>
      </c>
      <c r="D43" s="102">
        <v>11000</v>
      </c>
      <c r="E43" s="102">
        <f>+D43</f>
        <v>11000</v>
      </c>
      <c r="F43" s="102">
        <f t="shared" ref="F43:L43" si="35">+E43</f>
        <v>11000</v>
      </c>
      <c r="G43" s="102">
        <f t="shared" si="35"/>
        <v>11000</v>
      </c>
      <c r="H43" s="102">
        <f t="shared" si="35"/>
        <v>11000</v>
      </c>
      <c r="I43" s="102">
        <f t="shared" si="35"/>
        <v>11000</v>
      </c>
      <c r="J43" s="102">
        <f t="shared" si="35"/>
        <v>11000</v>
      </c>
      <c r="K43" s="102">
        <f t="shared" si="35"/>
        <v>11000</v>
      </c>
      <c r="L43" s="102">
        <f t="shared" si="35"/>
        <v>11000</v>
      </c>
    </row>
    <row r="44" spans="2:15" x14ac:dyDescent="0.35">
      <c r="B44" s="117" t="s">
        <v>33</v>
      </c>
      <c r="C44" s="100">
        <f>SUM(C37:C43)</f>
        <v>385246.57534246566</v>
      </c>
      <c r="D44" s="100">
        <f t="shared" ref="D44:L44" si="36">SUM(D37:D43)</f>
        <v>397056.5410958904</v>
      </c>
      <c r="E44" s="100">
        <f t="shared" si="36"/>
        <v>407641.477619863</v>
      </c>
      <c r="F44" s="100">
        <f t="shared" si="36"/>
        <v>417895.03812779981</v>
      </c>
      <c r="G44" s="100">
        <f t="shared" si="36"/>
        <v>426198.87213874998</v>
      </c>
      <c r="H44" s="100">
        <f t="shared" si="36"/>
        <v>434633.35546511115</v>
      </c>
      <c r="I44" s="100">
        <f t="shared" si="36"/>
        <v>443198.55799523386</v>
      </c>
      <c r="J44" s="100">
        <f t="shared" si="36"/>
        <v>451894.41726124822</v>
      </c>
      <c r="K44" s="100">
        <f t="shared" si="36"/>
        <v>460720.72944068222</v>
      </c>
      <c r="L44" s="100">
        <f t="shared" si="36"/>
        <v>469677.13988876459</v>
      </c>
    </row>
    <row r="45" spans="2:15" x14ac:dyDescent="0.35">
      <c r="B45" s="56" t="s">
        <v>34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</row>
    <row r="46" spans="2:15" x14ac:dyDescent="0.35">
      <c r="B46" s="56" t="s">
        <v>35</v>
      </c>
      <c r="C46" s="101">
        <f>+'Capex e mutuo'!C8-'SP CE FC'!C27</f>
        <v>1485000</v>
      </c>
      <c r="D46" s="101">
        <f>+C46-D27</f>
        <v>1320000</v>
      </c>
      <c r="E46" s="101">
        <f t="shared" ref="E46:L46" si="37">+D46-E27</f>
        <v>1155000</v>
      </c>
      <c r="F46" s="101">
        <f t="shared" si="37"/>
        <v>990000</v>
      </c>
      <c r="G46" s="101">
        <f t="shared" si="37"/>
        <v>825000</v>
      </c>
      <c r="H46" s="101">
        <f t="shared" si="37"/>
        <v>660000</v>
      </c>
      <c r="I46" s="101">
        <f t="shared" si="37"/>
        <v>495000</v>
      </c>
      <c r="J46" s="101">
        <f t="shared" si="37"/>
        <v>330000</v>
      </c>
      <c r="K46" s="101">
        <f t="shared" si="37"/>
        <v>165000</v>
      </c>
      <c r="L46" s="101">
        <f t="shared" si="37"/>
        <v>0</v>
      </c>
    </row>
    <row r="47" spans="2:15" x14ac:dyDescent="0.35">
      <c r="B47" s="54" t="s">
        <v>36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</row>
    <row r="48" spans="2:15" x14ac:dyDescent="0.35">
      <c r="B48" s="57" t="s">
        <v>37</v>
      </c>
      <c r="C48" s="109">
        <f>-C17/13.5</f>
        <v>-17185.185185185186</v>
      </c>
      <c r="D48" s="109">
        <f>+C48-D17/13.5</f>
        <v>-34772.097222222219</v>
      </c>
      <c r="E48" s="109">
        <f t="shared" ref="E48:L48" si="38">+D48-E17/13.5</f>
        <v>-52770.153213831014</v>
      </c>
      <c r="F48" s="109">
        <f t="shared" si="38"/>
        <v>-71801.539852114787</v>
      </c>
      <c r="G48" s="109">
        <f t="shared" si="38"/>
        <v>-91936.573070815386</v>
      </c>
      <c r="H48" s="109">
        <f t="shared" si="38"/>
        <v>-113250.71850542078</v>
      </c>
      <c r="I48" s="109">
        <f t="shared" si="38"/>
        <v>-135824.9788607182</v>
      </c>
      <c r="J48" s="109">
        <f t="shared" si="38"/>
        <v>-159746.31068269297</v>
      </c>
      <c r="K48" s="109">
        <f t="shared" si="38"/>
        <v>-185108.07277354388</v>
      </c>
      <c r="L48" s="109">
        <f t="shared" si="38"/>
        <v>-212010.50865920904</v>
      </c>
    </row>
    <row r="49" spans="2:12" x14ac:dyDescent="0.35">
      <c r="B49" s="117" t="s">
        <v>38</v>
      </c>
      <c r="C49" s="100">
        <f>SUM(C45:C48)</f>
        <v>1467814.8148148148</v>
      </c>
      <c r="D49" s="100">
        <f t="shared" ref="D49:L49" si="39">SUM(D45:D48)</f>
        <v>1285227.9027777778</v>
      </c>
      <c r="E49" s="100">
        <f t="shared" si="39"/>
        <v>1102229.8467861689</v>
      </c>
      <c r="F49" s="100">
        <f t="shared" si="39"/>
        <v>918198.46014788526</v>
      </c>
      <c r="G49" s="100">
        <f t="shared" si="39"/>
        <v>733063.42692918458</v>
      </c>
      <c r="H49" s="100">
        <f t="shared" si="39"/>
        <v>546749.28149457928</v>
      </c>
      <c r="I49" s="100">
        <f t="shared" si="39"/>
        <v>359175.0211392818</v>
      </c>
      <c r="J49" s="100">
        <f t="shared" si="39"/>
        <v>170253.68931730703</v>
      </c>
      <c r="K49" s="100">
        <f t="shared" si="39"/>
        <v>-20108.072773543885</v>
      </c>
      <c r="L49" s="100">
        <f t="shared" si="39"/>
        <v>-212010.50865920904</v>
      </c>
    </row>
    <row r="50" spans="2:12" ht="13.5" customHeight="1" thickBot="1" x14ac:dyDescent="0.4">
      <c r="B50" s="58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 ht="15" thickTop="1" x14ac:dyDescent="0.35">
      <c r="B51" s="59" t="s">
        <v>39</v>
      </c>
      <c r="C51" s="104">
        <f>+C44+C49</f>
        <v>1853061.3901572805</v>
      </c>
      <c r="D51" s="104">
        <f t="shared" ref="D51:L51" si="40">+D44+D49</f>
        <v>1682284.4438736681</v>
      </c>
      <c r="E51" s="104">
        <f t="shared" si="40"/>
        <v>1509871.324406032</v>
      </c>
      <c r="F51" s="104">
        <f t="shared" si="40"/>
        <v>1336093.4982756851</v>
      </c>
      <c r="G51" s="104">
        <f t="shared" si="40"/>
        <v>1159262.2990679345</v>
      </c>
      <c r="H51" s="104">
        <f t="shared" si="40"/>
        <v>981382.63695969037</v>
      </c>
      <c r="I51" s="104">
        <f t="shared" si="40"/>
        <v>802373.57913451572</v>
      </c>
      <c r="J51" s="104">
        <f t="shared" si="40"/>
        <v>622148.10657855519</v>
      </c>
      <c r="K51" s="104">
        <f t="shared" si="40"/>
        <v>440612.65666713833</v>
      </c>
      <c r="L51" s="104">
        <f t="shared" si="40"/>
        <v>257666.63122955555</v>
      </c>
    </row>
    <row r="52" spans="2:12" x14ac:dyDescent="0.35">
      <c r="B52" s="60"/>
      <c r="C52" s="105"/>
      <c r="D52" s="106"/>
      <c r="E52" s="89"/>
      <c r="F52" s="89"/>
      <c r="G52" s="89"/>
      <c r="H52" s="89"/>
      <c r="I52" s="89"/>
      <c r="J52" s="89"/>
      <c r="K52" s="89"/>
      <c r="L52" s="89"/>
    </row>
    <row r="53" spans="2:12" x14ac:dyDescent="0.35">
      <c r="B53" s="53" t="s">
        <v>40</v>
      </c>
      <c r="C53" s="111">
        <f>+C36</f>
        <v>2023</v>
      </c>
      <c r="D53" s="111">
        <f>+C53+1</f>
        <v>2024</v>
      </c>
      <c r="E53" s="111">
        <f t="shared" ref="E53:L53" si="41">+D53+1</f>
        <v>2025</v>
      </c>
      <c r="F53" s="111">
        <f t="shared" si="41"/>
        <v>2026</v>
      </c>
      <c r="G53" s="111">
        <f t="shared" si="41"/>
        <v>2027</v>
      </c>
      <c r="H53" s="111">
        <f t="shared" si="41"/>
        <v>2028</v>
      </c>
      <c r="I53" s="111">
        <f t="shared" si="41"/>
        <v>2029</v>
      </c>
      <c r="J53" s="111">
        <f t="shared" si="41"/>
        <v>2030</v>
      </c>
      <c r="K53" s="111">
        <f t="shared" si="41"/>
        <v>2031</v>
      </c>
      <c r="L53" s="111">
        <f t="shared" si="41"/>
        <v>2032</v>
      </c>
    </row>
    <row r="54" spans="2:12" x14ac:dyDescent="0.35">
      <c r="B54" s="56" t="s">
        <v>41</v>
      </c>
      <c r="C54" s="101">
        <f>150000</f>
        <v>150000</v>
      </c>
      <c r="D54" s="101">
        <f>+C54</f>
        <v>150000</v>
      </c>
      <c r="E54" s="101">
        <f t="shared" ref="E54:L54" si="42">+D54</f>
        <v>150000</v>
      </c>
      <c r="F54" s="101">
        <f t="shared" si="42"/>
        <v>150000</v>
      </c>
      <c r="G54" s="101">
        <f t="shared" si="42"/>
        <v>150000</v>
      </c>
      <c r="H54" s="101">
        <f t="shared" si="42"/>
        <v>150000</v>
      </c>
      <c r="I54" s="101">
        <f t="shared" si="42"/>
        <v>150000</v>
      </c>
      <c r="J54" s="101">
        <f t="shared" si="42"/>
        <v>150000</v>
      </c>
      <c r="K54" s="101">
        <f t="shared" si="42"/>
        <v>150000</v>
      </c>
      <c r="L54" s="101">
        <f t="shared" si="42"/>
        <v>150000</v>
      </c>
    </row>
    <row r="55" spans="2:12" x14ac:dyDescent="0.35">
      <c r="B55" s="56" t="s">
        <v>42</v>
      </c>
      <c r="C55" s="101">
        <f>'Capex e mutuo'!G18</f>
        <v>1377931.767386941</v>
      </c>
      <c r="D55" s="101">
        <f>'Capex e mutuo'!G19</f>
        <v>1250370.4643062945</v>
      </c>
      <c r="E55" s="101">
        <f>'Capex e mutuo'!G20</f>
        <v>1117068.9025870187</v>
      </c>
      <c r="F55" s="101">
        <f>'Capex e mutuo'!G21</f>
        <v>977768.77059037553</v>
      </c>
      <c r="G55" s="101">
        <f>'Capex e mutuo'!G22</f>
        <v>832200.13265388343</v>
      </c>
      <c r="H55" s="101">
        <f>'Capex e mutuo'!G23</f>
        <v>680080.90601024916</v>
      </c>
      <c r="I55" s="101">
        <f>'Capex e mutuo'!G24</f>
        <v>521116.31416765141</v>
      </c>
      <c r="J55" s="101">
        <f>'Capex e mutuo'!G25</f>
        <v>354998.31569213676</v>
      </c>
      <c r="K55" s="101">
        <f>'Capex e mutuo'!G26</f>
        <v>181405.00728522395</v>
      </c>
      <c r="L55" s="113">
        <f>'Capex e mutuo'!K26</f>
        <v>0</v>
      </c>
    </row>
    <row r="56" spans="2:12" ht="14.4" customHeight="1" x14ac:dyDescent="0.35">
      <c r="B56" s="56" t="s">
        <v>43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</row>
    <row r="57" spans="2:12" ht="14.4" customHeight="1" x14ac:dyDescent="0.35">
      <c r="B57" s="56" t="s">
        <v>44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</row>
    <row r="58" spans="2:12" x14ac:dyDescent="0.35">
      <c r="B58" s="56" t="s">
        <v>45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</row>
    <row r="59" spans="2:12" x14ac:dyDescent="0.35">
      <c r="B59" s="61" t="s">
        <v>46</v>
      </c>
      <c r="C59" s="102">
        <f>-C93</f>
        <v>-11843.877229660517</v>
      </c>
      <c r="D59" s="102">
        <f t="shared" ref="D59:L59" si="43">-D93</f>
        <v>-140449.62905225705</v>
      </c>
      <c r="E59" s="102">
        <f t="shared" si="43"/>
        <v>-267982.2531121085</v>
      </c>
      <c r="F59" s="102">
        <f t="shared" si="43"/>
        <v>-387437.19758219604</v>
      </c>
      <c r="G59" s="102">
        <f t="shared" si="43"/>
        <v>-500333.39391588804</v>
      </c>
      <c r="H59" s="102">
        <f t="shared" si="43"/>
        <v>-608403.9596160606</v>
      </c>
      <c r="I59" s="102">
        <f t="shared" si="43"/>
        <v>-711269.32617897913</v>
      </c>
      <c r="J59" s="102">
        <f t="shared" si="43"/>
        <v>-808526.66535259387</v>
      </c>
      <c r="K59" s="102">
        <f t="shared" si="43"/>
        <v>-899748.51507845568</v>
      </c>
      <c r="L59" s="102">
        <f t="shared" si="43"/>
        <v>-984481.3218002877</v>
      </c>
    </row>
    <row r="60" spans="2:12" x14ac:dyDescent="0.35">
      <c r="B60" s="56" t="s">
        <v>47</v>
      </c>
      <c r="C60" s="100">
        <f>SUM(C54:C59)</f>
        <v>1516087.8901572805</v>
      </c>
      <c r="D60" s="100">
        <f t="shared" ref="D60:L60" si="44">SUM(D54:D59)</f>
        <v>1259920.8352540373</v>
      </c>
      <c r="E60" s="100">
        <f t="shared" si="44"/>
        <v>999086.64947491023</v>
      </c>
      <c r="F60" s="100">
        <f t="shared" si="44"/>
        <v>740331.57300817966</v>
      </c>
      <c r="G60" s="100">
        <f t="shared" si="44"/>
        <v>481866.73873799539</v>
      </c>
      <c r="H60" s="100">
        <f t="shared" si="44"/>
        <v>221676.94639418856</v>
      </c>
      <c r="I60" s="100">
        <f t="shared" si="44"/>
        <v>-40153.012011327781</v>
      </c>
      <c r="J60" s="100">
        <f t="shared" si="44"/>
        <v>-303528.34966045711</v>
      </c>
      <c r="K60" s="100">
        <f t="shared" si="44"/>
        <v>-568343.50779323175</v>
      </c>
      <c r="L60" s="100">
        <f t="shared" si="44"/>
        <v>-834481.3218002877</v>
      </c>
    </row>
    <row r="61" spans="2:12" x14ac:dyDescent="0.35">
      <c r="B61" s="56" t="s">
        <v>48</v>
      </c>
      <c r="C61" s="101">
        <v>10000</v>
      </c>
      <c r="D61" s="101">
        <f>C61</f>
        <v>10000</v>
      </c>
      <c r="E61" s="101">
        <f t="shared" ref="E61:L61" si="45">D61</f>
        <v>10000</v>
      </c>
      <c r="F61" s="101">
        <f t="shared" si="45"/>
        <v>10000</v>
      </c>
      <c r="G61" s="101">
        <f t="shared" si="45"/>
        <v>10000</v>
      </c>
      <c r="H61" s="101">
        <f t="shared" si="45"/>
        <v>10000</v>
      </c>
      <c r="I61" s="101">
        <f t="shared" si="45"/>
        <v>10000</v>
      </c>
      <c r="J61" s="101">
        <f t="shared" si="45"/>
        <v>10000</v>
      </c>
      <c r="K61" s="101">
        <f t="shared" si="45"/>
        <v>10000</v>
      </c>
      <c r="L61" s="101">
        <f t="shared" si="45"/>
        <v>10000</v>
      </c>
    </row>
    <row r="62" spans="2:12" x14ac:dyDescent="0.35">
      <c r="B62" s="56" t="s">
        <v>49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</row>
    <row r="63" spans="2:12" x14ac:dyDescent="0.35">
      <c r="B63" s="56" t="s">
        <v>197</v>
      </c>
      <c r="C63" s="101">
        <v>0</v>
      </c>
      <c r="D63" s="101">
        <f>C64*0.2</f>
        <v>65394.700000000004</v>
      </c>
      <c r="E63" s="101">
        <f>D63+D64*0.2</f>
        <v>134788.48172392615</v>
      </c>
      <c r="F63" s="101">
        <f t="shared" ref="F63:L63" si="46">E63+E64*0.2</f>
        <v>207987.72036536527</v>
      </c>
      <c r="G63" s="101">
        <f t="shared" si="46"/>
        <v>283542.56134579325</v>
      </c>
      <c r="H63" s="101">
        <f t="shared" si="46"/>
        <v>360313.16114262241</v>
      </c>
      <c r="I63" s="101">
        <f t="shared" si="46"/>
        <v>438191.66702719824</v>
      </c>
      <c r="J63" s="101">
        <f t="shared" si="46"/>
        <v>517058.65185092721</v>
      </c>
      <c r="K63" s="101">
        <f t="shared" si="46"/>
        <v>596782.21272854414</v>
      </c>
      <c r="L63" s="101">
        <f t="shared" si="46"/>
        <v>677217.00307490921</v>
      </c>
    </row>
    <row r="64" spans="2:12" x14ac:dyDescent="0.35">
      <c r="B64" s="61" t="s">
        <v>196</v>
      </c>
      <c r="C64" s="107">
        <f>C33</f>
        <v>326973.5</v>
      </c>
      <c r="D64" s="107">
        <f t="shared" ref="D64:L64" si="47">D33</f>
        <v>346968.90861963073</v>
      </c>
      <c r="E64" s="107">
        <f t="shared" si="47"/>
        <v>365996.19320719561</v>
      </c>
      <c r="F64" s="107">
        <f t="shared" si="47"/>
        <v>377774.20490213996</v>
      </c>
      <c r="G64" s="107">
        <f t="shared" si="47"/>
        <v>383852.99898414587</v>
      </c>
      <c r="H64" s="107">
        <f t="shared" si="47"/>
        <v>389392.5294228791</v>
      </c>
      <c r="I64" s="107">
        <f t="shared" si="47"/>
        <v>394334.92411864479</v>
      </c>
      <c r="J64" s="107">
        <f t="shared" si="47"/>
        <v>398617.80438808491</v>
      </c>
      <c r="K64" s="107">
        <f t="shared" si="47"/>
        <v>402173.95173182536</v>
      </c>
      <c r="L64" s="107">
        <f t="shared" si="47"/>
        <v>404930.94995493384</v>
      </c>
    </row>
    <row r="65" spans="2:12" x14ac:dyDescent="0.35">
      <c r="B65" s="56" t="s">
        <v>50</v>
      </c>
      <c r="C65" s="100">
        <f>SUM(C61:C64)</f>
        <v>336973.5</v>
      </c>
      <c r="D65" s="100">
        <f t="shared" ref="D65:L65" si="48">SUM(D61:D64)</f>
        <v>422363.60861963074</v>
      </c>
      <c r="E65" s="100">
        <f t="shared" si="48"/>
        <v>510784.67493112176</v>
      </c>
      <c r="F65" s="100">
        <f t="shared" si="48"/>
        <v>595761.92526750523</v>
      </c>
      <c r="G65" s="100">
        <f t="shared" si="48"/>
        <v>677395.56032993912</v>
      </c>
      <c r="H65" s="100">
        <f t="shared" si="48"/>
        <v>759705.69056550157</v>
      </c>
      <c r="I65" s="100">
        <f t="shared" si="48"/>
        <v>842526.59114584303</v>
      </c>
      <c r="J65" s="100">
        <f t="shared" si="48"/>
        <v>925676.45623901207</v>
      </c>
      <c r="K65" s="100">
        <f t="shared" si="48"/>
        <v>1008956.1644603695</v>
      </c>
      <c r="L65" s="100">
        <f t="shared" si="48"/>
        <v>1092147.953029843</v>
      </c>
    </row>
    <row r="66" spans="2:12" ht="4.75" customHeight="1" thickBot="1" x14ac:dyDescent="0.4">
      <c r="B66" s="62"/>
      <c r="C66" s="108"/>
      <c r="D66" s="108"/>
      <c r="E66" s="108"/>
      <c r="F66" s="108"/>
      <c r="G66" s="108"/>
      <c r="H66" s="108"/>
      <c r="I66" s="108"/>
      <c r="J66" s="108"/>
      <c r="K66" s="108"/>
      <c r="L66" s="108"/>
    </row>
    <row r="67" spans="2:12" ht="15" thickTop="1" x14ac:dyDescent="0.35">
      <c r="B67" s="59" t="s">
        <v>51</v>
      </c>
      <c r="C67" s="104">
        <f>+C60+C65</f>
        <v>1853061.3901572805</v>
      </c>
      <c r="D67" s="104">
        <f t="shared" ref="D67:L67" si="49">+D60+D65</f>
        <v>1682284.4438736681</v>
      </c>
      <c r="E67" s="104">
        <f t="shared" si="49"/>
        <v>1509871.324406032</v>
      </c>
      <c r="F67" s="104">
        <f t="shared" si="49"/>
        <v>1336093.4982756849</v>
      </c>
      <c r="G67" s="104">
        <f t="shared" si="49"/>
        <v>1159262.2990679345</v>
      </c>
      <c r="H67" s="104">
        <f t="shared" si="49"/>
        <v>981382.63695969013</v>
      </c>
      <c r="I67" s="104">
        <f t="shared" si="49"/>
        <v>802373.57913451525</v>
      </c>
      <c r="J67" s="104">
        <f t="shared" si="49"/>
        <v>622148.10657855496</v>
      </c>
      <c r="K67" s="104">
        <f t="shared" si="49"/>
        <v>440612.65666713775</v>
      </c>
      <c r="L67" s="104">
        <f t="shared" si="49"/>
        <v>257666.63122955535</v>
      </c>
    </row>
    <row r="68" spans="2:12" x14ac:dyDescent="0.35">
      <c r="B68" s="63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2:12" x14ac:dyDescent="0.35">
      <c r="E69" s="3"/>
      <c r="F69" s="3"/>
      <c r="G69" s="3"/>
      <c r="H69" s="3"/>
      <c r="I69" s="3"/>
      <c r="J69" s="3"/>
      <c r="K69" s="3"/>
      <c r="L69" s="3"/>
    </row>
    <row r="70" spans="2:12" x14ac:dyDescent="0.35">
      <c r="B70" s="53" t="s">
        <v>52</v>
      </c>
      <c r="C70" s="44">
        <f>+C53</f>
        <v>2023</v>
      </c>
      <c r="D70" s="44">
        <f>+C70+1</f>
        <v>2024</v>
      </c>
      <c r="E70" s="44">
        <f t="shared" ref="E70:L70" si="50">+D70+1</f>
        <v>2025</v>
      </c>
      <c r="F70" s="44">
        <f t="shared" si="50"/>
        <v>2026</v>
      </c>
      <c r="G70" s="44">
        <f t="shared" si="50"/>
        <v>2027</v>
      </c>
      <c r="H70" s="44">
        <f t="shared" si="50"/>
        <v>2028</v>
      </c>
      <c r="I70" s="44">
        <f t="shared" si="50"/>
        <v>2029</v>
      </c>
      <c r="J70" s="44">
        <f t="shared" si="50"/>
        <v>2030</v>
      </c>
      <c r="K70" s="44">
        <f t="shared" si="50"/>
        <v>2031</v>
      </c>
      <c r="L70" s="44">
        <f t="shared" si="50"/>
        <v>2032</v>
      </c>
    </row>
    <row r="71" spans="2:12" x14ac:dyDescent="0.35">
      <c r="B71" s="47" t="s">
        <v>53</v>
      </c>
      <c r="C71" s="114">
        <f>C33</f>
        <v>326973.5</v>
      </c>
      <c r="D71" s="114">
        <f t="shared" ref="D71:L71" si="51">D33</f>
        <v>346968.90861963073</v>
      </c>
      <c r="E71" s="114">
        <f t="shared" si="51"/>
        <v>365996.19320719561</v>
      </c>
      <c r="F71" s="114">
        <f t="shared" si="51"/>
        <v>377774.20490213996</v>
      </c>
      <c r="G71" s="114">
        <f t="shared" si="51"/>
        <v>383852.99898414587</v>
      </c>
      <c r="H71" s="114">
        <f t="shared" si="51"/>
        <v>389392.5294228791</v>
      </c>
      <c r="I71" s="114">
        <f t="shared" si="51"/>
        <v>394334.92411864479</v>
      </c>
      <c r="J71" s="114">
        <f t="shared" si="51"/>
        <v>398617.80438808491</v>
      </c>
      <c r="K71" s="114">
        <f t="shared" si="51"/>
        <v>402173.95173182536</v>
      </c>
      <c r="L71" s="114">
        <f t="shared" si="51"/>
        <v>404930.94995493384</v>
      </c>
    </row>
    <row r="72" spans="2:12" x14ac:dyDescent="0.35">
      <c r="B72" s="47" t="s">
        <v>54</v>
      </c>
      <c r="C72" s="114">
        <f>C25</f>
        <v>165000</v>
      </c>
      <c r="D72" s="114">
        <f t="shared" ref="D72:L72" si="52">D25</f>
        <v>165000</v>
      </c>
      <c r="E72" s="114">
        <f t="shared" si="52"/>
        <v>165000</v>
      </c>
      <c r="F72" s="114">
        <f t="shared" si="52"/>
        <v>165000</v>
      </c>
      <c r="G72" s="114">
        <f t="shared" si="52"/>
        <v>165000</v>
      </c>
      <c r="H72" s="114">
        <f t="shared" si="52"/>
        <v>165000</v>
      </c>
      <c r="I72" s="114">
        <f t="shared" si="52"/>
        <v>165000</v>
      </c>
      <c r="J72" s="114">
        <f t="shared" si="52"/>
        <v>165000</v>
      </c>
      <c r="K72" s="114">
        <f t="shared" si="52"/>
        <v>165000</v>
      </c>
      <c r="L72" s="114">
        <f t="shared" si="52"/>
        <v>165000</v>
      </c>
    </row>
    <row r="73" spans="2:12" x14ac:dyDescent="0.35">
      <c r="B73" s="47" t="s">
        <v>55</v>
      </c>
      <c r="C73" s="114">
        <f>-C48</f>
        <v>17185.185185185186</v>
      </c>
      <c r="D73" s="114">
        <f>-D48+C48</f>
        <v>17586.912037037033</v>
      </c>
      <c r="E73" s="114">
        <f t="shared" ref="E73:L73" si="53">-E48+D48</f>
        <v>17998.055991608795</v>
      </c>
      <c r="F73" s="114">
        <f t="shared" si="53"/>
        <v>19031.386638283773</v>
      </c>
      <c r="G73" s="114">
        <f t="shared" si="53"/>
        <v>20135.033218700599</v>
      </c>
      <c r="H73" s="114">
        <f t="shared" si="53"/>
        <v>21314.145434605394</v>
      </c>
      <c r="I73" s="114">
        <f t="shared" si="53"/>
        <v>22574.260355297418</v>
      </c>
      <c r="J73" s="114">
        <f t="shared" si="53"/>
        <v>23921.331821974774</v>
      </c>
      <c r="K73" s="114">
        <f t="shared" si="53"/>
        <v>25361.762090850913</v>
      </c>
      <c r="L73" s="114">
        <f t="shared" si="53"/>
        <v>26902.435885665152</v>
      </c>
    </row>
    <row r="74" spans="2:12" x14ac:dyDescent="0.35">
      <c r="B74" s="118" t="s">
        <v>56</v>
      </c>
      <c r="C74" s="100">
        <f>SUM(C71:C73)</f>
        <v>509158.68518518517</v>
      </c>
      <c r="D74" s="100">
        <f t="shared" ref="D74:L74" si="54">SUM(D71:D73)</f>
        <v>529555.82065666781</v>
      </c>
      <c r="E74" s="100">
        <f t="shared" si="54"/>
        <v>548994.24919880438</v>
      </c>
      <c r="F74" s="100">
        <f t="shared" si="54"/>
        <v>561805.59154042369</v>
      </c>
      <c r="G74" s="100">
        <f t="shared" si="54"/>
        <v>568988.03220284649</v>
      </c>
      <c r="H74" s="100">
        <f t="shared" si="54"/>
        <v>575706.67485748453</v>
      </c>
      <c r="I74" s="100">
        <f t="shared" si="54"/>
        <v>581909.18447394227</v>
      </c>
      <c r="J74" s="100">
        <f t="shared" si="54"/>
        <v>587539.13621005975</v>
      </c>
      <c r="K74" s="100">
        <f t="shared" si="54"/>
        <v>592535.71382267633</v>
      </c>
      <c r="L74" s="100">
        <f t="shared" si="54"/>
        <v>596833.38584059896</v>
      </c>
    </row>
    <row r="75" spans="2:12" x14ac:dyDescent="0.35">
      <c r="B75" s="47" t="s">
        <v>57</v>
      </c>
      <c r="C75" s="114">
        <f>-C37</f>
        <v>-359589.0410958904</v>
      </c>
      <c r="D75" s="114">
        <f>-D37+C37</f>
        <v>-10428.08219178085</v>
      </c>
      <c r="E75" s="114">
        <f t="shared" ref="E75:L75" si="55">-E37+D37</f>
        <v>-10730.496575342433</v>
      </c>
      <c r="F75" s="114">
        <f t="shared" si="55"/>
        <v>-11041.680976027448</v>
      </c>
      <c r="G75" s="114">
        <f t="shared" si="55"/>
        <v>-9794.7325209759292</v>
      </c>
      <c r="H75" s="114">
        <f t="shared" si="55"/>
        <v>-10039.60083400039</v>
      </c>
      <c r="I75" s="114">
        <f t="shared" si="55"/>
        <v>-10290.590854850423</v>
      </c>
      <c r="J75" s="114">
        <f t="shared" si="55"/>
        <v>-10547.855626221746</v>
      </c>
      <c r="K75" s="114">
        <f t="shared" si="55"/>
        <v>-10811.552016877162</v>
      </c>
      <c r="L75" s="114">
        <f t="shared" si="55"/>
        <v>-11081.840817299089</v>
      </c>
    </row>
    <row r="76" spans="2:12" x14ac:dyDescent="0.35">
      <c r="B76" s="47" t="s">
        <v>58</v>
      </c>
      <c r="C76" s="114">
        <f t="shared" ref="C76:C79" si="56">-C38</f>
        <v>-71917.808219178085</v>
      </c>
      <c r="D76" s="114">
        <f t="shared" ref="D76:L76" si="57">-D38+C38</f>
        <v>-2085.6164383561554</v>
      </c>
      <c r="E76" s="114">
        <f t="shared" si="57"/>
        <v>-2146.0993150684953</v>
      </c>
      <c r="F76" s="114">
        <f t="shared" si="57"/>
        <v>-2208.3361952054838</v>
      </c>
      <c r="G76" s="114">
        <f t="shared" si="57"/>
        <v>-1958.9465041951917</v>
      </c>
      <c r="H76" s="114">
        <f t="shared" si="57"/>
        <v>-2007.9201668000896</v>
      </c>
      <c r="I76" s="114">
        <f t="shared" si="57"/>
        <v>-2058.1181709700759</v>
      </c>
      <c r="J76" s="114">
        <f t="shared" si="57"/>
        <v>-2109.5711252443289</v>
      </c>
      <c r="K76" s="114">
        <f t="shared" si="57"/>
        <v>-2162.3104033754498</v>
      </c>
      <c r="L76" s="114">
        <f t="shared" si="57"/>
        <v>-2216.3681634598179</v>
      </c>
    </row>
    <row r="77" spans="2:12" x14ac:dyDescent="0.35">
      <c r="B77" s="47" t="s">
        <v>59</v>
      </c>
      <c r="C77" s="114">
        <f t="shared" si="56"/>
        <v>-48184.931506849316</v>
      </c>
      <c r="D77" s="114">
        <f t="shared" ref="D77:L77" si="58">-D39+C39</f>
        <v>-1903.3047945205471</v>
      </c>
      <c r="E77" s="114">
        <f t="shared" si="58"/>
        <v>-1978.4853339041001</v>
      </c>
      <c r="F77" s="114">
        <f t="shared" si="58"/>
        <v>-2056.635504593316</v>
      </c>
      <c r="G77" s="114">
        <f t="shared" si="58"/>
        <v>-2137.8726070247722</v>
      </c>
      <c r="H77" s="114">
        <f t="shared" si="58"/>
        <v>-2222.3185750022531</v>
      </c>
      <c r="I77" s="114">
        <f t="shared" si="58"/>
        <v>-2310.1001587148276</v>
      </c>
      <c r="J77" s="114">
        <f t="shared" si="58"/>
        <v>-2401.3491149840556</v>
      </c>
      <c r="K77" s="114">
        <f t="shared" si="58"/>
        <v>-2496.2024050259351</v>
      </c>
      <c r="L77" s="114">
        <f t="shared" si="58"/>
        <v>-2594.8024000244768</v>
      </c>
    </row>
    <row r="78" spans="2:12" x14ac:dyDescent="0.35">
      <c r="B78" s="47" t="s">
        <v>60</v>
      </c>
      <c r="C78" s="114">
        <f t="shared" si="56"/>
        <v>-71917.808219178085</v>
      </c>
      <c r="D78" s="114">
        <f t="shared" ref="D78:L78" si="59">-D40+C40</f>
        <v>-2085.6164383561554</v>
      </c>
      <c r="E78" s="114">
        <f t="shared" si="59"/>
        <v>-2146.0993150684953</v>
      </c>
      <c r="F78" s="114">
        <f t="shared" si="59"/>
        <v>-2208.3361952054838</v>
      </c>
      <c r="G78" s="114">
        <f t="shared" si="59"/>
        <v>-1958.9465041951917</v>
      </c>
      <c r="H78" s="114">
        <f t="shared" si="59"/>
        <v>-2007.9201668000896</v>
      </c>
      <c r="I78" s="114">
        <f t="shared" si="59"/>
        <v>-2058.1181709700759</v>
      </c>
      <c r="J78" s="114">
        <f t="shared" si="59"/>
        <v>-2109.5711252443289</v>
      </c>
      <c r="K78" s="114">
        <f t="shared" si="59"/>
        <v>-2162.3104033754498</v>
      </c>
      <c r="L78" s="114">
        <f t="shared" si="59"/>
        <v>-2216.3681634598179</v>
      </c>
    </row>
    <row r="79" spans="2:12" x14ac:dyDescent="0.35">
      <c r="B79" s="47" t="s">
        <v>61</v>
      </c>
      <c r="C79" s="114">
        <f t="shared" si="56"/>
        <v>146969.17808219179</v>
      </c>
      <c r="D79" s="114">
        <f t="shared" ref="D79:L81" si="60">-D41+C41</f>
        <v>4743.8784246575087</v>
      </c>
      <c r="E79" s="114">
        <f t="shared" si="60"/>
        <v>5346.870012842468</v>
      </c>
      <c r="F79" s="114">
        <f t="shared" si="60"/>
        <v>6051.1903025791689</v>
      </c>
      <c r="G79" s="114">
        <f t="shared" si="60"/>
        <v>6288.8867712006031</v>
      </c>
      <c r="H79" s="114">
        <f t="shared" si="60"/>
        <v>6536.0636802014778</v>
      </c>
      <c r="I79" s="114">
        <f t="shared" si="60"/>
        <v>6793.1040211522777</v>
      </c>
      <c r="J79" s="114">
        <f t="shared" si="60"/>
        <v>7060.4064380666532</v>
      </c>
      <c r="K79" s="114">
        <f t="shared" si="60"/>
        <v>7338.3858743501478</v>
      </c>
      <c r="L79" s="114">
        <f t="shared" si="60"/>
        <v>7627.4742468004697</v>
      </c>
    </row>
    <row r="80" spans="2:12" x14ac:dyDescent="0.35">
      <c r="B80" s="47" t="s">
        <v>62</v>
      </c>
      <c r="C80" s="114">
        <f>-C42</f>
        <v>29393.835616438355</v>
      </c>
      <c r="D80" s="114">
        <f>-D42+C42</f>
        <v>948.77568493150829</v>
      </c>
      <c r="E80" s="114">
        <f t="shared" si="60"/>
        <v>1069.3740025684965</v>
      </c>
      <c r="F80" s="114">
        <f t="shared" si="60"/>
        <v>1210.2380605158251</v>
      </c>
      <c r="G80" s="114">
        <f t="shared" si="60"/>
        <v>1257.7773542401264</v>
      </c>
      <c r="H80" s="114">
        <f t="shared" si="60"/>
        <v>1307.2127360402883</v>
      </c>
      <c r="I80" s="114">
        <f t="shared" si="60"/>
        <v>1358.6208042304643</v>
      </c>
      <c r="J80" s="114">
        <f t="shared" si="60"/>
        <v>1412.0812876133277</v>
      </c>
      <c r="K80" s="114">
        <f t="shared" si="60"/>
        <v>1467.6771748700266</v>
      </c>
      <c r="L80" s="114">
        <f t="shared" si="60"/>
        <v>1525.4948493600969</v>
      </c>
    </row>
    <row r="81" spans="2:12" x14ac:dyDescent="0.35">
      <c r="B81" s="47" t="s">
        <v>63</v>
      </c>
      <c r="C81" s="114">
        <f>-C43</f>
        <v>-10000</v>
      </c>
      <c r="D81" s="114">
        <f>-D43+C43</f>
        <v>-1000</v>
      </c>
      <c r="E81" s="114">
        <f t="shared" si="60"/>
        <v>0</v>
      </c>
      <c r="F81" s="114">
        <f t="shared" si="60"/>
        <v>0</v>
      </c>
      <c r="G81" s="114">
        <f t="shared" si="60"/>
        <v>0</v>
      </c>
      <c r="H81" s="114">
        <f t="shared" si="60"/>
        <v>0</v>
      </c>
      <c r="I81" s="114">
        <f t="shared" si="60"/>
        <v>0</v>
      </c>
      <c r="J81" s="114">
        <f t="shared" si="60"/>
        <v>0</v>
      </c>
      <c r="K81" s="114">
        <f t="shared" si="60"/>
        <v>0</v>
      </c>
      <c r="L81" s="114">
        <f t="shared" si="60"/>
        <v>0</v>
      </c>
    </row>
    <row r="82" spans="2:12" x14ac:dyDescent="0.35">
      <c r="B82" s="47" t="s">
        <v>64</v>
      </c>
      <c r="C82" s="114">
        <f>-SUM(C45:C47)+SUM(B45:B47)-C72</f>
        <v>-1650000</v>
      </c>
      <c r="D82" s="114">
        <f t="shared" ref="D82:L82" si="61">-SUM(D45:D47)+SUM(C45:C47)-D72</f>
        <v>0</v>
      </c>
      <c r="E82" s="114">
        <f t="shared" si="61"/>
        <v>0</v>
      </c>
      <c r="F82" s="114">
        <f t="shared" si="61"/>
        <v>0</v>
      </c>
      <c r="G82" s="114">
        <f t="shared" si="61"/>
        <v>0</v>
      </c>
      <c r="H82" s="114">
        <f t="shared" si="61"/>
        <v>0</v>
      </c>
      <c r="I82" s="114">
        <f t="shared" si="61"/>
        <v>0</v>
      </c>
      <c r="J82" s="114">
        <f t="shared" si="61"/>
        <v>0</v>
      </c>
      <c r="K82" s="114">
        <f t="shared" si="61"/>
        <v>0</v>
      </c>
      <c r="L82" s="114">
        <f t="shared" si="61"/>
        <v>0</v>
      </c>
    </row>
    <row r="83" spans="2:12" x14ac:dyDescent="0.35">
      <c r="B83" s="118" t="s">
        <v>65</v>
      </c>
      <c r="C83" s="100">
        <f>SUM(C74:C82)</f>
        <v>-1526087.8901572805</v>
      </c>
      <c r="D83" s="100">
        <f t="shared" ref="D83:L83" si="62">SUM(D74:D82)</f>
        <v>517745.85490324307</v>
      </c>
      <c r="E83" s="100">
        <f t="shared" si="62"/>
        <v>538409.31267483183</v>
      </c>
      <c r="F83" s="100">
        <f t="shared" si="62"/>
        <v>551552.03103248717</v>
      </c>
      <c r="G83" s="100">
        <f t="shared" si="62"/>
        <v>560684.19819189608</v>
      </c>
      <c r="H83" s="100">
        <f t="shared" si="62"/>
        <v>567272.19153112348</v>
      </c>
      <c r="I83" s="100">
        <f t="shared" si="62"/>
        <v>573343.98194381956</v>
      </c>
      <c r="J83" s="100">
        <f t="shared" si="62"/>
        <v>578843.27694404521</v>
      </c>
      <c r="K83" s="100">
        <f t="shared" si="62"/>
        <v>583709.40164324257</v>
      </c>
      <c r="L83" s="100">
        <f t="shared" si="62"/>
        <v>587876.97539251624</v>
      </c>
    </row>
    <row r="84" spans="2:12" x14ac:dyDescent="0.35">
      <c r="B84" s="47" t="s">
        <v>66</v>
      </c>
      <c r="C84" s="114">
        <f>C54</f>
        <v>150000</v>
      </c>
      <c r="D84" s="114">
        <f>-D54+C54</f>
        <v>0</v>
      </c>
      <c r="E84" s="114">
        <f t="shared" ref="E84:L84" si="63">-E54+D54</f>
        <v>0</v>
      </c>
      <c r="F84" s="114">
        <f t="shared" si="63"/>
        <v>0</v>
      </c>
      <c r="G84" s="114">
        <f t="shared" si="63"/>
        <v>0</v>
      </c>
      <c r="H84" s="114">
        <f t="shared" si="63"/>
        <v>0</v>
      </c>
      <c r="I84" s="114">
        <f t="shared" si="63"/>
        <v>0</v>
      </c>
      <c r="J84" s="114">
        <f t="shared" si="63"/>
        <v>0</v>
      </c>
      <c r="K84" s="114">
        <f t="shared" si="63"/>
        <v>0</v>
      </c>
      <c r="L84" s="114">
        <f t="shared" si="63"/>
        <v>0</v>
      </c>
    </row>
    <row r="85" spans="2:12" x14ac:dyDescent="0.35">
      <c r="B85" s="47" t="s">
        <v>67</v>
      </c>
      <c r="C85" s="114">
        <f>C55</f>
        <v>1377931.767386941</v>
      </c>
      <c r="D85" s="114">
        <f>+D55-C55</f>
        <v>-127561.30308064655</v>
      </c>
      <c r="E85" s="114">
        <f t="shared" ref="E85:L85" si="64">+E55-D55</f>
        <v>-133301.56171927578</v>
      </c>
      <c r="F85" s="114">
        <f t="shared" si="64"/>
        <v>-139300.13199664315</v>
      </c>
      <c r="G85" s="114">
        <f t="shared" si="64"/>
        <v>-145568.6379364921</v>
      </c>
      <c r="H85" s="114">
        <f t="shared" si="64"/>
        <v>-152119.22664363426</v>
      </c>
      <c r="I85" s="114">
        <f t="shared" si="64"/>
        <v>-158964.59184259776</v>
      </c>
      <c r="J85" s="114">
        <f t="shared" si="64"/>
        <v>-166117.99847551464</v>
      </c>
      <c r="K85" s="114">
        <f t="shared" si="64"/>
        <v>-173593.30840691281</v>
      </c>
      <c r="L85" s="114">
        <f t="shared" si="64"/>
        <v>-181405.00728522395</v>
      </c>
    </row>
    <row r="86" spans="2:12" x14ac:dyDescent="0.35">
      <c r="B86" s="47" t="s">
        <v>68</v>
      </c>
      <c r="C86" s="114">
        <v>0</v>
      </c>
      <c r="D86" s="114">
        <v>0</v>
      </c>
      <c r="E86" s="114">
        <v>0</v>
      </c>
      <c r="F86" s="114">
        <v>0</v>
      </c>
      <c r="G86" s="114">
        <v>0</v>
      </c>
      <c r="H86" s="114">
        <v>0</v>
      </c>
      <c r="I86" s="114">
        <v>0</v>
      </c>
      <c r="J86" s="114">
        <v>0</v>
      </c>
      <c r="K86" s="114">
        <v>0</v>
      </c>
      <c r="L86" s="114">
        <v>0</v>
      </c>
    </row>
    <row r="87" spans="2:12" x14ac:dyDescent="0.35">
      <c r="B87" s="47" t="s">
        <v>69</v>
      </c>
      <c r="C87" s="114">
        <v>0</v>
      </c>
      <c r="D87" s="114">
        <v>0</v>
      </c>
      <c r="E87" s="114">
        <v>0</v>
      </c>
      <c r="F87" s="114">
        <v>0</v>
      </c>
      <c r="G87" s="114">
        <v>0</v>
      </c>
      <c r="H87" s="114">
        <v>0</v>
      </c>
      <c r="I87" s="114">
        <v>0</v>
      </c>
      <c r="J87" s="114">
        <v>0</v>
      </c>
      <c r="K87" s="114">
        <v>0</v>
      </c>
      <c r="L87" s="114">
        <v>0</v>
      </c>
    </row>
    <row r="88" spans="2:12" x14ac:dyDescent="0.35">
      <c r="B88" s="47" t="s">
        <v>70</v>
      </c>
      <c r="C88" s="114">
        <v>0</v>
      </c>
      <c r="D88" s="114">
        <v>0</v>
      </c>
      <c r="E88" s="114">
        <v>0</v>
      </c>
      <c r="F88" s="114">
        <v>0</v>
      </c>
      <c r="G88" s="114">
        <v>0</v>
      </c>
      <c r="H88" s="114">
        <v>0</v>
      </c>
      <c r="I88" s="114">
        <v>0</v>
      </c>
      <c r="J88" s="114">
        <v>0</v>
      </c>
      <c r="K88" s="114">
        <v>0</v>
      </c>
      <c r="L88" s="114">
        <v>0</v>
      </c>
    </row>
    <row r="89" spans="2:12" x14ac:dyDescent="0.35">
      <c r="B89" s="118" t="s">
        <v>71</v>
      </c>
      <c r="C89" s="100">
        <f>SUM(C83:C88)</f>
        <v>1843.8772296605166</v>
      </c>
      <c r="D89" s="100">
        <f t="shared" ref="D89:L89" si="65">SUM(D83:D88)</f>
        <v>390184.55182259652</v>
      </c>
      <c r="E89" s="100">
        <f t="shared" si="65"/>
        <v>405107.75095555605</v>
      </c>
      <c r="F89" s="100">
        <f t="shared" si="65"/>
        <v>412251.89903584402</v>
      </c>
      <c r="G89" s="100">
        <f t="shared" si="65"/>
        <v>415115.56025540398</v>
      </c>
      <c r="H89" s="100">
        <f t="shared" si="65"/>
        <v>415152.96488748922</v>
      </c>
      <c r="I89" s="100">
        <f t="shared" si="65"/>
        <v>414379.3901012218</v>
      </c>
      <c r="J89" s="100">
        <f t="shared" si="65"/>
        <v>412725.27846853057</v>
      </c>
      <c r="K89" s="100">
        <f t="shared" si="65"/>
        <v>410116.09323632973</v>
      </c>
      <c r="L89" s="100">
        <f t="shared" si="65"/>
        <v>406471.96810729231</v>
      </c>
    </row>
    <row r="90" spans="2:12" x14ac:dyDescent="0.35">
      <c r="B90" s="47" t="s">
        <v>72</v>
      </c>
      <c r="C90" s="114">
        <f>+C65-C71</f>
        <v>10000</v>
      </c>
      <c r="D90" s="114">
        <f>D65-C65-D71</f>
        <v>-261578.8</v>
      </c>
      <c r="E90" s="114">
        <f t="shared" ref="E90:K90" si="66">E65-D65-E71</f>
        <v>-277575.1268957046</v>
      </c>
      <c r="F90" s="114">
        <f t="shared" si="66"/>
        <v>-292796.95456575649</v>
      </c>
      <c r="G90" s="114">
        <f t="shared" si="66"/>
        <v>-302219.36392171198</v>
      </c>
      <c r="H90" s="114">
        <f t="shared" si="66"/>
        <v>-307082.39918731665</v>
      </c>
      <c r="I90" s="114">
        <f t="shared" si="66"/>
        <v>-311514.02353830333</v>
      </c>
      <c r="J90" s="114">
        <f t="shared" si="66"/>
        <v>-315467.93929491588</v>
      </c>
      <c r="K90" s="114">
        <f t="shared" si="66"/>
        <v>-318894.24351046793</v>
      </c>
      <c r="L90" s="114">
        <f>L65-K65-L71</f>
        <v>-321739.16138546029</v>
      </c>
    </row>
    <row r="91" spans="2:12" x14ac:dyDescent="0.35">
      <c r="B91" s="118" t="s">
        <v>73</v>
      </c>
      <c r="C91" s="100">
        <f>SUM(C89:C90)</f>
        <v>11843.877229660517</v>
      </c>
      <c r="D91" s="100">
        <f t="shared" ref="D91:L91" si="67">SUM(D89:D90)</f>
        <v>128605.75182259653</v>
      </c>
      <c r="E91" s="100">
        <f t="shared" si="67"/>
        <v>127532.62405985146</v>
      </c>
      <c r="F91" s="100">
        <f t="shared" si="67"/>
        <v>119454.94447008753</v>
      </c>
      <c r="G91" s="100">
        <f t="shared" si="67"/>
        <v>112896.196333692</v>
      </c>
      <c r="H91" s="100">
        <f t="shared" si="67"/>
        <v>108070.56570017256</v>
      </c>
      <c r="I91" s="100">
        <f t="shared" si="67"/>
        <v>102865.36656291847</v>
      </c>
      <c r="J91" s="100">
        <f t="shared" si="67"/>
        <v>97257.339173614688</v>
      </c>
      <c r="K91" s="100">
        <f t="shared" si="67"/>
        <v>91221.849725861801</v>
      </c>
      <c r="L91" s="100">
        <f t="shared" si="67"/>
        <v>84732.806721832021</v>
      </c>
    </row>
    <row r="92" spans="2:12" ht="15" thickBot="1" x14ac:dyDescent="0.4">
      <c r="B92" s="65" t="s">
        <v>74</v>
      </c>
      <c r="C92" s="115">
        <v>0</v>
      </c>
      <c r="D92" s="115">
        <f>C93</f>
        <v>11843.877229660517</v>
      </c>
      <c r="E92" s="115">
        <f>SUM(D91:D92)</f>
        <v>140449.62905225705</v>
      </c>
      <c r="F92" s="115">
        <f t="shared" ref="F92:L92" si="68">SUM(E91:E92)</f>
        <v>267982.2531121085</v>
      </c>
      <c r="G92" s="115">
        <f t="shared" si="68"/>
        <v>387437.19758219604</v>
      </c>
      <c r="H92" s="115">
        <f t="shared" si="68"/>
        <v>500333.39391588804</v>
      </c>
      <c r="I92" s="115">
        <f t="shared" si="68"/>
        <v>608403.9596160606</v>
      </c>
      <c r="J92" s="115">
        <f t="shared" si="68"/>
        <v>711269.32617897913</v>
      </c>
      <c r="K92" s="115">
        <f t="shared" si="68"/>
        <v>808526.66535259387</v>
      </c>
      <c r="L92" s="115">
        <f t="shared" si="68"/>
        <v>899748.51507845568</v>
      </c>
    </row>
    <row r="93" spans="2:12" ht="15" thickTop="1" x14ac:dyDescent="0.35">
      <c r="B93" s="50" t="s">
        <v>75</v>
      </c>
      <c r="C93" s="100">
        <f>C91+C94</f>
        <v>11843.877229660517</v>
      </c>
      <c r="D93" s="100">
        <f>SUM(D91:D92)</f>
        <v>140449.62905225705</v>
      </c>
      <c r="E93" s="100">
        <f t="shared" ref="E93:L93" si="69">SUM(E91:E92)</f>
        <v>267982.2531121085</v>
      </c>
      <c r="F93" s="100">
        <f t="shared" si="69"/>
        <v>387437.19758219604</v>
      </c>
      <c r="G93" s="100">
        <f t="shared" si="69"/>
        <v>500333.39391588804</v>
      </c>
      <c r="H93" s="100">
        <f t="shared" si="69"/>
        <v>608403.9596160606</v>
      </c>
      <c r="I93" s="100">
        <f t="shared" si="69"/>
        <v>711269.32617897913</v>
      </c>
      <c r="J93" s="100">
        <f t="shared" si="69"/>
        <v>808526.66535259387</v>
      </c>
      <c r="K93" s="100">
        <f t="shared" si="69"/>
        <v>899748.51507845568</v>
      </c>
      <c r="L93" s="100">
        <f t="shared" si="69"/>
        <v>984481.3218002877</v>
      </c>
    </row>
    <row r="94" spans="2:12" x14ac:dyDescent="0.35">
      <c r="B94" s="66" t="s">
        <v>76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</row>
    <row r="95" spans="2:12" x14ac:dyDescent="0.35">
      <c r="F95" s="3"/>
      <c r="G95" s="3"/>
      <c r="H95" s="3"/>
      <c r="I95" s="3"/>
      <c r="J95" s="3"/>
      <c r="K95" s="3"/>
      <c r="L95" s="3"/>
    </row>
    <row r="97" spans="2:13" x14ac:dyDescent="0.35">
      <c r="B97" s="53" t="s">
        <v>77</v>
      </c>
      <c r="C97" s="44">
        <f>+C70</f>
        <v>2023</v>
      </c>
      <c r="D97" s="44">
        <f>+C97+1</f>
        <v>2024</v>
      </c>
      <c r="E97" s="44">
        <f t="shared" ref="E97:L97" si="70">+D97+1</f>
        <v>2025</v>
      </c>
      <c r="F97" s="44">
        <f t="shared" si="70"/>
        <v>2026</v>
      </c>
      <c r="G97" s="44">
        <f t="shared" si="70"/>
        <v>2027</v>
      </c>
      <c r="H97" s="44">
        <f t="shared" si="70"/>
        <v>2028</v>
      </c>
      <c r="I97" s="44">
        <f t="shared" si="70"/>
        <v>2029</v>
      </c>
      <c r="J97" s="44">
        <f t="shared" si="70"/>
        <v>2030</v>
      </c>
      <c r="K97" s="44">
        <f t="shared" si="70"/>
        <v>2031</v>
      </c>
      <c r="L97" s="44">
        <f t="shared" si="70"/>
        <v>2032</v>
      </c>
    </row>
    <row r="98" spans="2:13" x14ac:dyDescent="0.35">
      <c r="B98" s="47" t="s">
        <v>78</v>
      </c>
      <c r="C98" s="67">
        <v>75</v>
      </c>
      <c r="D98" s="67">
        <v>75</v>
      </c>
      <c r="E98" s="67">
        <v>75</v>
      </c>
      <c r="F98" s="67">
        <v>75</v>
      </c>
      <c r="G98" s="67">
        <v>75</v>
      </c>
      <c r="H98" s="67">
        <v>75</v>
      </c>
      <c r="I98" s="67">
        <v>75</v>
      </c>
      <c r="J98" s="67">
        <v>75</v>
      </c>
      <c r="K98" s="67">
        <v>75</v>
      </c>
      <c r="L98" s="67">
        <v>75</v>
      </c>
    </row>
    <row r="99" spans="2:13" x14ac:dyDescent="0.35">
      <c r="B99" s="47" t="s">
        <v>79</v>
      </c>
      <c r="C99" s="67">
        <v>15</v>
      </c>
      <c r="D99" s="67">
        <v>15</v>
      </c>
      <c r="E99" s="67">
        <v>15</v>
      </c>
      <c r="F99" s="67">
        <v>15</v>
      </c>
      <c r="G99" s="67">
        <v>15</v>
      </c>
      <c r="H99" s="67">
        <v>15</v>
      </c>
      <c r="I99" s="67">
        <v>15</v>
      </c>
      <c r="J99" s="67">
        <v>15</v>
      </c>
      <c r="K99" s="67">
        <v>15</v>
      </c>
      <c r="L99" s="67">
        <v>15</v>
      </c>
    </row>
    <row r="100" spans="2:13" x14ac:dyDescent="0.35">
      <c r="B100" s="47" t="s">
        <v>80</v>
      </c>
      <c r="C100" s="67">
        <v>30</v>
      </c>
      <c r="D100" s="67">
        <v>30</v>
      </c>
      <c r="E100" s="67">
        <v>30</v>
      </c>
      <c r="F100" s="67">
        <v>30</v>
      </c>
      <c r="G100" s="67">
        <v>30</v>
      </c>
      <c r="H100" s="67">
        <v>30</v>
      </c>
      <c r="I100" s="67">
        <v>30</v>
      </c>
      <c r="J100" s="67">
        <v>30</v>
      </c>
      <c r="K100" s="67">
        <v>30</v>
      </c>
      <c r="L100" s="67">
        <v>30</v>
      </c>
    </row>
    <row r="101" spans="2:13" x14ac:dyDescent="0.35">
      <c r="B101" s="47" t="s">
        <v>81</v>
      </c>
      <c r="C101" s="67">
        <v>15</v>
      </c>
      <c r="D101" s="67">
        <v>15</v>
      </c>
      <c r="E101" s="67">
        <v>15</v>
      </c>
      <c r="F101" s="67">
        <v>15</v>
      </c>
      <c r="G101" s="67">
        <v>15</v>
      </c>
      <c r="H101" s="67">
        <v>15</v>
      </c>
      <c r="I101" s="67">
        <v>15</v>
      </c>
      <c r="J101" s="67">
        <v>15</v>
      </c>
      <c r="K101" s="67">
        <v>15</v>
      </c>
      <c r="L101" s="67">
        <v>15</v>
      </c>
    </row>
    <row r="102" spans="2:13" x14ac:dyDescent="0.35">
      <c r="B102" s="47" t="s">
        <v>82</v>
      </c>
      <c r="C102" s="67">
        <v>75</v>
      </c>
      <c r="D102" s="67">
        <v>75</v>
      </c>
      <c r="E102" s="67">
        <v>75</v>
      </c>
      <c r="F102" s="67">
        <v>75</v>
      </c>
      <c r="G102" s="67">
        <v>75</v>
      </c>
      <c r="H102" s="67">
        <v>75</v>
      </c>
      <c r="I102" s="67">
        <v>75</v>
      </c>
      <c r="J102" s="67">
        <v>75</v>
      </c>
      <c r="K102" s="67">
        <v>75</v>
      </c>
      <c r="L102" s="67">
        <v>75</v>
      </c>
    </row>
    <row r="103" spans="2:13" x14ac:dyDescent="0.35">
      <c r="B103" s="47" t="s">
        <v>83</v>
      </c>
      <c r="C103" s="67">
        <v>15</v>
      </c>
      <c r="D103" s="67">
        <v>15</v>
      </c>
      <c r="E103" s="67">
        <v>15</v>
      </c>
      <c r="F103" s="67">
        <v>15</v>
      </c>
      <c r="G103" s="67">
        <v>15</v>
      </c>
      <c r="H103" s="67">
        <v>15</v>
      </c>
      <c r="I103" s="67">
        <v>15</v>
      </c>
      <c r="J103" s="67">
        <v>15</v>
      </c>
      <c r="K103" s="67">
        <v>15</v>
      </c>
      <c r="L103" s="67">
        <v>15</v>
      </c>
    </row>
    <row r="104" spans="2:13" x14ac:dyDescent="0.35">
      <c r="B104" s="68" t="s">
        <v>64</v>
      </c>
      <c r="C104" s="69">
        <v>0</v>
      </c>
      <c r="D104" s="69">
        <v>0</v>
      </c>
      <c r="E104" s="69">
        <v>0</v>
      </c>
      <c r="F104" s="69">
        <v>0</v>
      </c>
      <c r="G104" s="69">
        <v>0</v>
      </c>
      <c r="H104" s="69">
        <v>0</v>
      </c>
      <c r="I104" s="69">
        <v>0</v>
      </c>
      <c r="J104" s="69">
        <v>0</v>
      </c>
      <c r="K104" s="69">
        <v>0</v>
      </c>
      <c r="L104" s="69">
        <v>0</v>
      </c>
    </row>
    <row r="109" spans="2:13" x14ac:dyDescent="0.35">
      <c r="B109" s="43" t="s">
        <v>84</v>
      </c>
      <c r="C109" s="44">
        <f>+C97</f>
        <v>2023</v>
      </c>
      <c r="D109" s="44">
        <f>+C109+1</f>
        <v>2024</v>
      </c>
      <c r="E109" s="44">
        <f t="shared" ref="E109:L110" si="71">+D109+1</f>
        <v>2025</v>
      </c>
      <c r="F109" s="44">
        <f t="shared" si="71"/>
        <v>2026</v>
      </c>
      <c r="G109" s="44">
        <f t="shared" si="71"/>
        <v>2027</v>
      </c>
      <c r="H109" s="44">
        <f t="shared" si="71"/>
        <v>2028</v>
      </c>
      <c r="I109" s="44">
        <f t="shared" si="71"/>
        <v>2029</v>
      </c>
      <c r="J109" s="44">
        <f t="shared" si="71"/>
        <v>2030</v>
      </c>
      <c r="K109" s="44">
        <f t="shared" si="71"/>
        <v>2031</v>
      </c>
      <c r="L109" s="44">
        <f t="shared" si="71"/>
        <v>2032</v>
      </c>
    </row>
    <row r="110" spans="2:13" x14ac:dyDescent="0.35">
      <c r="B110" s="45" t="s">
        <v>85</v>
      </c>
      <c r="C110" s="45">
        <v>1</v>
      </c>
      <c r="D110" s="45">
        <f>+C110+1</f>
        <v>2</v>
      </c>
      <c r="E110" s="45">
        <f t="shared" si="71"/>
        <v>3</v>
      </c>
      <c r="F110" s="45">
        <f t="shared" si="71"/>
        <v>4</v>
      </c>
      <c r="G110" s="45">
        <f t="shared" si="71"/>
        <v>5</v>
      </c>
      <c r="H110" s="45">
        <f t="shared" si="71"/>
        <v>6</v>
      </c>
      <c r="I110" s="45">
        <f t="shared" si="71"/>
        <v>7</v>
      </c>
      <c r="J110" s="45">
        <f t="shared" si="71"/>
        <v>8</v>
      </c>
      <c r="K110" s="45">
        <f t="shared" si="71"/>
        <v>9</v>
      </c>
      <c r="L110" s="45">
        <f t="shared" si="71"/>
        <v>10</v>
      </c>
    </row>
    <row r="111" spans="2:13" x14ac:dyDescent="0.35">
      <c r="B111" s="45" t="s">
        <v>86</v>
      </c>
      <c r="C111" s="120">
        <f>C83</f>
        <v>-1526087.8901572805</v>
      </c>
      <c r="D111" s="120">
        <f t="shared" ref="D111:L111" si="72">D83</f>
        <v>517745.85490324307</v>
      </c>
      <c r="E111" s="120">
        <f t="shared" si="72"/>
        <v>538409.31267483183</v>
      </c>
      <c r="F111" s="120">
        <f t="shared" si="72"/>
        <v>551552.03103248717</v>
      </c>
      <c r="G111" s="120">
        <f t="shared" si="72"/>
        <v>560684.19819189608</v>
      </c>
      <c r="H111" s="120">
        <f t="shared" si="72"/>
        <v>567272.19153112348</v>
      </c>
      <c r="I111" s="120">
        <f t="shared" si="72"/>
        <v>573343.98194381956</v>
      </c>
      <c r="J111" s="120">
        <f t="shared" si="72"/>
        <v>578843.27694404521</v>
      </c>
      <c r="K111" s="120">
        <f t="shared" si="72"/>
        <v>583709.40164324257</v>
      </c>
      <c r="L111" s="120">
        <f t="shared" si="72"/>
        <v>587876.97539251624</v>
      </c>
    </row>
    <row r="112" spans="2:13" x14ac:dyDescent="0.35">
      <c r="B112" s="45" t="s">
        <v>87</v>
      </c>
      <c r="C112" s="120">
        <f>C111/(1+$C$115)^C110</f>
        <v>-1461143.0229483878</v>
      </c>
      <c r="D112" s="120">
        <f t="shared" ref="D112:K112" si="73">D111/(1+$C$115)^D110</f>
        <v>474616.67835798539</v>
      </c>
      <c r="E112" s="120">
        <f t="shared" si="73"/>
        <v>472554.72564436909</v>
      </c>
      <c r="F112" s="120">
        <f t="shared" si="73"/>
        <v>463488.77226861706</v>
      </c>
      <c r="G112" s="120">
        <f t="shared" si="73"/>
        <v>451111.84317714931</v>
      </c>
      <c r="H112" s="120">
        <f t="shared" si="73"/>
        <v>436989.08483570529</v>
      </c>
      <c r="I112" s="120">
        <f t="shared" si="73"/>
        <v>422870.64258746261</v>
      </c>
      <c r="J112" s="120">
        <f t="shared" si="73"/>
        <v>408758.17674066877</v>
      </c>
      <c r="K112" s="120">
        <f t="shared" si="73"/>
        <v>394652.92934700788</v>
      </c>
      <c r="L112" s="120">
        <f>L111/(1+$C$115)^L110</f>
        <v>380555.73912135413</v>
      </c>
      <c r="M112" s="4"/>
    </row>
    <row r="113" spans="2:12" x14ac:dyDescent="0.35">
      <c r="B113" s="70" t="s">
        <v>88</v>
      </c>
      <c r="C113" s="95">
        <f>C112</f>
        <v>-1461143.0229483878</v>
      </c>
      <c r="D113" s="95">
        <f>C113+D112</f>
        <v>-986526.34459040244</v>
      </c>
      <c r="E113" s="95">
        <f t="shared" ref="E113:K113" si="74">D113+E112</f>
        <v>-513971.61894603336</v>
      </c>
      <c r="F113" s="95">
        <f t="shared" si="74"/>
        <v>-50482.846677416295</v>
      </c>
      <c r="G113" s="95">
        <f t="shared" si="74"/>
        <v>400628.99649973301</v>
      </c>
      <c r="H113" s="95">
        <f t="shared" si="74"/>
        <v>837618.0813354383</v>
      </c>
      <c r="I113" s="95">
        <f t="shared" si="74"/>
        <v>1260488.7239229009</v>
      </c>
      <c r="J113" s="95">
        <f t="shared" si="74"/>
        <v>1669246.9006635696</v>
      </c>
      <c r="K113" s="95">
        <f t="shared" si="74"/>
        <v>2063899.8300105776</v>
      </c>
      <c r="L113" s="95">
        <f>K113+L112</f>
        <v>2444455.5691319318</v>
      </c>
    </row>
    <row r="114" spans="2:12" x14ac:dyDescent="0.35">
      <c r="C114" s="71"/>
    </row>
    <row r="115" spans="2:12" x14ac:dyDescent="0.35">
      <c r="B115" s="72" t="s">
        <v>89</v>
      </c>
      <c r="C115" s="73">
        <f>WACC!R11</f>
        <v>4.4447987766346585E-2</v>
      </c>
      <c r="D115" s="72"/>
      <c r="E115" s="72"/>
      <c r="F115" s="72"/>
      <c r="G115" s="72"/>
      <c r="H115" s="72"/>
      <c r="I115" s="72"/>
      <c r="J115" s="72"/>
      <c r="K115" s="72"/>
      <c r="L115" s="72"/>
    </row>
    <row r="116" spans="2:12" x14ac:dyDescent="0.35">
      <c r="B116" s="8" t="s">
        <v>84</v>
      </c>
      <c r="C116" s="9">
        <f>NPV(C115,C111:L111)</f>
        <v>2444455.5691319318</v>
      </c>
      <c r="D116" s="70"/>
      <c r="E116" s="70"/>
      <c r="F116" s="70"/>
      <c r="G116" s="70"/>
      <c r="H116" s="70"/>
      <c r="I116" s="70"/>
      <c r="J116" s="70"/>
      <c r="K116" s="70"/>
      <c r="L116" s="70"/>
    </row>
    <row r="117" spans="2:12" x14ac:dyDescent="0.35">
      <c r="C117" s="52"/>
    </row>
    <row r="118" spans="2:12" x14ac:dyDescent="0.35">
      <c r="C118" s="52"/>
    </row>
    <row r="119" spans="2:12" x14ac:dyDescent="0.35">
      <c r="B119" s="43" t="s">
        <v>90</v>
      </c>
      <c r="C119" s="74" t="s">
        <v>91</v>
      </c>
    </row>
    <row r="120" spans="2:12" x14ac:dyDescent="0.35">
      <c r="B120" s="11" t="s">
        <v>90</v>
      </c>
      <c r="C120" s="12">
        <f>IRR(C111:L111)</f>
        <v>0.33116269619793304</v>
      </c>
    </row>
    <row r="121" spans="2:12" x14ac:dyDescent="0.35">
      <c r="B121" s="13"/>
      <c r="C121" s="14"/>
    </row>
    <row r="122" spans="2:12" x14ac:dyDescent="0.35">
      <c r="B122" s="13"/>
      <c r="C122" s="14"/>
    </row>
    <row r="123" spans="2:12" x14ac:dyDescent="0.35">
      <c r="B123" s="43" t="s">
        <v>92</v>
      </c>
      <c r="C123" s="74" t="s">
        <v>91</v>
      </c>
      <c r="D123" s="74"/>
      <c r="E123" s="74"/>
      <c r="F123" s="74"/>
      <c r="G123" s="74"/>
      <c r="H123" s="74"/>
      <c r="I123" s="74"/>
      <c r="J123" s="74"/>
    </row>
    <row r="124" spans="2:12" x14ac:dyDescent="0.35">
      <c r="B124" s="72" t="s">
        <v>93</v>
      </c>
      <c r="C124" s="75">
        <v>4</v>
      </c>
      <c r="D124" s="75"/>
      <c r="E124" s="75"/>
      <c r="F124" s="75"/>
      <c r="G124" s="75"/>
      <c r="H124" s="75"/>
      <c r="I124" s="75"/>
      <c r="J124" s="75"/>
    </row>
    <row r="125" spans="2:12" x14ac:dyDescent="0.35">
      <c r="B125" s="45" t="s">
        <v>94</v>
      </c>
      <c r="C125" s="106">
        <f>G112</f>
        <v>451111.84317714931</v>
      </c>
      <c r="D125" s="52"/>
      <c r="E125" s="52"/>
      <c r="F125" s="52"/>
      <c r="G125" s="52"/>
      <c r="H125" s="52"/>
      <c r="I125" s="52"/>
      <c r="J125" s="52"/>
    </row>
    <row r="126" spans="2:12" x14ac:dyDescent="0.35">
      <c r="B126" s="45" t="s">
        <v>95</v>
      </c>
      <c r="C126" s="106">
        <f>-F113</f>
        <v>50482.846677416295</v>
      </c>
      <c r="D126" s="52"/>
      <c r="E126" s="52"/>
      <c r="F126" s="52"/>
      <c r="G126" s="52"/>
      <c r="H126" s="52"/>
      <c r="I126" s="52"/>
      <c r="J126" s="52"/>
    </row>
    <row r="127" spans="2:12" x14ac:dyDescent="0.35">
      <c r="B127" s="45" t="s">
        <v>96</v>
      </c>
      <c r="C127" s="116">
        <f>+C126/C125</f>
        <v>0.11190760659677902</v>
      </c>
      <c r="D127" s="52"/>
      <c r="E127" s="52"/>
      <c r="F127" s="52"/>
      <c r="G127" s="52"/>
      <c r="H127" s="52"/>
      <c r="I127" s="52"/>
      <c r="J127" s="52"/>
    </row>
    <row r="128" spans="2:12" x14ac:dyDescent="0.35">
      <c r="B128" s="8" t="s">
        <v>92</v>
      </c>
      <c r="C128" s="15">
        <f>C124+C127</f>
        <v>4.1119076065967795</v>
      </c>
      <c r="D128" s="76" t="s">
        <v>97</v>
      </c>
      <c r="E128" s="76" t="s">
        <v>98</v>
      </c>
      <c r="F128" s="76" t="s">
        <v>199</v>
      </c>
      <c r="G128" s="77">
        <f>C127*12</f>
        <v>1.3428912791613483</v>
      </c>
      <c r="H128" s="76" t="s">
        <v>200</v>
      </c>
      <c r="I128" s="77"/>
      <c r="J128" s="76"/>
    </row>
    <row r="133" spans="2:12" x14ac:dyDescent="0.35">
      <c r="B133" s="43" t="s">
        <v>99</v>
      </c>
      <c r="C133" s="44">
        <v>2023</v>
      </c>
      <c r="D133" s="44">
        <v>2024</v>
      </c>
      <c r="E133" s="44">
        <v>2025</v>
      </c>
      <c r="F133" s="44">
        <v>2026</v>
      </c>
      <c r="G133" s="44">
        <v>2027</v>
      </c>
      <c r="H133" s="44">
        <v>2028</v>
      </c>
      <c r="I133" s="44">
        <v>2029</v>
      </c>
      <c r="J133" s="44">
        <v>2030</v>
      </c>
      <c r="K133" s="44">
        <v>2031</v>
      </c>
      <c r="L133" s="44">
        <v>2032</v>
      </c>
    </row>
    <row r="134" spans="2:12" x14ac:dyDescent="0.35">
      <c r="B134" s="78" t="s">
        <v>101</v>
      </c>
      <c r="C134" s="119">
        <f>+C28</f>
        <v>527750</v>
      </c>
      <c r="D134" s="119">
        <f t="shared" ref="D134:J134" si="75">+D28</f>
        <v>549989.8125</v>
      </c>
      <c r="E134" s="119">
        <f t="shared" si="75"/>
        <v>570639.68505078135</v>
      </c>
      <c r="F134" s="119">
        <f t="shared" si="75"/>
        <v>580976.77593145054</v>
      </c>
      <c r="G134" s="119">
        <f t="shared" si="75"/>
        <v>583139.32974473038</v>
      </c>
      <c r="H134" s="119">
        <f t="shared" si="75"/>
        <v>584271.8623118368</v>
      </c>
      <c r="I134" s="119">
        <f t="shared" si="75"/>
        <v>584281.41347315861</v>
      </c>
      <c r="J134" s="119">
        <f t="shared" si="75"/>
        <v>583068.20138870226</v>
      </c>
      <c r="K134" s="119">
        <f>+K28</f>
        <v>580525.13465250586</v>
      </c>
      <c r="L134" s="119">
        <f t="shared" ref="L134" si="76">+L28</f>
        <v>576537.28906560736</v>
      </c>
    </row>
    <row r="135" spans="2:12" x14ac:dyDescent="0.35">
      <c r="B135" s="78" t="s">
        <v>102</v>
      </c>
      <c r="C135" s="119">
        <f>C51</f>
        <v>1853061.3901572805</v>
      </c>
      <c r="D135" s="119">
        <f t="shared" ref="D135:J135" si="77">D51</f>
        <v>1682284.4438736681</v>
      </c>
      <c r="E135" s="119">
        <f t="shared" si="77"/>
        <v>1509871.324406032</v>
      </c>
      <c r="F135" s="119">
        <f t="shared" si="77"/>
        <v>1336093.4982756851</v>
      </c>
      <c r="G135" s="119">
        <f t="shared" si="77"/>
        <v>1159262.2990679345</v>
      </c>
      <c r="H135" s="119">
        <f t="shared" si="77"/>
        <v>981382.63695969037</v>
      </c>
      <c r="I135" s="119">
        <f t="shared" si="77"/>
        <v>802373.57913451572</v>
      </c>
      <c r="J135" s="119">
        <f t="shared" si="77"/>
        <v>622148.10657855519</v>
      </c>
      <c r="K135" s="119">
        <f>K51</f>
        <v>440612.65666713833</v>
      </c>
      <c r="L135" s="119">
        <f t="shared" ref="L135" si="78">L51</f>
        <v>257666.63122955555</v>
      </c>
    </row>
    <row r="136" spans="2:12" x14ac:dyDescent="0.35">
      <c r="B136" s="18" t="s">
        <v>99</v>
      </c>
      <c r="C136" s="19">
        <f>C134/C135</f>
        <v>0.28479898334895787</v>
      </c>
      <c r="D136" s="19">
        <f t="shared" ref="D136:J136" si="79">D134/D135</f>
        <v>0.32693033244341274</v>
      </c>
      <c r="E136" s="19">
        <f t="shared" si="79"/>
        <v>0.37793928252479742</v>
      </c>
      <c r="F136" s="19">
        <f t="shared" si="79"/>
        <v>0.43483242503704911</v>
      </c>
      <c r="G136" s="19">
        <f t="shared" si="79"/>
        <v>0.503026217805568</v>
      </c>
      <c r="H136" s="19">
        <f t="shared" si="79"/>
        <v>0.59535581770827206</v>
      </c>
      <c r="I136" s="19">
        <f t="shared" si="79"/>
        <v>0.72819124241777333</v>
      </c>
      <c r="J136" s="19">
        <f t="shared" si="79"/>
        <v>0.93718552740637728</v>
      </c>
      <c r="K136" s="19">
        <f>K134/K135</f>
        <v>1.3175407602761278</v>
      </c>
      <c r="L136" s="19">
        <f t="shared" ref="L136" si="80">L134/L135</f>
        <v>2.2375318306233045</v>
      </c>
    </row>
    <row r="137" spans="2:12" x14ac:dyDescent="0.35">
      <c r="B137" s="78"/>
      <c r="C137" s="78"/>
    </row>
    <row r="138" spans="2:12" x14ac:dyDescent="0.35">
      <c r="B138" s="20" t="s">
        <v>103</v>
      </c>
      <c r="C138" s="78"/>
    </row>
    <row r="139" spans="2:12" x14ac:dyDescent="0.35">
      <c r="B139" s="78"/>
      <c r="C139" s="78"/>
    </row>
    <row r="140" spans="2:12" x14ac:dyDescent="0.35">
      <c r="B140" s="43" t="s">
        <v>99</v>
      </c>
      <c r="C140" s="44">
        <v>2023</v>
      </c>
      <c r="D140" s="44">
        <v>2024</v>
      </c>
      <c r="E140" s="44">
        <v>2025</v>
      </c>
      <c r="F140" s="44">
        <v>2026</v>
      </c>
      <c r="G140" s="44">
        <v>2027</v>
      </c>
      <c r="H140" s="44">
        <v>2028</v>
      </c>
      <c r="I140" s="44">
        <v>2029</v>
      </c>
      <c r="J140" s="44">
        <v>2030</v>
      </c>
      <c r="K140" s="44">
        <v>2031</v>
      </c>
      <c r="L140" s="44">
        <v>2032</v>
      </c>
    </row>
    <row r="141" spans="2:12" x14ac:dyDescent="0.35">
      <c r="B141" s="78" t="s">
        <v>104</v>
      </c>
      <c r="C141" s="17">
        <f>C134-C32</f>
        <v>401223.5</v>
      </c>
      <c r="D141" s="17">
        <f t="shared" ref="D141:L141" si="81">D134-D32</f>
        <v>415725.83815204306</v>
      </c>
      <c r="E141" s="17">
        <f t="shared" si="81"/>
        <v>429012.86410097888</v>
      </c>
      <c r="F141" s="17">
        <f t="shared" si="81"/>
        <v>434792.3055185558</v>
      </c>
      <c r="G141" s="17">
        <f t="shared" si="81"/>
        <v>434602.59366071277</v>
      </c>
      <c r="H141" s="17">
        <f t="shared" si="81"/>
        <v>433591.53539230383</v>
      </c>
      <c r="I141" s="17">
        <f t="shared" si="81"/>
        <v>431688.56488910597</v>
      </c>
      <c r="J141" s="17">
        <f t="shared" si="81"/>
        <v>428818.03852562921</v>
      </c>
      <c r="K141" s="17">
        <f t="shared" si="81"/>
        <v>424898.87593797152</v>
      </c>
      <c r="L141" s="17">
        <f t="shared" si="81"/>
        <v>419844.17528276891</v>
      </c>
    </row>
    <row r="142" spans="2:12" x14ac:dyDescent="0.35">
      <c r="B142" s="78" t="s">
        <v>102</v>
      </c>
      <c r="C142" s="17">
        <f>C135</f>
        <v>1853061.3901572805</v>
      </c>
      <c r="D142" s="17">
        <f t="shared" ref="D142:L142" si="82">D135</f>
        <v>1682284.4438736681</v>
      </c>
      <c r="E142" s="17">
        <f t="shared" si="82"/>
        <v>1509871.324406032</v>
      </c>
      <c r="F142" s="17">
        <f t="shared" si="82"/>
        <v>1336093.4982756851</v>
      </c>
      <c r="G142" s="17">
        <f t="shared" si="82"/>
        <v>1159262.2990679345</v>
      </c>
      <c r="H142" s="17">
        <f t="shared" si="82"/>
        <v>981382.63695969037</v>
      </c>
      <c r="I142" s="17">
        <f t="shared" si="82"/>
        <v>802373.57913451572</v>
      </c>
      <c r="J142" s="17">
        <f t="shared" si="82"/>
        <v>622148.10657855519</v>
      </c>
      <c r="K142" s="17">
        <f t="shared" si="82"/>
        <v>440612.65666713833</v>
      </c>
      <c r="L142" s="17">
        <f t="shared" si="82"/>
        <v>257666.63122955555</v>
      </c>
    </row>
    <row r="143" spans="2:12" x14ac:dyDescent="0.35">
      <c r="B143" s="18" t="s">
        <v>99</v>
      </c>
      <c r="C143" s="19">
        <f>C141/C142</f>
        <v>0.21651927029030901</v>
      </c>
      <c r="D143" s="19">
        <f t="shared" ref="D143:L143" si="83">D141/D142</f>
        <v>0.24711982546470138</v>
      </c>
      <c r="E143" s="19">
        <f t="shared" si="83"/>
        <v>0.28413869259338914</v>
      </c>
      <c r="F143" s="19">
        <f t="shared" si="83"/>
        <v>0.32542056830579846</v>
      </c>
      <c r="G143" s="19">
        <f t="shared" si="83"/>
        <v>0.37489582298168433</v>
      </c>
      <c r="H143" s="19">
        <f t="shared" si="83"/>
        <v>0.44181700293329451</v>
      </c>
      <c r="I143" s="19">
        <f t="shared" si="83"/>
        <v>0.53801443132605264</v>
      </c>
      <c r="J143" s="19">
        <f t="shared" si="83"/>
        <v>0.68925394771973758</v>
      </c>
      <c r="K143" s="19">
        <f t="shared" si="83"/>
        <v>0.96433651986298297</v>
      </c>
      <c r="L143" s="19">
        <f t="shared" si="83"/>
        <v>1.6294084075975253</v>
      </c>
    </row>
    <row r="151" spans="2:2" x14ac:dyDescent="0.35">
      <c r="B151" s="43" t="s">
        <v>105</v>
      </c>
    </row>
    <row r="152" spans="2:2" x14ac:dyDescent="0.35">
      <c r="B152" s="79" t="s">
        <v>106</v>
      </c>
    </row>
    <row r="157" spans="2:2" x14ac:dyDescent="0.35">
      <c r="B157" s="43" t="s">
        <v>107</v>
      </c>
    </row>
    <row r="158" spans="2:2" x14ac:dyDescent="0.35">
      <c r="B158" s="79" t="s">
        <v>106</v>
      </c>
    </row>
    <row r="166" spans="2:12" x14ac:dyDescent="0.35">
      <c r="B166" s="53" t="s">
        <v>108</v>
      </c>
      <c r="C166" s="44">
        <v>2023</v>
      </c>
      <c r="D166" s="44">
        <f>+C166+1</f>
        <v>2024</v>
      </c>
      <c r="E166" s="44">
        <f t="shared" ref="E166:L166" si="84">+D166+1</f>
        <v>2025</v>
      </c>
      <c r="F166" s="44">
        <f t="shared" si="84"/>
        <v>2026</v>
      </c>
      <c r="G166" s="44">
        <f t="shared" si="84"/>
        <v>2027</v>
      </c>
      <c r="H166" s="44">
        <f t="shared" si="84"/>
        <v>2028</v>
      </c>
      <c r="I166" s="44">
        <f t="shared" si="84"/>
        <v>2029</v>
      </c>
      <c r="J166" s="44">
        <f t="shared" si="84"/>
        <v>2030</v>
      </c>
      <c r="K166" s="44">
        <f t="shared" si="84"/>
        <v>2031</v>
      </c>
      <c r="L166" s="44">
        <f t="shared" si="84"/>
        <v>2032</v>
      </c>
    </row>
    <row r="167" spans="2:12" x14ac:dyDescent="0.35">
      <c r="B167" s="47" t="s">
        <v>109</v>
      </c>
      <c r="C167" s="123">
        <f>C60/C65</f>
        <v>4.4991309113543956</v>
      </c>
      <c r="D167" s="123">
        <f t="shared" ref="D167:L167" si="85">D60/D65</f>
        <v>2.9830241278876088</v>
      </c>
      <c r="E167" s="123">
        <f t="shared" si="85"/>
        <v>1.9559839958190504</v>
      </c>
      <c r="F167" s="123">
        <f t="shared" si="85"/>
        <v>1.2426634560034375</v>
      </c>
      <c r="G167" s="123">
        <f t="shared" si="85"/>
        <v>0.71135207692133751</v>
      </c>
      <c r="H167" s="123">
        <f t="shared" si="85"/>
        <v>0.29179318931937848</v>
      </c>
      <c r="I167" s="123">
        <f t="shared" si="85"/>
        <v>-4.7657857251388776E-2</v>
      </c>
      <c r="J167" s="123">
        <f t="shared" si="85"/>
        <v>-0.32789896255294332</v>
      </c>
      <c r="K167" s="123">
        <f t="shared" si="85"/>
        <v>-0.56329851366457018</v>
      </c>
      <c r="L167" s="123">
        <f t="shared" si="85"/>
        <v>-0.76407351173004068</v>
      </c>
    </row>
    <row r="168" spans="2:12" x14ac:dyDescent="0.35">
      <c r="B168" s="47" t="s">
        <v>110</v>
      </c>
      <c r="C168" s="80">
        <f>(C65+C55)/C49</f>
        <v>1.1683389826006765</v>
      </c>
      <c r="D168" s="80">
        <f t="shared" ref="D168:L168" si="86">(D65+D55)/D49</f>
        <v>1.3015077476225236</v>
      </c>
      <c r="E168" s="80">
        <f t="shared" si="86"/>
        <v>1.4768730698633874</v>
      </c>
      <c r="F168" s="80">
        <f t="shared" si="86"/>
        <v>1.7137152414788928</v>
      </c>
      <c r="G168" s="80">
        <f t="shared" si="86"/>
        <v>2.0592975144150145</v>
      </c>
      <c r="H168" s="80">
        <f t="shared" si="86"/>
        <v>2.6333580039465043</v>
      </c>
      <c r="I168" s="80">
        <f t="shared" si="86"/>
        <v>3.7965972716813665</v>
      </c>
      <c r="J168" s="80">
        <f t="shared" si="86"/>
        <v>7.522155772755772</v>
      </c>
      <c r="K168" s="80">
        <f>(K65+K55)/K49</f>
        <v>-59.198173049768705</v>
      </c>
      <c r="L168" s="80">
        <f t="shared" si="86"/>
        <v>-5.1513859380687057</v>
      </c>
    </row>
    <row r="169" spans="2:12" x14ac:dyDescent="0.35">
      <c r="B169" s="68" t="s">
        <v>202</v>
      </c>
      <c r="C169" s="81">
        <f t="shared" ref="C169:L169" si="87">+(-C59+C37+C38+C43)/(-C41-C42+C54+C56+C58)</f>
        <v>1.3890995839478357</v>
      </c>
      <c r="D169" s="81">
        <f t="shared" si="87"/>
        <v>1.7932841831249213</v>
      </c>
      <c r="E169" s="81">
        <f t="shared" si="87"/>
        <v>2.174122493600517</v>
      </c>
      <c r="F169" s="81">
        <f t="shared" si="87"/>
        <v>2.5122956267970471</v>
      </c>
      <c r="G169" s="81">
        <f t="shared" si="87"/>
        <v>2.8114646224649196</v>
      </c>
      <c r="H169" s="81">
        <f t="shared" si="87"/>
        <v>3.0830256038967696</v>
      </c>
      <c r="I169" s="81">
        <f t="shared" si="87"/>
        <v>3.3269687299717927</v>
      </c>
      <c r="J169" s="81">
        <f t="shared" si="87"/>
        <v>3.5433224203355542</v>
      </c>
      <c r="K169" s="81">
        <f t="shared" si="87"/>
        <v>3.7321526362626267</v>
      </c>
      <c r="L169" s="81">
        <f t="shared" si="87"/>
        <v>3.893561998648424</v>
      </c>
    </row>
    <row r="171" spans="2:12" x14ac:dyDescent="0.35">
      <c r="B171" s="53" t="s">
        <v>111</v>
      </c>
      <c r="C171" s="44">
        <v>2023</v>
      </c>
      <c r="D171" s="44">
        <f t="shared" ref="D171:L171" si="88">+C171+1</f>
        <v>2024</v>
      </c>
      <c r="E171" s="44">
        <f t="shared" si="88"/>
        <v>2025</v>
      </c>
      <c r="F171" s="44">
        <f t="shared" si="88"/>
        <v>2026</v>
      </c>
      <c r="G171" s="44">
        <f t="shared" si="88"/>
        <v>2027</v>
      </c>
      <c r="H171" s="44">
        <f t="shared" si="88"/>
        <v>2028</v>
      </c>
      <c r="I171" s="44">
        <f t="shared" si="88"/>
        <v>2029</v>
      </c>
      <c r="J171" s="44">
        <f t="shared" si="88"/>
        <v>2030</v>
      </c>
      <c r="K171" s="44">
        <f t="shared" si="88"/>
        <v>2031</v>
      </c>
      <c r="L171" s="44">
        <f t="shared" si="88"/>
        <v>2032</v>
      </c>
    </row>
    <row r="172" spans="2:12" x14ac:dyDescent="0.35">
      <c r="B172" s="47" t="s">
        <v>112</v>
      </c>
      <c r="C172" s="121"/>
      <c r="D172" s="91">
        <f>D83</f>
        <v>517745.85490324307</v>
      </c>
      <c r="E172" s="91">
        <f t="shared" ref="E172:L172" si="89">E83</f>
        <v>538409.31267483183</v>
      </c>
      <c r="F172" s="91">
        <f t="shared" si="89"/>
        <v>551552.03103248717</v>
      </c>
      <c r="G172" s="91">
        <f t="shared" si="89"/>
        <v>560684.19819189608</v>
      </c>
      <c r="H172" s="91">
        <f t="shared" si="89"/>
        <v>567272.19153112348</v>
      </c>
      <c r="I172" s="91">
        <f t="shared" si="89"/>
        <v>573343.98194381956</v>
      </c>
      <c r="J172" s="91">
        <f t="shared" si="89"/>
        <v>578843.27694404521</v>
      </c>
      <c r="K172" s="91">
        <f t="shared" si="89"/>
        <v>583709.40164324257</v>
      </c>
      <c r="L172" s="91">
        <f t="shared" si="89"/>
        <v>587876.97539251624</v>
      </c>
    </row>
    <row r="173" spans="2:12" x14ac:dyDescent="0.35">
      <c r="B173" s="47" t="s">
        <v>113</v>
      </c>
      <c r="C173" s="121"/>
      <c r="D173" s="91">
        <f>'Capex e mutuo'!H17</f>
        <v>189568.23261305896</v>
      </c>
      <c r="E173" s="91">
        <f>D173</f>
        <v>189568.23261305896</v>
      </c>
      <c r="F173" s="91">
        <f t="shared" ref="F173:L173" si="90">E173</f>
        <v>189568.23261305896</v>
      </c>
      <c r="G173" s="91">
        <f t="shared" si="90"/>
        <v>189568.23261305896</v>
      </c>
      <c r="H173" s="91">
        <f t="shared" si="90"/>
        <v>189568.23261305896</v>
      </c>
      <c r="I173" s="91">
        <f t="shared" si="90"/>
        <v>189568.23261305896</v>
      </c>
      <c r="J173" s="91">
        <f t="shared" si="90"/>
        <v>189568.23261305896</v>
      </c>
      <c r="K173" s="91">
        <f t="shared" si="90"/>
        <v>189568.23261305896</v>
      </c>
      <c r="L173" s="91">
        <f t="shared" si="90"/>
        <v>189568.23261305896</v>
      </c>
    </row>
    <row r="174" spans="2:12" x14ac:dyDescent="0.35">
      <c r="B174" s="68" t="s">
        <v>111</v>
      </c>
      <c r="C174" s="83"/>
      <c r="D174" s="81">
        <f>D172/D173</f>
        <v>2.7311846914775564</v>
      </c>
      <c r="E174" s="81">
        <f t="shared" ref="E174:L174" si="91">E172/E173</f>
        <v>2.8401874367516888</v>
      </c>
      <c r="F174" s="81">
        <f t="shared" si="91"/>
        <v>2.9095171877151946</v>
      </c>
      <c r="G174" s="81">
        <f t="shared" si="91"/>
        <v>2.9576906977676369</v>
      </c>
      <c r="H174" s="81">
        <f t="shared" si="91"/>
        <v>2.9924433208649606</v>
      </c>
      <c r="I174" s="81">
        <f t="shared" si="91"/>
        <v>3.0244728984423896</v>
      </c>
      <c r="J174" s="81">
        <f t="shared" si="91"/>
        <v>3.0534824794487738</v>
      </c>
      <c r="K174" s="81">
        <f t="shared" si="91"/>
        <v>3.0791519950217232</v>
      </c>
      <c r="L174" s="81">
        <f t="shared" si="91"/>
        <v>3.1011365527286063</v>
      </c>
    </row>
    <row r="176" spans="2:12" hidden="1" x14ac:dyDescent="0.35">
      <c r="B176" s="84" t="s">
        <v>114</v>
      </c>
      <c r="C176" s="85">
        <v>2020</v>
      </c>
      <c r="D176" s="85">
        <f t="shared" ref="D176:L176" si="92">+C176+1</f>
        <v>2021</v>
      </c>
      <c r="E176" s="85">
        <f t="shared" si="92"/>
        <v>2022</v>
      </c>
      <c r="F176" s="85">
        <f t="shared" si="92"/>
        <v>2023</v>
      </c>
      <c r="G176" s="85">
        <f t="shared" si="92"/>
        <v>2024</v>
      </c>
      <c r="H176" s="85">
        <f t="shared" si="92"/>
        <v>2025</v>
      </c>
      <c r="I176" s="85">
        <f t="shared" si="92"/>
        <v>2026</v>
      </c>
      <c r="J176" s="85">
        <f t="shared" si="92"/>
        <v>2027</v>
      </c>
      <c r="K176" s="85">
        <f t="shared" si="92"/>
        <v>2028</v>
      </c>
      <c r="L176" s="85">
        <f t="shared" si="92"/>
        <v>2029</v>
      </c>
    </row>
    <row r="177" spans="2:15" hidden="1" x14ac:dyDescent="0.35">
      <c r="B177" s="47" t="s">
        <v>112</v>
      </c>
      <c r="C177" s="82"/>
      <c r="D177" s="67">
        <f t="shared" ref="D177:L177" si="93">+D172</f>
        <v>517745.85490324307</v>
      </c>
      <c r="E177" s="67">
        <f t="shared" si="93"/>
        <v>538409.31267483183</v>
      </c>
      <c r="F177" s="67">
        <f t="shared" si="93"/>
        <v>551552.03103248717</v>
      </c>
      <c r="G177" s="67">
        <f t="shared" si="93"/>
        <v>560684.19819189608</v>
      </c>
      <c r="H177" s="67">
        <f t="shared" si="93"/>
        <v>567272.19153112348</v>
      </c>
      <c r="I177" s="67">
        <f t="shared" si="93"/>
        <v>573343.98194381956</v>
      </c>
      <c r="J177" s="67">
        <f t="shared" si="93"/>
        <v>578843.27694404521</v>
      </c>
      <c r="K177" s="67">
        <f t="shared" si="93"/>
        <v>583709.40164324257</v>
      </c>
      <c r="L177" s="67">
        <f t="shared" si="93"/>
        <v>587876.97539251624</v>
      </c>
    </row>
    <row r="178" spans="2:15" hidden="1" x14ac:dyDescent="0.35">
      <c r="B178" s="47" t="s">
        <v>115</v>
      </c>
      <c r="C178" s="82"/>
      <c r="D178" s="67">
        <v>1</v>
      </c>
      <c r="E178" s="67">
        <f t="shared" ref="E178:L178" si="94">+D178+1</f>
        <v>2</v>
      </c>
      <c r="F178" s="67">
        <f t="shared" si="94"/>
        <v>3</v>
      </c>
      <c r="G178" s="67">
        <f t="shared" si="94"/>
        <v>4</v>
      </c>
      <c r="H178" s="67">
        <f t="shared" si="94"/>
        <v>5</v>
      </c>
      <c r="I178" s="67">
        <f t="shared" si="94"/>
        <v>6</v>
      </c>
      <c r="J178" s="67">
        <f t="shared" si="94"/>
        <v>7</v>
      </c>
      <c r="K178" s="67">
        <f t="shared" si="94"/>
        <v>8</v>
      </c>
      <c r="L178" s="67">
        <f t="shared" si="94"/>
        <v>9</v>
      </c>
    </row>
    <row r="179" spans="2:15" hidden="1" x14ac:dyDescent="0.35">
      <c r="B179" s="47" t="s">
        <v>116</v>
      </c>
      <c r="C179" s="82"/>
      <c r="D179" s="67" t="e">
        <f>+D177/(1+[1]WACC!#REF!)^'[1]SP CE FC'!D178</f>
        <v>#REF!</v>
      </c>
      <c r="E179" s="67" t="e">
        <f>+E177/(1+[1]WACC!#REF!)^'[1]SP CE FC'!E178</f>
        <v>#REF!</v>
      </c>
      <c r="F179" s="67" t="e">
        <f>+F177/(1+[1]WACC!#REF!)^'[1]SP CE FC'!F178</f>
        <v>#REF!</v>
      </c>
      <c r="G179" s="67" t="e">
        <f>+G177/(1+[1]WACC!#REF!)^'[1]SP CE FC'!G178</f>
        <v>#REF!</v>
      </c>
      <c r="H179" s="67" t="e">
        <f>+H177/(1+[1]WACC!#REF!)^'[1]SP CE FC'!H178</f>
        <v>#REF!</v>
      </c>
      <c r="I179" s="67" t="e">
        <f>+I177/(1+[1]WACC!#REF!)^'[1]SP CE FC'!I178</f>
        <v>#REF!</v>
      </c>
      <c r="J179" s="67" t="e">
        <f>+J177/(1+[1]WACC!#REF!)^'[1]SP CE FC'!J178</f>
        <v>#REF!</v>
      </c>
      <c r="K179" s="67" t="e">
        <f>+K177/(1+[1]WACC!#REF!)^'[1]SP CE FC'!K178</f>
        <v>#REF!</v>
      </c>
      <c r="L179" s="67" t="e">
        <f>+L177/(1+[1]WACC!#REF!)^'[1]SP CE FC'!L178</f>
        <v>#REF!</v>
      </c>
    </row>
    <row r="180" spans="2:15" hidden="1" x14ac:dyDescent="0.35">
      <c r="B180" s="47" t="s">
        <v>117</v>
      </c>
      <c r="C180" s="82"/>
      <c r="D180" s="82"/>
      <c r="E180" s="67" t="e">
        <f>+E177/(1+[1]WACC!#REF!)^('[1]SP CE FC'!E178-1)</f>
        <v>#REF!</v>
      </c>
      <c r="F180" s="67" t="e">
        <f>+F177/(1+[1]WACC!#REF!)^('[1]SP CE FC'!F178-1)</f>
        <v>#REF!</v>
      </c>
      <c r="G180" s="67" t="e">
        <f>+G177/(1+[1]WACC!#REF!)^('[1]SP CE FC'!G178-1)</f>
        <v>#REF!</v>
      </c>
      <c r="H180" s="67" t="e">
        <f>+H177/(1+[1]WACC!#REF!)^('[1]SP CE FC'!H178-1)</f>
        <v>#REF!</v>
      </c>
      <c r="I180" s="67" t="e">
        <f>+I177/(1+[1]WACC!#REF!)^('[1]SP CE FC'!I178-1)</f>
        <v>#REF!</v>
      </c>
      <c r="J180" s="67" t="e">
        <f>+J177/(1+[1]WACC!#REF!)^('[1]SP CE FC'!J178-1)</f>
        <v>#REF!</v>
      </c>
      <c r="K180" s="67" t="e">
        <f>+K177/(1+[1]WACC!#REF!)^('[1]SP CE FC'!K178-1)</f>
        <v>#REF!</v>
      </c>
      <c r="L180" s="67" t="e">
        <f>+L177/(1+[1]WACC!#REF!)^('[1]SP CE FC'!L178-1)</f>
        <v>#REF!</v>
      </c>
    </row>
    <row r="181" spans="2:15" hidden="1" x14ac:dyDescent="0.35">
      <c r="B181" s="47" t="s">
        <v>118</v>
      </c>
      <c r="C181" s="82"/>
      <c r="D181" s="82"/>
      <c r="E181" s="82"/>
      <c r="F181" s="67" t="e">
        <f>+F177/(1+[1]WACC!#REF!)^('[1]SP CE FC'!F178-2)</f>
        <v>#REF!</v>
      </c>
      <c r="G181" s="67" t="e">
        <f>+G177/(1+[1]WACC!#REF!)^('[1]SP CE FC'!G178-2)</f>
        <v>#REF!</v>
      </c>
      <c r="H181" s="67" t="e">
        <f>+H177/(1+[1]WACC!#REF!)^('[1]SP CE FC'!H178-2)</f>
        <v>#REF!</v>
      </c>
      <c r="I181" s="67" t="e">
        <f>+I177/(1+[1]WACC!#REF!)^('[1]SP CE FC'!I178-2)</f>
        <v>#REF!</v>
      </c>
      <c r="J181" s="67" t="e">
        <f>+J177/(1+[1]WACC!#REF!)^('[1]SP CE FC'!J178-2)</f>
        <v>#REF!</v>
      </c>
      <c r="K181" s="67" t="e">
        <f>+K177/(1+[1]WACC!#REF!)^('[1]SP CE FC'!K178-2)</f>
        <v>#REF!</v>
      </c>
      <c r="L181" s="67" t="e">
        <f>+L177/(1+[1]WACC!#REF!)^('[1]SP CE FC'!L178-2)</f>
        <v>#REF!</v>
      </c>
    </row>
    <row r="182" spans="2:15" hidden="1" x14ac:dyDescent="0.35">
      <c r="B182" s="47" t="s">
        <v>119</v>
      </c>
      <c r="C182" s="82"/>
      <c r="D182" s="82"/>
      <c r="E182" s="82"/>
      <c r="F182" s="82"/>
      <c r="G182" s="67" t="e">
        <f>+G177/(1+[1]WACC!#REF!)^('[1]SP CE FC'!G178-3)</f>
        <v>#REF!</v>
      </c>
      <c r="H182" s="67" t="e">
        <f>+H177/(1+[1]WACC!#REF!)^('[1]SP CE FC'!H178-3)</f>
        <v>#REF!</v>
      </c>
      <c r="I182" s="67" t="e">
        <f>+I177/(1+[1]WACC!#REF!)^('[1]SP CE FC'!I178-3)</f>
        <v>#REF!</v>
      </c>
      <c r="J182" s="67" t="e">
        <f>+J177/(1+[1]WACC!#REF!)^('[1]SP CE FC'!J178-3)</f>
        <v>#REF!</v>
      </c>
      <c r="K182" s="67" t="e">
        <f>+K177/(1+[1]WACC!#REF!)^('[1]SP CE FC'!K178-3)</f>
        <v>#REF!</v>
      </c>
      <c r="L182" s="67" t="e">
        <f>+L177/(1+[1]WACC!#REF!)^('[1]SP CE FC'!L178-3)</f>
        <v>#REF!</v>
      </c>
    </row>
    <row r="183" spans="2:15" hidden="1" x14ac:dyDescent="0.35">
      <c r="B183" s="47" t="s">
        <v>120</v>
      </c>
      <c r="C183" s="82"/>
      <c r="D183" s="82"/>
      <c r="E183" s="82"/>
      <c r="F183" s="82"/>
      <c r="G183" s="82"/>
      <c r="H183" s="67" t="e">
        <f>+H177/(1+[1]WACC!#REF!)^('[1]SP CE FC'!H178-4)</f>
        <v>#REF!</v>
      </c>
      <c r="I183" s="67" t="e">
        <f>+I177/(1+[1]WACC!#REF!)^('[1]SP CE FC'!I178-4)</f>
        <v>#REF!</v>
      </c>
      <c r="J183" s="67" t="e">
        <f>+J177/(1+[1]WACC!#REF!)^('[1]SP CE FC'!J178-4)</f>
        <v>#REF!</v>
      </c>
      <c r="K183" s="67" t="e">
        <f>+K177/(1+[1]WACC!#REF!)^('[1]SP CE FC'!K178-4)</f>
        <v>#REF!</v>
      </c>
      <c r="L183" s="67" t="e">
        <f>+L177/(1+[1]WACC!#REF!)^('[1]SP CE FC'!L178-4)</f>
        <v>#REF!</v>
      </c>
    </row>
    <row r="184" spans="2:15" hidden="1" x14ac:dyDescent="0.35">
      <c r="B184" s="47" t="s">
        <v>121</v>
      </c>
      <c r="C184" s="82"/>
      <c r="D184" s="82"/>
      <c r="E184" s="82"/>
      <c r="F184" s="82"/>
      <c r="G184" s="82"/>
      <c r="H184" s="82"/>
      <c r="I184" s="67" t="e">
        <f>+I177/(1+[1]WACC!#REF!)^('[1]SP CE FC'!I178-5)</f>
        <v>#REF!</v>
      </c>
      <c r="J184" s="67" t="e">
        <f>+J177/(1+[1]WACC!#REF!)^('[1]SP CE FC'!J178-5)</f>
        <v>#REF!</v>
      </c>
      <c r="K184" s="67" t="e">
        <f>+K177/(1+[1]WACC!#REF!)^('[1]SP CE FC'!K178-5)</f>
        <v>#REF!</v>
      </c>
      <c r="L184" s="67" t="e">
        <f>+L177/(1+[1]WACC!#REF!)^('[1]SP CE FC'!L178-5)</f>
        <v>#REF!</v>
      </c>
    </row>
    <row r="185" spans="2:15" hidden="1" x14ac:dyDescent="0.35">
      <c r="B185" s="47" t="s">
        <v>122</v>
      </c>
      <c r="C185" s="82"/>
      <c r="D185" s="82"/>
      <c r="E185" s="82"/>
      <c r="F185" s="82"/>
      <c r="G185" s="82"/>
      <c r="H185" s="82"/>
      <c r="I185" s="82"/>
      <c r="J185" s="67" t="e">
        <f>+J177/(1+[1]WACC!#REF!)^('[1]SP CE FC'!J178-6)</f>
        <v>#REF!</v>
      </c>
      <c r="K185" s="67" t="e">
        <f>+K177/(1+[1]WACC!#REF!)^('[1]SP CE FC'!K178-6)</f>
        <v>#REF!</v>
      </c>
      <c r="L185" s="67" t="e">
        <f>+L177/(1+[1]WACC!#REF!)^('[1]SP CE FC'!L178-6)</f>
        <v>#REF!</v>
      </c>
    </row>
    <row r="186" spans="2:15" hidden="1" x14ac:dyDescent="0.35">
      <c r="B186" s="47" t="s">
        <v>123</v>
      </c>
      <c r="C186" s="82"/>
      <c r="D186" s="82"/>
      <c r="E186" s="82"/>
      <c r="F186" s="82"/>
      <c r="G186" s="82"/>
      <c r="H186" s="82"/>
      <c r="I186" s="82"/>
      <c r="J186" s="82"/>
      <c r="K186" s="67" t="e">
        <f>+K177/(1+[1]WACC!#REF!)^('[1]SP CE FC'!K178-7)</f>
        <v>#REF!</v>
      </c>
      <c r="L186" s="67" t="e">
        <f>+L177/(1+[1]WACC!#REF!)^('[1]SP CE FC'!L178-7)</f>
        <v>#REF!</v>
      </c>
    </row>
    <row r="187" spans="2:15" hidden="1" x14ac:dyDescent="0.35">
      <c r="B187" s="47" t="s">
        <v>124</v>
      </c>
      <c r="C187" s="82"/>
      <c r="D187" s="82"/>
      <c r="E187" s="82"/>
      <c r="F187" s="82"/>
      <c r="G187" s="82"/>
      <c r="H187" s="82"/>
      <c r="I187" s="82"/>
      <c r="J187" s="82"/>
      <c r="K187" s="82"/>
      <c r="L187" s="67" t="e">
        <f>+L177/(1+[1]WACC!#REF!)^('[1]SP CE FC'!L178-8)</f>
        <v>#REF!</v>
      </c>
    </row>
    <row r="188" spans="2:15" hidden="1" x14ac:dyDescent="0.35">
      <c r="B188" s="47" t="s">
        <v>125</v>
      </c>
      <c r="C188" s="82"/>
      <c r="D188" s="67" t="e">
        <f>+SUM(D179:$L$179)-D59</f>
        <v>#REF!</v>
      </c>
      <c r="E188" s="67" t="e">
        <f>+SUM(E180:L180)-E59</f>
        <v>#REF!</v>
      </c>
      <c r="F188" s="67" t="e">
        <f>+SUM(F181:L181)-F59</f>
        <v>#REF!</v>
      </c>
      <c r="G188" s="67" t="e">
        <f>+SUM(G182:L182)-G59</f>
        <v>#REF!</v>
      </c>
      <c r="H188" s="67" t="e">
        <f>+SUM(H183:L183)-H59</f>
        <v>#REF!</v>
      </c>
      <c r="I188" s="67" t="e">
        <f>+SUM(I184:L184)-I59</f>
        <v>#REF!</v>
      </c>
      <c r="J188" s="67" t="e">
        <f>+SUM(J185:L185)-J59</f>
        <v>#REF!</v>
      </c>
      <c r="K188" s="67" t="e">
        <f>+SUM(K186:L186)-K59</f>
        <v>#REF!</v>
      </c>
      <c r="L188" s="67" t="e">
        <f>+SUM(L187:L187)-L59</f>
        <v>#REF!</v>
      </c>
    </row>
    <row r="189" spans="2:15" hidden="1" x14ac:dyDescent="0.35">
      <c r="B189" s="47" t="s">
        <v>126</v>
      </c>
      <c r="C189" s="82"/>
      <c r="D189" s="67">
        <f t="shared" ref="D189:K189" si="95">+D55</f>
        <v>1250370.4643062945</v>
      </c>
      <c r="E189" s="67">
        <f t="shared" si="95"/>
        <v>1117068.9025870187</v>
      </c>
      <c r="F189" s="67">
        <f t="shared" si="95"/>
        <v>977768.77059037553</v>
      </c>
      <c r="G189" s="67">
        <f t="shared" si="95"/>
        <v>832200.13265388343</v>
      </c>
      <c r="H189" s="67">
        <f t="shared" si="95"/>
        <v>680080.90601024916</v>
      </c>
      <c r="I189" s="67">
        <f t="shared" si="95"/>
        <v>521116.31416765141</v>
      </c>
      <c r="J189" s="67">
        <f t="shared" si="95"/>
        <v>354998.31569213676</v>
      </c>
      <c r="K189" s="67">
        <f t="shared" si="95"/>
        <v>181405.00728522395</v>
      </c>
      <c r="L189" s="67" t="e">
        <f>+#REF!</f>
        <v>#REF!</v>
      </c>
    </row>
    <row r="190" spans="2:15" hidden="1" x14ac:dyDescent="0.35">
      <c r="B190" s="68" t="s">
        <v>127</v>
      </c>
      <c r="C190" s="83"/>
      <c r="D190" s="81" t="e">
        <f t="shared" ref="D190:K190" si="96">+D188/D189</f>
        <v>#REF!</v>
      </c>
      <c r="E190" s="81" t="e">
        <f t="shared" si="96"/>
        <v>#REF!</v>
      </c>
      <c r="F190" s="81" t="e">
        <f t="shared" si="96"/>
        <v>#REF!</v>
      </c>
      <c r="G190" s="81" t="e">
        <f t="shared" si="96"/>
        <v>#REF!</v>
      </c>
      <c r="H190" s="81" t="e">
        <f t="shared" si="96"/>
        <v>#REF!</v>
      </c>
      <c r="I190" s="81" t="e">
        <f t="shared" si="96"/>
        <v>#REF!</v>
      </c>
      <c r="J190" s="81" t="e">
        <f t="shared" si="96"/>
        <v>#REF!</v>
      </c>
      <c r="K190" s="81" t="e">
        <f t="shared" si="96"/>
        <v>#REF!</v>
      </c>
      <c r="L190" s="83"/>
    </row>
    <row r="191" spans="2:15" x14ac:dyDescent="0.35">
      <c r="B191" s="47"/>
      <c r="C191" s="86"/>
      <c r="D191" s="67"/>
      <c r="E191" s="67"/>
      <c r="F191" s="67"/>
      <c r="G191" s="67"/>
      <c r="H191" s="67"/>
      <c r="I191" s="67"/>
      <c r="J191" s="67"/>
      <c r="K191" s="67"/>
      <c r="L191" s="67"/>
    </row>
    <row r="192" spans="2:15" x14ac:dyDescent="0.35">
      <c r="B192" s="53" t="s">
        <v>128</v>
      </c>
      <c r="C192" s="44">
        <v>2023</v>
      </c>
      <c r="D192" s="44">
        <f t="shared" ref="D192:L192" si="97">+C192+1</f>
        <v>2024</v>
      </c>
      <c r="E192" s="44">
        <f t="shared" si="97"/>
        <v>2025</v>
      </c>
      <c r="F192" s="44">
        <f t="shared" si="97"/>
        <v>2026</v>
      </c>
      <c r="G192" s="44">
        <f t="shared" si="97"/>
        <v>2027</v>
      </c>
      <c r="H192" s="44">
        <f t="shared" si="97"/>
        <v>2028</v>
      </c>
      <c r="I192" s="44">
        <f t="shared" si="97"/>
        <v>2029</v>
      </c>
      <c r="J192" s="44">
        <f t="shared" si="97"/>
        <v>2030</v>
      </c>
      <c r="K192" s="44">
        <f t="shared" si="97"/>
        <v>2031</v>
      </c>
      <c r="L192" s="44">
        <f t="shared" si="97"/>
        <v>2032</v>
      </c>
      <c r="O192" s="73"/>
    </row>
    <row r="193" spans="2:12" x14ac:dyDescent="0.35">
      <c r="B193" s="47" t="s">
        <v>112</v>
      </c>
      <c r="C193" s="82"/>
      <c r="D193" s="67">
        <f>D83</f>
        <v>517745.85490324307</v>
      </c>
      <c r="E193" s="67">
        <f t="shared" ref="E193:L193" si="98">E83</f>
        <v>538409.31267483183</v>
      </c>
      <c r="F193" s="67">
        <f t="shared" si="98"/>
        <v>551552.03103248717</v>
      </c>
      <c r="G193" s="67">
        <f t="shared" si="98"/>
        <v>560684.19819189608</v>
      </c>
      <c r="H193" s="67">
        <f t="shared" si="98"/>
        <v>567272.19153112348</v>
      </c>
      <c r="I193" s="67">
        <f t="shared" si="98"/>
        <v>573343.98194381956</v>
      </c>
      <c r="J193" s="67">
        <f t="shared" si="98"/>
        <v>578843.27694404521</v>
      </c>
      <c r="K193" s="67">
        <f t="shared" si="98"/>
        <v>583709.40164324257</v>
      </c>
      <c r="L193" s="67">
        <f t="shared" si="98"/>
        <v>587876.97539251624</v>
      </c>
    </row>
    <row r="194" spans="2:12" x14ac:dyDescent="0.35">
      <c r="B194" s="47" t="s">
        <v>115</v>
      </c>
      <c r="C194" s="82"/>
      <c r="D194" s="67">
        <f t="shared" ref="D194:L194" si="99">+D178</f>
        <v>1</v>
      </c>
      <c r="E194" s="67">
        <f t="shared" si="99"/>
        <v>2</v>
      </c>
      <c r="F194" s="67">
        <f t="shared" si="99"/>
        <v>3</v>
      </c>
      <c r="G194" s="67">
        <f t="shared" si="99"/>
        <v>4</v>
      </c>
      <c r="H194" s="67">
        <f t="shared" si="99"/>
        <v>5</v>
      </c>
      <c r="I194" s="67">
        <f t="shared" si="99"/>
        <v>6</v>
      </c>
      <c r="J194" s="67">
        <f t="shared" si="99"/>
        <v>7</v>
      </c>
      <c r="K194" s="67">
        <f t="shared" si="99"/>
        <v>8</v>
      </c>
      <c r="L194" s="67">
        <f t="shared" si="99"/>
        <v>9</v>
      </c>
    </row>
    <row r="195" spans="2:12" hidden="1" x14ac:dyDescent="0.35">
      <c r="B195" s="47" t="s">
        <v>129</v>
      </c>
      <c r="C195" s="82"/>
      <c r="D195" s="67">
        <f t="shared" ref="D195:L195" si="100">+D193/(1+$O$192)^D194</f>
        <v>517745.85490324307</v>
      </c>
      <c r="E195" s="67">
        <f t="shared" si="100"/>
        <v>538409.31267483183</v>
      </c>
      <c r="F195" s="67">
        <f t="shared" si="100"/>
        <v>551552.03103248717</v>
      </c>
      <c r="G195" s="67">
        <f t="shared" si="100"/>
        <v>560684.19819189608</v>
      </c>
      <c r="H195" s="67">
        <f t="shared" si="100"/>
        <v>567272.19153112348</v>
      </c>
      <c r="I195" s="67">
        <f t="shared" si="100"/>
        <v>573343.98194381956</v>
      </c>
      <c r="J195" s="67">
        <f t="shared" si="100"/>
        <v>578843.27694404521</v>
      </c>
      <c r="K195" s="67">
        <f t="shared" si="100"/>
        <v>583709.40164324257</v>
      </c>
      <c r="L195" s="67">
        <f t="shared" si="100"/>
        <v>587876.97539251624</v>
      </c>
    </row>
    <row r="196" spans="2:12" x14ac:dyDescent="0.35">
      <c r="B196" s="47" t="s">
        <v>126</v>
      </c>
      <c r="C196" s="82"/>
      <c r="D196" s="67">
        <f>D55</f>
        <v>1250370.4643062945</v>
      </c>
      <c r="E196" s="67">
        <f t="shared" ref="E196:L196" si="101">E55</f>
        <v>1117068.9025870187</v>
      </c>
      <c r="F196" s="67">
        <f t="shared" si="101"/>
        <v>977768.77059037553</v>
      </c>
      <c r="G196" s="67">
        <f t="shared" si="101"/>
        <v>832200.13265388343</v>
      </c>
      <c r="H196" s="67">
        <f t="shared" si="101"/>
        <v>680080.90601024916</v>
      </c>
      <c r="I196" s="67">
        <f t="shared" si="101"/>
        <v>521116.31416765141</v>
      </c>
      <c r="J196" s="67">
        <f t="shared" si="101"/>
        <v>354998.31569213676</v>
      </c>
      <c r="K196" s="67">
        <f t="shared" si="101"/>
        <v>181405.00728522395</v>
      </c>
      <c r="L196" s="67">
        <f t="shared" si="101"/>
        <v>0</v>
      </c>
    </row>
    <row r="197" spans="2:12" x14ac:dyDescent="0.35">
      <c r="B197" s="47" t="s">
        <v>130</v>
      </c>
      <c r="C197" s="82"/>
      <c r="D197" s="67">
        <f>NPV($C$115,D193:L193)</f>
        <v>4079194.5905213668</v>
      </c>
      <c r="E197" s="67">
        <f t="shared" ref="E197:L197" si="102">NPV($C$115,E193:M193)</f>
        <v>3742760.7268741648</v>
      </c>
      <c r="F197" s="67">
        <f t="shared" si="102"/>
        <v>3370709.597199799</v>
      </c>
      <c r="G197" s="67">
        <f t="shared" si="102"/>
        <v>2968978.8251075554</v>
      </c>
      <c r="H197" s="67">
        <f t="shared" si="102"/>
        <v>2540259.7614125819</v>
      </c>
      <c r="I197" s="67">
        <f t="shared" si="102"/>
        <v>2085897.004680068</v>
      </c>
      <c r="J197" s="67">
        <f t="shared" si="102"/>
        <v>1605266.9472821269</v>
      </c>
      <c r="K197" s="67">
        <f t="shared" si="102"/>
        <v>1097774.5559725985</v>
      </c>
      <c r="L197" s="67">
        <f t="shared" si="102"/>
        <v>562859.02436343255</v>
      </c>
    </row>
    <row r="198" spans="2:12" x14ac:dyDescent="0.35">
      <c r="B198" s="47" t="s">
        <v>131</v>
      </c>
      <c r="C198" s="82"/>
      <c r="D198" s="67">
        <f>-D59</f>
        <v>140449.62905225705</v>
      </c>
      <c r="E198" s="67">
        <f t="shared" ref="E198:L198" si="103">-E59</f>
        <v>267982.2531121085</v>
      </c>
      <c r="F198" s="67">
        <f t="shared" si="103"/>
        <v>387437.19758219604</v>
      </c>
      <c r="G198" s="67">
        <f t="shared" si="103"/>
        <v>500333.39391588804</v>
      </c>
      <c r="H198" s="67">
        <f t="shared" si="103"/>
        <v>608403.9596160606</v>
      </c>
      <c r="I198" s="67">
        <f t="shared" si="103"/>
        <v>711269.32617897913</v>
      </c>
      <c r="J198" s="67">
        <f t="shared" si="103"/>
        <v>808526.66535259387</v>
      </c>
      <c r="K198" s="67">
        <f t="shared" si="103"/>
        <v>899748.51507845568</v>
      </c>
      <c r="L198" s="67">
        <f t="shared" si="103"/>
        <v>984481.3218002877</v>
      </c>
    </row>
    <row r="199" spans="2:12" x14ac:dyDescent="0.35">
      <c r="B199" s="68" t="s">
        <v>127</v>
      </c>
      <c r="C199" s="87"/>
      <c r="D199" s="81">
        <f>(D197+D198)/D196</f>
        <v>3.3747152064365835</v>
      </c>
      <c r="E199" s="81">
        <f t="shared" ref="E199:K199" si="104">(E197+E198)/E196</f>
        <v>3.5904168227204227</v>
      </c>
      <c r="F199" s="81">
        <f t="shared" si="104"/>
        <v>3.8435946287309122</v>
      </c>
      <c r="G199" s="81">
        <f t="shared" si="104"/>
        <v>4.1688436265442768</v>
      </c>
      <c r="H199" s="81">
        <f t="shared" si="104"/>
        <v>4.6298369696931188</v>
      </c>
      <c r="I199" s="81">
        <f t="shared" si="104"/>
        <v>5.3676429902732892</v>
      </c>
      <c r="J199" s="81">
        <f t="shared" si="104"/>
        <v>6.7994508873332844</v>
      </c>
      <c r="K199" s="81">
        <f t="shared" si="104"/>
        <v>11.011399855740141</v>
      </c>
      <c r="L199" s="122"/>
    </row>
    <row r="201" spans="2:12" x14ac:dyDescent="0.35">
      <c r="B201" s="53" t="s">
        <v>132</v>
      </c>
      <c r="C201" s="44">
        <v>2023</v>
      </c>
      <c r="D201" s="44">
        <f t="shared" ref="D201:L201" si="105">+C201+1</f>
        <v>2024</v>
      </c>
      <c r="E201" s="44">
        <f t="shared" si="105"/>
        <v>2025</v>
      </c>
      <c r="F201" s="44">
        <f t="shared" si="105"/>
        <v>2026</v>
      </c>
      <c r="G201" s="44">
        <f t="shared" si="105"/>
        <v>2027</v>
      </c>
      <c r="H201" s="44">
        <f t="shared" si="105"/>
        <v>2028</v>
      </c>
      <c r="I201" s="44">
        <f t="shared" si="105"/>
        <v>2029</v>
      </c>
      <c r="J201" s="44">
        <f t="shared" si="105"/>
        <v>2030</v>
      </c>
      <c r="K201" s="44">
        <f t="shared" si="105"/>
        <v>2031</v>
      </c>
      <c r="L201" s="44">
        <f t="shared" si="105"/>
        <v>2032</v>
      </c>
    </row>
    <row r="202" spans="2:12" x14ac:dyDescent="0.35">
      <c r="B202" s="47" t="s">
        <v>133</v>
      </c>
      <c r="C202" s="67">
        <f>C65</f>
        <v>336973.5</v>
      </c>
      <c r="D202" s="67">
        <f t="shared" ref="D202:L202" si="106">D65</f>
        <v>422363.60861963074</v>
      </c>
      <c r="E202" s="67">
        <f t="shared" si="106"/>
        <v>510784.67493112176</v>
      </c>
      <c r="F202" s="67">
        <f t="shared" si="106"/>
        <v>595761.92526750523</v>
      </c>
      <c r="G202" s="67">
        <f t="shared" si="106"/>
        <v>677395.56032993912</v>
      </c>
      <c r="H202" s="67">
        <f t="shared" si="106"/>
        <v>759705.69056550157</v>
      </c>
      <c r="I202" s="67">
        <f t="shared" si="106"/>
        <v>842526.59114584303</v>
      </c>
      <c r="J202" s="67">
        <f t="shared" si="106"/>
        <v>925676.45623901207</v>
      </c>
      <c r="K202" s="67">
        <f t="shared" si="106"/>
        <v>1008956.1644603695</v>
      </c>
      <c r="L202" s="67">
        <f t="shared" si="106"/>
        <v>1092147.953029843</v>
      </c>
    </row>
    <row r="203" spans="2:12" x14ac:dyDescent="0.35">
      <c r="B203" s="47" t="s">
        <v>134</v>
      </c>
      <c r="C203" s="80">
        <f>D174</f>
        <v>2.7311846914775564</v>
      </c>
      <c r="D203" s="80">
        <f t="shared" ref="D203:K203" si="107">E174</f>
        <v>2.8401874367516888</v>
      </c>
      <c r="E203" s="80">
        <f t="shared" si="107"/>
        <v>2.9095171877151946</v>
      </c>
      <c r="F203" s="80">
        <f t="shared" si="107"/>
        <v>2.9576906977676369</v>
      </c>
      <c r="G203" s="80">
        <f t="shared" si="107"/>
        <v>2.9924433208649606</v>
      </c>
      <c r="H203" s="80">
        <f t="shared" si="107"/>
        <v>3.0244728984423896</v>
      </c>
      <c r="I203" s="80">
        <f t="shared" si="107"/>
        <v>3.0534824794487738</v>
      </c>
      <c r="J203" s="80">
        <f t="shared" si="107"/>
        <v>3.0791519950217232</v>
      </c>
      <c r="K203" s="80">
        <f t="shared" si="107"/>
        <v>3.1011365527286063</v>
      </c>
      <c r="L203" s="122"/>
    </row>
    <row r="204" spans="2:12" x14ac:dyDescent="0.35">
      <c r="B204" s="47" t="s">
        <v>203</v>
      </c>
      <c r="C204" s="88">
        <f>-C29/C15</f>
        <v>3.8571428571428569E-2</v>
      </c>
      <c r="D204" s="88">
        <f t="shared" ref="D204:L204" si="108">-D29/D15</f>
        <v>3.4433946706878993E-2</v>
      </c>
      <c r="E204" s="88">
        <f t="shared" si="108"/>
        <v>3.0365638814398143E-2</v>
      </c>
      <c r="F204" s="88">
        <f t="shared" si="108"/>
        <v>2.636381786939071E-2</v>
      </c>
      <c r="G204" s="88">
        <f t="shared" si="108"/>
        <v>2.251337666273405E-2</v>
      </c>
      <c r="H204" s="88">
        <f t="shared" si="108"/>
        <v>1.8694264826803201E-2</v>
      </c>
      <c r="I204" s="88">
        <f t="shared" si="108"/>
        <v>1.4904497082713406E-2</v>
      </c>
      <c r="J204" s="88">
        <f t="shared" si="108"/>
        <v>1.1142112745740201E-2</v>
      </c>
      <c r="K204" s="88">
        <f t="shared" si="108"/>
        <v>7.4051746605393633E-3</v>
      </c>
      <c r="L204" s="88">
        <f t="shared" si="108"/>
        <v>3.6917681532654947E-3</v>
      </c>
    </row>
    <row r="205" spans="2:12" x14ac:dyDescent="0.35">
      <c r="B205" s="47" t="s">
        <v>135</v>
      </c>
      <c r="C205" s="88">
        <f>+C65/(C60-C48-C42-C41)</f>
        <v>0.19710247236825842</v>
      </c>
      <c r="D205" s="88">
        <f t="shared" ref="D205:L205" si="109">+D65/(D60-D48-D42-D41)</f>
        <v>0.28600914775762593</v>
      </c>
      <c r="E205" s="88">
        <f t="shared" si="109"/>
        <v>0.41181395621557798</v>
      </c>
      <c r="F205" s="88">
        <f t="shared" si="109"/>
        <v>0.59111197070442767</v>
      </c>
      <c r="G205" s="88">
        <f t="shared" si="109"/>
        <v>0.8717154856847833</v>
      </c>
      <c r="H205" s="88">
        <f t="shared" si="109"/>
        <v>1.3912725481900938</v>
      </c>
      <c r="I205" s="88">
        <f t="shared" si="109"/>
        <v>2.6751379278772007</v>
      </c>
      <c r="J205" s="88">
        <f t="shared" si="109"/>
        <v>11.024491726238443</v>
      </c>
      <c r="K205" s="88">
        <f t="shared" si="109"/>
        <v>-6.8785331457736119</v>
      </c>
      <c r="L205" s="88">
        <f t="shared" si="109"/>
        <v>-2.8987565664727493</v>
      </c>
    </row>
    <row r="206" spans="2:12" x14ac:dyDescent="0.35">
      <c r="B206" s="47" t="s">
        <v>204</v>
      </c>
      <c r="C206" s="124">
        <f t="shared" ref="C206:L206" si="110">+C172/(-C59+C37+C38+C39+C40+C43+C45+C46+C47)</f>
        <v>0</v>
      </c>
      <c r="D206" s="88">
        <f t="shared" si="110"/>
        <v>0.25385151127460909</v>
      </c>
      <c r="E206" s="88">
        <f t="shared" si="110"/>
        <v>0.2666586472314697</v>
      </c>
      <c r="F206" s="88">
        <f t="shared" si="110"/>
        <v>0.27701349353302107</v>
      </c>
      <c r="G206" s="88">
        <f t="shared" si="110"/>
        <v>0.28682252853195384</v>
      </c>
      <c r="H206" s="88">
        <f t="shared" si="110"/>
        <v>0.29635558937582251</v>
      </c>
      <c r="I206" s="88">
        <f t="shared" si="110"/>
        <v>0.30680731153297935</v>
      </c>
      <c r="J206" s="88">
        <f t="shared" si="110"/>
        <v>0.31836612106203893</v>
      </c>
      <c r="K206" s="88">
        <f t="shared" si="110"/>
        <v>0.33127233164200853</v>
      </c>
      <c r="L206" s="88">
        <f t="shared" si="110"/>
        <v>0.34583745170881863</v>
      </c>
    </row>
    <row r="207" spans="2:12" x14ac:dyDescent="0.35">
      <c r="B207" s="47" t="s">
        <v>205</v>
      </c>
      <c r="C207" s="81">
        <f>C169</f>
        <v>1.3890995839478357</v>
      </c>
      <c r="D207" s="81">
        <f t="shared" ref="D207:L207" si="111">D169</f>
        <v>1.7932841831249213</v>
      </c>
      <c r="E207" s="81">
        <f t="shared" si="111"/>
        <v>2.174122493600517</v>
      </c>
      <c r="F207" s="81">
        <f t="shared" si="111"/>
        <v>2.5122956267970471</v>
      </c>
      <c r="G207" s="81">
        <f t="shared" si="111"/>
        <v>2.8114646224649196</v>
      </c>
      <c r="H207" s="81">
        <f t="shared" si="111"/>
        <v>3.0830256038967696</v>
      </c>
      <c r="I207" s="81">
        <f t="shared" si="111"/>
        <v>3.3269687299717927</v>
      </c>
      <c r="J207" s="81">
        <f t="shared" si="111"/>
        <v>3.5433224203355542</v>
      </c>
      <c r="K207" s="81">
        <f t="shared" si="111"/>
        <v>3.7321526362626267</v>
      </c>
      <c r="L207" s="81">
        <f t="shared" si="111"/>
        <v>3.893561998648424</v>
      </c>
    </row>
    <row r="208" spans="2:12" x14ac:dyDescent="0.35">
      <c r="B208" s="68" t="s">
        <v>206</v>
      </c>
      <c r="C208" s="83"/>
      <c r="D208" s="83"/>
      <c r="E208" s="83"/>
      <c r="F208" s="83"/>
      <c r="G208" s="83"/>
      <c r="H208" s="83"/>
      <c r="I208" s="83"/>
      <c r="J208" s="83"/>
      <c r="K208" s="83"/>
      <c r="L208" s="83"/>
    </row>
  </sheetData>
  <mergeCells count="1">
    <mergeCell ref="B35:L35"/>
  </mergeCells>
  <conditionalFormatting sqref="C33:L33">
    <cfRule type="cellIs" dxfId="82" priority="28" operator="equal">
      <formula>0</formula>
    </cfRule>
    <cfRule type="cellIs" dxfId="81" priority="102" operator="lessThan">
      <formula>0</formula>
    </cfRule>
    <cfRule type="cellIs" dxfId="80" priority="105" operator="greaterThan">
      <formula>0</formula>
    </cfRule>
  </conditionalFormatting>
  <conditionalFormatting sqref="C64:L64 C63">
    <cfRule type="cellIs" dxfId="79" priority="101" operator="lessThan">
      <formula>0</formula>
    </cfRule>
    <cfRule type="cellIs" dxfId="78" priority="103" operator="lessThan">
      <formula>0</formula>
    </cfRule>
    <cfRule type="cellIs" dxfId="77" priority="104" operator="greaterThan">
      <formula>0</formula>
    </cfRule>
  </conditionalFormatting>
  <conditionalFormatting sqref="C113:L113">
    <cfRule type="cellIs" dxfId="76" priority="1" operator="equal">
      <formula>0</formula>
    </cfRule>
    <cfRule type="cellIs" dxfId="75" priority="99" operator="lessThan">
      <formula>0</formula>
    </cfRule>
    <cfRule type="cellIs" dxfId="74" priority="100" operator="greaterThan">
      <formula>0</formula>
    </cfRule>
  </conditionalFormatting>
  <conditionalFormatting sqref="C65:L65">
    <cfRule type="cellIs" dxfId="73" priority="17" operator="equal">
      <formula>0</formula>
    </cfRule>
    <cfRule type="cellIs" dxfId="72" priority="91" operator="lessThan">
      <formula>0</formula>
    </cfRule>
    <cfRule type="cellIs" dxfId="71" priority="92" operator="greaterThan">
      <formula>0</formula>
    </cfRule>
  </conditionalFormatting>
  <conditionalFormatting sqref="C28:L28">
    <cfRule type="cellIs" dxfId="70" priority="30" operator="equal">
      <formula>0</formula>
    </cfRule>
    <cfRule type="cellIs" dxfId="69" priority="79" operator="lessThan">
      <formula>0</formula>
    </cfRule>
    <cfRule type="cellIs" dxfId="68" priority="80" operator="greaterThan">
      <formula>0</formula>
    </cfRule>
  </conditionalFormatting>
  <conditionalFormatting sqref="C24:L24">
    <cfRule type="cellIs" dxfId="67" priority="33" operator="equal">
      <formula>0</formula>
    </cfRule>
    <cfRule type="cellIs" dxfId="66" priority="77" operator="lessThan">
      <formula>0</formula>
    </cfRule>
    <cfRule type="cellIs" dxfId="65" priority="78" operator="greaterThan">
      <formula>0</formula>
    </cfRule>
  </conditionalFormatting>
  <conditionalFormatting sqref="C168:L168">
    <cfRule type="cellIs" dxfId="64" priority="60" operator="between">
      <formula>0.5</formula>
      <formula>0.9</formula>
    </cfRule>
    <cfRule type="cellIs" dxfId="63" priority="69" operator="lessThan">
      <formula>0.5</formula>
    </cfRule>
    <cfRule type="cellIs" dxfId="62" priority="70" operator="between">
      <formula>0.5</formula>
      <formula>0.9</formula>
    </cfRule>
    <cfRule type="cellIs" dxfId="61" priority="71" operator="greaterThan">
      <formula>1</formula>
    </cfRule>
  </conditionalFormatting>
  <conditionalFormatting sqref="C169:L169">
    <cfRule type="cellIs" dxfId="60" priority="67" operator="lessThan">
      <formula>1</formula>
    </cfRule>
    <cfRule type="cellIs" dxfId="59" priority="68" operator="greaterThan">
      <formula>1</formula>
    </cfRule>
  </conditionalFormatting>
  <conditionalFormatting sqref="D174:L174">
    <cfRule type="cellIs" dxfId="58" priority="57" operator="equal">
      <formula>1</formula>
    </cfRule>
    <cfRule type="cellIs" dxfId="57" priority="58" operator="lessThan">
      <formula>0.5</formula>
    </cfRule>
    <cfRule type="cellIs" dxfId="56" priority="59" operator="between">
      <formula>0.5</formula>
      <formula>0.9</formula>
    </cfRule>
    <cfRule type="cellIs" dxfId="55" priority="64" operator="between">
      <formula>0</formula>
      <formula>0.9</formula>
    </cfRule>
    <cfRule type="cellIs" dxfId="54" priority="65" operator="greaterThan">
      <formula>1</formula>
    </cfRule>
    <cfRule type="cellIs" dxfId="53" priority="66" operator="lessThan">
      <formula>1</formula>
    </cfRule>
  </conditionalFormatting>
  <conditionalFormatting sqref="D199:K199">
    <cfRule type="cellIs" dxfId="52" priority="62" operator="greaterThan">
      <formula>1</formula>
    </cfRule>
    <cfRule type="cellIs" dxfId="51" priority="63" operator="lessThan">
      <formula>1</formula>
    </cfRule>
  </conditionalFormatting>
  <conditionalFormatting sqref="K199">
    <cfRule type="cellIs" dxfId="50" priority="61" operator="between">
      <formula>0</formula>
      <formula>0.9</formula>
    </cfRule>
  </conditionalFormatting>
  <conditionalFormatting sqref="C202:L202">
    <cfRule type="cellIs" dxfId="49" priority="54" operator="equal">
      <formula>0</formula>
    </cfRule>
    <cfRule type="cellIs" dxfId="48" priority="55" operator="lessThan">
      <formula>0</formula>
    </cfRule>
    <cfRule type="cellIs" dxfId="47" priority="56" operator="greaterThan">
      <formula>0</formula>
    </cfRule>
  </conditionalFormatting>
  <conditionalFormatting sqref="C203:K203">
    <cfRule type="cellIs" dxfId="46" priority="51" operator="lessThan">
      <formula>1</formula>
    </cfRule>
    <cfRule type="cellIs" dxfId="45" priority="52" operator="equal">
      <formula>1</formula>
    </cfRule>
    <cfRule type="cellIs" dxfId="44" priority="53" operator="greaterThan">
      <formula>1</formula>
    </cfRule>
  </conditionalFormatting>
  <conditionalFormatting sqref="C204:L204">
    <cfRule type="cellIs" dxfId="43" priority="36" operator="between">
      <formula>0.016</formula>
      <formula>0.019</formula>
    </cfRule>
    <cfRule type="cellIs" dxfId="42" priority="37" operator="between">
      <formula>0.01</formula>
      <formula>0.018</formula>
    </cfRule>
    <cfRule type="cellIs" dxfId="41" priority="38" operator="greaterThan">
      <formula>0.02</formula>
    </cfRule>
    <cfRule type="cellIs" dxfId="40" priority="50" operator="lessThan">
      <formula>0.02</formula>
    </cfRule>
  </conditionalFormatting>
  <conditionalFormatting sqref="C205:L205">
    <cfRule type="cellIs" dxfId="39" priority="48" operator="lessThan">
      <formula>0.05</formula>
    </cfRule>
    <cfRule type="cellIs" dxfId="38" priority="49" operator="greaterThan">
      <formula>0.05</formula>
    </cfRule>
  </conditionalFormatting>
  <conditionalFormatting sqref="C167:L167">
    <cfRule type="cellIs" dxfId="37" priority="44" operator="lessThan">
      <formula>1</formula>
    </cfRule>
    <cfRule type="cellIs" dxfId="36" priority="45" operator="between">
      <formula>0</formula>
      <formula>1</formula>
    </cfRule>
    <cfRule type="cellIs" dxfId="35" priority="46" operator="greaterThan">
      <formula>1</formula>
    </cfRule>
  </conditionalFormatting>
  <conditionalFormatting sqref="G167:H167">
    <cfRule type="cellIs" dxfId="34" priority="42" operator="between">
      <formula>0</formula>
      <formula>0.9</formula>
    </cfRule>
    <cfRule type="cellIs" dxfId="33" priority="43" operator="between">
      <formula>0</formula>
      <formula>1</formula>
    </cfRule>
  </conditionalFormatting>
  <conditionalFormatting sqref="H167">
    <cfRule type="cellIs" dxfId="32" priority="41" operator="lessThan">
      <formula>0.9</formula>
    </cfRule>
  </conditionalFormatting>
  <conditionalFormatting sqref="C206:L206">
    <cfRule type="cellIs" dxfId="31" priority="39" operator="lessThan">
      <formula>0.017</formula>
    </cfRule>
    <cfRule type="cellIs" dxfId="30" priority="40" operator="greaterThan">
      <formula>0.017</formula>
    </cfRule>
  </conditionalFormatting>
  <conditionalFormatting sqref="C207:L207">
    <cfRule type="cellIs" dxfId="29" priority="34" operator="lessThan">
      <formula>1</formula>
    </cfRule>
    <cfRule type="cellIs" dxfId="28" priority="35" operator="greaterThan">
      <formula>1</formula>
    </cfRule>
  </conditionalFormatting>
  <conditionalFormatting sqref="C31:L31">
    <cfRule type="cellIs" dxfId="27" priority="29" operator="equal">
      <formula>0</formula>
    </cfRule>
    <cfRule type="cellIs" dxfId="26" priority="31" operator="lessThan">
      <formula>0</formula>
    </cfRule>
    <cfRule type="cellIs" dxfId="25" priority="32" operator="greaterThan">
      <formula>0</formula>
    </cfRule>
  </conditionalFormatting>
  <conditionalFormatting sqref="C44:L44">
    <cfRule type="cellIs" dxfId="24" priority="25" operator="equal">
      <formula>0</formula>
    </cfRule>
    <cfRule type="cellIs" dxfId="23" priority="26" operator="lessThan">
      <formula>0</formula>
    </cfRule>
    <cfRule type="cellIs" dxfId="22" priority="27" operator="greaterThan">
      <formula>0</formula>
    </cfRule>
  </conditionalFormatting>
  <conditionalFormatting sqref="C49:L49">
    <cfRule type="cellIs" dxfId="21" priority="22" operator="equal">
      <formula>0</formula>
    </cfRule>
    <cfRule type="cellIs" dxfId="20" priority="23" operator="lessThan">
      <formula>0</formula>
    </cfRule>
    <cfRule type="cellIs" dxfId="19" priority="24" operator="greaterThan">
      <formula>0</formula>
    </cfRule>
  </conditionalFormatting>
  <conditionalFormatting sqref="C60:L60">
    <cfRule type="cellIs" dxfId="18" priority="19" operator="equal">
      <formula>0</formula>
    </cfRule>
    <cfRule type="cellIs" dxfId="17" priority="20" operator="lessThan">
      <formula>0</formula>
    </cfRule>
    <cfRule type="cellIs" dxfId="16" priority="21" operator="greaterThan">
      <formula>0</formula>
    </cfRule>
  </conditionalFormatting>
  <conditionalFormatting sqref="C64:L64">
    <cfRule type="cellIs" dxfId="15" priority="18" operator="equal">
      <formula>0</formula>
    </cfRule>
  </conditionalFormatting>
  <conditionalFormatting sqref="C74:L74">
    <cfRule type="cellIs" dxfId="14" priority="14" operator="equal">
      <formula>0</formula>
    </cfRule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C83:L83">
    <cfRule type="cellIs" dxfId="11" priority="11" operator="equal">
      <formula>0</formula>
    </cfRule>
    <cfRule type="cellIs" dxfId="10" priority="12" operator="lessThan">
      <formula>0</formula>
    </cfRule>
    <cfRule type="cellIs" dxfId="9" priority="13" operator="greaterThan">
      <formula>0</formula>
    </cfRule>
  </conditionalFormatting>
  <conditionalFormatting sqref="C89:L89">
    <cfRule type="cellIs" dxfId="8" priority="8" operator="equal">
      <formula>0</formula>
    </cfRule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C91:L91">
    <cfRule type="cellIs" dxfId="5" priority="5" operator="equal">
      <formula>0</formula>
    </cfRule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C93:L93">
    <cfRule type="cellIs" dxfId="2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ignoredErrors>
    <ignoredError sqref="D9:L9 D92:L9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opLeftCell="C5" workbookViewId="0">
      <selection activeCell="G18" sqref="G18"/>
    </sheetView>
  </sheetViews>
  <sheetFormatPr defaultRowHeight="14.5" x14ac:dyDescent="0.35"/>
  <cols>
    <col min="1" max="1" width="8.7265625" style="45"/>
    <col min="2" max="2" width="26.54296875" style="45" customWidth="1"/>
    <col min="3" max="3" width="16.08984375" style="45" customWidth="1"/>
    <col min="4" max="4" width="8.7265625" style="45"/>
    <col min="5" max="11" width="15.453125" style="45" customWidth="1"/>
    <col min="12" max="16384" width="8.7265625" style="45"/>
  </cols>
  <sheetData>
    <row r="3" spans="2:11" x14ac:dyDescent="0.35">
      <c r="B3" s="43" t="s">
        <v>136</v>
      </c>
      <c r="C3" s="44"/>
    </row>
    <row r="4" spans="2:11" x14ac:dyDescent="0.35">
      <c r="B4" s="47" t="s">
        <v>137</v>
      </c>
      <c r="C4" s="91">
        <v>850000</v>
      </c>
    </row>
    <row r="5" spans="2:11" x14ac:dyDescent="0.35">
      <c r="B5" s="47" t="s">
        <v>138</v>
      </c>
      <c r="C5" s="91">
        <v>250000</v>
      </c>
    </row>
    <row r="6" spans="2:11" x14ac:dyDescent="0.35">
      <c r="B6" s="47" t="s">
        <v>139</v>
      </c>
      <c r="C6" s="91">
        <v>350000</v>
      </c>
    </row>
    <row r="7" spans="2:11" x14ac:dyDescent="0.35">
      <c r="B7" s="47" t="s">
        <v>70</v>
      </c>
      <c r="C7" s="91">
        <v>200000</v>
      </c>
    </row>
    <row r="8" spans="2:11" x14ac:dyDescent="0.35">
      <c r="B8" s="49" t="s">
        <v>140</v>
      </c>
      <c r="C8" s="100">
        <f>SUM(C4:C7)</f>
        <v>1650000</v>
      </c>
    </row>
    <row r="9" spans="2:11" x14ac:dyDescent="0.35">
      <c r="B9" s="97" t="s">
        <v>141</v>
      </c>
      <c r="C9" s="98">
        <v>10</v>
      </c>
    </row>
    <row r="10" spans="2:11" x14ac:dyDescent="0.35">
      <c r="B10" s="99" t="s">
        <v>142</v>
      </c>
      <c r="C10" s="95">
        <f>+C8/C9</f>
        <v>165000</v>
      </c>
    </row>
    <row r="15" spans="2:11" x14ac:dyDescent="0.35">
      <c r="B15" s="129" t="s">
        <v>143</v>
      </c>
      <c r="C15" s="129"/>
      <c r="E15" s="129" t="s">
        <v>144</v>
      </c>
      <c r="F15" s="129"/>
      <c r="G15" s="129"/>
      <c r="H15" s="129"/>
      <c r="I15" s="129"/>
      <c r="J15" s="129"/>
      <c r="K15" s="129"/>
    </row>
    <row r="16" spans="2:11" x14ac:dyDescent="0.35">
      <c r="B16" s="43" t="s">
        <v>145</v>
      </c>
      <c r="C16" s="43" t="s">
        <v>146</v>
      </c>
      <c r="E16" s="43" t="s">
        <v>147</v>
      </c>
      <c r="F16" s="43" t="s">
        <v>115</v>
      </c>
      <c r="G16" s="44" t="s">
        <v>148</v>
      </c>
      <c r="H16" s="44" t="s">
        <v>149</v>
      </c>
      <c r="I16" s="44" t="s">
        <v>150</v>
      </c>
      <c r="J16" s="44" t="s">
        <v>151</v>
      </c>
      <c r="K16" s="44" t="s">
        <v>152</v>
      </c>
    </row>
    <row r="17" spans="2:11" x14ac:dyDescent="0.35">
      <c r="B17" s="45" t="s">
        <v>153</v>
      </c>
      <c r="C17" s="25">
        <v>1500000</v>
      </c>
      <c r="E17" s="45">
        <v>1</v>
      </c>
      <c r="F17" s="45">
        <v>2023</v>
      </c>
      <c r="G17" s="89">
        <f>C17</f>
        <v>1500000</v>
      </c>
      <c r="H17" s="89">
        <f>-PMT(C20,C21,C17)</f>
        <v>189568.23261305896</v>
      </c>
      <c r="I17" s="89">
        <f>+H17-J17</f>
        <v>122068.23261305896</v>
      </c>
      <c r="J17" s="89">
        <f>+G17*$C$20</f>
        <v>67500</v>
      </c>
      <c r="K17" s="89">
        <f>+G17-I17</f>
        <v>1377931.767386941</v>
      </c>
    </row>
    <row r="18" spans="2:11" x14ac:dyDescent="0.35">
      <c r="B18" s="45" t="s">
        <v>154</v>
      </c>
      <c r="C18" s="26">
        <v>2.5000000000000001E-2</v>
      </c>
      <c r="E18" s="45">
        <f>+E17+1</f>
        <v>2</v>
      </c>
      <c r="F18" s="45">
        <f>+F17+1</f>
        <v>2024</v>
      </c>
      <c r="G18" s="96">
        <f>K17</f>
        <v>1377931.767386941</v>
      </c>
      <c r="H18" s="96">
        <f>H17</f>
        <v>189568.23261305896</v>
      </c>
      <c r="I18" s="96">
        <f>H18-J18</f>
        <v>127561.30308064661</v>
      </c>
      <c r="J18" s="96">
        <f>G18*$C$20</f>
        <v>62006.929532412345</v>
      </c>
      <c r="K18" s="96">
        <f>G18-I18</f>
        <v>1250370.4643062945</v>
      </c>
    </row>
    <row r="19" spans="2:11" x14ac:dyDescent="0.35">
      <c r="B19" s="45" t="s">
        <v>155</v>
      </c>
      <c r="C19" s="26">
        <v>0.02</v>
      </c>
      <c r="E19" s="45">
        <f t="shared" ref="E19:F26" si="0">+E18+1</f>
        <v>3</v>
      </c>
      <c r="F19" s="45">
        <f t="shared" si="0"/>
        <v>2025</v>
      </c>
      <c r="G19" s="96">
        <f t="shared" ref="G19:G26" si="1">K18</f>
        <v>1250370.4643062945</v>
      </c>
      <c r="H19" s="96">
        <f t="shared" ref="H19:H26" si="2">H18</f>
        <v>189568.23261305896</v>
      </c>
      <c r="I19" s="96">
        <f t="shared" ref="I19:I26" si="3">H19-J19</f>
        <v>133301.56171927572</v>
      </c>
      <c r="J19" s="96">
        <f t="shared" ref="J19:J26" si="4">G19*$C$20</f>
        <v>56266.670893783252</v>
      </c>
      <c r="K19" s="96">
        <f t="shared" ref="K19:K26" si="5">G19-I19</f>
        <v>1117068.9025870187</v>
      </c>
    </row>
    <row r="20" spans="2:11" x14ac:dyDescent="0.35">
      <c r="B20" s="45" t="s">
        <v>156</v>
      </c>
      <c r="C20" s="26">
        <f>+C18+C19</f>
        <v>4.4999999999999998E-2</v>
      </c>
      <c r="E20" s="45">
        <f t="shared" si="0"/>
        <v>4</v>
      </c>
      <c r="F20" s="45">
        <f t="shared" si="0"/>
        <v>2026</v>
      </c>
      <c r="G20" s="96">
        <f t="shared" si="1"/>
        <v>1117068.9025870187</v>
      </c>
      <c r="H20" s="96">
        <f t="shared" si="2"/>
        <v>189568.23261305896</v>
      </c>
      <c r="I20" s="96">
        <f t="shared" si="3"/>
        <v>139300.13199664312</v>
      </c>
      <c r="J20" s="96">
        <f t="shared" si="4"/>
        <v>50268.100616415839</v>
      </c>
      <c r="K20" s="96">
        <f t="shared" si="5"/>
        <v>977768.77059037553</v>
      </c>
    </row>
    <row r="21" spans="2:11" x14ac:dyDescent="0.35">
      <c r="B21" s="70" t="s">
        <v>141</v>
      </c>
      <c r="C21" s="70">
        <v>10</v>
      </c>
      <c r="E21" s="45">
        <f t="shared" si="0"/>
        <v>5</v>
      </c>
      <c r="F21" s="45">
        <f t="shared" si="0"/>
        <v>2027</v>
      </c>
      <c r="G21" s="96">
        <f t="shared" si="1"/>
        <v>977768.77059037553</v>
      </c>
      <c r="H21" s="96">
        <f t="shared" si="2"/>
        <v>189568.23261305896</v>
      </c>
      <c r="I21" s="96">
        <f t="shared" si="3"/>
        <v>145568.63793649207</v>
      </c>
      <c r="J21" s="96">
        <f t="shared" si="4"/>
        <v>43999.5946765669</v>
      </c>
      <c r="K21" s="96">
        <f t="shared" si="5"/>
        <v>832200.13265388343</v>
      </c>
    </row>
    <row r="22" spans="2:11" x14ac:dyDescent="0.35">
      <c r="E22" s="45">
        <f t="shared" si="0"/>
        <v>6</v>
      </c>
      <c r="F22" s="45">
        <f t="shared" si="0"/>
        <v>2028</v>
      </c>
      <c r="G22" s="96">
        <f t="shared" si="1"/>
        <v>832200.13265388343</v>
      </c>
      <c r="H22" s="96">
        <f t="shared" si="2"/>
        <v>189568.23261305896</v>
      </c>
      <c r="I22" s="96">
        <f t="shared" si="3"/>
        <v>152119.2266436342</v>
      </c>
      <c r="J22" s="96">
        <f t="shared" si="4"/>
        <v>37449.005969424754</v>
      </c>
      <c r="K22" s="96">
        <f t="shared" si="5"/>
        <v>680080.90601024916</v>
      </c>
    </row>
    <row r="23" spans="2:11" x14ac:dyDescent="0.35">
      <c r="E23" s="45">
        <f t="shared" si="0"/>
        <v>7</v>
      </c>
      <c r="F23" s="45">
        <f t="shared" si="0"/>
        <v>2029</v>
      </c>
      <c r="G23" s="96">
        <f t="shared" si="1"/>
        <v>680080.90601024916</v>
      </c>
      <c r="H23" s="96">
        <f t="shared" si="2"/>
        <v>189568.23261305896</v>
      </c>
      <c r="I23" s="96">
        <f t="shared" si="3"/>
        <v>158964.59184259776</v>
      </c>
      <c r="J23" s="96">
        <f t="shared" si="4"/>
        <v>30603.64077046121</v>
      </c>
      <c r="K23" s="96">
        <f t="shared" si="5"/>
        <v>521116.31416765141</v>
      </c>
    </row>
    <row r="24" spans="2:11" x14ac:dyDescent="0.35">
      <c r="E24" s="45">
        <f t="shared" si="0"/>
        <v>8</v>
      </c>
      <c r="F24" s="45">
        <f t="shared" si="0"/>
        <v>2030</v>
      </c>
      <c r="G24" s="96">
        <f t="shared" si="1"/>
        <v>521116.31416765141</v>
      </c>
      <c r="H24" s="96">
        <f t="shared" si="2"/>
        <v>189568.23261305896</v>
      </c>
      <c r="I24" s="96">
        <f t="shared" si="3"/>
        <v>166117.99847551464</v>
      </c>
      <c r="J24" s="96">
        <f t="shared" si="4"/>
        <v>23450.234137544314</v>
      </c>
      <c r="K24" s="96">
        <f t="shared" si="5"/>
        <v>354998.31569213676</v>
      </c>
    </row>
    <row r="25" spans="2:11" x14ac:dyDescent="0.35">
      <c r="E25" s="45">
        <f t="shared" si="0"/>
        <v>9</v>
      </c>
      <c r="F25" s="45">
        <f t="shared" si="0"/>
        <v>2031</v>
      </c>
      <c r="G25" s="96">
        <f t="shared" si="1"/>
        <v>354998.31569213676</v>
      </c>
      <c r="H25" s="96">
        <f t="shared" si="2"/>
        <v>189568.23261305896</v>
      </c>
      <c r="I25" s="96">
        <f t="shared" si="3"/>
        <v>173593.30840691281</v>
      </c>
      <c r="J25" s="96">
        <f t="shared" si="4"/>
        <v>15974.924206146154</v>
      </c>
      <c r="K25" s="96">
        <f t="shared" si="5"/>
        <v>181405.00728522395</v>
      </c>
    </row>
    <row r="26" spans="2:11" x14ac:dyDescent="0.35">
      <c r="E26" s="70">
        <f t="shared" si="0"/>
        <v>10</v>
      </c>
      <c r="F26" s="70">
        <f t="shared" si="0"/>
        <v>2032</v>
      </c>
      <c r="G26" s="95">
        <f t="shared" si="1"/>
        <v>181405.00728522395</v>
      </c>
      <c r="H26" s="95">
        <f t="shared" si="2"/>
        <v>189568.23261305896</v>
      </c>
      <c r="I26" s="95">
        <f t="shared" si="3"/>
        <v>181405.0072852239</v>
      </c>
      <c r="J26" s="95">
        <f t="shared" si="4"/>
        <v>8163.2253278350772</v>
      </c>
      <c r="K26" s="95">
        <f t="shared" si="5"/>
        <v>0</v>
      </c>
    </row>
  </sheetData>
  <mergeCells count="2">
    <mergeCell ref="B15:C15"/>
    <mergeCell ref="E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6"/>
  <sheetViews>
    <sheetView workbookViewId="0">
      <selection activeCell="B3" sqref="B3:T17"/>
    </sheetView>
  </sheetViews>
  <sheetFormatPr defaultRowHeight="14.5" x14ac:dyDescent="0.35"/>
  <cols>
    <col min="2" max="2" width="10.453125" customWidth="1"/>
    <col min="19" max="19" width="25.36328125" bestFit="1" customWidth="1"/>
  </cols>
  <sheetData>
    <row r="3" spans="2:21" x14ac:dyDescent="0.35">
      <c r="B3" s="11" t="s">
        <v>157</v>
      </c>
      <c r="C3" s="27">
        <v>0</v>
      </c>
      <c r="D3" s="27">
        <v>0.1</v>
      </c>
      <c r="E3" s="27">
        <f>+D3+0.1</f>
        <v>0.2</v>
      </c>
      <c r="F3" s="27">
        <f t="shared" ref="F3:M3" si="0">+E3+0.1</f>
        <v>0.30000000000000004</v>
      </c>
      <c r="G3" s="27">
        <f t="shared" si="0"/>
        <v>0.4</v>
      </c>
      <c r="H3" s="27">
        <f t="shared" si="0"/>
        <v>0.5</v>
      </c>
      <c r="I3" s="27">
        <f t="shared" si="0"/>
        <v>0.6</v>
      </c>
      <c r="J3" s="27">
        <f t="shared" si="0"/>
        <v>0.7</v>
      </c>
      <c r="K3" s="27">
        <f t="shared" si="0"/>
        <v>0.79999999999999993</v>
      </c>
      <c r="L3" s="27">
        <f t="shared" si="0"/>
        <v>0.89999999999999991</v>
      </c>
      <c r="M3" s="27">
        <f t="shared" si="0"/>
        <v>0.99999999999999989</v>
      </c>
    </row>
    <row r="4" spans="2:21" x14ac:dyDescent="0.35">
      <c r="B4" t="s">
        <v>158</v>
      </c>
      <c r="C4" s="7">
        <v>0.02</v>
      </c>
      <c r="D4" s="7">
        <v>0.02</v>
      </c>
      <c r="E4" s="7">
        <v>0.02</v>
      </c>
      <c r="F4" s="7">
        <v>0.02</v>
      </c>
      <c r="G4" s="7">
        <v>0.02</v>
      </c>
      <c r="H4" s="7">
        <v>0.02</v>
      </c>
      <c r="I4" s="7">
        <v>0.02</v>
      </c>
      <c r="J4" s="7">
        <v>0.02</v>
      </c>
      <c r="K4" s="7">
        <v>0.02</v>
      </c>
      <c r="L4" s="7">
        <v>0.02</v>
      </c>
      <c r="M4" s="7">
        <v>0.02</v>
      </c>
      <c r="Q4" s="23"/>
      <c r="R4" s="23"/>
      <c r="S4" s="23"/>
      <c r="T4" s="23"/>
      <c r="U4" s="23"/>
    </row>
    <row r="5" spans="2:21" x14ac:dyDescent="0.35">
      <c r="B5" t="s">
        <v>159</v>
      </c>
      <c r="C5" s="2">
        <v>1.25</v>
      </c>
      <c r="D5" s="2">
        <v>1.2850000000000001</v>
      </c>
      <c r="E5" s="2">
        <v>1.3320000000000001</v>
      </c>
      <c r="F5" s="2">
        <v>1.41</v>
      </c>
      <c r="G5" s="2">
        <v>1.522</v>
      </c>
      <c r="H5" s="2">
        <v>1.6924999999999999</v>
      </c>
      <c r="I5" s="2">
        <v>1.927</v>
      </c>
      <c r="J5" s="2">
        <v>2.2429999999999999</v>
      </c>
      <c r="K5" s="2">
        <v>2.6500000000000004</v>
      </c>
      <c r="L5" s="2">
        <v>3.165</v>
      </c>
      <c r="M5" s="2">
        <v>3.8</v>
      </c>
      <c r="Q5" s="130" t="s">
        <v>198</v>
      </c>
      <c r="R5" s="130"/>
      <c r="S5" t="s">
        <v>160</v>
      </c>
      <c r="U5" s="23"/>
    </row>
    <row r="6" spans="2:21" x14ac:dyDescent="0.35">
      <c r="B6" t="s">
        <v>161</v>
      </c>
      <c r="C6" s="7">
        <v>7.0000000000000007E-2</v>
      </c>
      <c r="D6" s="7">
        <v>7.0000000000000007E-2</v>
      </c>
      <c r="E6" s="7">
        <v>7.0000000000000007E-2</v>
      </c>
      <c r="F6" s="7">
        <v>7.0000000000000007E-2</v>
      </c>
      <c r="G6" s="7">
        <v>7.0000000000000007E-2</v>
      </c>
      <c r="H6" s="7">
        <v>7.0000000000000007E-2</v>
      </c>
      <c r="I6" s="7">
        <v>7.0000000000000007E-2</v>
      </c>
      <c r="J6" s="7">
        <v>7.0000000000000007E-2</v>
      </c>
      <c r="K6" s="7">
        <v>7.0000000000000007E-2</v>
      </c>
      <c r="L6" s="7">
        <v>7.0000000000000007E-2</v>
      </c>
      <c r="M6" s="7">
        <v>7.0000000000000007E-2</v>
      </c>
      <c r="Q6" t="s">
        <v>162</v>
      </c>
      <c r="R6" s="26">
        <f>-'SP CE FC'!C29/'SP CE FC'!C60</f>
        <v>4.4522484770323889E-2</v>
      </c>
      <c r="S6" t="s">
        <v>163</v>
      </c>
      <c r="U6" s="26"/>
    </row>
    <row r="7" spans="2:21" x14ac:dyDescent="0.35">
      <c r="B7" t="s">
        <v>164</v>
      </c>
      <c r="C7" s="7">
        <f>+C6-C4</f>
        <v>0.05</v>
      </c>
      <c r="D7" s="7">
        <f t="shared" ref="D7:M7" si="1">+D6-D4</f>
        <v>0.05</v>
      </c>
      <c r="E7" s="7">
        <f t="shared" si="1"/>
        <v>0.05</v>
      </c>
      <c r="F7" s="7">
        <f t="shared" si="1"/>
        <v>0.05</v>
      </c>
      <c r="G7" s="7">
        <f t="shared" si="1"/>
        <v>0.05</v>
      </c>
      <c r="H7" s="7">
        <f t="shared" si="1"/>
        <v>0.05</v>
      </c>
      <c r="I7" s="7">
        <f t="shared" si="1"/>
        <v>0.05</v>
      </c>
      <c r="J7" s="7">
        <f t="shared" si="1"/>
        <v>0.05</v>
      </c>
      <c r="K7" s="7">
        <f t="shared" si="1"/>
        <v>0.05</v>
      </c>
      <c r="L7" s="7">
        <f t="shared" si="1"/>
        <v>0.05</v>
      </c>
      <c r="M7" s="7">
        <f t="shared" si="1"/>
        <v>0.05</v>
      </c>
      <c r="Q7" t="s">
        <v>165</v>
      </c>
      <c r="R7" s="26">
        <f>R6*(1-0.279)</f>
        <v>3.2100711519403524E-2</v>
      </c>
      <c r="S7" t="s">
        <v>166</v>
      </c>
    </row>
    <row r="8" spans="2:21" x14ac:dyDescent="0.35">
      <c r="B8" s="5" t="s">
        <v>167</v>
      </c>
      <c r="C8" s="28">
        <f>+C4+C5*C7</f>
        <v>8.2500000000000004E-2</v>
      </c>
      <c r="D8" s="28">
        <f t="shared" ref="D8:M8" si="2">+D4+D5*D7</f>
        <v>8.4250000000000019E-2</v>
      </c>
      <c r="E8" s="28">
        <f t="shared" si="2"/>
        <v>8.660000000000001E-2</v>
      </c>
      <c r="F8" s="28">
        <f t="shared" si="2"/>
        <v>9.0499999999999997E-2</v>
      </c>
      <c r="G8" s="28">
        <f t="shared" si="2"/>
        <v>9.6100000000000005E-2</v>
      </c>
      <c r="H8" s="28">
        <f t="shared" si="2"/>
        <v>0.10462500000000001</v>
      </c>
      <c r="I8" s="28">
        <f t="shared" si="2"/>
        <v>0.11635000000000001</v>
      </c>
      <c r="J8" s="28">
        <f t="shared" si="2"/>
        <v>0.13214999999999999</v>
      </c>
      <c r="K8" s="28">
        <f t="shared" si="2"/>
        <v>0.15250000000000002</v>
      </c>
      <c r="L8" s="28">
        <f t="shared" si="2"/>
        <v>0.17824999999999999</v>
      </c>
      <c r="M8" s="28">
        <f t="shared" si="2"/>
        <v>0.21</v>
      </c>
      <c r="Q8" t="s">
        <v>167</v>
      </c>
      <c r="R8" s="26">
        <v>0.1</v>
      </c>
      <c r="S8" t="s">
        <v>168</v>
      </c>
      <c r="U8" s="7"/>
    </row>
    <row r="9" spans="2:21" x14ac:dyDescent="0.3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Q9" t="s">
        <v>169</v>
      </c>
      <c r="R9" s="2">
        <f>'SP CE FC'!C60/('SP CE FC'!C60+'SP CE FC'!C65)</f>
        <v>0.81815308343810511</v>
      </c>
      <c r="S9" t="s">
        <v>170</v>
      </c>
    </row>
    <row r="10" spans="2:21" x14ac:dyDescent="0.35">
      <c r="B10" s="29" t="s">
        <v>158</v>
      </c>
      <c r="C10" s="30">
        <f>+C4</f>
        <v>0.02</v>
      </c>
      <c r="D10" s="30">
        <f t="shared" ref="D10:M10" si="3">+D4</f>
        <v>0.02</v>
      </c>
      <c r="E10" s="30">
        <f t="shared" si="3"/>
        <v>0.02</v>
      </c>
      <c r="F10" s="30">
        <f t="shared" si="3"/>
        <v>0.02</v>
      </c>
      <c r="G10" s="30">
        <f t="shared" si="3"/>
        <v>0.02</v>
      </c>
      <c r="H10" s="30">
        <f t="shared" si="3"/>
        <v>0.02</v>
      </c>
      <c r="I10" s="30">
        <f t="shared" si="3"/>
        <v>0.02</v>
      </c>
      <c r="J10" s="30">
        <f t="shared" si="3"/>
        <v>0.02</v>
      </c>
      <c r="K10" s="30">
        <f t="shared" si="3"/>
        <v>0.02</v>
      </c>
      <c r="L10" s="30">
        <f t="shared" si="3"/>
        <v>0.02</v>
      </c>
      <c r="M10" s="30">
        <f t="shared" si="3"/>
        <v>0.02</v>
      </c>
      <c r="Q10" t="s">
        <v>171</v>
      </c>
      <c r="R10" s="31">
        <f>'SP CE FC'!C65/('SP CE FC'!C60+'SP CE FC'!C65)</f>
        <v>0.18184691656189492</v>
      </c>
      <c r="S10" t="s">
        <v>170</v>
      </c>
    </row>
    <row r="11" spans="2:21" x14ac:dyDescent="0.35">
      <c r="B11" t="s">
        <v>155</v>
      </c>
      <c r="C11" s="32">
        <v>5.7000000000000002E-3</v>
      </c>
      <c r="D11" s="32">
        <v>7.5999999999999983E-3</v>
      </c>
      <c r="E11" s="32">
        <v>1.09E-2</v>
      </c>
      <c r="F11" s="32">
        <v>1.4900000000000002E-2</v>
      </c>
      <c r="G11" s="32">
        <v>1.6799999999999999E-2</v>
      </c>
      <c r="H11" s="32">
        <v>2.2799999999999997E-2</v>
      </c>
      <c r="I11" s="32">
        <v>0.03</v>
      </c>
      <c r="J11" s="32">
        <v>0.04</v>
      </c>
      <c r="K11" s="32">
        <v>0.05</v>
      </c>
      <c r="L11" s="32">
        <v>7.0000000000000007E-2</v>
      </c>
      <c r="M11" s="32">
        <v>0.1</v>
      </c>
      <c r="Q11" s="5" t="s">
        <v>105</v>
      </c>
      <c r="R11" s="33">
        <f>+R7*R9+R8*R10</f>
        <v>4.4447987766346585E-2</v>
      </c>
      <c r="S11" t="s">
        <v>172</v>
      </c>
    </row>
    <row r="12" spans="2:21" x14ac:dyDescent="0.35">
      <c r="B12" t="s">
        <v>162</v>
      </c>
      <c r="C12" s="34">
        <f>+C10+C11</f>
        <v>2.5700000000000001E-2</v>
      </c>
      <c r="D12" s="34">
        <f t="shared" ref="D12:M12" si="4">+D10+D11</f>
        <v>2.76E-2</v>
      </c>
      <c r="E12" s="34">
        <f t="shared" si="4"/>
        <v>3.09E-2</v>
      </c>
      <c r="F12" s="34">
        <f t="shared" si="4"/>
        <v>3.49E-2</v>
      </c>
      <c r="G12" s="34">
        <f t="shared" si="4"/>
        <v>3.6799999999999999E-2</v>
      </c>
      <c r="H12" s="34">
        <f t="shared" si="4"/>
        <v>4.2799999999999998E-2</v>
      </c>
      <c r="I12" s="34">
        <f t="shared" si="4"/>
        <v>0.05</v>
      </c>
      <c r="J12" s="34">
        <f t="shared" si="4"/>
        <v>0.06</v>
      </c>
      <c r="K12" s="34">
        <f t="shared" si="4"/>
        <v>7.0000000000000007E-2</v>
      </c>
      <c r="L12" s="34">
        <f t="shared" si="4"/>
        <v>9.0000000000000011E-2</v>
      </c>
      <c r="M12" s="34">
        <f t="shared" si="4"/>
        <v>0.12000000000000001</v>
      </c>
    </row>
    <row r="13" spans="2:21" x14ac:dyDescent="0.35">
      <c r="B13" t="s">
        <v>173</v>
      </c>
      <c r="C13" s="34">
        <v>0.24</v>
      </c>
      <c r="D13" s="34">
        <v>0.24</v>
      </c>
      <c r="E13" s="34">
        <v>0.24</v>
      </c>
      <c r="F13" s="34">
        <v>0.24</v>
      </c>
      <c r="G13" s="34">
        <v>0.24</v>
      </c>
      <c r="H13" s="34">
        <v>0.24</v>
      </c>
      <c r="I13" s="34">
        <v>0.24</v>
      </c>
      <c r="J13" s="34">
        <v>0.24</v>
      </c>
      <c r="K13" s="34">
        <v>0.24</v>
      </c>
      <c r="L13" s="34">
        <v>0.24</v>
      </c>
      <c r="M13" s="34">
        <v>0.24</v>
      </c>
    </row>
    <row r="14" spans="2:21" x14ac:dyDescent="0.35">
      <c r="B14" s="5" t="s">
        <v>174</v>
      </c>
      <c r="C14" s="28">
        <f>C12*(1-C13)</f>
        <v>1.9532000000000001E-2</v>
      </c>
      <c r="D14" s="28">
        <f t="shared" ref="D14:M14" si="5">D12*(1-D13)</f>
        <v>2.0976000000000002E-2</v>
      </c>
      <c r="E14" s="28">
        <f t="shared" si="5"/>
        <v>2.3484000000000001E-2</v>
      </c>
      <c r="F14" s="28">
        <f t="shared" si="5"/>
        <v>2.6523999999999999E-2</v>
      </c>
      <c r="G14" s="28">
        <f t="shared" si="5"/>
        <v>2.7968E-2</v>
      </c>
      <c r="H14" s="28">
        <f t="shared" si="5"/>
        <v>3.2528000000000001E-2</v>
      </c>
      <c r="I14" s="28">
        <f t="shared" si="5"/>
        <v>3.8000000000000006E-2</v>
      </c>
      <c r="J14" s="28">
        <f t="shared" si="5"/>
        <v>4.5600000000000002E-2</v>
      </c>
      <c r="K14" s="28">
        <f t="shared" si="5"/>
        <v>5.3200000000000004E-2</v>
      </c>
      <c r="L14" s="28">
        <f t="shared" si="5"/>
        <v>6.8400000000000002E-2</v>
      </c>
      <c r="M14" s="28">
        <f t="shared" si="5"/>
        <v>9.1200000000000003E-2</v>
      </c>
    </row>
    <row r="15" spans="2:21" x14ac:dyDescent="0.3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21" x14ac:dyDescent="0.35">
      <c r="B16" s="6" t="s">
        <v>105</v>
      </c>
      <c r="C16" s="35">
        <f>C3*C14+C8*(1-C3)</f>
        <v>8.2500000000000004E-2</v>
      </c>
      <c r="D16" s="35">
        <f t="shared" ref="D16:M16" si="6">D3*D14+D8*(1-D3)</f>
        <v>7.7922600000000022E-2</v>
      </c>
      <c r="E16" s="35">
        <f t="shared" si="6"/>
        <v>7.3976800000000009E-2</v>
      </c>
      <c r="F16" s="35">
        <f t="shared" si="6"/>
        <v>7.1307199999999987E-2</v>
      </c>
      <c r="G16" s="35">
        <f t="shared" si="6"/>
        <v>6.8847199999999997E-2</v>
      </c>
      <c r="H16" s="35">
        <f t="shared" si="6"/>
        <v>6.8576500000000012E-2</v>
      </c>
      <c r="I16" s="35">
        <f t="shared" si="6"/>
        <v>6.9340000000000013E-2</v>
      </c>
      <c r="J16" s="35">
        <f t="shared" si="6"/>
        <v>7.156499999999999E-2</v>
      </c>
      <c r="K16" s="35">
        <f t="shared" si="6"/>
        <v>7.3060000000000014E-2</v>
      </c>
      <c r="L16" s="35">
        <f t="shared" si="6"/>
        <v>7.9385000000000011E-2</v>
      </c>
      <c r="M16" s="35">
        <f t="shared" si="6"/>
        <v>9.1200000000000017E-2</v>
      </c>
    </row>
  </sheetData>
  <mergeCells count="1">
    <mergeCell ref="Q5:R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C1" workbookViewId="0">
      <selection activeCell="C20" sqref="C20"/>
    </sheetView>
  </sheetViews>
  <sheetFormatPr defaultRowHeight="14.5" x14ac:dyDescent="0.35"/>
  <cols>
    <col min="2" max="2" width="52.453125" customWidth="1"/>
    <col min="3" max="3" width="12.90625" bestFit="1" customWidth="1"/>
    <col min="4" max="10" width="12.54296875" bestFit="1" customWidth="1"/>
    <col min="11" max="11" width="27.453125" bestFit="1" customWidth="1"/>
    <col min="12" max="13" width="12.54296875" bestFit="1" customWidth="1"/>
    <col min="14" max="14" width="10.6328125" customWidth="1"/>
  </cols>
  <sheetData>
    <row r="2" spans="2:13" x14ac:dyDescent="0.35">
      <c r="B2" s="21" t="s">
        <v>175</v>
      </c>
      <c r="C2" s="21" t="s">
        <v>176</v>
      </c>
    </row>
    <row r="3" spans="2:13" x14ac:dyDescent="0.35">
      <c r="B3" s="36" t="s">
        <v>99</v>
      </c>
      <c r="C3" s="37">
        <f>'SP CE FC'!C136</f>
        <v>0.28479898334895787</v>
      </c>
    </row>
    <row r="4" spans="2:13" x14ac:dyDescent="0.35">
      <c r="B4" s="18" t="s">
        <v>105</v>
      </c>
      <c r="C4" s="19">
        <f>WACC!R11</f>
        <v>4.4447987766346585E-2</v>
      </c>
      <c r="H4" s="24"/>
    </row>
    <row r="5" spans="2:13" x14ac:dyDescent="0.35">
      <c r="B5" s="16"/>
      <c r="C5" s="16"/>
      <c r="I5" s="21" t="s">
        <v>177</v>
      </c>
      <c r="J5" s="21" t="s">
        <v>178</v>
      </c>
      <c r="K5" t="s">
        <v>179</v>
      </c>
    </row>
    <row r="6" spans="2:13" x14ac:dyDescent="0.35">
      <c r="B6" s="21" t="s">
        <v>180</v>
      </c>
      <c r="C6" s="22" t="s">
        <v>100</v>
      </c>
      <c r="I6" t="s">
        <v>126</v>
      </c>
      <c r="J6" s="23">
        <f>'SP CE FC'!C60*WACC!R7</f>
        <v>48667.5</v>
      </c>
      <c r="K6" t="s">
        <v>181</v>
      </c>
    </row>
    <row r="7" spans="2:13" x14ac:dyDescent="0.35">
      <c r="B7" s="36" t="s">
        <v>182</v>
      </c>
      <c r="C7" s="38">
        <f>C3-C4</f>
        <v>0.24035099558261128</v>
      </c>
      <c r="I7" t="s">
        <v>183</v>
      </c>
      <c r="J7" s="23">
        <f>'SP CE FC'!C65*WACC!R8</f>
        <v>33697.35</v>
      </c>
      <c r="K7" t="s">
        <v>184</v>
      </c>
    </row>
    <row r="8" spans="2:13" x14ac:dyDescent="0.35">
      <c r="B8" s="18" t="s">
        <v>185</v>
      </c>
      <c r="C8" s="125">
        <f>C7*'SP CE FC'!C135</f>
        <v>445385.15</v>
      </c>
      <c r="I8" s="8" t="s">
        <v>186</v>
      </c>
      <c r="J8" s="39">
        <f>SUM(J6:J7)</f>
        <v>82364.850000000006</v>
      </c>
      <c r="K8" t="s">
        <v>187</v>
      </c>
    </row>
    <row r="9" spans="2:13" x14ac:dyDescent="0.35">
      <c r="B9" s="16"/>
      <c r="C9" s="16"/>
      <c r="I9" t="s">
        <v>188</v>
      </c>
      <c r="J9" s="23"/>
    </row>
    <row r="10" spans="2:13" x14ac:dyDescent="0.35">
      <c r="B10" s="21" t="s">
        <v>189</v>
      </c>
      <c r="C10" s="22" t="s">
        <v>100</v>
      </c>
    </row>
    <row r="11" spans="2:13" x14ac:dyDescent="0.35">
      <c r="B11" s="16" t="s">
        <v>190</v>
      </c>
      <c r="C11" s="40"/>
      <c r="I11" s="23"/>
    </row>
    <row r="12" spans="2:13" x14ac:dyDescent="0.35">
      <c r="B12" s="16" t="s">
        <v>191</v>
      </c>
      <c r="C12" s="40"/>
      <c r="K12" s="23"/>
    </row>
    <row r="13" spans="2:13" x14ac:dyDescent="0.35">
      <c r="B13" s="16" t="s">
        <v>192</v>
      </c>
      <c r="C13" s="40"/>
    </row>
    <row r="14" spans="2:13" x14ac:dyDescent="0.35">
      <c r="B14" s="41" t="s">
        <v>188</v>
      </c>
      <c r="C14" s="42"/>
    </row>
    <row r="16" spans="2:13" x14ac:dyDescent="0.35">
      <c r="B16" s="11" t="s">
        <v>157</v>
      </c>
      <c r="C16" s="27">
        <v>0</v>
      </c>
      <c r="D16" s="27">
        <v>0.1</v>
      </c>
      <c r="E16" s="27">
        <f>+D16+0.1</f>
        <v>0.2</v>
      </c>
      <c r="F16" s="27">
        <f t="shared" ref="F16:M16" si="0">+E16+0.1</f>
        <v>0.30000000000000004</v>
      </c>
      <c r="G16" s="27">
        <f t="shared" si="0"/>
        <v>0.4</v>
      </c>
      <c r="H16" s="27">
        <f t="shared" si="0"/>
        <v>0.5</v>
      </c>
      <c r="I16" s="27">
        <f t="shared" si="0"/>
        <v>0.6</v>
      </c>
      <c r="J16" s="27">
        <f t="shared" si="0"/>
        <v>0.7</v>
      </c>
      <c r="K16" s="27">
        <f t="shared" si="0"/>
        <v>0.79999999999999993</v>
      </c>
      <c r="L16" s="27">
        <f t="shared" si="0"/>
        <v>0.89999999999999991</v>
      </c>
      <c r="M16" s="27">
        <f t="shared" si="0"/>
        <v>0.99999999999999989</v>
      </c>
    </row>
    <row r="17" spans="2:13" x14ac:dyDescent="0.35">
      <c r="B17" t="s">
        <v>105</v>
      </c>
      <c r="C17" s="7">
        <f>WACC!C16</f>
        <v>8.2500000000000004E-2</v>
      </c>
      <c r="D17" s="7">
        <f>WACC!D16</f>
        <v>7.7922600000000022E-2</v>
      </c>
      <c r="E17" s="7">
        <f>WACC!E16</f>
        <v>7.3976800000000009E-2</v>
      </c>
      <c r="F17" s="7">
        <f>WACC!F16</f>
        <v>7.1307199999999987E-2</v>
      </c>
      <c r="G17" s="7">
        <f>WACC!G16</f>
        <v>6.8847199999999997E-2</v>
      </c>
      <c r="H17" s="7">
        <f>WACC!H16</f>
        <v>6.8576500000000012E-2</v>
      </c>
      <c r="I17" s="7">
        <f>WACC!I16</f>
        <v>6.9340000000000013E-2</v>
      </c>
      <c r="J17" s="7">
        <f>WACC!J16</f>
        <v>7.156499999999999E-2</v>
      </c>
      <c r="K17" s="7">
        <f>WACC!K16</f>
        <v>7.3060000000000014E-2</v>
      </c>
      <c r="L17" s="7">
        <f>WACC!L16</f>
        <v>7.9385000000000011E-2</v>
      </c>
      <c r="M17" s="7">
        <f>WACC!M16</f>
        <v>9.1200000000000017E-2</v>
      </c>
    </row>
    <row r="18" spans="2:13" x14ac:dyDescent="0.35">
      <c r="B18" t="s">
        <v>99</v>
      </c>
      <c r="C18" s="26">
        <f>C3</f>
        <v>0.28479898334895787</v>
      </c>
      <c r="D18" s="26">
        <f>C18</f>
        <v>0.28479898334895787</v>
      </c>
      <c r="E18" s="26">
        <f t="shared" ref="E18:M18" si="1">D18</f>
        <v>0.28479898334895787</v>
      </c>
      <c r="F18" s="26">
        <f t="shared" si="1"/>
        <v>0.28479898334895787</v>
      </c>
      <c r="G18" s="26">
        <f t="shared" si="1"/>
        <v>0.28479898334895787</v>
      </c>
      <c r="H18" s="26">
        <f t="shared" si="1"/>
        <v>0.28479898334895787</v>
      </c>
      <c r="I18" s="26">
        <f t="shared" si="1"/>
        <v>0.28479898334895787</v>
      </c>
      <c r="J18" s="26">
        <f t="shared" si="1"/>
        <v>0.28479898334895787</v>
      </c>
      <c r="K18" s="26">
        <f t="shared" si="1"/>
        <v>0.28479898334895787</v>
      </c>
      <c r="L18" s="26">
        <f t="shared" si="1"/>
        <v>0.28479898334895787</v>
      </c>
      <c r="M18" s="26">
        <f t="shared" si="1"/>
        <v>0.28479898334895787</v>
      </c>
    </row>
    <row r="19" spans="2:13" x14ac:dyDescent="0.35">
      <c r="B19" t="s">
        <v>193</v>
      </c>
      <c r="C19" s="7">
        <f>C18-C17</f>
        <v>0.20229898334895785</v>
      </c>
      <c r="D19" s="7">
        <f t="shared" ref="D19:M19" si="2">D18-D17</f>
        <v>0.20687638334895786</v>
      </c>
      <c r="E19" s="7">
        <f t="shared" si="2"/>
        <v>0.21082218334895786</v>
      </c>
      <c r="F19" s="7">
        <f t="shared" si="2"/>
        <v>0.21349178334895788</v>
      </c>
      <c r="G19" s="7">
        <f t="shared" si="2"/>
        <v>0.21595178334895787</v>
      </c>
      <c r="H19" s="7">
        <f t="shared" si="2"/>
        <v>0.21622248334895786</v>
      </c>
      <c r="I19" s="7">
        <f t="shared" si="2"/>
        <v>0.21545898334895786</v>
      </c>
      <c r="J19" s="7">
        <f t="shared" si="2"/>
        <v>0.21323398334895788</v>
      </c>
      <c r="K19" s="7">
        <f t="shared" si="2"/>
        <v>0.21173898334895785</v>
      </c>
      <c r="L19" s="7">
        <f t="shared" si="2"/>
        <v>0.20541398334895786</v>
      </c>
      <c r="M19" s="7">
        <f t="shared" si="2"/>
        <v>0.19359898334895786</v>
      </c>
    </row>
    <row r="20" spans="2:13" x14ac:dyDescent="0.35">
      <c r="B20" s="5" t="s">
        <v>194</v>
      </c>
      <c r="C20" s="95">
        <f>C19*'SP CE FC'!$C$51</f>
        <v>374872.43531202438</v>
      </c>
      <c r="D20" s="95">
        <f>D19*'SP CE FC'!$C$51</f>
        <v>383354.6385193303</v>
      </c>
      <c r="E20" s="95">
        <f>E19*'SP CE FC'!$C$51</f>
        <v>390666.44815261289</v>
      </c>
      <c r="F20" s="95">
        <f>F19*'SP CE FC'!$C$51</f>
        <v>395613.38083977683</v>
      </c>
      <c r="G20" s="95">
        <f>G19*'SP CE FC'!$C$51</f>
        <v>400171.91185956373</v>
      </c>
      <c r="H20" s="95">
        <f>H19*'SP CE FC'!$C$51</f>
        <v>400673.53557787929</v>
      </c>
      <c r="I20" s="95">
        <f>I19*'SP CE FC'!$C$51</f>
        <v>399258.72320649418</v>
      </c>
      <c r="J20" s="95">
        <f>J19*'SP CE FC'!$C$51</f>
        <v>395135.66161339427</v>
      </c>
      <c r="K20" s="95">
        <f>K19*'SP CE FC'!$C$51</f>
        <v>392365.33483510913</v>
      </c>
      <c r="L20" s="95">
        <f>L19*'SP CE FC'!$C$51</f>
        <v>380644.72154236434</v>
      </c>
      <c r="M20" s="95">
        <f>M19*'SP CE FC'!$C$51</f>
        <v>358750.80121765606</v>
      </c>
    </row>
  </sheetData>
  <conditionalFormatting sqref="C7">
    <cfRule type="cellIs" dxfId="88" priority="4" operator="lessThan">
      <formula>0</formula>
    </cfRule>
    <cfRule type="cellIs" dxfId="87" priority="5" operator="equal">
      <formula>0</formula>
    </cfRule>
    <cfRule type="cellIs" dxfId="86" priority="6" operator="greaterThan">
      <formula>0</formula>
    </cfRule>
  </conditionalFormatting>
  <conditionalFormatting sqref="C8">
    <cfRule type="cellIs" dxfId="85" priority="1" operator="lessThan">
      <formula>0</formula>
    </cfRule>
    <cfRule type="cellIs" dxfId="84" priority="2" operator="equal">
      <formula>0</formula>
    </cfRule>
    <cfRule type="cellIs" dxfId="83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workbookViewId="0">
      <selection activeCell="B8" sqref="B8"/>
    </sheetView>
  </sheetViews>
  <sheetFormatPr defaultRowHeight="14.5" x14ac:dyDescent="0.35"/>
  <cols>
    <col min="1" max="1" width="15.453125" bestFit="1" customWidth="1"/>
    <col min="2" max="2" width="14.1796875" bestFit="1" customWidth="1"/>
    <col min="4" max="4" width="15.453125" bestFit="1" customWidth="1"/>
    <col min="7" max="7" width="15.453125" bestFit="1" customWidth="1"/>
    <col min="11" max="11" width="15.453125" bestFit="1" customWidth="1"/>
    <col min="14" max="14" width="15.453125" bestFit="1" customWidth="1"/>
    <col min="16" max="18" width="13.36328125" bestFit="1" customWidth="1"/>
    <col min="20" max="20" width="13.36328125" bestFit="1" customWidth="1"/>
    <col min="22" max="24" width="13.36328125" bestFit="1" customWidth="1"/>
    <col min="26" max="26" width="13.36328125" bestFit="1" customWidth="1"/>
    <col min="29" max="29" width="13.36328125" bestFit="1" customWidth="1"/>
  </cols>
  <sheetData>
    <row r="2" spans="1:30" x14ac:dyDescent="0.35">
      <c r="A2" s="131">
        <v>2023</v>
      </c>
      <c r="B2" s="131"/>
      <c r="D2" s="131">
        <v>2024</v>
      </c>
      <c r="E2" s="131"/>
      <c r="G2" s="131">
        <v>2025</v>
      </c>
      <c r="H2" s="131"/>
      <c r="K2" s="131">
        <v>2026</v>
      </c>
      <c r="L2" s="131"/>
      <c r="N2" s="131">
        <v>2027</v>
      </c>
      <c r="O2" s="131"/>
      <c r="Q2" s="131">
        <v>2028</v>
      </c>
      <c r="R2" s="131"/>
      <c r="T2" s="131">
        <v>2029</v>
      </c>
      <c r="U2" s="131"/>
      <c r="W2" s="131">
        <v>2030</v>
      </c>
      <c r="X2" s="131"/>
      <c r="Z2" s="131">
        <v>2031</v>
      </c>
      <c r="AA2" s="131"/>
      <c r="AC2" s="131">
        <v>2032</v>
      </c>
      <c r="AD2" s="131"/>
    </row>
    <row r="3" spans="1:30" x14ac:dyDescent="0.35">
      <c r="A3" t="s">
        <v>213</v>
      </c>
      <c r="B3" s="126">
        <f>'SP CE FC'!C4</f>
        <v>1000</v>
      </c>
      <c r="D3" t="s">
        <v>213</v>
      </c>
      <c r="G3" t="s">
        <v>213</v>
      </c>
      <c r="K3" t="s">
        <v>213</v>
      </c>
      <c r="N3" t="s">
        <v>213</v>
      </c>
      <c r="Q3" t="s">
        <v>213</v>
      </c>
      <c r="T3" t="s">
        <v>213</v>
      </c>
      <c r="W3" t="s">
        <v>213</v>
      </c>
      <c r="Z3" t="s">
        <v>213</v>
      </c>
      <c r="AC3" t="s">
        <v>213</v>
      </c>
    </row>
    <row r="4" spans="1:30" x14ac:dyDescent="0.35">
      <c r="A4" t="s">
        <v>212</v>
      </c>
      <c r="B4">
        <f>'SP CE FC'!C3</f>
        <v>1750</v>
      </c>
      <c r="D4" t="s">
        <v>212</v>
      </c>
      <c r="G4" t="s">
        <v>212</v>
      </c>
      <c r="K4" t="s">
        <v>212</v>
      </c>
      <c r="N4" t="s">
        <v>212</v>
      </c>
      <c r="Q4" t="s">
        <v>212</v>
      </c>
      <c r="T4" t="s">
        <v>212</v>
      </c>
      <c r="W4" t="s">
        <v>212</v>
      </c>
      <c r="Z4" t="s">
        <v>212</v>
      </c>
      <c r="AC4" t="s">
        <v>212</v>
      </c>
    </row>
    <row r="5" spans="1:30" x14ac:dyDescent="0.35">
      <c r="A5" t="s">
        <v>214</v>
      </c>
      <c r="B5" s="126">
        <f>B3*B4</f>
        <v>1750000</v>
      </c>
      <c r="D5" t="s">
        <v>214</v>
      </c>
      <c r="G5" t="s">
        <v>214</v>
      </c>
      <c r="K5" t="s">
        <v>214</v>
      </c>
      <c r="N5" t="s">
        <v>214</v>
      </c>
      <c r="Q5" t="s">
        <v>214</v>
      </c>
      <c r="T5" t="s">
        <v>214</v>
      </c>
      <c r="W5" t="s">
        <v>214</v>
      </c>
      <c r="Z5" t="s">
        <v>214</v>
      </c>
      <c r="AC5" t="s">
        <v>214</v>
      </c>
    </row>
    <row r="6" spans="1:30" x14ac:dyDescent="0.35">
      <c r="A6" t="s">
        <v>215</v>
      </c>
      <c r="B6" s="126">
        <f>(SUM('SP CE FC'!C16:C20)+'SP CE FC'!C55)/'SP CE FC'!C3</f>
        <v>1328.6752956496807</v>
      </c>
      <c r="D6" t="s">
        <v>215</v>
      </c>
      <c r="G6" t="s">
        <v>215</v>
      </c>
      <c r="K6" t="s">
        <v>215</v>
      </c>
      <c r="N6" t="s">
        <v>215</v>
      </c>
      <c r="Q6" t="s">
        <v>215</v>
      </c>
      <c r="T6" t="s">
        <v>215</v>
      </c>
      <c r="W6" t="s">
        <v>215</v>
      </c>
      <c r="Z6" t="s">
        <v>215</v>
      </c>
      <c r="AC6" t="s">
        <v>215</v>
      </c>
    </row>
    <row r="7" spans="1:30" x14ac:dyDescent="0.35">
      <c r="A7" t="s">
        <v>216</v>
      </c>
      <c r="B7" s="126">
        <f>'SP CE FC'!C16+'SP CE FC'!C17+'SP CE FC'!C18+'SP CE FC'!C19+'SP CE FC'!C20</f>
        <v>947250</v>
      </c>
      <c r="D7" t="s">
        <v>216</v>
      </c>
      <c r="G7" t="s">
        <v>216</v>
      </c>
      <c r="K7" t="s">
        <v>216</v>
      </c>
      <c r="N7" t="s">
        <v>216</v>
      </c>
      <c r="Q7" t="s">
        <v>216</v>
      </c>
      <c r="T7" t="s">
        <v>216</v>
      </c>
      <c r="W7" t="s">
        <v>216</v>
      </c>
      <c r="Z7" t="s">
        <v>216</v>
      </c>
      <c r="AC7" t="s">
        <v>216</v>
      </c>
    </row>
    <row r="8" spans="1:30" x14ac:dyDescent="0.35">
      <c r="A8" t="s">
        <v>217</v>
      </c>
      <c r="D8" t="s">
        <v>217</v>
      </c>
      <c r="G8" t="s">
        <v>217</v>
      </c>
      <c r="K8" t="s">
        <v>217</v>
      </c>
      <c r="N8" t="s">
        <v>217</v>
      </c>
      <c r="Q8" t="s">
        <v>217</v>
      </c>
      <c r="T8" t="s">
        <v>217</v>
      </c>
      <c r="W8" t="s">
        <v>217</v>
      </c>
      <c r="Z8" t="s">
        <v>217</v>
      </c>
      <c r="AC8" t="s">
        <v>217</v>
      </c>
    </row>
    <row r="9" spans="1:30" x14ac:dyDescent="0.35">
      <c r="A9" t="s">
        <v>218</v>
      </c>
      <c r="D9" t="s">
        <v>218</v>
      </c>
      <c r="G9" t="s">
        <v>218</v>
      </c>
      <c r="K9" t="s">
        <v>218</v>
      </c>
      <c r="N9" t="s">
        <v>218</v>
      </c>
      <c r="Q9" t="s">
        <v>218</v>
      </c>
      <c r="T9" t="s">
        <v>218</v>
      </c>
      <c r="W9" t="s">
        <v>218</v>
      </c>
      <c r="Z9" t="s">
        <v>218</v>
      </c>
      <c r="AC9" t="s">
        <v>218</v>
      </c>
    </row>
  </sheetData>
  <mergeCells count="10">
    <mergeCell ref="W2:X2"/>
    <mergeCell ref="Z2:AA2"/>
    <mergeCell ref="AC2:AD2"/>
    <mergeCell ref="Q2:R2"/>
    <mergeCell ref="A2:B2"/>
    <mergeCell ref="G2:H2"/>
    <mergeCell ref="K2:L2"/>
    <mergeCell ref="D2:E2"/>
    <mergeCell ref="N2:O2"/>
    <mergeCell ref="T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SP CE FC</vt:lpstr>
      <vt:lpstr>Capex e mutuo</vt:lpstr>
      <vt:lpstr>WACC</vt:lpstr>
      <vt:lpstr>EVA</vt:lpstr>
      <vt:lpstr>Break-even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2023-05-21T11:48:13Z</dcterms:created>
  <dcterms:modified xsi:type="dcterms:W3CDTF">2023-10-12T06:08:40Z</dcterms:modified>
</cp:coreProperties>
</file>