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ebb3029eec8f07d/Desktop/"/>
    </mc:Choice>
  </mc:AlternateContent>
  <bookViews>
    <workbookView xWindow="0" yWindow="0" windowWidth="19200" windowHeight="7050"/>
  </bookViews>
  <sheets>
    <sheet name="CE SP FC" sheetId="1" r:id="rId1"/>
    <sheet name="CAPEX e mutuo" sheetId="2" r:id="rId2"/>
    <sheet name="WACC" sheetId="3" r:id="rId3"/>
    <sheet name="EV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L14" i="3" s="1"/>
  <c r="J12" i="3"/>
  <c r="J14" i="3" s="1"/>
  <c r="J16" i="3" s="1"/>
  <c r="H12" i="3"/>
  <c r="H14" i="3" s="1"/>
  <c r="H16" i="3" s="1"/>
  <c r="F12" i="3"/>
  <c r="F14" i="3" s="1"/>
  <c r="F16" i="3" s="1"/>
  <c r="D12" i="3"/>
  <c r="D14" i="3" s="1"/>
  <c r="D16" i="3" s="1"/>
  <c r="M10" i="3"/>
  <c r="M12" i="3" s="1"/>
  <c r="M14" i="3" s="1"/>
  <c r="L10" i="3"/>
  <c r="K10" i="3"/>
  <c r="K12" i="3" s="1"/>
  <c r="K14" i="3" s="1"/>
  <c r="J10" i="3"/>
  <c r="I10" i="3"/>
  <c r="I12" i="3" s="1"/>
  <c r="I14" i="3" s="1"/>
  <c r="H10" i="3"/>
  <c r="G10" i="3"/>
  <c r="G12" i="3" s="1"/>
  <c r="G14" i="3" s="1"/>
  <c r="F10" i="3"/>
  <c r="E10" i="3"/>
  <c r="E12" i="3" s="1"/>
  <c r="E14" i="3" s="1"/>
  <c r="D10" i="3"/>
  <c r="C10" i="3"/>
  <c r="C12" i="3" s="1"/>
  <c r="C14" i="3" s="1"/>
  <c r="L8" i="3"/>
  <c r="J8" i="3"/>
  <c r="H8" i="3"/>
  <c r="F8" i="3"/>
  <c r="D8" i="3"/>
  <c r="M7" i="3"/>
  <c r="M8" i="3" s="1"/>
  <c r="L7" i="3"/>
  <c r="K7" i="3"/>
  <c r="K8" i="3" s="1"/>
  <c r="J7" i="3"/>
  <c r="I7" i="3"/>
  <c r="I8" i="3" s="1"/>
  <c r="H7" i="3"/>
  <c r="G7" i="3"/>
  <c r="G8" i="3" s="1"/>
  <c r="F7" i="3"/>
  <c r="E7" i="3"/>
  <c r="E8" i="3" s="1"/>
  <c r="D7" i="3"/>
  <c r="C7" i="3"/>
  <c r="C8" i="3" s="1"/>
  <c r="F3" i="3"/>
  <c r="G3" i="3" s="1"/>
  <c r="H3" i="3" s="1"/>
  <c r="I3" i="3" s="1"/>
  <c r="J3" i="3" s="1"/>
  <c r="K3" i="3" s="1"/>
  <c r="L3" i="3" s="1"/>
  <c r="M3" i="3" s="1"/>
  <c r="E3" i="3"/>
  <c r="R10" i="3"/>
  <c r="R9" i="3"/>
  <c r="R6" i="3"/>
  <c r="R7" i="3" s="1"/>
  <c r="E178" i="1"/>
  <c r="F178" i="1"/>
  <c r="G178" i="1"/>
  <c r="H178" i="1"/>
  <c r="I178" i="1"/>
  <c r="J178" i="1"/>
  <c r="K178" i="1"/>
  <c r="D178" i="1"/>
  <c r="E177" i="1"/>
  <c r="F177" i="1"/>
  <c r="G177" i="1"/>
  <c r="H177" i="1"/>
  <c r="I177" i="1"/>
  <c r="J177" i="1"/>
  <c r="K177" i="1"/>
  <c r="L177" i="1"/>
  <c r="D177" i="1"/>
  <c r="E176" i="1"/>
  <c r="F176" i="1"/>
  <c r="G176" i="1"/>
  <c r="H176" i="1"/>
  <c r="I176" i="1"/>
  <c r="J176" i="1"/>
  <c r="K176" i="1"/>
  <c r="L176" i="1"/>
  <c r="D176" i="1"/>
  <c r="N173" i="1"/>
  <c r="E175" i="1"/>
  <c r="F175" i="1"/>
  <c r="G175" i="1"/>
  <c r="H175" i="1"/>
  <c r="I175" i="1"/>
  <c r="J175" i="1"/>
  <c r="K175" i="1"/>
  <c r="L175" i="1"/>
  <c r="D175" i="1"/>
  <c r="E173" i="1"/>
  <c r="F173" i="1"/>
  <c r="G173" i="1"/>
  <c r="H173" i="1"/>
  <c r="I173" i="1"/>
  <c r="J173" i="1"/>
  <c r="K173" i="1"/>
  <c r="L173" i="1"/>
  <c r="D173" i="1"/>
  <c r="E170" i="1"/>
  <c r="F170" i="1"/>
  <c r="G170" i="1"/>
  <c r="H170" i="1"/>
  <c r="I170" i="1"/>
  <c r="J170" i="1"/>
  <c r="K170" i="1"/>
  <c r="L170" i="1"/>
  <c r="E169" i="1"/>
  <c r="F169" i="1"/>
  <c r="G169" i="1"/>
  <c r="H169" i="1"/>
  <c r="I169" i="1"/>
  <c r="J169" i="1"/>
  <c r="K169" i="1"/>
  <c r="L169" i="1"/>
  <c r="D170" i="1"/>
  <c r="D169" i="1"/>
  <c r="E168" i="1"/>
  <c r="F168" i="1"/>
  <c r="G168" i="1"/>
  <c r="H168" i="1"/>
  <c r="I168" i="1"/>
  <c r="J168" i="1"/>
  <c r="K168" i="1"/>
  <c r="L168" i="1"/>
  <c r="D168" i="1"/>
  <c r="D165" i="1"/>
  <c r="E165" i="1"/>
  <c r="F165" i="1"/>
  <c r="G165" i="1"/>
  <c r="H165" i="1"/>
  <c r="I165" i="1"/>
  <c r="J165" i="1"/>
  <c r="K165" i="1"/>
  <c r="L165" i="1"/>
  <c r="C165" i="1"/>
  <c r="C16" i="3" l="1"/>
  <c r="G16" i="3"/>
  <c r="K16" i="3"/>
  <c r="E16" i="3"/>
  <c r="I16" i="3"/>
  <c r="M16" i="3"/>
  <c r="L16" i="3"/>
  <c r="D164" i="1" l="1"/>
  <c r="E164" i="1"/>
  <c r="F164" i="1"/>
  <c r="G164" i="1"/>
  <c r="H164" i="1"/>
  <c r="I164" i="1"/>
  <c r="J164" i="1"/>
  <c r="K164" i="1"/>
  <c r="L164" i="1"/>
  <c r="C164" i="1"/>
  <c r="D163" i="1"/>
  <c r="E163" i="1"/>
  <c r="F163" i="1"/>
  <c r="G163" i="1"/>
  <c r="H163" i="1"/>
  <c r="I163" i="1"/>
  <c r="J163" i="1"/>
  <c r="K163" i="1"/>
  <c r="L163" i="1"/>
  <c r="C163" i="1"/>
  <c r="D172" i="1"/>
  <c r="E172" i="1" s="1"/>
  <c r="F172" i="1" s="1"/>
  <c r="G172" i="1" s="1"/>
  <c r="H172" i="1" s="1"/>
  <c r="I172" i="1" s="1"/>
  <c r="J172" i="1" s="1"/>
  <c r="K172" i="1" s="1"/>
  <c r="L172" i="1" s="1"/>
  <c r="D167" i="1"/>
  <c r="E167" i="1" s="1"/>
  <c r="F167" i="1" s="1"/>
  <c r="G167" i="1" s="1"/>
  <c r="H167" i="1" s="1"/>
  <c r="I167" i="1" s="1"/>
  <c r="J167" i="1" s="1"/>
  <c r="K167" i="1" s="1"/>
  <c r="L167" i="1" s="1"/>
  <c r="E162" i="1"/>
  <c r="F162" i="1" s="1"/>
  <c r="G162" i="1" s="1"/>
  <c r="H162" i="1" s="1"/>
  <c r="I162" i="1" s="1"/>
  <c r="J162" i="1" s="1"/>
  <c r="K162" i="1" s="1"/>
  <c r="L162" i="1" s="1"/>
  <c r="D162" i="1"/>
  <c r="C11" i="4"/>
  <c r="J7" i="4" l="1"/>
  <c r="J8" i="4"/>
  <c r="J9" i="4" l="1"/>
  <c r="C12" i="4"/>
  <c r="C13" i="4" s="1"/>
  <c r="D17" i="4"/>
  <c r="E17" i="4"/>
  <c r="F17" i="4"/>
  <c r="G17" i="4"/>
  <c r="H17" i="4"/>
  <c r="I17" i="4"/>
  <c r="J17" i="4"/>
  <c r="K17" i="4"/>
  <c r="L17" i="4"/>
  <c r="M17" i="4"/>
  <c r="C17" i="4"/>
  <c r="C4" i="4"/>
  <c r="C3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D145" i="1"/>
  <c r="E145" i="1"/>
  <c r="F145" i="1"/>
  <c r="G145" i="1"/>
  <c r="H145" i="1"/>
  <c r="I145" i="1"/>
  <c r="J145" i="1"/>
  <c r="K145" i="1"/>
  <c r="L145" i="1"/>
  <c r="C145" i="1"/>
  <c r="D144" i="1"/>
  <c r="E144" i="1"/>
  <c r="F144" i="1"/>
  <c r="G144" i="1"/>
  <c r="H144" i="1"/>
  <c r="I144" i="1"/>
  <c r="J144" i="1"/>
  <c r="K144" i="1"/>
  <c r="L144" i="1"/>
  <c r="D143" i="1"/>
  <c r="E143" i="1"/>
  <c r="F143" i="1"/>
  <c r="G143" i="1"/>
  <c r="H143" i="1"/>
  <c r="I143" i="1"/>
  <c r="J143" i="1"/>
  <c r="K143" i="1"/>
  <c r="L143" i="1"/>
  <c r="C144" i="1"/>
  <c r="C143" i="1"/>
  <c r="D138" i="1"/>
  <c r="E138" i="1"/>
  <c r="F138" i="1"/>
  <c r="G138" i="1"/>
  <c r="H138" i="1"/>
  <c r="I138" i="1"/>
  <c r="J138" i="1"/>
  <c r="K138" i="1"/>
  <c r="L138" i="1"/>
  <c r="C138" i="1"/>
  <c r="D137" i="1"/>
  <c r="E137" i="1"/>
  <c r="F137" i="1"/>
  <c r="G137" i="1"/>
  <c r="H137" i="1"/>
  <c r="I137" i="1"/>
  <c r="J137" i="1"/>
  <c r="K137" i="1"/>
  <c r="L137" i="1"/>
  <c r="C137" i="1"/>
  <c r="D136" i="1"/>
  <c r="E136" i="1"/>
  <c r="F136" i="1"/>
  <c r="G136" i="1"/>
  <c r="H136" i="1"/>
  <c r="I136" i="1"/>
  <c r="J136" i="1"/>
  <c r="K136" i="1"/>
  <c r="L136" i="1"/>
  <c r="C136" i="1"/>
  <c r="H130" i="1"/>
  <c r="C130" i="1"/>
  <c r="C129" i="1"/>
  <c r="C128" i="1"/>
  <c r="C127" i="1"/>
  <c r="C122" i="1"/>
  <c r="C118" i="1"/>
  <c r="E115" i="1"/>
  <c r="F115" i="1" s="1"/>
  <c r="G115" i="1" s="1"/>
  <c r="H115" i="1" s="1"/>
  <c r="I115" i="1" s="1"/>
  <c r="J115" i="1" s="1"/>
  <c r="K115" i="1" s="1"/>
  <c r="L115" i="1" s="1"/>
  <c r="D115" i="1"/>
  <c r="C115" i="1"/>
  <c r="D114" i="1"/>
  <c r="E114" i="1"/>
  <c r="F114" i="1"/>
  <c r="G114" i="1"/>
  <c r="H114" i="1"/>
  <c r="I114" i="1"/>
  <c r="J114" i="1"/>
  <c r="K114" i="1"/>
  <c r="L114" i="1"/>
  <c r="C114" i="1"/>
  <c r="E113" i="1"/>
  <c r="F113" i="1"/>
  <c r="G113" i="1"/>
  <c r="H113" i="1"/>
  <c r="I113" i="1"/>
  <c r="J113" i="1"/>
  <c r="K113" i="1"/>
  <c r="L113" i="1"/>
  <c r="D113" i="1"/>
  <c r="C113" i="1"/>
  <c r="C86" i="1"/>
  <c r="D83" i="1"/>
  <c r="C83" i="1"/>
  <c r="L57" i="1"/>
  <c r="K57" i="1"/>
  <c r="J57" i="1"/>
  <c r="J87" i="1" s="1"/>
  <c r="I57" i="1"/>
  <c r="I87" i="1" s="1"/>
  <c r="H57" i="1"/>
  <c r="G57" i="1"/>
  <c r="F57" i="1"/>
  <c r="F87" i="1" s="1"/>
  <c r="E57" i="1"/>
  <c r="E87" i="1" s="1"/>
  <c r="D57" i="1"/>
  <c r="C57" i="1"/>
  <c r="C87" i="1" s="1"/>
  <c r="D32" i="1"/>
  <c r="C32" i="1"/>
  <c r="D56" i="1"/>
  <c r="F27" i="1"/>
  <c r="F29" i="1" s="1"/>
  <c r="E45" i="1"/>
  <c r="L31" i="1"/>
  <c r="K31" i="1"/>
  <c r="J31" i="1"/>
  <c r="I31" i="1"/>
  <c r="H31" i="1"/>
  <c r="G31" i="1"/>
  <c r="F31" i="1"/>
  <c r="E31" i="1"/>
  <c r="D31" i="1"/>
  <c r="C31" i="1"/>
  <c r="E29" i="1"/>
  <c r="C27" i="1"/>
  <c r="D27" i="1" s="1"/>
  <c r="E27" i="1" s="1"/>
  <c r="G19" i="2"/>
  <c r="H19" i="2"/>
  <c r="J19" i="2"/>
  <c r="I19" i="2" s="1"/>
  <c r="K19" i="2" s="1"/>
  <c r="G20" i="2" s="1"/>
  <c r="H20" i="2"/>
  <c r="H21" i="2"/>
  <c r="K18" i="2"/>
  <c r="I18" i="2"/>
  <c r="J18" i="2"/>
  <c r="G18" i="2"/>
  <c r="K17" i="2"/>
  <c r="I17" i="2"/>
  <c r="J17" i="2"/>
  <c r="H18" i="2"/>
  <c r="H17" i="2"/>
  <c r="G17" i="2"/>
  <c r="C10" i="2"/>
  <c r="D21" i="1"/>
  <c r="E21" i="1" s="1"/>
  <c r="F21" i="1" s="1"/>
  <c r="G21" i="1" s="1"/>
  <c r="H21" i="1" s="1"/>
  <c r="I21" i="1" s="1"/>
  <c r="J21" i="1" s="1"/>
  <c r="K21" i="1" s="1"/>
  <c r="L21" i="1" s="1"/>
  <c r="C20" i="1"/>
  <c r="C19" i="1"/>
  <c r="C25" i="1" s="1"/>
  <c r="C18" i="1"/>
  <c r="C44" i="1" s="1"/>
  <c r="C82" i="1" s="1"/>
  <c r="C17" i="1"/>
  <c r="D12" i="1"/>
  <c r="E12" i="1" s="1"/>
  <c r="F12" i="1" s="1"/>
  <c r="G12" i="1" s="1"/>
  <c r="H12" i="1" s="1"/>
  <c r="I12" i="1" s="1"/>
  <c r="J12" i="1" s="1"/>
  <c r="K12" i="1" s="1"/>
  <c r="L12" i="1" s="1"/>
  <c r="D11" i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C9" i="1"/>
  <c r="D8" i="1"/>
  <c r="E8" i="1" s="1"/>
  <c r="F8" i="1" s="1"/>
  <c r="G8" i="1" s="1"/>
  <c r="H8" i="1" s="1"/>
  <c r="I8" i="1" s="1"/>
  <c r="J8" i="1" s="1"/>
  <c r="K8" i="1" s="1"/>
  <c r="L8" i="1" s="1"/>
  <c r="E7" i="1"/>
  <c r="F7" i="1" s="1"/>
  <c r="G7" i="1" s="1"/>
  <c r="H7" i="1" s="1"/>
  <c r="I7" i="1" s="1"/>
  <c r="J7" i="1" s="1"/>
  <c r="K7" i="1" s="1"/>
  <c r="L7" i="1" s="1"/>
  <c r="D7" i="1"/>
  <c r="D6" i="1"/>
  <c r="E6" i="1" s="1"/>
  <c r="F6" i="1" s="1"/>
  <c r="G6" i="1" s="1"/>
  <c r="H6" i="1" s="1"/>
  <c r="I6" i="1" s="1"/>
  <c r="J6" i="1" s="1"/>
  <c r="K6" i="1" s="1"/>
  <c r="L6" i="1" s="1"/>
  <c r="E5" i="1"/>
  <c r="F5" i="1" s="1"/>
  <c r="G5" i="1" s="1"/>
  <c r="H5" i="1" s="1"/>
  <c r="D5" i="1"/>
  <c r="D4" i="1"/>
  <c r="E4" i="1" s="1"/>
  <c r="F4" i="1" s="1"/>
  <c r="G4" i="1" s="1"/>
  <c r="H4" i="1" s="1"/>
  <c r="I4" i="1" s="1"/>
  <c r="J4" i="1" s="1"/>
  <c r="K4" i="1" s="1"/>
  <c r="L4" i="1" s="1"/>
  <c r="E3" i="1"/>
  <c r="E17" i="1" s="1"/>
  <c r="D3" i="1"/>
  <c r="M19" i="4" l="1"/>
  <c r="M20" i="4" s="1"/>
  <c r="I19" i="4"/>
  <c r="I20" i="4" s="1"/>
  <c r="E19" i="4"/>
  <c r="E20" i="4" s="1"/>
  <c r="J19" i="4"/>
  <c r="J20" i="4" s="1"/>
  <c r="C7" i="4"/>
  <c r="C8" i="4" s="1"/>
  <c r="L19" i="4"/>
  <c r="L20" i="4" s="1"/>
  <c r="H19" i="4"/>
  <c r="H20" i="4" s="1"/>
  <c r="D19" i="4"/>
  <c r="D20" i="4" s="1"/>
  <c r="C19" i="4"/>
  <c r="C20" i="4" s="1"/>
  <c r="F19" i="4"/>
  <c r="F20" i="4" s="1"/>
  <c r="K19" i="4"/>
  <c r="K20" i="4" s="1"/>
  <c r="G19" i="4"/>
  <c r="G20" i="4" s="1"/>
  <c r="J10" i="4"/>
  <c r="D18" i="1"/>
  <c r="D41" i="1" s="1"/>
  <c r="D20" i="1"/>
  <c r="E39" i="1"/>
  <c r="E42" i="1"/>
  <c r="E40" i="1"/>
  <c r="I5" i="1"/>
  <c r="E74" i="1"/>
  <c r="E18" i="1"/>
  <c r="E83" i="1"/>
  <c r="F45" i="1"/>
  <c r="F3" i="1"/>
  <c r="E20" i="1"/>
  <c r="E9" i="1"/>
  <c r="E19" i="1" s="1"/>
  <c r="C50" i="1"/>
  <c r="F74" i="1"/>
  <c r="D17" i="1"/>
  <c r="G27" i="1"/>
  <c r="G87" i="1"/>
  <c r="C26" i="1"/>
  <c r="D22" i="1"/>
  <c r="E22" i="1" s="1"/>
  <c r="F22" i="1" s="1"/>
  <c r="G22" i="1" s="1"/>
  <c r="H22" i="1" s="1"/>
  <c r="I22" i="1" s="1"/>
  <c r="J22" i="1" s="1"/>
  <c r="K22" i="1" s="1"/>
  <c r="L22" i="1" s="1"/>
  <c r="D29" i="1"/>
  <c r="C39" i="1"/>
  <c r="C40" i="1"/>
  <c r="C78" i="1" s="1"/>
  <c r="C41" i="1"/>
  <c r="C79" i="1" s="1"/>
  <c r="C42" i="1"/>
  <c r="C80" i="1" s="1"/>
  <c r="C43" i="1"/>
  <c r="C81" i="1" s="1"/>
  <c r="C48" i="1"/>
  <c r="H87" i="1"/>
  <c r="L87" i="1"/>
  <c r="K87" i="1"/>
  <c r="D9" i="1"/>
  <c r="D19" i="1" s="1"/>
  <c r="C29" i="1"/>
  <c r="C74" i="1" s="1"/>
  <c r="D87" i="1"/>
  <c r="E56" i="1"/>
  <c r="D86" i="1"/>
  <c r="J20" i="2"/>
  <c r="I20" i="2" s="1"/>
  <c r="K20" i="2"/>
  <c r="G21" i="2" s="1"/>
  <c r="H22" i="2"/>
  <c r="C30" i="1" l="1"/>
  <c r="C33" i="1" s="1"/>
  <c r="D25" i="1"/>
  <c r="C84" i="1"/>
  <c r="C51" i="1"/>
  <c r="D48" i="1"/>
  <c r="C34" i="1"/>
  <c r="C35" i="1" s="1"/>
  <c r="G3" i="1"/>
  <c r="F17" i="1"/>
  <c r="F20" i="1"/>
  <c r="F9" i="1"/>
  <c r="F19" i="1" s="1"/>
  <c r="C75" i="1"/>
  <c r="D50" i="1"/>
  <c r="J5" i="1"/>
  <c r="D74" i="1"/>
  <c r="D43" i="1"/>
  <c r="D81" i="1" s="1"/>
  <c r="E86" i="1"/>
  <c r="E32" i="1"/>
  <c r="F56" i="1"/>
  <c r="C77" i="1"/>
  <c r="C46" i="1"/>
  <c r="D42" i="1"/>
  <c r="D80" i="1" s="1"/>
  <c r="D40" i="1"/>
  <c r="D78" i="1" s="1"/>
  <c r="D26" i="1"/>
  <c r="D30" i="1" s="1"/>
  <c r="D33" i="1" s="1"/>
  <c r="D39" i="1"/>
  <c r="G45" i="1"/>
  <c r="F83" i="1"/>
  <c r="H27" i="1"/>
  <c r="G29" i="1"/>
  <c r="G74" i="1" s="1"/>
  <c r="D44" i="1"/>
  <c r="D82" i="1" s="1"/>
  <c r="E44" i="1"/>
  <c r="E43" i="1"/>
  <c r="E25" i="1"/>
  <c r="E26" i="1" s="1"/>
  <c r="E30" i="1" s="1"/>
  <c r="E33" i="1" s="1"/>
  <c r="E41" i="1"/>
  <c r="E79" i="1" s="1"/>
  <c r="F18" i="1"/>
  <c r="D79" i="1"/>
  <c r="E77" i="1"/>
  <c r="H23" i="2"/>
  <c r="J21" i="2"/>
  <c r="I21" i="2" s="1"/>
  <c r="K21" i="2"/>
  <c r="G22" i="2" s="1"/>
  <c r="C53" i="1" l="1"/>
  <c r="D34" i="1"/>
  <c r="D35" i="1"/>
  <c r="K5" i="1"/>
  <c r="E81" i="1"/>
  <c r="I27" i="1"/>
  <c r="H29" i="1"/>
  <c r="D77" i="1"/>
  <c r="D46" i="1"/>
  <c r="E50" i="1"/>
  <c r="D75" i="1"/>
  <c r="G17" i="1"/>
  <c r="F39" i="1"/>
  <c r="F42" i="1"/>
  <c r="F80" i="1" s="1"/>
  <c r="F40" i="1"/>
  <c r="F78" i="1" s="1"/>
  <c r="D84" i="1"/>
  <c r="E48" i="1"/>
  <c r="D51" i="1"/>
  <c r="F43" i="1"/>
  <c r="F81" i="1" s="1"/>
  <c r="F41" i="1"/>
  <c r="F79" i="1" s="1"/>
  <c r="F44" i="1"/>
  <c r="F82" i="1" s="1"/>
  <c r="F25" i="1"/>
  <c r="F26" i="1" s="1"/>
  <c r="F30" i="1" s="1"/>
  <c r="E82" i="1"/>
  <c r="E78" i="1"/>
  <c r="H3" i="1"/>
  <c r="G20" i="1"/>
  <c r="G9" i="1"/>
  <c r="G19" i="1" s="1"/>
  <c r="G18" i="1"/>
  <c r="E34" i="1"/>
  <c r="E35" i="1" s="1"/>
  <c r="H45" i="1"/>
  <c r="G83" i="1"/>
  <c r="C73" i="1"/>
  <c r="C76" i="1" s="1"/>
  <c r="C85" i="1" s="1"/>
  <c r="C91" i="1" s="1"/>
  <c r="C66" i="1"/>
  <c r="E46" i="1"/>
  <c r="F86" i="1"/>
  <c r="F32" i="1"/>
  <c r="G56" i="1"/>
  <c r="E80" i="1"/>
  <c r="J22" i="2"/>
  <c r="I22" i="2" s="1"/>
  <c r="K22" i="2" s="1"/>
  <c r="G23" i="2" s="1"/>
  <c r="H24" i="2"/>
  <c r="F33" i="1" l="1"/>
  <c r="E66" i="1"/>
  <c r="E73" i="1"/>
  <c r="F34" i="1"/>
  <c r="F35" i="1" s="1"/>
  <c r="I45" i="1"/>
  <c r="H83" i="1"/>
  <c r="H17" i="1"/>
  <c r="G42" i="1"/>
  <c r="G80" i="1" s="1"/>
  <c r="G40" i="1"/>
  <c r="G78" i="1" s="1"/>
  <c r="G39" i="1"/>
  <c r="G86" i="1"/>
  <c r="H56" i="1"/>
  <c r="G32" i="1"/>
  <c r="D65" i="1"/>
  <c r="C67" i="1"/>
  <c r="H74" i="1"/>
  <c r="L5" i="1"/>
  <c r="C95" i="1"/>
  <c r="C93" i="1"/>
  <c r="I3" i="1"/>
  <c r="H20" i="1"/>
  <c r="H9" i="1"/>
  <c r="H19" i="1" s="1"/>
  <c r="H18" i="1"/>
  <c r="F48" i="1"/>
  <c r="E84" i="1"/>
  <c r="E51" i="1"/>
  <c r="E53" i="1" s="1"/>
  <c r="F50" i="1"/>
  <c r="E75" i="1"/>
  <c r="J27" i="1"/>
  <c r="I29" i="1"/>
  <c r="D73" i="1"/>
  <c r="D76" i="1" s="1"/>
  <c r="D85" i="1" s="1"/>
  <c r="D91" i="1" s="1"/>
  <c r="D93" i="1" s="1"/>
  <c r="D66" i="1"/>
  <c r="G43" i="1"/>
  <c r="G81" i="1" s="1"/>
  <c r="G41" i="1"/>
  <c r="G79" i="1" s="1"/>
  <c r="G25" i="1"/>
  <c r="G26" i="1" s="1"/>
  <c r="G30" i="1" s="1"/>
  <c r="G33" i="1" s="1"/>
  <c r="G34" i="1" s="1"/>
  <c r="G35" i="1" s="1"/>
  <c r="G44" i="1"/>
  <c r="G82" i="1" s="1"/>
  <c r="F46" i="1"/>
  <c r="F77" i="1"/>
  <c r="D53" i="1"/>
  <c r="J23" i="2"/>
  <c r="I23" i="2" s="1"/>
  <c r="K23" i="2" s="1"/>
  <c r="G24" i="2" s="1"/>
  <c r="H25" i="2"/>
  <c r="E76" i="1" l="1"/>
  <c r="G66" i="1"/>
  <c r="G73" i="1"/>
  <c r="F66" i="1"/>
  <c r="F73" i="1"/>
  <c r="G50" i="1"/>
  <c r="F75" i="1"/>
  <c r="H44" i="1"/>
  <c r="H82" i="1" s="1"/>
  <c r="H43" i="1"/>
  <c r="H81" i="1" s="1"/>
  <c r="H41" i="1"/>
  <c r="H79" i="1" s="1"/>
  <c r="H25" i="1"/>
  <c r="H26" i="1" s="1"/>
  <c r="H30" i="1" s="1"/>
  <c r="H33" i="1" s="1"/>
  <c r="H34" i="1" s="1"/>
  <c r="H35" i="1" s="1"/>
  <c r="G46" i="1"/>
  <c r="G77" i="1"/>
  <c r="I74" i="1"/>
  <c r="D94" i="1"/>
  <c r="D95" i="1" s="1"/>
  <c r="D61" i="1" s="1"/>
  <c r="D62" i="1" s="1"/>
  <c r="D69" i="1" s="1"/>
  <c r="C61" i="1"/>
  <c r="C62" i="1" s="1"/>
  <c r="C69" i="1" s="1"/>
  <c r="K27" i="1"/>
  <c r="J29" i="1"/>
  <c r="I56" i="1"/>
  <c r="H86" i="1"/>
  <c r="H32" i="1"/>
  <c r="J45" i="1"/>
  <c r="I83" i="1"/>
  <c r="E85" i="1"/>
  <c r="E91" i="1" s="1"/>
  <c r="E93" i="1" s="1"/>
  <c r="G48" i="1"/>
  <c r="F51" i="1"/>
  <c r="F53" i="1" s="1"/>
  <c r="F84" i="1"/>
  <c r="J3" i="1"/>
  <c r="I20" i="1"/>
  <c r="I9" i="1"/>
  <c r="I19" i="1" s="1"/>
  <c r="I18" i="1"/>
  <c r="D67" i="1"/>
  <c r="E65" i="1"/>
  <c r="I17" i="1"/>
  <c r="H42" i="1"/>
  <c r="H80" i="1" s="1"/>
  <c r="H40" i="1"/>
  <c r="H78" i="1" s="1"/>
  <c r="H39" i="1"/>
  <c r="J24" i="2"/>
  <c r="I24" i="2" s="1"/>
  <c r="K24" i="2" s="1"/>
  <c r="G25" i="2" s="1"/>
  <c r="H26" i="2"/>
  <c r="H66" i="1" l="1"/>
  <c r="H73" i="1"/>
  <c r="E95" i="1"/>
  <c r="E61" i="1" s="1"/>
  <c r="E62" i="1" s="1"/>
  <c r="E69" i="1" s="1"/>
  <c r="K29" i="1"/>
  <c r="K74" i="1" s="1"/>
  <c r="L27" i="1"/>
  <c r="L29" i="1" s="1"/>
  <c r="L74" i="1" s="1"/>
  <c r="F76" i="1"/>
  <c r="F85" i="1" s="1"/>
  <c r="F91" i="1" s="1"/>
  <c r="F93" i="1" s="1"/>
  <c r="H46" i="1"/>
  <c r="H77" i="1"/>
  <c r="E67" i="1"/>
  <c r="F65" i="1"/>
  <c r="K45" i="1"/>
  <c r="J83" i="1"/>
  <c r="J56" i="1"/>
  <c r="I86" i="1"/>
  <c r="I32" i="1"/>
  <c r="E94" i="1"/>
  <c r="F94" i="1" s="1"/>
  <c r="K3" i="1"/>
  <c r="J20" i="1"/>
  <c r="J9" i="1"/>
  <c r="J19" i="1" s="1"/>
  <c r="J18" i="1"/>
  <c r="I42" i="1"/>
  <c r="I80" i="1" s="1"/>
  <c r="I39" i="1"/>
  <c r="J17" i="1"/>
  <c r="I40" i="1"/>
  <c r="I78" i="1" s="1"/>
  <c r="I25" i="1"/>
  <c r="I26" i="1" s="1"/>
  <c r="I30" i="1" s="1"/>
  <c r="I44" i="1"/>
  <c r="I82" i="1" s="1"/>
  <c r="I43" i="1"/>
  <c r="I81" i="1" s="1"/>
  <c r="I41" i="1"/>
  <c r="I79" i="1" s="1"/>
  <c r="H50" i="1"/>
  <c r="G75" i="1"/>
  <c r="G76" i="1" s="1"/>
  <c r="G85" i="1" s="1"/>
  <c r="G91" i="1" s="1"/>
  <c r="G93" i="1" s="1"/>
  <c r="H48" i="1"/>
  <c r="G51" i="1"/>
  <c r="G53" i="1" s="1"/>
  <c r="G84" i="1"/>
  <c r="J74" i="1"/>
  <c r="J25" i="2"/>
  <c r="I25" i="2" s="1"/>
  <c r="K25" i="2" s="1"/>
  <c r="G26" i="2" s="1"/>
  <c r="L45" i="1" l="1"/>
  <c r="L83" i="1" s="1"/>
  <c r="K83" i="1"/>
  <c r="G95" i="1"/>
  <c r="G61" i="1" s="1"/>
  <c r="G62" i="1" s="1"/>
  <c r="F95" i="1"/>
  <c r="F61" i="1" s="1"/>
  <c r="F62" i="1" s="1"/>
  <c r="G94" i="1"/>
  <c r="H94" i="1" s="1"/>
  <c r="J42" i="1"/>
  <c r="J80" i="1" s="1"/>
  <c r="K17" i="1"/>
  <c r="J39" i="1"/>
  <c r="J40" i="1"/>
  <c r="J78" i="1" s="1"/>
  <c r="K56" i="1"/>
  <c r="J86" i="1"/>
  <c r="J32" i="1"/>
  <c r="L3" i="1"/>
  <c r="K20" i="1"/>
  <c r="K9" i="1"/>
  <c r="K19" i="1" s="1"/>
  <c r="K18" i="1"/>
  <c r="I48" i="1"/>
  <c r="H84" i="1"/>
  <c r="H51" i="1"/>
  <c r="H53" i="1" s="1"/>
  <c r="I33" i="1"/>
  <c r="I34" i="1" s="1"/>
  <c r="I35" i="1" s="1"/>
  <c r="J43" i="1"/>
  <c r="J81" i="1" s="1"/>
  <c r="J41" i="1"/>
  <c r="J79" i="1" s="1"/>
  <c r="J44" i="1"/>
  <c r="J82" i="1" s="1"/>
  <c r="J25" i="1"/>
  <c r="J26" i="1" s="1"/>
  <c r="J30" i="1" s="1"/>
  <c r="J33" i="1" s="1"/>
  <c r="J34" i="1" s="1"/>
  <c r="J35" i="1" s="1"/>
  <c r="G65" i="1"/>
  <c r="F67" i="1"/>
  <c r="I50" i="1"/>
  <c r="H75" i="1"/>
  <c r="H76" i="1" s="1"/>
  <c r="H85" i="1" s="1"/>
  <c r="H91" i="1" s="1"/>
  <c r="H93" i="1" s="1"/>
  <c r="H95" i="1" s="1"/>
  <c r="H61" i="1" s="1"/>
  <c r="H62" i="1" s="1"/>
  <c r="I46" i="1"/>
  <c r="I77" i="1"/>
  <c r="J26" i="2"/>
  <c r="I26" i="2" s="1"/>
  <c r="K26" i="2" s="1"/>
  <c r="J66" i="1" l="1"/>
  <c r="J73" i="1"/>
  <c r="K44" i="1"/>
  <c r="K82" i="1" s="1"/>
  <c r="K25" i="1"/>
  <c r="K26" i="1" s="1"/>
  <c r="K30" i="1" s="1"/>
  <c r="K33" i="1" s="1"/>
  <c r="K34" i="1" s="1"/>
  <c r="K35" i="1" s="1"/>
  <c r="K41" i="1"/>
  <c r="K79" i="1" s="1"/>
  <c r="K43" i="1"/>
  <c r="K81" i="1" s="1"/>
  <c r="L56" i="1"/>
  <c r="K86" i="1"/>
  <c r="K32" i="1"/>
  <c r="K42" i="1"/>
  <c r="K80" i="1" s="1"/>
  <c r="K40" i="1"/>
  <c r="K78" i="1" s="1"/>
  <c r="K39" i="1"/>
  <c r="L17" i="1"/>
  <c r="J77" i="1"/>
  <c r="J46" i="1"/>
  <c r="I94" i="1"/>
  <c r="I66" i="1"/>
  <c r="I73" i="1"/>
  <c r="J50" i="1"/>
  <c r="I75" i="1"/>
  <c r="G67" i="1"/>
  <c r="G69" i="1" s="1"/>
  <c r="H65" i="1"/>
  <c r="J48" i="1"/>
  <c r="I84" i="1"/>
  <c r="I51" i="1"/>
  <c r="I53" i="1" s="1"/>
  <c r="L20" i="1"/>
  <c r="L9" i="1"/>
  <c r="L19" i="1" s="1"/>
  <c r="L18" i="1"/>
  <c r="F69" i="1"/>
  <c r="K48" i="1" l="1"/>
  <c r="J84" i="1"/>
  <c r="J51" i="1"/>
  <c r="J53" i="1" s="1"/>
  <c r="K50" i="1"/>
  <c r="J75" i="1"/>
  <c r="L40" i="1"/>
  <c r="L78" i="1" s="1"/>
  <c r="L39" i="1"/>
  <c r="L42" i="1"/>
  <c r="L80" i="1" s="1"/>
  <c r="K46" i="1"/>
  <c r="K77" i="1"/>
  <c r="J76" i="1"/>
  <c r="J85" i="1" s="1"/>
  <c r="J91" i="1" s="1"/>
  <c r="J93" i="1" s="1"/>
  <c r="K66" i="1"/>
  <c r="K73" i="1"/>
  <c r="L86" i="1"/>
  <c r="L32" i="1"/>
  <c r="I65" i="1"/>
  <c r="H67" i="1"/>
  <c r="H69" i="1" s="1"/>
  <c r="L44" i="1"/>
  <c r="L82" i="1" s="1"/>
  <c r="L43" i="1"/>
  <c r="L81" i="1" s="1"/>
  <c r="L41" i="1"/>
  <c r="L79" i="1" s="1"/>
  <c r="L25" i="1"/>
  <c r="L26" i="1" s="1"/>
  <c r="L30" i="1" s="1"/>
  <c r="I76" i="1"/>
  <c r="I85" i="1" s="1"/>
  <c r="I91" i="1" s="1"/>
  <c r="I93" i="1" s="1"/>
  <c r="I95" i="1" s="1"/>
  <c r="I61" i="1" s="1"/>
  <c r="I62" i="1" s="1"/>
  <c r="L33" i="1" l="1"/>
  <c r="L34" i="1" s="1"/>
  <c r="L35" i="1" s="1"/>
  <c r="L66" i="1" s="1"/>
  <c r="L73" i="1"/>
  <c r="J94" i="1"/>
  <c r="K94" i="1" s="1"/>
  <c r="J65" i="1"/>
  <c r="I67" i="1"/>
  <c r="I69" i="1" s="1"/>
  <c r="L46" i="1"/>
  <c r="L77" i="1"/>
  <c r="L50" i="1"/>
  <c r="L75" i="1" s="1"/>
  <c r="K75" i="1"/>
  <c r="K76" i="1" s="1"/>
  <c r="L48" i="1"/>
  <c r="K51" i="1"/>
  <c r="K53" i="1" s="1"/>
  <c r="K84" i="1"/>
  <c r="K85" i="1" l="1"/>
  <c r="K91" i="1" s="1"/>
  <c r="K93" i="1" s="1"/>
  <c r="K95" i="1" s="1"/>
  <c r="K61" i="1" s="1"/>
  <c r="K62" i="1" s="1"/>
  <c r="K65" i="1"/>
  <c r="J67" i="1"/>
  <c r="L76" i="1"/>
  <c r="L84" i="1"/>
  <c r="L51" i="1"/>
  <c r="L53" i="1" s="1"/>
  <c r="J95" i="1"/>
  <c r="J61" i="1" s="1"/>
  <c r="J62" i="1" s="1"/>
  <c r="L94" i="1" l="1"/>
  <c r="L65" i="1"/>
  <c r="L67" i="1" s="1"/>
  <c r="K67" i="1"/>
  <c r="K69" i="1" s="1"/>
  <c r="J69" i="1"/>
  <c r="L85" i="1"/>
  <c r="L91" i="1" s="1"/>
  <c r="L93" i="1" s="1"/>
  <c r="L95" i="1" s="1"/>
  <c r="L61" i="1" s="1"/>
  <c r="L62" i="1" s="1"/>
  <c r="L69" i="1" s="1"/>
</calcChain>
</file>

<file path=xl/sharedStrings.xml><?xml version="1.0" encoding="utf-8"?>
<sst xmlns="http://schemas.openxmlformats.org/spreadsheetml/2006/main" count="218" uniqueCount="187">
  <si>
    <t>DATI DI INPUT</t>
  </si>
  <si>
    <t>Numero di pezzi</t>
  </si>
  <si>
    <t>Prezzo medio di vendita</t>
  </si>
  <si>
    <t>Costo medio MP a pezzo</t>
  </si>
  <si>
    <t>Costo del personale di struttura</t>
  </si>
  <si>
    <t>Ore a pezzo</t>
  </si>
  <si>
    <t>Costo orario</t>
  </si>
  <si>
    <t>Costo MOD</t>
  </si>
  <si>
    <t>Costo del personale indiretto</t>
  </si>
  <si>
    <t>Kwh a pezzo</t>
  </si>
  <si>
    <t>Costo Kw/h</t>
  </si>
  <si>
    <t>CONTO ECONOMICO</t>
  </si>
  <si>
    <t>PRODUZIONE</t>
  </si>
  <si>
    <t>Costo materie prime</t>
  </si>
  <si>
    <t>TARI</t>
  </si>
  <si>
    <t>IMU</t>
  </si>
  <si>
    <t>COSTI OPERATIVI MONETARI</t>
  </si>
  <si>
    <r>
      <t>EBITDA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</si>
  <si>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t>Ammoramenti immobilizzazioni materiali</t>
  </si>
  <si>
    <t>Ammortamenti immobilizzazioni immateriali</t>
  </si>
  <si>
    <t>Ammortamenti</t>
  </si>
  <si>
    <r>
      <t>EBIT 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</si>
  <si>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t>Proventi (Oneri) finanziari su mutuo</t>
  </si>
  <si>
    <t>Altri proventi (Oneri) finanziari</t>
  </si>
  <si>
    <r>
      <t>RISULTATO ANTE IMPOSTE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</si>
  <si>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t>Imposte</t>
  </si>
  <si>
    <r>
      <t>RISULTATO NETTO (</t>
    </r>
    <r>
      <rPr>
        <b/>
        <sz val="11"/>
        <color rgb="FF00B050"/>
        <rFont val="Calibri"/>
        <family val="2"/>
        <scheme val="minor"/>
      </rPr>
      <t>+</t>
    </r>
    <r>
      <rPr>
        <b/>
        <sz val="11"/>
        <rFont val="Calibri"/>
        <family val="2"/>
        <scheme val="minor"/>
      </rPr>
      <t>/</t>
    </r>
    <r>
      <rPr>
        <b/>
        <sz val="11"/>
        <color rgb="FFFF0000"/>
        <rFont val="Calibri"/>
        <family val="2"/>
        <scheme val="minor"/>
      </rPr>
      <t>-</t>
    </r>
    <r>
      <rPr>
        <b/>
        <sz val="11"/>
        <rFont val="Calibri"/>
        <family val="2"/>
        <scheme val="minor"/>
      </rPr>
      <t>)</t>
    </r>
  </si>
  <si>
    <t xml:space="preserve">Costo del personale </t>
  </si>
  <si>
    <t>Costi energetici e utenze</t>
  </si>
  <si>
    <t>Altri costi di produzione</t>
  </si>
  <si>
    <t>Altri costi variabili</t>
  </si>
  <si>
    <t>INVESTIMENTO</t>
  </si>
  <si>
    <t>Macchinari</t>
  </si>
  <si>
    <t>Impianti</t>
  </si>
  <si>
    <t>Lavori</t>
  </si>
  <si>
    <t>Altro</t>
  </si>
  <si>
    <t>TOTALE</t>
  </si>
  <si>
    <t>Durata (anni)</t>
  </si>
  <si>
    <t>Ammortamento annuo</t>
  </si>
  <si>
    <t>MUTUO A TASSO FISSO</t>
  </si>
  <si>
    <t>AMMORTAMENTO FRANCESE (RATA COSTANTE)</t>
  </si>
  <si>
    <t>MUTUO</t>
  </si>
  <si>
    <t>IMPORTI</t>
  </si>
  <si>
    <t>RATA</t>
  </si>
  <si>
    <t>Anno</t>
  </si>
  <si>
    <t>Debito Iniziale</t>
  </si>
  <si>
    <t>Rata</t>
  </si>
  <si>
    <t xml:space="preserve">Capitale </t>
  </si>
  <si>
    <t>Interessi</t>
  </si>
  <si>
    <t>Debito finale</t>
  </si>
  <si>
    <t>Importo</t>
  </si>
  <si>
    <t>IRS</t>
  </si>
  <si>
    <t>Spread</t>
  </si>
  <si>
    <t>Tasso annuale</t>
  </si>
  <si>
    <t>IMPIEGHI</t>
  </si>
  <si>
    <t>Crediti verso clienti</t>
  </si>
  <si>
    <t>Atri crediti operativi</t>
  </si>
  <si>
    <t>Rimanenze MP</t>
  </si>
  <si>
    <t>Rimanenze PF</t>
  </si>
  <si>
    <t>(Fornitori)</t>
  </si>
  <si>
    <t>(Altri debiti operativi)</t>
  </si>
  <si>
    <t>Ratei e risconti</t>
  </si>
  <si>
    <t>Capitale Circolante Netto</t>
  </si>
  <si>
    <t>Immobilizzazioni finanziarie</t>
  </si>
  <si>
    <t>Immobilizzazioni materiali</t>
  </si>
  <si>
    <t>Immobilizzazioni immateriali</t>
  </si>
  <si>
    <t>(TFR)</t>
  </si>
  <si>
    <t>Capitale immobilizzato netto</t>
  </si>
  <si>
    <t>TOTALE IMPIEGHI (CIN)</t>
  </si>
  <si>
    <t>FONTI</t>
  </si>
  <si>
    <t>Debito vs Banche BT</t>
  </si>
  <si>
    <t>Debito vs Banche MLT</t>
  </si>
  <si>
    <t>Altre passività finanziarie BT</t>
  </si>
  <si>
    <t>Altre passività finanziarie MLT</t>
  </si>
  <si>
    <t>Debito vs altri finanziatori</t>
  </si>
  <si>
    <t>(Liquidità)</t>
  </si>
  <si>
    <t>Posizione Finanziaria Netta</t>
  </si>
  <si>
    <t>Capitale Sociale</t>
  </si>
  <si>
    <t xml:space="preserve">Riserve </t>
  </si>
  <si>
    <t>Utili o perdite portati a nuovo</t>
  </si>
  <si>
    <t>Risultato d'esercizio</t>
  </si>
  <si>
    <t>Patrimonio Netto</t>
  </si>
  <si>
    <t>TOTALE FONTI</t>
  </si>
  <si>
    <t>FLUSSO DI CASSA</t>
  </si>
  <si>
    <t>Reddito Netto</t>
  </si>
  <si>
    <t>Ammortamenti e Accantonamenti</t>
  </si>
  <si>
    <t>Accantonamenti TFR</t>
  </si>
  <si>
    <t>LIQUIDITA' PRIMARIA</t>
  </si>
  <si>
    <t>Variazioni crediti verso clienti</t>
  </si>
  <si>
    <t>Variazioni altri crediti operativi</t>
  </si>
  <si>
    <t>Variazione rimanenze MP</t>
  </si>
  <si>
    <t>Variazione rimanenze PF</t>
  </si>
  <si>
    <t>Variazione debiti verso fornitori</t>
  </si>
  <si>
    <t>Variazione altri debiti operativi</t>
  </si>
  <si>
    <t>Altre variazioni</t>
  </si>
  <si>
    <t>CAPEX</t>
  </si>
  <si>
    <t>LIQUIDITA' GENERATA DALLA GESTIONE (FCFF)</t>
  </si>
  <si>
    <t>Variazione debiti finanziari a BT</t>
  </si>
  <si>
    <t>Variazione debiti finanziari a MLT</t>
  </si>
  <si>
    <t>Variazione altri debiti</t>
  </si>
  <si>
    <t>Variazioni debiti verso altri finanziatori</t>
  </si>
  <si>
    <t>LIQUIDITA' DISPONIBILE</t>
  </si>
  <si>
    <t>Variazioni Patrimonio</t>
  </si>
  <si>
    <t>LIQUIDITA' GENERATA NETTA (FCFE)</t>
  </si>
  <si>
    <t>Liquidità iniziale</t>
  </si>
  <si>
    <t>LIQUIDITA' FINALE</t>
  </si>
  <si>
    <t>check</t>
  </si>
  <si>
    <t>PARAMETRI FINANZIARI</t>
  </si>
  <si>
    <t>Durata media crediti verso clienti</t>
  </si>
  <si>
    <t>Durata media altri crediti operativi</t>
  </si>
  <si>
    <t>Durata media scorte MP</t>
  </si>
  <si>
    <t>Durata media scorte PF</t>
  </si>
  <si>
    <t>Durata media debiti verso fornitori</t>
  </si>
  <si>
    <t>Durata media altri debiti operativi</t>
  </si>
  <si>
    <t>STATO PATRIMONIALE</t>
  </si>
  <si>
    <t>D / (D + E)</t>
  </si>
  <si>
    <t>Kf</t>
  </si>
  <si>
    <t>ß</t>
  </si>
  <si>
    <t>E' il WACC "effettivo"</t>
  </si>
  <si>
    <t xml:space="preserve">Km  </t>
  </si>
  <si>
    <t>Kd</t>
  </si>
  <si>
    <t>Onerosità effettiva</t>
  </si>
  <si>
    <t>Km - Kf</t>
  </si>
  <si>
    <t>Kd (1-t)</t>
  </si>
  <si>
    <t>Usata aliquota ipotetica di CE</t>
  </si>
  <si>
    <t>Ke</t>
  </si>
  <si>
    <t>Dato imposto</t>
  </si>
  <si>
    <t>D / (D+E)</t>
  </si>
  <si>
    <t>Struttura finanziaria effettiva</t>
  </si>
  <si>
    <t>E / (D+E)</t>
  </si>
  <si>
    <t>WACC</t>
  </si>
  <si>
    <t>Dato risultante</t>
  </si>
  <si>
    <t>t</t>
  </si>
  <si>
    <t>Kd (1 - t)</t>
  </si>
  <si>
    <t>VAN</t>
  </si>
  <si>
    <t>Periodi</t>
  </si>
  <si>
    <t>Flusso</t>
  </si>
  <si>
    <t>Flusso attualizzato</t>
  </si>
  <si>
    <t>Flusso attaulizzato cumulato</t>
  </si>
  <si>
    <t>Tasso di interesse</t>
  </si>
  <si>
    <t>TIR</t>
  </si>
  <si>
    <t>VALORE</t>
  </si>
  <si>
    <t>PAYBACK PERIOD</t>
  </si>
  <si>
    <t>Anni interi con flusso cumulato negativo</t>
  </si>
  <si>
    <t>Flusso dell'anno di payback</t>
  </si>
  <si>
    <t>Saldo anno precedente al payback</t>
  </si>
  <si>
    <t>% anno con saldo negativo</t>
  </si>
  <si>
    <t>anni</t>
  </si>
  <si>
    <t>mese</t>
  </si>
  <si>
    <t>ROIC</t>
  </si>
  <si>
    <t>Reddito Operativo (EBIT)</t>
  </si>
  <si>
    <t>CIN (Capitale Investito Netto)</t>
  </si>
  <si>
    <t>OPPURE</t>
  </si>
  <si>
    <t>Reddito Operativo netto imposte (NOPAT)</t>
  </si>
  <si>
    <t>altro foglio</t>
  </si>
  <si>
    <t>EVA</t>
  </si>
  <si>
    <t xml:space="preserve">oppure </t>
  </si>
  <si>
    <t xml:space="preserve">4 anni </t>
  </si>
  <si>
    <t>e</t>
  </si>
  <si>
    <t>DATI</t>
  </si>
  <si>
    <t xml:space="preserve">EVA   </t>
  </si>
  <si>
    <t>EVA % = (ROIC - WACC)</t>
  </si>
  <si>
    <t>EVA € = (ROIC - WACC) x CIN</t>
  </si>
  <si>
    <t>VERIFICA</t>
  </si>
  <si>
    <t>Rendimento degli impieghi</t>
  </si>
  <si>
    <t>Costo delle fonti</t>
  </si>
  <si>
    <t>Differenza</t>
  </si>
  <si>
    <t>quadratura</t>
  </si>
  <si>
    <t>EVA %</t>
  </si>
  <si>
    <t>EVA €</t>
  </si>
  <si>
    <t>COSTO</t>
  </si>
  <si>
    <t>Debito</t>
  </si>
  <si>
    <t>Equity</t>
  </si>
  <si>
    <t>Totale</t>
  </si>
  <si>
    <t>INDICATORI STRUTTURALI</t>
  </si>
  <si>
    <t>Indice di indebitamento                                                 D / E</t>
  </si>
  <si>
    <t>Indice di compertura delle immobilizzazioni           (E + Dmlt) / AI</t>
  </si>
  <si>
    <t xml:space="preserve">Indice di liquidità                                                           AC / PBT     </t>
  </si>
  <si>
    <t>DSCR</t>
  </si>
  <si>
    <t>Flusso di cassa</t>
  </si>
  <si>
    <t>Servizio del debito</t>
  </si>
  <si>
    <t>LLCR</t>
  </si>
  <si>
    <t>VAN flussi successivi</t>
  </si>
  <si>
    <t>R</t>
  </si>
  <si>
    <t>VALUTAZIONE DELL'INVESTIMENTO</t>
  </si>
  <si>
    <t>VALUTAZIONE DI REDDITIVITA'</t>
  </si>
  <si>
    <t>VALUTAZIONE DELLA TENUTA FINANZIARIA E DELLA SOLVIBILITA' DELL'IMPRESA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</si>
</sst>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  <numFmt numFmtId="165" formatCode="_-* #,##0\ _€_-;\-* #,##0\ _€_-;_-* &quot;-&quot;??\ _€_-;_-@_-"/>
    <numFmt numFmtId="166" formatCode="_-* #,##0.00_-;\-* #,##0.00_-;_-* &quot;-&quot;??_-;_-@_-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auto="1"/>
      </top>
      <bottom/>
      <diagonal/>
    </border>
    <border>
      <left style="thin">
        <color theme="0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44" fontId="0" fillId="0" borderId="3" xfId="0" applyNumberFormat="1" applyBorder="1"/>
    <xf numFmtId="164" fontId="0" fillId="0" borderId="0" xfId="3" applyNumberFormat="1" applyFont="1"/>
    <xf numFmtId="0" fontId="4" fillId="0" borderId="0" xfId="5" applyFont="1" applyBorder="1" applyAlignment="1">
      <alignment vertical="center"/>
    </xf>
    <xf numFmtId="0" fontId="8" fillId="0" borderId="2" xfId="5" applyFont="1" applyBorder="1" applyAlignment="1">
      <alignment vertical="center"/>
    </xf>
    <xf numFmtId="44" fontId="4" fillId="0" borderId="0" xfId="4" applyFont="1" applyBorder="1" applyAlignment="1">
      <alignment vertical="center"/>
    </xf>
    <xf numFmtId="0" fontId="4" fillId="0" borderId="0" xfId="5" applyFont="1" applyFill="1" applyBorder="1" applyAlignment="1">
      <alignment vertical="center"/>
    </xf>
    <xf numFmtId="3" fontId="4" fillId="0" borderId="0" xfId="6" applyNumberFormat="1" applyFont="1" applyFill="1" applyBorder="1" applyAlignment="1">
      <alignment vertical="center"/>
    </xf>
    <xf numFmtId="44" fontId="8" fillId="0" borderId="2" xfId="4" applyFont="1" applyBorder="1" applyAlignment="1">
      <alignment vertical="center"/>
    </xf>
    <xf numFmtId="0" fontId="4" fillId="0" borderId="3" xfId="5" applyFont="1" applyFill="1" applyBorder="1" applyAlignment="1">
      <alignment vertical="center"/>
    </xf>
    <xf numFmtId="0" fontId="0" fillId="0" borderId="6" xfId="0" applyBorder="1"/>
    <xf numFmtId="0" fontId="0" fillId="0" borderId="0" xfId="0"/>
    <xf numFmtId="10" fontId="0" fillId="0" borderId="0" xfId="2" applyNumberFormat="1" applyFont="1"/>
    <xf numFmtId="0" fontId="2" fillId="2" borderId="0" xfId="5" applyFont="1" applyFill="1" applyAlignment="1">
      <alignment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3" xfId="0" applyFont="1" applyBorder="1"/>
    <xf numFmtId="44" fontId="0" fillId="0" borderId="0" xfId="4" applyFont="1"/>
    <xf numFmtId="44" fontId="0" fillId="0" borderId="3" xfId="4" applyFont="1" applyBorder="1"/>
    <xf numFmtId="44" fontId="0" fillId="0" borderId="0" xfId="4" applyFont="1" applyBorder="1"/>
    <xf numFmtId="0" fontId="0" fillId="0" borderId="0" xfId="0"/>
    <xf numFmtId="0" fontId="2" fillId="2" borderId="1" xfId="5" applyFont="1" applyFill="1" applyBorder="1" applyAlignment="1">
      <alignment horizontal="center" vertical="center" wrapText="1"/>
    </xf>
    <xf numFmtId="0" fontId="4" fillId="0" borderId="0" xfId="5" applyFont="1" applyBorder="1" applyAlignment="1">
      <alignment vertical="center"/>
    </xf>
    <xf numFmtId="0" fontId="2" fillId="2" borderId="0" xfId="5" applyFont="1" applyFill="1" applyAlignment="1">
      <alignment vertical="center"/>
    </xf>
    <xf numFmtId="0" fontId="4" fillId="0" borderId="0" xfId="0" applyFont="1" applyBorder="1"/>
    <xf numFmtId="165" fontId="4" fillId="0" borderId="0" xfId="3" applyNumberFormat="1" applyFont="1" applyBorder="1" applyAlignment="1">
      <alignment vertical="center"/>
    </xf>
    <xf numFmtId="0" fontId="4" fillId="0" borderId="3" xfId="5" applyFont="1" applyBorder="1" applyAlignment="1">
      <alignment vertical="center"/>
    </xf>
    <xf numFmtId="165" fontId="4" fillId="0" borderId="3" xfId="3" applyNumberFormat="1" applyFont="1" applyBorder="1" applyAlignment="1">
      <alignment vertical="center"/>
    </xf>
    <xf numFmtId="0" fontId="0" fillId="0" borderId="0" xfId="0"/>
    <xf numFmtId="43" fontId="0" fillId="0" borderId="0" xfId="3" applyFont="1"/>
    <xf numFmtId="0" fontId="0" fillId="0" borderId="3" xfId="0" applyBorder="1"/>
    <xf numFmtId="0" fontId="0" fillId="0" borderId="8" xfId="0" applyBorder="1"/>
    <xf numFmtId="0" fontId="0" fillId="0" borderId="0" xfId="0" applyFill="1"/>
    <xf numFmtId="3" fontId="0" fillId="0" borderId="0" xfId="0" applyNumberFormat="1"/>
    <xf numFmtId="10" fontId="0" fillId="0" borderId="0" xfId="2" applyNumberFormat="1" applyFont="1"/>
    <xf numFmtId="10" fontId="0" fillId="0" borderId="3" xfId="2" applyNumberFormat="1" applyFont="1" applyFill="1" applyBorder="1"/>
    <xf numFmtId="0" fontId="0" fillId="0" borderId="7" xfId="0" applyBorder="1"/>
    <xf numFmtId="10" fontId="0" fillId="0" borderId="7" xfId="0" applyNumberFormat="1" applyFill="1" applyBorder="1"/>
    <xf numFmtId="43" fontId="0" fillId="0" borderId="0" xfId="0" applyNumberFormat="1"/>
    <xf numFmtId="10" fontId="0" fillId="0" borderId="0" xfId="0" applyNumberFormat="1" applyFill="1"/>
    <xf numFmtId="10" fontId="0" fillId="0" borderId="3" xfId="2" applyNumberFormat="1" applyFont="1" applyBorder="1"/>
    <xf numFmtId="10" fontId="0" fillId="0" borderId="0" xfId="2" applyNumberFormat="1" applyFont="1" applyFill="1"/>
    <xf numFmtId="10" fontId="0" fillId="0" borderId="8" xfId="0" applyNumberFormat="1" applyFill="1" applyBorder="1"/>
    <xf numFmtId="0" fontId="0" fillId="0" borderId="0" xfId="0"/>
    <xf numFmtId="165" fontId="0" fillId="0" borderId="0" xfId="3" applyNumberFormat="1" applyFont="1" applyFill="1" applyBorder="1"/>
    <xf numFmtId="165" fontId="3" fillId="0" borderId="3" xfId="3" applyNumberFormat="1" applyFont="1" applyFill="1" applyBorder="1"/>
    <xf numFmtId="10" fontId="3" fillId="0" borderId="8" xfId="0" applyNumberFormat="1" applyFont="1" applyFill="1" applyBorder="1"/>
    <xf numFmtId="43" fontId="0" fillId="0" borderId="3" xfId="3" applyFont="1" applyFill="1" applyBorder="1"/>
    <xf numFmtId="0" fontId="2" fillId="2" borderId="1" xfId="5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3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7" xfId="0" applyFont="1" applyFill="1" applyBorder="1"/>
    <xf numFmtId="0" fontId="0" fillId="0" borderId="3" xfId="0" applyFont="1" applyFill="1" applyBorder="1"/>
    <xf numFmtId="2" fontId="0" fillId="0" borderId="0" xfId="2" applyNumberFormat="1" applyFont="1" applyFill="1" applyBorder="1"/>
    <xf numFmtId="10" fontId="3" fillId="0" borderId="3" xfId="2" applyNumberFormat="1" applyFont="1" applyFill="1" applyBorder="1" applyAlignment="1">
      <alignment vertical="center"/>
    </xf>
    <xf numFmtId="1" fontId="0" fillId="0" borderId="3" xfId="0" applyNumberFormat="1" applyFont="1" applyFill="1" applyBorder="1"/>
    <xf numFmtId="44" fontId="0" fillId="0" borderId="3" xfId="4" applyFont="1" applyBorder="1"/>
    <xf numFmtId="44" fontId="0" fillId="0" borderId="0" xfId="4" applyFont="1" applyFill="1" applyBorder="1"/>
    <xf numFmtId="44" fontId="0" fillId="0" borderId="3" xfId="1" applyFont="1" applyBorder="1"/>
    <xf numFmtId="0" fontId="0" fillId="0" borderId="0" xfId="0"/>
    <xf numFmtId="0" fontId="0" fillId="0" borderId="3" xfId="0" applyBorder="1"/>
    <xf numFmtId="0" fontId="0" fillId="0" borderId="0" xfId="0" applyAlignment="1">
      <alignment vertical="center"/>
    </xf>
    <xf numFmtId="0" fontId="3" fillId="0" borderId="8" xfId="0" applyFont="1" applyBorder="1"/>
    <xf numFmtId="2" fontId="3" fillId="0" borderId="8" xfId="0" applyNumberFormat="1" applyFont="1" applyBorder="1"/>
    <xf numFmtId="0" fontId="0" fillId="0" borderId="0" xfId="0"/>
    <xf numFmtId="10" fontId="0" fillId="0" borderId="0" xfId="0" applyNumberFormat="1"/>
    <xf numFmtId="0" fontId="2" fillId="2" borderId="11" xfId="5" applyFont="1" applyFill="1" applyBorder="1" applyAlignment="1">
      <alignment horizontal="center" vertical="center"/>
    </xf>
    <xf numFmtId="43" fontId="4" fillId="0" borderId="0" xfId="7" applyFont="1" applyBorder="1" applyAlignment="1">
      <alignment vertical="center"/>
    </xf>
    <xf numFmtId="43" fontId="4" fillId="0" borderId="3" xfId="7" applyFont="1" applyBorder="1" applyAlignment="1">
      <alignment vertical="center"/>
    </xf>
    <xf numFmtId="165" fontId="4" fillId="3" borderId="0" xfId="7" applyNumberFormat="1" applyFont="1" applyFill="1" applyBorder="1" applyAlignment="1">
      <alignment vertical="center"/>
    </xf>
    <xf numFmtId="165" fontId="4" fillId="0" borderId="0" xfId="7" applyNumberFormat="1" applyFont="1" applyBorder="1" applyAlignment="1">
      <alignment vertical="center"/>
    </xf>
    <xf numFmtId="43" fontId="4" fillId="3" borderId="3" xfId="7" applyFont="1" applyFill="1" applyBorder="1" applyAlignment="1">
      <alignment vertical="center"/>
    </xf>
    <xf numFmtId="0" fontId="2" fillId="2" borderId="9" xfId="5" applyFont="1" applyFill="1" applyBorder="1" applyAlignment="1">
      <alignment horizontal="center" vertical="center" wrapText="1"/>
    </xf>
    <xf numFmtId="0" fontId="7" fillId="2" borderId="9" xfId="5" applyFont="1" applyFill="1" applyBorder="1" applyAlignment="1">
      <alignment horizontal="center" vertical="center" wrapText="1"/>
    </xf>
    <xf numFmtId="44" fontId="4" fillId="0" borderId="0" xfId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43" fontId="0" fillId="0" borderId="0" xfId="7" applyFont="1"/>
    <xf numFmtId="44" fontId="3" fillId="0" borderId="3" xfId="0" applyNumberFormat="1" applyFont="1" applyBorder="1"/>
    <xf numFmtId="44" fontId="4" fillId="0" borderId="0" xfId="4" applyNumberFormat="1" applyFont="1" applyBorder="1" applyAlignment="1">
      <alignment vertical="center"/>
    </xf>
    <xf numFmtId="44" fontId="0" fillId="0" borderId="4" xfId="1" applyFont="1" applyBorder="1"/>
    <xf numFmtId="44" fontId="4" fillId="0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2" fillId="2" borderId="0" xfId="5" applyFont="1" applyFill="1" applyAlignment="1">
      <alignment horizontal="center" vertical="center" wrapText="1"/>
    </xf>
    <xf numFmtId="0" fontId="7" fillId="2" borderId="0" xfId="5" applyFont="1" applyFill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10" fontId="0" fillId="0" borderId="17" xfId="0" applyNumberFormat="1" applyBorder="1"/>
    <xf numFmtId="0" fontId="3" fillId="0" borderId="14" xfId="0" applyFont="1" applyBorder="1" applyAlignment="1">
      <alignment vertical="center"/>
    </xf>
    <xf numFmtId="10" fontId="0" fillId="0" borderId="15" xfId="0" applyNumberFormat="1" applyBorder="1"/>
    <xf numFmtId="164" fontId="0" fillId="0" borderId="15" xfId="0" applyNumberFormat="1" applyBorder="1"/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44" fontId="0" fillId="0" borderId="17" xfId="0" applyNumberFormat="1" applyBorder="1"/>
    <xf numFmtId="0" fontId="0" fillId="0" borderId="12" xfId="0" applyBorder="1" applyAlignment="1">
      <alignment vertical="center"/>
    </xf>
    <xf numFmtId="44" fontId="0" fillId="0" borderId="13" xfId="0" applyNumberFormat="1" applyBorder="1"/>
    <xf numFmtId="0" fontId="0" fillId="0" borderId="14" xfId="0" applyBorder="1" applyAlignment="1">
      <alignment vertical="center"/>
    </xf>
    <xf numFmtId="44" fontId="0" fillId="0" borderId="15" xfId="0" applyNumberFormat="1" applyBorder="1"/>
    <xf numFmtId="0" fontId="7" fillId="2" borderId="10" xfId="5" applyFont="1" applyFill="1" applyBorder="1" applyAlignment="1">
      <alignment horizontal="center" vertical="center" wrapText="1"/>
    </xf>
    <xf numFmtId="0" fontId="7" fillId="2" borderId="17" xfId="5" applyFont="1" applyFill="1" applyBorder="1" applyAlignment="1">
      <alignment horizontal="center" vertical="center" wrapText="1"/>
    </xf>
    <xf numFmtId="0" fontId="0" fillId="0" borderId="12" xfId="0" applyBorder="1"/>
    <xf numFmtId="44" fontId="0" fillId="0" borderId="13" xfId="1" applyFont="1" applyBorder="1"/>
    <xf numFmtId="0" fontId="0" fillId="0" borderId="14" xfId="0" applyBorder="1"/>
    <xf numFmtId="0" fontId="3" fillId="0" borderId="18" xfId="0" applyFont="1" applyBorder="1"/>
    <xf numFmtId="44" fontId="3" fillId="0" borderId="16" xfId="1" applyFont="1" applyBorder="1"/>
    <xf numFmtId="0" fontId="5" fillId="2" borderId="2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44" fontId="0" fillId="0" borderId="0" xfId="1" applyFont="1" applyBorder="1"/>
    <xf numFmtId="44" fontId="0" fillId="0" borderId="23" xfId="1" applyFont="1" applyBorder="1"/>
    <xf numFmtId="44" fontId="0" fillId="0" borderId="25" xfId="1" applyFont="1" applyBorder="1"/>
    <xf numFmtId="44" fontId="3" fillId="0" borderId="0" xfId="1" applyFont="1" applyBorder="1"/>
    <xf numFmtId="44" fontId="3" fillId="0" borderId="23" xfId="1" applyFont="1" applyBorder="1"/>
    <xf numFmtId="0" fontId="0" fillId="0" borderId="28" xfId="0" applyBorder="1"/>
    <xf numFmtId="0" fontId="0" fillId="0" borderId="0" xfId="0" applyBorder="1"/>
    <xf numFmtId="0" fontId="0" fillId="0" borderId="23" xfId="0" applyBorder="1"/>
    <xf numFmtId="0" fontId="8" fillId="0" borderId="22" xfId="0" applyFont="1" applyBorder="1" applyAlignment="1">
      <alignment vertical="center"/>
    </xf>
    <xf numFmtId="44" fontId="0" fillId="0" borderId="29" xfId="1" applyFont="1" applyBorder="1"/>
    <xf numFmtId="0" fontId="8" fillId="0" borderId="27" xfId="0" applyFont="1" applyBorder="1" applyAlignment="1">
      <alignment vertical="center"/>
    </xf>
    <xf numFmtId="44" fontId="3" fillId="0" borderId="4" xfId="1" applyFont="1" applyBorder="1"/>
    <xf numFmtId="44" fontId="3" fillId="0" borderId="29" xfId="1" applyFont="1" applyBorder="1"/>
    <xf numFmtId="0" fontId="3" fillId="0" borderId="24" xfId="0" applyFont="1" applyBorder="1"/>
    <xf numFmtId="44" fontId="3" fillId="0" borderId="25" xfId="0" applyNumberFormat="1" applyFont="1" applyBorder="1"/>
    <xf numFmtId="0" fontId="0" fillId="0" borderId="22" xfId="0" applyBorder="1"/>
    <xf numFmtId="44" fontId="0" fillId="0" borderId="0" xfId="0" applyNumberFormat="1" applyFont="1" applyBorder="1"/>
    <xf numFmtId="44" fontId="0" fillId="0" borderId="23" xfId="0" applyNumberFormat="1" applyFont="1" applyBorder="1"/>
    <xf numFmtId="0" fontId="4" fillId="0" borderId="22" xfId="5" applyFont="1" applyBorder="1" applyAlignment="1">
      <alignment vertical="center"/>
    </xf>
    <xf numFmtId="44" fontId="0" fillId="0" borderId="0" xfId="0" applyNumberFormat="1" applyBorder="1"/>
    <xf numFmtId="44" fontId="0" fillId="0" borderId="23" xfId="0" applyNumberFormat="1" applyBorder="1"/>
    <xf numFmtId="44" fontId="4" fillId="0" borderId="23" xfId="4" applyNumberFormat="1" applyFont="1" applyBorder="1" applyAlignment="1">
      <alignment vertical="center"/>
    </xf>
    <xf numFmtId="44" fontId="3" fillId="0" borderId="0" xfId="0" applyNumberFormat="1" applyFont="1" applyBorder="1"/>
    <xf numFmtId="44" fontId="3" fillId="0" borderId="23" xfId="0" applyNumberFormat="1" applyFont="1" applyBorder="1"/>
    <xf numFmtId="44" fontId="0" fillId="0" borderId="25" xfId="0" applyNumberFormat="1" applyBorder="1"/>
    <xf numFmtId="44" fontId="3" fillId="0" borderId="4" xfId="0" applyNumberFormat="1" applyFont="1" applyBorder="1"/>
    <xf numFmtId="44" fontId="3" fillId="0" borderId="29" xfId="0" applyNumberFormat="1" applyFont="1" applyBorder="1"/>
    <xf numFmtId="0" fontId="4" fillId="0" borderId="24" xfId="5" applyFont="1" applyBorder="1" applyAlignment="1">
      <alignment vertical="center"/>
    </xf>
    <xf numFmtId="44" fontId="4" fillId="0" borderId="25" xfId="1" applyFont="1" applyFill="1" applyBorder="1" applyAlignment="1">
      <alignment horizontal="center" vertical="center"/>
    </xf>
    <xf numFmtId="0" fontId="4" fillId="0" borderId="27" xfId="5" applyFont="1" applyBorder="1" applyAlignment="1">
      <alignment vertical="center"/>
    </xf>
    <xf numFmtId="167" fontId="9" fillId="0" borderId="27" xfId="6" applyNumberFormat="1" applyFont="1" applyBorder="1" applyAlignment="1">
      <alignment horizontal="right" vertical="center"/>
    </xf>
    <xf numFmtId="0" fontId="2" fillId="2" borderId="22" xfId="5" applyFont="1" applyFill="1" applyBorder="1" applyAlignment="1">
      <alignment vertical="center" wrapText="1"/>
    </xf>
    <xf numFmtId="0" fontId="2" fillId="2" borderId="31" xfId="5" applyFont="1" applyFill="1" applyBorder="1" applyAlignment="1">
      <alignment horizontal="center" vertical="center" wrapText="1"/>
    </xf>
    <xf numFmtId="0" fontId="0" fillId="0" borderId="22" xfId="0" applyFont="1" applyBorder="1"/>
    <xf numFmtId="0" fontId="0" fillId="0" borderId="0" xfId="0" applyFont="1" applyBorder="1"/>
    <xf numFmtId="0" fontId="0" fillId="0" borderId="23" xfId="0" applyFont="1" applyBorder="1"/>
    <xf numFmtId="44" fontId="0" fillId="0" borderId="23" xfId="4" applyFont="1" applyFill="1" applyBorder="1"/>
    <xf numFmtId="0" fontId="0" fillId="0" borderId="24" xfId="0" applyFont="1" applyBorder="1"/>
    <xf numFmtId="44" fontId="0" fillId="0" borderId="25" xfId="4" applyFont="1" applyBorder="1"/>
    <xf numFmtId="0" fontId="0" fillId="0" borderId="30" xfId="0" applyFont="1" applyBorder="1"/>
    <xf numFmtId="10" fontId="0" fillId="0" borderId="0" xfId="0" applyNumberFormat="1" applyFont="1" applyBorder="1"/>
    <xf numFmtId="0" fontId="0" fillId="0" borderId="32" xfId="0" applyFont="1" applyBorder="1"/>
    <xf numFmtId="0" fontId="0" fillId="0" borderId="25" xfId="0" applyFont="1" applyBorder="1"/>
    <xf numFmtId="0" fontId="0" fillId="0" borderId="0" xfId="0" applyFont="1" applyFill="1" applyBorder="1"/>
    <xf numFmtId="0" fontId="2" fillId="2" borderId="0" xfId="5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2" xfId="0" applyFont="1" applyBorder="1"/>
    <xf numFmtId="10" fontId="3" fillId="0" borderId="0" xfId="0" applyNumberFormat="1" applyFont="1" applyBorder="1"/>
    <xf numFmtId="44" fontId="0" fillId="0" borderId="0" xfId="1" applyFont="1" applyFill="1" applyBorder="1"/>
    <xf numFmtId="0" fontId="0" fillId="0" borderId="27" xfId="0" applyBorder="1"/>
    <xf numFmtId="0" fontId="0" fillId="0" borderId="4" xfId="0" applyBorder="1"/>
    <xf numFmtId="0" fontId="0" fillId="0" borderId="29" xfId="0" applyBorder="1"/>
    <xf numFmtId="0" fontId="0" fillId="0" borderId="22" xfId="0" applyFont="1" applyBorder="1" applyAlignment="1">
      <alignment vertical="center"/>
    </xf>
    <xf numFmtId="44" fontId="0" fillId="0" borderId="0" xfId="4" applyFont="1" applyFill="1" applyBorder="1" applyAlignment="1">
      <alignment vertical="center"/>
    </xf>
    <xf numFmtId="44" fontId="0" fillId="0" borderId="23" xfId="4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10" fontId="3" fillId="0" borderId="25" xfId="2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44" fontId="0" fillId="0" borderId="0" xfId="1" applyFont="1" applyFill="1" applyBorder="1" applyAlignment="1">
      <alignment vertical="center"/>
    </xf>
    <xf numFmtId="44" fontId="0" fillId="0" borderId="23" xfId="1" applyFont="1" applyFill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30" xfId="5" applyFont="1" applyFill="1" applyBorder="1" applyAlignment="1">
      <alignment vertical="center"/>
    </xf>
    <xf numFmtId="0" fontId="2" fillId="2" borderId="36" xfId="5" applyFont="1" applyFill="1" applyBorder="1" applyAlignment="1">
      <alignment horizontal="center" vertical="center"/>
    </xf>
    <xf numFmtId="43" fontId="4" fillId="0" borderId="23" xfId="7" applyFont="1" applyBorder="1" applyAlignment="1">
      <alignment vertical="center"/>
    </xf>
    <xf numFmtId="43" fontId="4" fillId="0" borderId="25" xfId="7" applyFont="1" applyBorder="1" applyAlignment="1">
      <alignment vertical="center"/>
    </xf>
    <xf numFmtId="44" fontId="4" fillId="0" borderId="23" xfId="1" applyFont="1" applyBorder="1" applyAlignment="1">
      <alignment vertical="center"/>
    </xf>
    <xf numFmtId="164" fontId="4" fillId="0" borderId="23" xfId="1" applyNumberFormat="1" applyFont="1" applyBorder="1" applyAlignment="1">
      <alignment vertical="center"/>
    </xf>
    <xf numFmtId="165" fontId="4" fillId="0" borderId="23" xfId="7" applyNumberFormat="1" applyFont="1" applyBorder="1" applyAlignment="1">
      <alignment vertical="center"/>
    </xf>
    <xf numFmtId="43" fontId="4" fillId="3" borderId="4" xfId="7" applyFont="1" applyFill="1" applyBorder="1" applyAlignment="1">
      <alignment vertical="center"/>
    </xf>
    <xf numFmtId="43" fontId="4" fillId="0" borderId="4" xfId="7" applyFont="1" applyBorder="1" applyAlignment="1">
      <alignment vertical="center"/>
    </xf>
    <xf numFmtId="43" fontId="4" fillId="3" borderId="29" xfId="7" applyFont="1" applyFill="1" applyBorder="1" applyAlignment="1">
      <alignment vertical="center"/>
    </xf>
    <xf numFmtId="0" fontId="5" fillId="2" borderId="5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23" xfId="0" applyNumberFormat="1" applyBorder="1"/>
    <xf numFmtId="4" fontId="0" fillId="0" borderId="0" xfId="0" applyNumberFormat="1" applyBorder="1"/>
    <xf numFmtId="4" fontId="0" fillId="0" borderId="23" xfId="0" applyNumberFormat="1" applyBorder="1"/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0" fillId="0" borderId="41" xfId="0" applyBorder="1"/>
    <xf numFmtId="0" fontId="0" fillId="0" borderId="40" xfId="0" applyBorder="1"/>
    <xf numFmtId="0" fontId="5" fillId="2" borderId="42" xfId="0" applyFont="1" applyFill="1" applyBorder="1" applyAlignment="1">
      <alignment horizontal="center"/>
    </xf>
    <xf numFmtId="0" fontId="3" fillId="0" borderId="43" xfId="0" applyFont="1" applyBorder="1"/>
    <xf numFmtId="0" fontId="4" fillId="0" borderId="41" xfId="5" applyFont="1" applyBorder="1" applyAlignment="1">
      <alignment vertical="center"/>
    </xf>
    <xf numFmtId="0" fontId="8" fillId="0" borderId="41" xfId="5" applyFont="1" applyBorder="1" applyAlignment="1">
      <alignment vertical="center" wrapText="1" readingOrder="1"/>
    </xf>
    <xf numFmtId="0" fontId="8" fillId="0" borderId="44" xfId="5" applyFont="1" applyBorder="1" applyAlignment="1">
      <alignment vertical="center" wrapText="1" readingOrder="1"/>
    </xf>
    <xf numFmtId="0" fontId="4" fillId="0" borderId="41" xfId="5" applyFont="1" applyBorder="1" applyAlignment="1">
      <alignment vertical="center" wrapText="1" readingOrder="1"/>
    </xf>
    <xf numFmtId="0" fontId="8" fillId="0" borderId="45" xfId="0" applyFont="1" applyBorder="1" applyAlignment="1">
      <alignment vertical="center" readingOrder="1"/>
    </xf>
    <xf numFmtId="0" fontId="4" fillId="0" borderId="42" xfId="0" applyFont="1" applyBorder="1" applyAlignment="1">
      <alignment vertical="center" readingOrder="1"/>
    </xf>
    <xf numFmtId="0" fontId="4" fillId="0" borderId="41" xfId="0" applyFont="1" applyBorder="1" applyAlignment="1">
      <alignment vertical="center" readingOrder="1"/>
    </xf>
    <xf numFmtId="0" fontId="4" fillId="0" borderId="41" xfId="0" applyFont="1" applyBorder="1" applyAlignment="1">
      <alignment vertical="center"/>
    </xf>
    <xf numFmtId="0" fontId="4" fillId="0" borderId="46" xfId="0" applyFont="1" applyBorder="1" applyAlignment="1">
      <alignment vertical="center" readingOrder="1"/>
    </xf>
    <xf numFmtId="0" fontId="8" fillId="0" borderId="41" xfId="0" applyFont="1" applyBorder="1" applyAlignment="1">
      <alignment vertical="center" readingOrder="1"/>
    </xf>
    <xf numFmtId="0" fontId="8" fillId="0" borderId="47" xfId="0" applyFont="1" applyBorder="1" applyAlignment="1">
      <alignment vertical="center" readingOrder="1"/>
    </xf>
    <xf numFmtId="0" fontId="4" fillId="0" borderId="40" xfId="0" applyFont="1" applyBorder="1"/>
    <xf numFmtId="0" fontId="8" fillId="0" borderId="42" xfId="0" applyFont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2" xfId="5" applyFont="1" applyBorder="1" applyAlignment="1">
      <alignment vertical="center"/>
    </xf>
    <xf numFmtId="0" fontId="4" fillId="0" borderId="46" xfId="5" applyFont="1" applyBorder="1" applyAlignment="1">
      <alignment vertical="center"/>
    </xf>
    <xf numFmtId="0" fontId="4" fillId="0" borderId="40" xfId="5" applyFont="1" applyBorder="1" applyAlignment="1">
      <alignment vertical="center"/>
    </xf>
    <xf numFmtId="0" fontId="8" fillId="0" borderId="41" xfId="5" applyFont="1" applyBorder="1" applyAlignment="1">
      <alignment vertical="center"/>
    </xf>
    <xf numFmtId="0" fontId="5" fillId="2" borderId="19" xfId="5" applyFont="1" applyFill="1" applyBorder="1" applyAlignment="1">
      <alignment vertical="center"/>
    </xf>
    <xf numFmtId="0" fontId="5" fillId="2" borderId="19" xfId="0" applyFont="1" applyFill="1" applyBorder="1" applyAlignment="1">
      <alignment horizontal="center"/>
    </xf>
    <xf numFmtId="0" fontId="2" fillId="2" borderId="19" xfId="5" applyFont="1" applyFill="1" applyBorder="1" applyAlignment="1">
      <alignment vertical="center"/>
    </xf>
    <xf numFmtId="0" fontId="12" fillId="2" borderId="19" xfId="0" applyFont="1" applyFill="1" applyBorder="1" applyAlignment="1">
      <alignment horizontal="center"/>
    </xf>
  </cellXfs>
  <cellStyles count="8">
    <cellStyle name="Migliaia" xfId="7" builtinId="3"/>
    <cellStyle name="Migliaia 2" xfId="6"/>
    <cellStyle name="Migliaia 3" xfId="3"/>
    <cellStyle name="Normale" xfId="0" builtinId="0"/>
    <cellStyle name="Normale 2 4" xfId="5"/>
    <cellStyle name="Percentuale" xfId="2" builtinId="5"/>
    <cellStyle name="Valuta" xfId="1" builtinId="4"/>
    <cellStyle name="Valuta 2" xfId="4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2D050"/>
      </font>
    </dxf>
    <dxf>
      <font>
        <color theme="7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showGridLines="0" tabSelected="1" topLeftCell="A21" zoomScaleNormal="100" workbookViewId="0">
      <selection activeCell="C162" sqref="C162"/>
    </sheetView>
  </sheetViews>
  <sheetFormatPr defaultRowHeight="14.5" x14ac:dyDescent="0.35"/>
  <cols>
    <col min="2" max="2" width="54.453125" bestFit="1" customWidth="1"/>
    <col min="3" max="12" width="14.26953125" bestFit="1" customWidth="1"/>
  </cols>
  <sheetData>
    <row r="1" spans="2:12" ht="15" thickBot="1" x14ac:dyDescent="0.4"/>
    <row r="2" spans="2:12" ht="15" thickTop="1" x14ac:dyDescent="0.35">
      <c r="B2" s="198" t="s">
        <v>0</v>
      </c>
      <c r="C2" s="185">
        <v>2023</v>
      </c>
      <c r="D2" s="185">
        <v>2024</v>
      </c>
      <c r="E2" s="185">
        <v>2025</v>
      </c>
      <c r="F2" s="185">
        <v>2026</v>
      </c>
      <c r="G2" s="185">
        <v>2027</v>
      </c>
      <c r="H2" s="185">
        <v>2028</v>
      </c>
      <c r="I2" s="185">
        <v>2029</v>
      </c>
      <c r="J2" s="185">
        <v>2030</v>
      </c>
      <c r="K2" s="185">
        <v>2031</v>
      </c>
      <c r="L2" s="186">
        <v>2032</v>
      </c>
    </row>
    <row r="3" spans="2:12" x14ac:dyDescent="0.35">
      <c r="B3" s="196" t="s">
        <v>1</v>
      </c>
      <c r="C3" s="187">
        <v>1750</v>
      </c>
      <c r="D3" s="187">
        <f>+C3*1.05</f>
        <v>1837.5</v>
      </c>
      <c r="E3" s="187">
        <f t="shared" ref="E3:L3" si="0">+D3*1.05</f>
        <v>1929.375</v>
      </c>
      <c r="F3" s="187">
        <f t="shared" si="0"/>
        <v>2025.84375</v>
      </c>
      <c r="G3" s="187">
        <f t="shared" si="0"/>
        <v>2127.1359375000002</v>
      </c>
      <c r="H3" s="187">
        <f t="shared" si="0"/>
        <v>2233.4927343750005</v>
      </c>
      <c r="I3" s="187">
        <f t="shared" si="0"/>
        <v>2345.1673710937507</v>
      </c>
      <c r="J3" s="187">
        <f t="shared" si="0"/>
        <v>2462.4257396484381</v>
      </c>
      <c r="K3" s="187">
        <f t="shared" si="0"/>
        <v>2585.5470266308603</v>
      </c>
      <c r="L3" s="188">
        <f t="shared" si="0"/>
        <v>2714.8243779624036</v>
      </c>
    </row>
    <row r="4" spans="2:12" x14ac:dyDescent="0.35">
      <c r="B4" s="196" t="s">
        <v>2</v>
      </c>
      <c r="C4" s="109">
        <v>1000</v>
      </c>
      <c r="D4" s="109">
        <f>+C4*0.98</f>
        <v>980</v>
      </c>
      <c r="E4" s="109">
        <f t="shared" ref="E4:L4" si="1">+D4*0.98</f>
        <v>960.4</v>
      </c>
      <c r="F4" s="109">
        <f t="shared" si="1"/>
        <v>941.19200000000001</v>
      </c>
      <c r="G4" s="109">
        <f t="shared" si="1"/>
        <v>922.36815999999999</v>
      </c>
      <c r="H4" s="109">
        <f t="shared" si="1"/>
        <v>903.92079679999995</v>
      </c>
      <c r="I4" s="109">
        <f t="shared" si="1"/>
        <v>885.84238086399989</v>
      </c>
      <c r="J4" s="109">
        <f t="shared" si="1"/>
        <v>868.1255332467199</v>
      </c>
      <c r="K4" s="109">
        <f t="shared" si="1"/>
        <v>850.76302258178544</v>
      </c>
      <c r="L4" s="110">
        <f t="shared" si="1"/>
        <v>833.74776213014968</v>
      </c>
    </row>
    <row r="5" spans="2:12" x14ac:dyDescent="0.35">
      <c r="B5" s="196" t="s">
        <v>3</v>
      </c>
      <c r="C5" s="109">
        <v>335</v>
      </c>
      <c r="D5" s="109">
        <f>+C5*0.99</f>
        <v>331.65</v>
      </c>
      <c r="E5" s="109">
        <f t="shared" ref="E5:L5" si="2">+D5*0.99</f>
        <v>328.33349999999996</v>
      </c>
      <c r="F5" s="109">
        <f t="shared" si="2"/>
        <v>325.05016499999994</v>
      </c>
      <c r="G5" s="109">
        <f t="shared" si="2"/>
        <v>321.79966334999995</v>
      </c>
      <c r="H5" s="109">
        <f t="shared" si="2"/>
        <v>318.58166671649997</v>
      </c>
      <c r="I5" s="109">
        <f t="shared" si="2"/>
        <v>315.39585004933497</v>
      </c>
      <c r="J5" s="109">
        <f t="shared" si="2"/>
        <v>312.24189154884164</v>
      </c>
      <c r="K5" s="109">
        <f t="shared" si="2"/>
        <v>309.11947263335321</v>
      </c>
      <c r="L5" s="110">
        <f t="shared" si="2"/>
        <v>306.02827790701969</v>
      </c>
    </row>
    <row r="6" spans="2:12" x14ac:dyDescent="0.35">
      <c r="B6" s="196" t="s">
        <v>4</v>
      </c>
      <c r="C6" s="109">
        <v>85000</v>
      </c>
      <c r="D6" s="109">
        <f>+C6*1.01</f>
        <v>85850</v>
      </c>
      <c r="E6" s="109">
        <f t="shared" ref="E6:L6" si="3">+D6*1.01</f>
        <v>86708.5</v>
      </c>
      <c r="F6" s="109">
        <f t="shared" si="3"/>
        <v>87575.585000000006</v>
      </c>
      <c r="G6" s="109">
        <f t="shared" si="3"/>
        <v>88451.340850000008</v>
      </c>
      <c r="H6" s="109">
        <f t="shared" si="3"/>
        <v>89335.85425850001</v>
      </c>
      <c r="I6" s="109">
        <f t="shared" si="3"/>
        <v>90229.212801085014</v>
      </c>
      <c r="J6" s="109">
        <f t="shared" si="3"/>
        <v>91131.50492909587</v>
      </c>
      <c r="K6" s="109">
        <f t="shared" si="3"/>
        <v>92042.819978386833</v>
      </c>
      <c r="L6" s="110">
        <f t="shared" si="3"/>
        <v>92963.248178170703</v>
      </c>
    </row>
    <row r="7" spans="2:12" x14ac:dyDescent="0.35">
      <c r="B7" s="196" t="s">
        <v>5</v>
      </c>
      <c r="C7" s="187">
        <v>4</v>
      </c>
      <c r="D7" s="187">
        <f>+C7*0.95</f>
        <v>3.8</v>
      </c>
      <c r="E7" s="187">
        <f>+D7*0.95</f>
        <v>3.61</v>
      </c>
      <c r="F7" s="187">
        <f>E7</f>
        <v>3.61</v>
      </c>
      <c r="G7" s="187">
        <f t="shared" ref="G7:L7" si="4">F7</f>
        <v>3.61</v>
      </c>
      <c r="H7" s="187">
        <f t="shared" si="4"/>
        <v>3.61</v>
      </c>
      <c r="I7" s="187">
        <f t="shared" si="4"/>
        <v>3.61</v>
      </c>
      <c r="J7" s="187">
        <f t="shared" si="4"/>
        <v>3.61</v>
      </c>
      <c r="K7" s="187">
        <f t="shared" si="4"/>
        <v>3.61</v>
      </c>
      <c r="L7" s="188">
        <f t="shared" si="4"/>
        <v>3.61</v>
      </c>
    </row>
    <row r="8" spans="2:12" x14ac:dyDescent="0.35">
      <c r="B8" s="196" t="s">
        <v>6</v>
      </c>
      <c r="C8" s="109">
        <v>21</v>
      </c>
      <c r="D8" s="109">
        <f>+C8*1.025</f>
        <v>21.524999999999999</v>
      </c>
      <c r="E8" s="109">
        <f t="shared" ref="E8:L8" si="5">+D8*1.025</f>
        <v>22.063124999999996</v>
      </c>
      <c r="F8" s="109">
        <f t="shared" si="5"/>
        <v>22.614703124999995</v>
      </c>
      <c r="G8" s="109">
        <f t="shared" si="5"/>
        <v>23.180070703124994</v>
      </c>
      <c r="H8" s="109">
        <f t="shared" si="5"/>
        <v>23.759572470703116</v>
      </c>
      <c r="I8" s="109">
        <f t="shared" si="5"/>
        <v>24.353561782470692</v>
      </c>
      <c r="J8" s="109">
        <f t="shared" si="5"/>
        <v>24.962400827032457</v>
      </c>
      <c r="K8" s="109">
        <f t="shared" si="5"/>
        <v>25.586460847708267</v>
      </c>
      <c r="L8" s="110">
        <f t="shared" si="5"/>
        <v>26.22612236890097</v>
      </c>
    </row>
    <row r="9" spans="2:12" x14ac:dyDescent="0.35">
      <c r="B9" s="196" t="s">
        <v>7</v>
      </c>
      <c r="C9" s="109">
        <f>+C3*C7*C8</f>
        <v>147000</v>
      </c>
      <c r="D9" s="109">
        <f t="shared" ref="D9:L9" si="6">+D3*D7*D8</f>
        <v>150298.3125</v>
      </c>
      <c r="E9" s="109">
        <f t="shared" si="6"/>
        <v>153670.63088671872</v>
      </c>
      <c r="F9" s="109">
        <f t="shared" si="6"/>
        <v>165388.01649183102</v>
      </c>
      <c r="G9" s="109">
        <f t="shared" si="6"/>
        <v>177998.85274933313</v>
      </c>
      <c r="H9" s="109">
        <f t="shared" si="6"/>
        <v>191571.26527146981</v>
      </c>
      <c r="I9" s="109">
        <f t="shared" si="6"/>
        <v>206178.57424841938</v>
      </c>
      <c r="J9" s="109">
        <f t="shared" si="6"/>
        <v>221899.69053486132</v>
      </c>
      <c r="K9" s="109">
        <f t="shared" si="6"/>
        <v>238819.54193814448</v>
      </c>
      <c r="L9" s="110">
        <f t="shared" si="6"/>
        <v>257029.532010928</v>
      </c>
    </row>
    <row r="10" spans="2:12" x14ac:dyDescent="0.35">
      <c r="B10" s="196" t="s">
        <v>8</v>
      </c>
      <c r="C10" s="189">
        <v>85000</v>
      </c>
      <c r="D10" s="189">
        <f>+C10*1.025</f>
        <v>87124.999999999985</v>
      </c>
      <c r="E10" s="189">
        <f t="shared" ref="E10:L10" si="7">+D10*1.025</f>
        <v>89303.124999999971</v>
      </c>
      <c r="F10" s="189">
        <f t="shared" si="7"/>
        <v>91535.703124999956</v>
      </c>
      <c r="G10" s="189">
        <f t="shared" si="7"/>
        <v>93824.095703124942</v>
      </c>
      <c r="H10" s="189">
        <f t="shared" si="7"/>
        <v>96169.698095703061</v>
      </c>
      <c r="I10" s="189">
        <f t="shared" si="7"/>
        <v>98573.940548095634</v>
      </c>
      <c r="J10" s="189">
        <f t="shared" si="7"/>
        <v>101038.28906179802</v>
      </c>
      <c r="K10" s="189">
        <f t="shared" si="7"/>
        <v>103564.24628834295</v>
      </c>
      <c r="L10" s="190">
        <f t="shared" si="7"/>
        <v>106153.35244555151</v>
      </c>
    </row>
    <row r="11" spans="2:12" x14ac:dyDescent="0.35">
      <c r="B11" s="196" t="s">
        <v>9</v>
      </c>
      <c r="C11" s="187">
        <v>400</v>
      </c>
      <c r="D11" s="187">
        <f>C11</f>
        <v>400</v>
      </c>
      <c r="E11" s="187">
        <f t="shared" ref="E11:L11" si="8">D11</f>
        <v>400</v>
      </c>
      <c r="F11" s="187">
        <f t="shared" si="8"/>
        <v>400</v>
      </c>
      <c r="G11" s="187">
        <f t="shared" si="8"/>
        <v>400</v>
      </c>
      <c r="H11" s="187">
        <f t="shared" si="8"/>
        <v>400</v>
      </c>
      <c r="I11" s="187">
        <f t="shared" si="8"/>
        <v>400</v>
      </c>
      <c r="J11" s="187">
        <f t="shared" si="8"/>
        <v>400</v>
      </c>
      <c r="K11" s="187">
        <f t="shared" si="8"/>
        <v>400</v>
      </c>
      <c r="L11" s="188">
        <f t="shared" si="8"/>
        <v>400</v>
      </c>
    </row>
    <row r="12" spans="2:12" ht="15" thickBot="1" x14ac:dyDescent="0.4">
      <c r="B12" s="197" t="s">
        <v>10</v>
      </c>
      <c r="C12" s="81">
        <v>7.0000000000000007E-2</v>
      </c>
      <c r="D12" s="81">
        <f>+C12*0.9</f>
        <v>6.3000000000000014E-2</v>
      </c>
      <c r="E12" s="81">
        <f>+D12*0.95</f>
        <v>5.9850000000000007E-2</v>
      </c>
      <c r="F12" s="81">
        <f>E12</f>
        <v>5.9850000000000007E-2</v>
      </c>
      <c r="G12" s="81">
        <f t="shared" ref="G12:L12" si="9">F12</f>
        <v>5.9850000000000007E-2</v>
      </c>
      <c r="H12" s="81">
        <f t="shared" si="9"/>
        <v>5.9850000000000007E-2</v>
      </c>
      <c r="I12" s="81">
        <f t="shared" si="9"/>
        <v>5.9850000000000007E-2</v>
      </c>
      <c r="J12" s="81">
        <f t="shared" si="9"/>
        <v>5.9850000000000007E-2</v>
      </c>
      <c r="K12" s="81">
        <f t="shared" si="9"/>
        <v>5.9850000000000007E-2</v>
      </c>
      <c r="L12" s="118">
        <f t="shared" si="9"/>
        <v>5.9850000000000007E-2</v>
      </c>
    </row>
    <row r="13" spans="2:12" ht="15" thickTop="1" x14ac:dyDescent="0.35"/>
    <row r="14" spans="2:12" ht="15" thickBot="1" x14ac:dyDescent="0.4"/>
    <row r="15" spans="2:12" ht="15.5" thickTop="1" thickBot="1" x14ac:dyDescent="0.4">
      <c r="B15" s="191" t="s">
        <v>11</v>
      </c>
      <c r="C15" s="192"/>
      <c r="D15" s="192"/>
      <c r="E15" s="192"/>
      <c r="F15" s="192"/>
      <c r="G15" s="192"/>
      <c r="H15" s="192"/>
      <c r="I15" s="192"/>
      <c r="J15" s="192"/>
      <c r="K15" s="192"/>
      <c r="L15" s="193"/>
    </row>
    <row r="16" spans="2:12" ht="15.5" thickTop="1" thickBot="1" x14ac:dyDescent="0.4">
      <c r="B16" s="222"/>
      <c r="C16" s="222">
        <v>2023</v>
      </c>
      <c r="D16" s="222">
        <v>2024</v>
      </c>
      <c r="E16" s="222">
        <v>2025</v>
      </c>
      <c r="F16" s="222">
        <v>2026</v>
      </c>
      <c r="G16" s="222">
        <v>2027</v>
      </c>
      <c r="H16" s="222">
        <v>2028</v>
      </c>
      <c r="I16" s="194">
        <v>2029</v>
      </c>
      <c r="J16" s="194">
        <v>2030</v>
      </c>
      <c r="K16" s="194">
        <v>2031</v>
      </c>
      <c r="L16" s="195">
        <v>2032</v>
      </c>
    </row>
    <row r="17" spans="2:12" s="20" customFormat="1" ht="15" thickTop="1" x14ac:dyDescent="0.35">
      <c r="B17" s="199" t="s">
        <v>12</v>
      </c>
      <c r="C17" s="79">
        <f>+C3*C4</f>
        <v>1750000</v>
      </c>
      <c r="D17" s="79">
        <f>+D3*D4</f>
        <v>1800750</v>
      </c>
      <c r="E17" s="79">
        <f>+E3*E4</f>
        <v>1852971.75</v>
      </c>
      <c r="F17" s="79">
        <f>+F3*F4</f>
        <v>1906707.9307500001</v>
      </c>
      <c r="G17" s="79">
        <f>+F17*1.025</f>
        <v>1954375.6290187498</v>
      </c>
      <c r="H17" s="79">
        <f t="shared" ref="H17:L17" si="10">+G17*1.025</f>
        <v>2003235.0197442183</v>
      </c>
      <c r="I17" s="79">
        <f t="shared" si="10"/>
        <v>2053315.8952378237</v>
      </c>
      <c r="J17" s="79">
        <f t="shared" si="10"/>
        <v>2104648.7926187692</v>
      </c>
      <c r="K17" s="79">
        <f t="shared" si="10"/>
        <v>2157265.0124342381</v>
      </c>
      <c r="L17" s="123">
        <f t="shared" si="10"/>
        <v>2211196.637745094</v>
      </c>
    </row>
    <row r="18" spans="2:12" s="20" customFormat="1" x14ac:dyDescent="0.35">
      <c r="B18" s="196" t="s">
        <v>13</v>
      </c>
      <c r="C18" s="125">
        <f t="shared" ref="C18:L18" si="11">+C5*C3</f>
        <v>586250</v>
      </c>
      <c r="D18" s="125">
        <f t="shared" si="11"/>
        <v>609406.875</v>
      </c>
      <c r="E18" s="125">
        <f t="shared" si="11"/>
        <v>633478.44656249997</v>
      </c>
      <c r="F18" s="125">
        <f t="shared" si="11"/>
        <v>658500.84520171862</v>
      </c>
      <c r="G18" s="125">
        <f t="shared" si="11"/>
        <v>684511.62858718657</v>
      </c>
      <c r="H18" s="125">
        <f t="shared" si="11"/>
        <v>711549.83791638061</v>
      </c>
      <c r="I18" s="125">
        <f t="shared" si="11"/>
        <v>739656.0565140777</v>
      </c>
      <c r="J18" s="125">
        <f t="shared" si="11"/>
        <v>768872.47074638377</v>
      </c>
      <c r="K18" s="125">
        <f t="shared" si="11"/>
        <v>799242.933340866</v>
      </c>
      <c r="L18" s="126">
        <f t="shared" si="11"/>
        <v>830813.02920783032</v>
      </c>
    </row>
    <row r="19" spans="2:12" s="20" customFormat="1" x14ac:dyDescent="0.35">
      <c r="B19" s="200" t="s">
        <v>27</v>
      </c>
      <c r="C19" s="128">
        <f t="shared" ref="C19:L19" si="12">+C9+C10</f>
        <v>232000</v>
      </c>
      <c r="D19" s="128">
        <f t="shared" si="12"/>
        <v>237423.3125</v>
      </c>
      <c r="E19" s="128">
        <f t="shared" si="12"/>
        <v>242973.75588671869</v>
      </c>
      <c r="F19" s="128">
        <f t="shared" si="12"/>
        <v>256923.71961683099</v>
      </c>
      <c r="G19" s="128">
        <f t="shared" si="12"/>
        <v>271822.94845245808</v>
      </c>
      <c r="H19" s="128">
        <f t="shared" si="12"/>
        <v>287740.96336717287</v>
      </c>
      <c r="I19" s="128">
        <f t="shared" si="12"/>
        <v>304752.514796515</v>
      </c>
      <c r="J19" s="128">
        <f t="shared" si="12"/>
        <v>322937.97959665931</v>
      </c>
      <c r="K19" s="128">
        <f t="shared" si="12"/>
        <v>342383.78822648746</v>
      </c>
      <c r="L19" s="129">
        <f t="shared" si="12"/>
        <v>363182.88445647951</v>
      </c>
    </row>
    <row r="20" spans="2:12" s="20" customFormat="1" x14ac:dyDescent="0.35">
      <c r="B20" s="200" t="s">
        <v>28</v>
      </c>
      <c r="C20" s="128">
        <f t="shared" ref="C20:L20" si="13">+C3*C11*C12</f>
        <v>49000.000000000007</v>
      </c>
      <c r="D20" s="128">
        <f t="shared" si="13"/>
        <v>46305.000000000007</v>
      </c>
      <c r="E20" s="128">
        <f t="shared" si="13"/>
        <v>46189.237500000003</v>
      </c>
      <c r="F20" s="128">
        <f t="shared" si="13"/>
        <v>48498.699375000004</v>
      </c>
      <c r="G20" s="128">
        <f t="shared" si="13"/>
        <v>50923.634343750011</v>
      </c>
      <c r="H20" s="128">
        <f t="shared" si="13"/>
        <v>53469.816060937519</v>
      </c>
      <c r="I20" s="128">
        <f t="shared" si="13"/>
        <v>56143.306863984399</v>
      </c>
      <c r="J20" s="128">
        <f t="shared" si="13"/>
        <v>58950.472207183615</v>
      </c>
      <c r="K20" s="128">
        <f t="shared" si="13"/>
        <v>61897.995817542804</v>
      </c>
      <c r="L20" s="129">
        <f t="shared" si="13"/>
        <v>64992.895608419953</v>
      </c>
    </row>
    <row r="21" spans="2:12" s="20" customFormat="1" x14ac:dyDescent="0.35">
      <c r="B21" s="200" t="s">
        <v>29</v>
      </c>
      <c r="C21" s="128">
        <v>55000</v>
      </c>
      <c r="D21" s="128">
        <f>+C21*1.025</f>
        <v>56374.999999999993</v>
      </c>
      <c r="E21" s="128">
        <f t="shared" ref="E21:L21" si="14">+D21*1.025</f>
        <v>57784.374999999985</v>
      </c>
      <c r="F21" s="128">
        <f t="shared" si="14"/>
        <v>59228.984374999978</v>
      </c>
      <c r="G21" s="128">
        <f t="shared" si="14"/>
        <v>60709.708984374971</v>
      </c>
      <c r="H21" s="128">
        <f t="shared" si="14"/>
        <v>62227.451708984343</v>
      </c>
      <c r="I21" s="128">
        <f t="shared" si="14"/>
        <v>63783.138001708947</v>
      </c>
      <c r="J21" s="128">
        <f t="shared" si="14"/>
        <v>65377.716451751665</v>
      </c>
      <c r="K21" s="128">
        <f t="shared" si="14"/>
        <v>67012.159363045444</v>
      </c>
      <c r="L21" s="129">
        <f t="shared" si="14"/>
        <v>68687.463347121578</v>
      </c>
    </row>
    <row r="22" spans="2:12" s="20" customFormat="1" x14ac:dyDescent="0.35">
      <c r="B22" s="200" t="s">
        <v>30</v>
      </c>
      <c r="C22" s="80">
        <v>25000</v>
      </c>
      <c r="D22" s="128">
        <f>+C22*D3/C3</f>
        <v>26250</v>
      </c>
      <c r="E22" s="128">
        <f>+D22*1.025</f>
        <v>26906.249999999996</v>
      </c>
      <c r="F22" s="128">
        <f t="shared" ref="F22:L22" si="15">+E22*1.025</f>
        <v>27578.906249999993</v>
      </c>
      <c r="G22" s="128">
        <f t="shared" si="15"/>
        <v>28268.378906249989</v>
      </c>
      <c r="H22" s="128">
        <f t="shared" si="15"/>
        <v>28975.088378906235</v>
      </c>
      <c r="I22" s="128">
        <f t="shared" si="15"/>
        <v>29699.465588378887</v>
      </c>
      <c r="J22" s="128">
        <f t="shared" si="15"/>
        <v>30441.952228088358</v>
      </c>
      <c r="K22" s="128">
        <f t="shared" si="15"/>
        <v>31203.001033790562</v>
      </c>
      <c r="L22" s="129">
        <f t="shared" si="15"/>
        <v>31983.076059635325</v>
      </c>
    </row>
    <row r="23" spans="2:12" s="20" customFormat="1" x14ac:dyDescent="0.35">
      <c r="B23" s="200" t="s">
        <v>14</v>
      </c>
      <c r="C23" s="80">
        <v>35000</v>
      </c>
      <c r="D23" s="80">
        <v>35000</v>
      </c>
      <c r="E23" s="80">
        <v>35000</v>
      </c>
      <c r="F23" s="80">
        <v>35000</v>
      </c>
      <c r="G23" s="80">
        <v>35000</v>
      </c>
      <c r="H23" s="80">
        <v>35000</v>
      </c>
      <c r="I23" s="80">
        <v>35000</v>
      </c>
      <c r="J23" s="80">
        <v>35000</v>
      </c>
      <c r="K23" s="80">
        <v>35000</v>
      </c>
      <c r="L23" s="130">
        <v>35000</v>
      </c>
    </row>
    <row r="24" spans="2:12" s="20" customFormat="1" x14ac:dyDescent="0.35">
      <c r="B24" s="200" t="s">
        <v>15</v>
      </c>
      <c r="C24" s="80">
        <v>75000</v>
      </c>
      <c r="D24" s="80">
        <v>75000</v>
      </c>
      <c r="E24" s="80">
        <v>75000</v>
      </c>
      <c r="F24" s="80">
        <v>75000</v>
      </c>
      <c r="G24" s="80">
        <v>75000</v>
      </c>
      <c r="H24" s="80">
        <v>75000</v>
      </c>
      <c r="I24" s="80">
        <v>75000</v>
      </c>
      <c r="J24" s="80">
        <v>75000</v>
      </c>
      <c r="K24" s="80">
        <v>75000</v>
      </c>
      <c r="L24" s="130">
        <v>75000</v>
      </c>
    </row>
    <row r="25" spans="2:12" s="20" customFormat="1" x14ac:dyDescent="0.35">
      <c r="B25" s="201" t="s">
        <v>16</v>
      </c>
      <c r="C25" s="79">
        <f>SUM(C18:C24)</f>
        <v>1057250</v>
      </c>
      <c r="D25" s="79">
        <f t="shared" ref="D25:L25" si="16">SUM(D18:D24)</f>
        <v>1085760.1875</v>
      </c>
      <c r="E25" s="79">
        <f t="shared" si="16"/>
        <v>1117332.0649492186</v>
      </c>
      <c r="F25" s="79">
        <f t="shared" si="16"/>
        <v>1160731.1548185495</v>
      </c>
      <c r="G25" s="79">
        <f t="shared" si="16"/>
        <v>1206236.2992740194</v>
      </c>
      <c r="H25" s="79">
        <f t="shared" si="16"/>
        <v>1253963.1574323815</v>
      </c>
      <c r="I25" s="79">
        <f t="shared" si="16"/>
        <v>1304034.4817646651</v>
      </c>
      <c r="J25" s="79">
        <f t="shared" si="16"/>
        <v>1356580.591230067</v>
      </c>
      <c r="K25" s="79">
        <f t="shared" si="16"/>
        <v>1411739.8777817322</v>
      </c>
      <c r="L25" s="123">
        <f t="shared" si="16"/>
        <v>1469659.3486794867</v>
      </c>
    </row>
    <row r="26" spans="2:12" s="20" customFormat="1" x14ac:dyDescent="0.35">
      <c r="B26" s="202" t="s">
        <v>17</v>
      </c>
      <c r="C26" s="131">
        <f>+C17-C25</f>
        <v>692750</v>
      </c>
      <c r="D26" s="131">
        <f t="shared" ref="D26:L26" si="17">+D17-D25</f>
        <v>714989.8125</v>
      </c>
      <c r="E26" s="131">
        <f t="shared" si="17"/>
        <v>735639.68505078135</v>
      </c>
      <c r="F26" s="131">
        <f t="shared" si="17"/>
        <v>745976.77593145054</v>
      </c>
      <c r="G26" s="131">
        <f t="shared" si="17"/>
        <v>748139.32974473038</v>
      </c>
      <c r="H26" s="131">
        <f t="shared" si="17"/>
        <v>749271.8623118368</v>
      </c>
      <c r="I26" s="131">
        <f t="shared" si="17"/>
        <v>749281.41347315861</v>
      </c>
      <c r="J26" s="131">
        <f t="shared" si="17"/>
        <v>748068.20138870226</v>
      </c>
      <c r="K26" s="131">
        <f t="shared" si="17"/>
        <v>745525.13465250586</v>
      </c>
      <c r="L26" s="132">
        <f t="shared" si="17"/>
        <v>741537.28906560736</v>
      </c>
    </row>
    <row r="27" spans="2:12" s="20" customFormat="1" x14ac:dyDescent="0.35">
      <c r="B27" s="200" t="s">
        <v>18</v>
      </c>
      <c r="C27" s="128">
        <f>'CAPEX e mutuo'!C10</f>
        <v>165000</v>
      </c>
      <c r="D27" s="128">
        <f>C27</f>
        <v>165000</v>
      </c>
      <c r="E27" s="128">
        <f t="shared" ref="E27:L27" si="18">D27</f>
        <v>165000</v>
      </c>
      <c r="F27" s="128">
        <f t="shared" si="18"/>
        <v>165000</v>
      </c>
      <c r="G27" s="128">
        <f t="shared" si="18"/>
        <v>165000</v>
      </c>
      <c r="H27" s="128">
        <f t="shared" si="18"/>
        <v>165000</v>
      </c>
      <c r="I27" s="128">
        <f t="shared" si="18"/>
        <v>165000</v>
      </c>
      <c r="J27" s="128">
        <f t="shared" si="18"/>
        <v>165000</v>
      </c>
      <c r="K27" s="128">
        <f t="shared" si="18"/>
        <v>165000</v>
      </c>
      <c r="L27" s="129">
        <f t="shared" si="18"/>
        <v>165000</v>
      </c>
    </row>
    <row r="28" spans="2:12" s="20" customFormat="1" x14ac:dyDescent="0.35">
      <c r="B28" s="200" t="s">
        <v>19</v>
      </c>
      <c r="C28" s="128">
        <v>0</v>
      </c>
      <c r="D28" s="128">
        <v>0</v>
      </c>
      <c r="E28" s="128">
        <v>0</v>
      </c>
      <c r="F28" s="128">
        <v>0</v>
      </c>
      <c r="G28" s="128">
        <v>0</v>
      </c>
      <c r="H28" s="128">
        <v>0</v>
      </c>
      <c r="I28" s="128">
        <v>0</v>
      </c>
      <c r="J28" s="128">
        <v>0</v>
      </c>
      <c r="K28" s="128">
        <v>0</v>
      </c>
      <c r="L28" s="129">
        <v>0</v>
      </c>
    </row>
    <row r="29" spans="2:12" s="20" customFormat="1" x14ac:dyDescent="0.35">
      <c r="B29" s="203" t="s">
        <v>20</v>
      </c>
      <c r="C29" s="1">
        <f>SUM(C27:C28)</f>
        <v>165000</v>
      </c>
      <c r="D29" s="1">
        <f t="shared" ref="D29:L29" si="19">SUM(D27:D28)</f>
        <v>165000</v>
      </c>
      <c r="E29" s="1">
        <f t="shared" si="19"/>
        <v>165000</v>
      </c>
      <c r="F29" s="1">
        <f t="shared" si="19"/>
        <v>165000</v>
      </c>
      <c r="G29" s="1">
        <f t="shared" si="19"/>
        <v>165000</v>
      </c>
      <c r="H29" s="1">
        <f t="shared" si="19"/>
        <v>165000</v>
      </c>
      <c r="I29" s="1">
        <f t="shared" si="19"/>
        <v>165000</v>
      </c>
      <c r="J29" s="1">
        <f t="shared" si="19"/>
        <v>165000</v>
      </c>
      <c r="K29" s="1">
        <f t="shared" si="19"/>
        <v>165000</v>
      </c>
      <c r="L29" s="133">
        <f t="shared" si="19"/>
        <v>165000</v>
      </c>
    </row>
    <row r="30" spans="2:12" s="20" customFormat="1" x14ac:dyDescent="0.35">
      <c r="B30" s="202" t="s">
        <v>21</v>
      </c>
      <c r="C30" s="131">
        <f>+C26-C29</f>
        <v>527750</v>
      </c>
      <c r="D30" s="131">
        <f t="shared" ref="D30:L30" si="20">+D26-D29</f>
        <v>549989.8125</v>
      </c>
      <c r="E30" s="131">
        <f t="shared" si="20"/>
        <v>570639.68505078135</v>
      </c>
      <c r="F30" s="131">
        <f t="shared" si="20"/>
        <v>580976.77593145054</v>
      </c>
      <c r="G30" s="131">
        <f t="shared" si="20"/>
        <v>583139.32974473038</v>
      </c>
      <c r="H30" s="131">
        <f t="shared" si="20"/>
        <v>584271.8623118368</v>
      </c>
      <c r="I30" s="131">
        <f t="shared" si="20"/>
        <v>584281.41347315861</v>
      </c>
      <c r="J30" s="131">
        <f t="shared" si="20"/>
        <v>583068.20138870226</v>
      </c>
      <c r="K30" s="131">
        <f t="shared" si="20"/>
        <v>580525.13465250586</v>
      </c>
      <c r="L30" s="132">
        <f t="shared" si="20"/>
        <v>576537.28906560736</v>
      </c>
    </row>
    <row r="31" spans="2:12" s="20" customFormat="1" x14ac:dyDescent="0.35">
      <c r="B31" s="203" t="s">
        <v>22</v>
      </c>
      <c r="C31" s="128">
        <f>-'CAPEX e mutuo'!J17</f>
        <v>-67500</v>
      </c>
      <c r="D31" s="128">
        <f>-'CAPEX e mutuo'!J18</f>
        <v>-62006.929532412345</v>
      </c>
      <c r="E31" s="128">
        <f>-'CAPEX e mutuo'!J19</f>
        <v>-56266.670893783252</v>
      </c>
      <c r="F31" s="128">
        <f>-'CAPEX e mutuo'!J20</f>
        <v>-50268.100616415839</v>
      </c>
      <c r="G31" s="128">
        <f>-'CAPEX e mutuo'!J21</f>
        <v>-43999.5946765669</v>
      </c>
      <c r="H31" s="128">
        <f>-'CAPEX e mutuo'!J22</f>
        <v>-37449.005969424754</v>
      </c>
      <c r="I31" s="128">
        <f>-'CAPEX e mutuo'!J23</f>
        <v>-30603.64077046121</v>
      </c>
      <c r="J31" s="128">
        <f>-'CAPEX e mutuo'!J24</f>
        <v>-23450.234137544314</v>
      </c>
      <c r="K31" s="128">
        <f>-'CAPEX e mutuo'!J25</f>
        <v>-15974.924206146154</v>
      </c>
      <c r="L31" s="129">
        <f>-'CAPEX e mutuo'!J26</f>
        <v>-8163.2253278350772</v>
      </c>
    </row>
    <row r="32" spans="2:12" s="20" customFormat="1" x14ac:dyDescent="0.35">
      <c r="B32" s="203" t="s">
        <v>23</v>
      </c>
      <c r="C32" s="128">
        <f>-C56*'CAPEX e mutuo'!$C$20</f>
        <v>-6750</v>
      </c>
      <c r="D32" s="128">
        <f>-D56*'CAPEX e mutuo'!$C$20</f>
        <v>-6750</v>
      </c>
      <c r="E32" s="128">
        <f>-E56*'CAPEX e mutuo'!$C$20</f>
        <v>-6750</v>
      </c>
      <c r="F32" s="128">
        <f>-F56*'CAPEX e mutuo'!$C$20</f>
        <v>-6750</v>
      </c>
      <c r="G32" s="128">
        <f>-G56*'CAPEX e mutuo'!$C$20</f>
        <v>-6750</v>
      </c>
      <c r="H32" s="128">
        <f>-H56*'CAPEX e mutuo'!$C$20</f>
        <v>-6750</v>
      </c>
      <c r="I32" s="128">
        <f>-I56*'CAPEX e mutuo'!$C$20</f>
        <v>-6750</v>
      </c>
      <c r="J32" s="128">
        <f>-J56*'CAPEX e mutuo'!$C$20</f>
        <v>-6750</v>
      </c>
      <c r="K32" s="128">
        <f>-K56*'CAPEX e mutuo'!$C$20</f>
        <v>-6750</v>
      </c>
      <c r="L32" s="129">
        <f>-L56*'CAPEX e mutuo'!$C$20</f>
        <v>-6750</v>
      </c>
    </row>
    <row r="33" spans="2:12" s="20" customFormat="1" x14ac:dyDescent="0.35">
      <c r="B33" s="201" t="s">
        <v>24</v>
      </c>
      <c r="C33" s="131">
        <f>SUM(C30:C32)</f>
        <v>453500</v>
      </c>
      <c r="D33" s="131">
        <f t="shared" ref="D33:L33" si="21">SUM(D30:D32)</f>
        <v>481232.88296758768</v>
      </c>
      <c r="E33" s="131">
        <f t="shared" si="21"/>
        <v>507623.01415699808</v>
      </c>
      <c r="F33" s="131">
        <f t="shared" si="21"/>
        <v>523958.67531503469</v>
      </c>
      <c r="G33" s="131">
        <f t="shared" si="21"/>
        <v>532389.73506816349</v>
      </c>
      <c r="H33" s="131">
        <f t="shared" si="21"/>
        <v>540072.85634241207</v>
      </c>
      <c r="I33" s="131">
        <f t="shared" si="21"/>
        <v>546927.77270269743</v>
      </c>
      <c r="J33" s="131">
        <f t="shared" si="21"/>
        <v>552867.96725115797</v>
      </c>
      <c r="K33" s="131">
        <f t="shared" si="21"/>
        <v>557800.21044635971</v>
      </c>
      <c r="L33" s="132">
        <f t="shared" si="21"/>
        <v>561624.06373777229</v>
      </c>
    </row>
    <row r="34" spans="2:12" s="20" customFormat="1" x14ac:dyDescent="0.35">
      <c r="B34" s="203" t="s">
        <v>25</v>
      </c>
      <c r="C34" s="1">
        <f>+C33*0.279</f>
        <v>126526.50000000001</v>
      </c>
      <c r="D34" s="1">
        <f t="shared" ref="D34:L34" si="22">+D33*0.279</f>
        <v>134263.97434795697</v>
      </c>
      <c r="E34" s="1">
        <f t="shared" si="22"/>
        <v>141626.82094980247</v>
      </c>
      <c r="F34" s="1">
        <f t="shared" si="22"/>
        <v>146184.47041289471</v>
      </c>
      <c r="G34" s="1">
        <f t="shared" si="22"/>
        <v>148536.73608401761</v>
      </c>
      <c r="H34" s="1">
        <f t="shared" si="22"/>
        <v>150680.32691953299</v>
      </c>
      <c r="I34" s="1">
        <f t="shared" si="22"/>
        <v>152592.84858405261</v>
      </c>
      <c r="J34" s="1">
        <f t="shared" si="22"/>
        <v>154250.16286307308</v>
      </c>
      <c r="K34" s="1">
        <f t="shared" si="22"/>
        <v>155626.25871453437</v>
      </c>
      <c r="L34" s="133">
        <f t="shared" si="22"/>
        <v>156693.11378283848</v>
      </c>
    </row>
    <row r="35" spans="2:12" s="20" customFormat="1" ht="15" thickBot="1" x14ac:dyDescent="0.4">
      <c r="B35" s="204" t="s">
        <v>26</v>
      </c>
      <c r="C35" s="134">
        <f>+C33-C34</f>
        <v>326973.5</v>
      </c>
      <c r="D35" s="134">
        <f t="shared" ref="D35:L35" si="23">+D33-D34</f>
        <v>346968.90861963073</v>
      </c>
      <c r="E35" s="134">
        <f t="shared" si="23"/>
        <v>365996.19320719561</v>
      </c>
      <c r="F35" s="134">
        <f t="shared" si="23"/>
        <v>377774.20490213996</v>
      </c>
      <c r="G35" s="134">
        <f t="shared" si="23"/>
        <v>383852.99898414587</v>
      </c>
      <c r="H35" s="134">
        <f t="shared" si="23"/>
        <v>389392.5294228791</v>
      </c>
      <c r="I35" s="134">
        <f t="shared" si="23"/>
        <v>394334.92411864479</v>
      </c>
      <c r="J35" s="134">
        <f t="shared" si="23"/>
        <v>398617.80438808491</v>
      </c>
      <c r="K35" s="134">
        <f t="shared" si="23"/>
        <v>402173.95173182536</v>
      </c>
      <c r="L35" s="135">
        <f t="shared" si="23"/>
        <v>404930.94995493384</v>
      </c>
    </row>
    <row r="36" spans="2:12" s="20" customFormat="1" ht="15.5" thickTop="1" thickBot="1" x14ac:dyDescent="0.4"/>
    <row r="37" spans="2:12" s="20" customFormat="1" ht="15.5" thickTop="1" thickBot="1" x14ac:dyDescent="0.4">
      <c r="B37" s="191" t="s">
        <v>114</v>
      </c>
      <c r="C37" s="192"/>
      <c r="D37" s="192"/>
      <c r="E37" s="192"/>
      <c r="F37" s="192"/>
      <c r="G37" s="192"/>
      <c r="H37" s="192"/>
      <c r="I37" s="192"/>
      <c r="J37" s="192"/>
      <c r="K37" s="192"/>
      <c r="L37" s="193"/>
    </row>
    <row r="38" spans="2:12" s="20" customFormat="1" ht="15.5" thickTop="1" thickBot="1" x14ac:dyDescent="0.4">
      <c r="B38" s="221" t="s">
        <v>54</v>
      </c>
      <c r="C38" s="222">
        <v>2023</v>
      </c>
      <c r="D38" s="222">
        <v>2024</v>
      </c>
      <c r="E38" s="222">
        <v>2025</v>
      </c>
      <c r="F38" s="222">
        <v>2026</v>
      </c>
      <c r="G38" s="222">
        <v>2027</v>
      </c>
      <c r="H38" s="194">
        <v>2028</v>
      </c>
      <c r="I38" s="194">
        <v>2029</v>
      </c>
      <c r="J38" s="194">
        <v>2030</v>
      </c>
      <c r="K38" s="194">
        <v>2031</v>
      </c>
      <c r="L38" s="195">
        <v>2032</v>
      </c>
    </row>
    <row r="39" spans="2:12" s="20" customFormat="1" ht="15" thickTop="1" x14ac:dyDescent="0.35">
      <c r="B39" s="205" t="s">
        <v>55</v>
      </c>
      <c r="C39" s="109">
        <f>+C17*C100/365</f>
        <v>359589.0410958904</v>
      </c>
      <c r="D39" s="109">
        <f t="shared" ref="D39:L39" si="24">+D17*D100/365</f>
        <v>370017.12328767125</v>
      </c>
      <c r="E39" s="109">
        <f t="shared" si="24"/>
        <v>380747.61986301368</v>
      </c>
      <c r="F39" s="109">
        <f t="shared" si="24"/>
        <v>391789.30083904113</v>
      </c>
      <c r="G39" s="109">
        <f t="shared" si="24"/>
        <v>401584.03336001706</v>
      </c>
      <c r="H39" s="109">
        <f t="shared" si="24"/>
        <v>411623.63419401745</v>
      </c>
      <c r="I39" s="109">
        <f t="shared" si="24"/>
        <v>421914.22504886787</v>
      </c>
      <c r="J39" s="109">
        <f t="shared" si="24"/>
        <v>432462.08067508962</v>
      </c>
      <c r="K39" s="109">
        <f t="shared" si="24"/>
        <v>443273.63269196678</v>
      </c>
      <c r="L39" s="110">
        <f t="shared" si="24"/>
        <v>454355.47350926587</v>
      </c>
    </row>
    <row r="40" spans="2:12" s="20" customFormat="1" x14ac:dyDescent="0.35">
      <c r="B40" s="206" t="s">
        <v>56</v>
      </c>
      <c r="C40" s="109">
        <f>+C17*C101/365</f>
        <v>71917.808219178085</v>
      </c>
      <c r="D40" s="109">
        <f t="shared" ref="D40:L40" si="25">+D17*D101/365</f>
        <v>74003.42465753424</v>
      </c>
      <c r="E40" s="109">
        <f t="shared" si="25"/>
        <v>76149.523972602736</v>
      </c>
      <c r="F40" s="109">
        <f t="shared" si="25"/>
        <v>78357.86016780822</v>
      </c>
      <c r="G40" s="109">
        <f t="shared" si="25"/>
        <v>80316.806672003411</v>
      </c>
      <c r="H40" s="109">
        <f t="shared" si="25"/>
        <v>82324.726838803501</v>
      </c>
      <c r="I40" s="109">
        <f t="shared" si="25"/>
        <v>84382.845009773577</v>
      </c>
      <c r="J40" s="109">
        <f t="shared" si="25"/>
        <v>86492.416135017906</v>
      </c>
      <c r="K40" s="109">
        <f t="shared" si="25"/>
        <v>88654.726538393355</v>
      </c>
      <c r="L40" s="110">
        <f t="shared" si="25"/>
        <v>90871.094701853173</v>
      </c>
    </row>
    <row r="41" spans="2:12" s="20" customFormat="1" x14ac:dyDescent="0.35">
      <c r="B41" s="206" t="s">
        <v>57</v>
      </c>
      <c r="C41" s="109">
        <f>+C18*C102/365</f>
        <v>48184.931506849316</v>
      </c>
      <c r="D41" s="109">
        <f t="shared" ref="D41:L41" si="26">+D18*D102/365</f>
        <v>50088.236301369863</v>
      </c>
      <c r="E41" s="109">
        <f t="shared" si="26"/>
        <v>52066.721635273963</v>
      </c>
      <c r="F41" s="109">
        <f t="shared" si="26"/>
        <v>54123.357139867279</v>
      </c>
      <c r="G41" s="109">
        <f t="shared" si="26"/>
        <v>56261.229746892051</v>
      </c>
      <c r="H41" s="109">
        <f t="shared" si="26"/>
        <v>58483.548321894305</v>
      </c>
      <c r="I41" s="109">
        <f t="shared" si="26"/>
        <v>60793.648480609132</v>
      </c>
      <c r="J41" s="109">
        <f t="shared" si="26"/>
        <v>63194.997595593188</v>
      </c>
      <c r="K41" s="109">
        <f t="shared" si="26"/>
        <v>65691.200000619123</v>
      </c>
      <c r="L41" s="110">
        <f t="shared" si="26"/>
        <v>68286.0024006436</v>
      </c>
    </row>
    <row r="42" spans="2:12" s="20" customFormat="1" x14ac:dyDescent="0.35">
      <c r="B42" s="206" t="s">
        <v>58</v>
      </c>
      <c r="C42" s="109">
        <f>+C17*C103/365</f>
        <v>71917.808219178085</v>
      </c>
      <c r="D42" s="109">
        <f t="shared" ref="D42:L42" si="27">+D17*D103/365</f>
        <v>74003.42465753424</v>
      </c>
      <c r="E42" s="109">
        <f t="shared" si="27"/>
        <v>76149.523972602736</v>
      </c>
      <c r="F42" s="109">
        <f t="shared" si="27"/>
        <v>78357.86016780822</v>
      </c>
      <c r="G42" s="109">
        <f t="shared" si="27"/>
        <v>80316.806672003411</v>
      </c>
      <c r="H42" s="109">
        <f t="shared" si="27"/>
        <v>82324.726838803501</v>
      </c>
      <c r="I42" s="109">
        <f t="shared" si="27"/>
        <v>84382.845009773577</v>
      </c>
      <c r="J42" s="109">
        <f t="shared" si="27"/>
        <v>86492.416135017906</v>
      </c>
      <c r="K42" s="109">
        <f t="shared" si="27"/>
        <v>88654.726538393355</v>
      </c>
      <c r="L42" s="110">
        <f t="shared" si="27"/>
        <v>90871.094701853173</v>
      </c>
    </row>
    <row r="43" spans="2:12" s="20" customFormat="1" x14ac:dyDescent="0.35">
      <c r="B43" s="207" t="s">
        <v>59</v>
      </c>
      <c r="C43" s="109">
        <f>-(C18+C20+C21+C22)*C104/365</f>
        <v>-146969.17808219179</v>
      </c>
      <c r="D43" s="109">
        <f t="shared" ref="D43:L43" si="28">-(D18+D20+D21+D22)*D104/365</f>
        <v>-151713.0565068493</v>
      </c>
      <c r="E43" s="109">
        <f t="shared" si="28"/>
        <v>-157059.92651969177</v>
      </c>
      <c r="F43" s="109">
        <f t="shared" si="28"/>
        <v>-163111.11682227094</v>
      </c>
      <c r="G43" s="109">
        <f t="shared" si="28"/>
        <v>-169400.00359347154</v>
      </c>
      <c r="H43" s="109">
        <f t="shared" si="28"/>
        <v>-175936.06727367302</v>
      </c>
      <c r="I43" s="109">
        <f t="shared" si="28"/>
        <v>-182729.1712948253</v>
      </c>
      <c r="J43" s="109">
        <f t="shared" si="28"/>
        <v>-189789.57773289195</v>
      </c>
      <c r="K43" s="109">
        <f t="shared" si="28"/>
        <v>-197127.9636072421</v>
      </c>
      <c r="L43" s="110">
        <f t="shared" si="28"/>
        <v>-204755.43785404257</v>
      </c>
    </row>
    <row r="44" spans="2:12" s="20" customFormat="1" x14ac:dyDescent="0.35">
      <c r="B44" s="207" t="s">
        <v>60</v>
      </c>
      <c r="C44" s="109">
        <f>-(C18+C20+C21+C22)*C105/365</f>
        <v>-29393.835616438355</v>
      </c>
      <c r="D44" s="109">
        <f t="shared" ref="D44:L44" si="29">-(D18+D20+D21+D22)*D105/365</f>
        <v>-30342.611301369863</v>
      </c>
      <c r="E44" s="109">
        <f t="shared" si="29"/>
        <v>-31411.98530393836</v>
      </c>
      <c r="F44" s="109">
        <f t="shared" si="29"/>
        <v>-32622.223364454185</v>
      </c>
      <c r="G44" s="109">
        <f t="shared" si="29"/>
        <v>-33880.000718694311</v>
      </c>
      <c r="H44" s="109">
        <f t="shared" si="29"/>
        <v>-35187.2134547346</v>
      </c>
      <c r="I44" s="109">
        <f t="shared" si="29"/>
        <v>-36545.834258965064</v>
      </c>
      <c r="J44" s="109">
        <f t="shared" si="29"/>
        <v>-37957.915546578392</v>
      </c>
      <c r="K44" s="109">
        <f t="shared" si="29"/>
        <v>-39425.592721448418</v>
      </c>
      <c r="L44" s="110">
        <f t="shared" si="29"/>
        <v>-40951.087570808515</v>
      </c>
    </row>
    <row r="45" spans="2:12" s="20" customFormat="1" x14ac:dyDescent="0.35">
      <c r="B45" s="208" t="s">
        <v>61</v>
      </c>
      <c r="C45" s="60">
        <v>10000</v>
      </c>
      <c r="D45" s="60">
        <v>11000</v>
      </c>
      <c r="E45" s="60">
        <f>+D45</f>
        <v>11000</v>
      </c>
      <c r="F45" s="60">
        <f t="shared" ref="F45:L45" si="30">+E45</f>
        <v>11000</v>
      </c>
      <c r="G45" s="60">
        <f t="shared" si="30"/>
        <v>11000</v>
      </c>
      <c r="H45" s="60">
        <f t="shared" si="30"/>
        <v>11000</v>
      </c>
      <c r="I45" s="60">
        <f t="shared" si="30"/>
        <v>11000</v>
      </c>
      <c r="J45" s="60">
        <f t="shared" si="30"/>
        <v>11000</v>
      </c>
      <c r="K45" s="60">
        <f t="shared" si="30"/>
        <v>11000</v>
      </c>
      <c r="L45" s="111">
        <f t="shared" si="30"/>
        <v>11000</v>
      </c>
    </row>
    <row r="46" spans="2:12" s="20" customFormat="1" x14ac:dyDescent="0.35">
      <c r="B46" s="209" t="s">
        <v>62</v>
      </c>
      <c r="C46" s="112">
        <f>SUM(C39:C45)</f>
        <v>385246.57534246566</v>
      </c>
      <c r="D46" s="112">
        <f t="shared" ref="D46:L46" si="31">SUM(D39:D45)</f>
        <v>397056.5410958904</v>
      </c>
      <c r="E46" s="112">
        <f t="shared" si="31"/>
        <v>407641.477619863</v>
      </c>
      <c r="F46" s="112">
        <f t="shared" si="31"/>
        <v>417895.03812779981</v>
      </c>
      <c r="G46" s="112">
        <f t="shared" si="31"/>
        <v>426198.87213874998</v>
      </c>
      <c r="H46" s="112">
        <f t="shared" si="31"/>
        <v>434633.35546511115</v>
      </c>
      <c r="I46" s="112">
        <f t="shared" si="31"/>
        <v>443198.55799523386</v>
      </c>
      <c r="J46" s="112">
        <f t="shared" si="31"/>
        <v>451894.41726124822</v>
      </c>
      <c r="K46" s="112">
        <f t="shared" si="31"/>
        <v>460720.72944068222</v>
      </c>
      <c r="L46" s="113">
        <f t="shared" si="31"/>
        <v>469677.13988876459</v>
      </c>
    </row>
    <row r="47" spans="2:12" s="20" customFormat="1" x14ac:dyDescent="0.35">
      <c r="B47" s="207" t="s">
        <v>63</v>
      </c>
      <c r="C47" s="109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0</v>
      </c>
      <c r="K47" s="109">
        <v>0</v>
      </c>
      <c r="L47" s="110">
        <v>0</v>
      </c>
    </row>
    <row r="48" spans="2:12" s="20" customFormat="1" x14ac:dyDescent="0.35">
      <c r="B48" s="207" t="s">
        <v>64</v>
      </c>
      <c r="C48" s="109">
        <f>+'CAPEX e mutuo'!C8-'CE SP FC'!C27</f>
        <v>1485000</v>
      </c>
      <c r="D48" s="109">
        <f>+C48-D29</f>
        <v>1320000</v>
      </c>
      <c r="E48" s="109">
        <f t="shared" ref="E48:L48" si="32">+D48-E29</f>
        <v>1155000</v>
      </c>
      <c r="F48" s="109">
        <f t="shared" si="32"/>
        <v>990000</v>
      </c>
      <c r="G48" s="109">
        <f t="shared" si="32"/>
        <v>825000</v>
      </c>
      <c r="H48" s="109">
        <f t="shared" si="32"/>
        <v>660000</v>
      </c>
      <c r="I48" s="109">
        <f t="shared" si="32"/>
        <v>495000</v>
      </c>
      <c r="J48" s="109">
        <f t="shared" si="32"/>
        <v>330000</v>
      </c>
      <c r="K48" s="109">
        <f t="shared" si="32"/>
        <v>165000</v>
      </c>
      <c r="L48" s="110">
        <f t="shared" si="32"/>
        <v>0</v>
      </c>
    </row>
    <row r="49" spans="2:12" s="20" customFormat="1" x14ac:dyDescent="0.35">
      <c r="B49" s="206" t="s">
        <v>65</v>
      </c>
      <c r="C49" s="109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0</v>
      </c>
      <c r="J49" s="109">
        <v>0</v>
      </c>
      <c r="K49" s="109">
        <v>0</v>
      </c>
      <c r="L49" s="110">
        <v>0</v>
      </c>
    </row>
    <row r="50" spans="2:12" s="20" customFormat="1" x14ac:dyDescent="0.35">
      <c r="B50" s="208" t="s">
        <v>66</v>
      </c>
      <c r="C50" s="60">
        <f>-C19/13.5</f>
        <v>-17185.185185185186</v>
      </c>
      <c r="D50" s="60">
        <f>+C50-D19/13.5</f>
        <v>-34772.097222222219</v>
      </c>
      <c r="E50" s="60">
        <f t="shared" ref="E50:L50" si="33">+D50-E19/13.5</f>
        <v>-52770.153213831014</v>
      </c>
      <c r="F50" s="60">
        <f t="shared" si="33"/>
        <v>-71801.539852114787</v>
      </c>
      <c r="G50" s="60">
        <f t="shared" si="33"/>
        <v>-91936.573070815386</v>
      </c>
      <c r="H50" s="60">
        <f t="shared" si="33"/>
        <v>-113250.71850542078</v>
      </c>
      <c r="I50" s="60">
        <f t="shared" si="33"/>
        <v>-135824.9788607182</v>
      </c>
      <c r="J50" s="60">
        <f t="shared" si="33"/>
        <v>-159746.31068269297</v>
      </c>
      <c r="K50" s="60">
        <f t="shared" si="33"/>
        <v>-185108.07277354388</v>
      </c>
      <c r="L50" s="111">
        <f t="shared" si="33"/>
        <v>-212010.50865920904</v>
      </c>
    </row>
    <row r="51" spans="2:12" s="20" customFormat="1" x14ac:dyDescent="0.35">
      <c r="B51" s="210" t="s">
        <v>67</v>
      </c>
      <c r="C51" s="112">
        <f>SUM(C47:C50)</f>
        <v>1467814.8148148148</v>
      </c>
      <c r="D51" s="112">
        <f t="shared" ref="D51:L51" si="34">SUM(D47:D50)</f>
        <v>1285227.9027777778</v>
      </c>
      <c r="E51" s="112">
        <f t="shared" si="34"/>
        <v>1102229.8467861689</v>
      </c>
      <c r="F51" s="112">
        <f t="shared" si="34"/>
        <v>918198.46014788526</v>
      </c>
      <c r="G51" s="112">
        <f t="shared" si="34"/>
        <v>733063.42692918458</v>
      </c>
      <c r="H51" s="112">
        <f t="shared" si="34"/>
        <v>546749.28149457928</v>
      </c>
      <c r="I51" s="112">
        <f t="shared" si="34"/>
        <v>359175.0211392818</v>
      </c>
      <c r="J51" s="112">
        <f t="shared" si="34"/>
        <v>170253.68931730703</v>
      </c>
      <c r="K51" s="112">
        <f t="shared" si="34"/>
        <v>-20108.072773543885</v>
      </c>
      <c r="L51" s="113">
        <f t="shared" si="34"/>
        <v>-212010.50865920904</v>
      </c>
    </row>
    <row r="52" spans="2:12" s="20" customFormat="1" ht="15" thickBot="1" x14ac:dyDescent="0.4">
      <c r="B52" s="211"/>
      <c r="C52" s="10"/>
      <c r="D52" s="10"/>
      <c r="E52" s="10"/>
      <c r="F52" s="10"/>
      <c r="G52" s="10"/>
      <c r="H52" s="10"/>
      <c r="I52" s="10"/>
      <c r="J52" s="10"/>
      <c r="K52" s="10"/>
      <c r="L52" s="114"/>
    </row>
    <row r="53" spans="2:12" s="20" customFormat="1" ht="15" thickTop="1" x14ac:dyDescent="0.35">
      <c r="B53" s="212" t="s">
        <v>68</v>
      </c>
      <c r="C53" s="112">
        <f>+C46+C51</f>
        <v>1853061.3901572805</v>
      </c>
      <c r="D53" s="112">
        <f t="shared" ref="D53:L53" si="35">+D46+D51</f>
        <v>1682284.4438736681</v>
      </c>
      <c r="E53" s="112">
        <f t="shared" si="35"/>
        <v>1509871.324406032</v>
      </c>
      <c r="F53" s="112">
        <f t="shared" si="35"/>
        <v>1336093.4982756851</v>
      </c>
      <c r="G53" s="112">
        <f t="shared" si="35"/>
        <v>1159262.2990679345</v>
      </c>
      <c r="H53" s="112">
        <f t="shared" si="35"/>
        <v>981382.63695969037</v>
      </c>
      <c r="I53" s="112">
        <f t="shared" si="35"/>
        <v>802373.57913451572</v>
      </c>
      <c r="J53" s="112">
        <f t="shared" si="35"/>
        <v>622148.10657855519</v>
      </c>
      <c r="K53" s="112">
        <f t="shared" si="35"/>
        <v>440612.65666713833</v>
      </c>
      <c r="L53" s="113">
        <f t="shared" si="35"/>
        <v>257666.63122955555</v>
      </c>
    </row>
    <row r="54" spans="2:12" s="20" customFormat="1" ht="15" thickBot="1" x14ac:dyDescent="0.4">
      <c r="B54" s="117"/>
      <c r="C54" s="115"/>
      <c r="D54" s="115"/>
      <c r="E54" s="115"/>
      <c r="F54" s="115"/>
      <c r="G54" s="115"/>
      <c r="H54" s="115"/>
      <c r="I54" s="115"/>
      <c r="J54" s="115"/>
      <c r="K54" s="115"/>
      <c r="L54" s="116"/>
    </row>
    <row r="55" spans="2:12" s="20" customFormat="1" ht="15.5" thickTop="1" thickBot="1" x14ac:dyDescent="0.4">
      <c r="B55" s="223" t="s">
        <v>69</v>
      </c>
      <c r="C55" s="222">
        <v>2023</v>
      </c>
      <c r="D55" s="222">
        <v>2024</v>
      </c>
      <c r="E55" s="222">
        <v>2025</v>
      </c>
      <c r="F55" s="222">
        <v>2026</v>
      </c>
      <c r="G55" s="222">
        <v>2027</v>
      </c>
      <c r="H55" s="222">
        <v>2028</v>
      </c>
      <c r="I55" s="222">
        <v>2029</v>
      </c>
      <c r="J55" s="222">
        <v>2030</v>
      </c>
      <c r="K55" s="222">
        <v>2031</v>
      </c>
      <c r="L55" s="222">
        <v>2032</v>
      </c>
    </row>
    <row r="56" spans="2:12" s="20" customFormat="1" ht="15" thickTop="1" x14ac:dyDescent="0.35">
      <c r="B56" s="213" t="s">
        <v>70</v>
      </c>
      <c r="C56" s="109">
        <v>150000</v>
      </c>
      <c r="D56" s="109">
        <f>+C56</f>
        <v>150000</v>
      </c>
      <c r="E56" s="109">
        <f t="shared" ref="E56:L56" si="36">+D56</f>
        <v>150000</v>
      </c>
      <c r="F56" s="109">
        <f t="shared" si="36"/>
        <v>150000</v>
      </c>
      <c r="G56" s="109">
        <f t="shared" si="36"/>
        <v>150000</v>
      </c>
      <c r="H56" s="109">
        <f t="shared" si="36"/>
        <v>150000</v>
      </c>
      <c r="I56" s="109">
        <f t="shared" si="36"/>
        <v>150000</v>
      </c>
      <c r="J56" s="109">
        <f t="shared" si="36"/>
        <v>150000</v>
      </c>
      <c r="K56" s="109">
        <f t="shared" si="36"/>
        <v>150000</v>
      </c>
      <c r="L56" s="110">
        <f t="shared" si="36"/>
        <v>150000</v>
      </c>
    </row>
    <row r="57" spans="2:12" s="20" customFormat="1" x14ac:dyDescent="0.35">
      <c r="B57" s="207" t="s">
        <v>71</v>
      </c>
      <c r="C57" s="109">
        <f>'CAPEX e mutuo'!G18</f>
        <v>1377931.767386941</v>
      </c>
      <c r="D57" s="109">
        <f>'CAPEX e mutuo'!G19</f>
        <v>1250370.4643062945</v>
      </c>
      <c r="E57" s="109">
        <f>'CAPEX e mutuo'!G20</f>
        <v>1117068.9025870187</v>
      </c>
      <c r="F57" s="109">
        <f>'CAPEX e mutuo'!G21</f>
        <v>977768.77059037553</v>
      </c>
      <c r="G57" s="109">
        <f>'CAPEX e mutuo'!G22</f>
        <v>832200.13265388343</v>
      </c>
      <c r="H57" s="109">
        <f>'CAPEX e mutuo'!G23</f>
        <v>680080.90601024916</v>
      </c>
      <c r="I57" s="109">
        <f>'CAPEX e mutuo'!G24</f>
        <v>521116.31416765141</v>
      </c>
      <c r="J57" s="109">
        <f>'CAPEX e mutuo'!G25</f>
        <v>354998.31569213676</v>
      </c>
      <c r="K57" s="109">
        <f>'CAPEX e mutuo'!G26</f>
        <v>181405.00728522395</v>
      </c>
      <c r="L57" s="110">
        <f>'CAPEX e mutuo'!K26</f>
        <v>0</v>
      </c>
    </row>
    <row r="58" spans="2:12" s="20" customFormat="1" x14ac:dyDescent="0.35">
      <c r="B58" s="207" t="s">
        <v>72</v>
      </c>
      <c r="C58" s="109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0</v>
      </c>
      <c r="K58" s="109">
        <v>0</v>
      </c>
      <c r="L58" s="110">
        <v>0</v>
      </c>
    </row>
    <row r="59" spans="2:12" s="20" customFormat="1" x14ac:dyDescent="0.35">
      <c r="B59" s="207" t="s">
        <v>73</v>
      </c>
      <c r="C59" s="109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0</v>
      </c>
      <c r="K59" s="109">
        <v>0</v>
      </c>
      <c r="L59" s="110">
        <v>0</v>
      </c>
    </row>
    <row r="60" spans="2:12" s="20" customFormat="1" x14ac:dyDescent="0.35">
      <c r="B60" s="207" t="s">
        <v>74</v>
      </c>
      <c r="C60" s="109">
        <v>0</v>
      </c>
      <c r="D60" s="109">
        <v>0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9">
        <v>0</v>
      </c>
      <c r="L60" s="110">
        <v>0</v>
      </c>
    </row>
    <row r="61" spans="2:12" s="20" customFormat="1" x14ac:dyDescent="0.35">
      <c r="B61" s="214" t="s">
        <v>75</v>
      </c>
      <c r="C61" s="60">
        <f>-C95</f>
        <v>-11843.877229660517</v>
      </c>
      <c r="D61" s="60">
        <f>-D95</f>
        <v>-140449.62905225705</v>
      </c>
      <c r="E61" s="60">
        <f t="shared" ref="E61:L61" si="37">-E95</f>
        <v>-267982.2531121085</v>
      </c>
      <c r="F61" s="60">
        <f t="shared" si="37"/>
        <v>-387437.19758219604</v>
      </c>
      <c r="G61" s="60">
        <f t="shared" si="37"/>
        <v>-500333.39391588804</v>
      </c>
      <c r="H61" s="60">
        <f t="shared" si="37"/>
        <v>-608403.9596160606</v>
      </c>
      <c r="I61" s="60">
        <f t="shared" si="37"/>
        <v>-711269.32617897913</v>
      </c>
      <c r="J61" s="60">
        <f t="shared" si="37"/>
        <v>-808526.66535259387</v>
      </c>
      <c r="K61" s="60">
        <f t="shared" si="37"/>
        <v>-899748.51507845568</v>
      </c>
      <c r="L61" s="111">
        <f t="shared" si="37"/>
        <v>-984481.3218002877</v>
      </c>
    </row>
    <row r="62" spans="2:12" s="20" customFormat="1" x14ac:dyDescent="0.35">
      <c r="B62" s="207" t="s">
        <v>76</v>
      </c>
      <c r="C62" s="112">
        <f>SUM(C56:C61)</f>
        <v>1516087.8901572805</v>
      </c>
      <c r="D62" s="112">
        <f t="shared" ref="D62:L62" si="38">SUM(D56:D61)</f>
        <v>1259920.8352540373</v>
      </c>
      <c r="E62" s="112">
        <f t="shared" si="38"/>
        <v>999086.64947491023</v>
      </c>
      <c r="F62" s="112">
        <f t="shared" si="38"/>
        <v>740331.57300817966</v>
      </c>
      <c r="G62" s="112">
        <f t="shared" si="38"/>
        <v>481866.73873799539</v>
      </c>
      <c r="H62" s="112">
        <f t="shared" si="38"/>
        <v>221676.94639418856</v>
      </c>
      <c r="I62" s="112">
        <f t="shared" si="38"/>
        <v>-40153.012011327781</v>
      </c>
      <c r="J62" s="112">
        <f t="shared" si="38"/>
        <v>-303528.34966045711</v>
      </c>
      <c r="K62" s="112">
        <f t="shared" si="38"/>
        <v>-568343.50779323175</v>
      </c>
      <c r="L62" s="113">
        <f t="shared" si="38"/>
        <v>-834481.3218002877</v>
      </c>
    </row>
    <row r="63" spans="2:12" s="20" customFormat="1" x14ac:dyDescent="0.35">
      <c r="B63" s="207" t="s">
        <v>77</v>
      </c>
      <c r="C63" s="109">
        <v>10000</v>
      </c>
      <c r="D63" s="109">
        <v>10000</v>
      </c>
      <c r="E63" s="109">
        <v>10000</v>
      </c>
      <c r="F63" s="109">
        <v>10000</v>
      </c>
      <c r="G63" s="109">
        <v>10000</v>
      </c>
      <c r="H63" s="109">
        <v>10000</v>
      </c>
      <c r="I63" s="109">
        <v>10000</v>
      </c>
      <c r="J63" s="109">
        <v>10000</v>
      </c>
      <c r="K63" s="109">
        <v>10000</v>
      </c>
      <c r="L63" s="110">
        <v>10000</v>
      </c>
    </row>
    <row r="64" spans="2:12" s="20" customFormat="1" x14ac:dyDescent="0.35">
      <c r="B64" s="207" t="s">
        <v>78</v>
      </c>
      <c r="C64" s="109">
        <v>0</v>
      </c>
      <c r="D64" s="109">
        <v>0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9">
        <v>0</v>
      </c>
      <c r="L64" s="110">
        <v>0</v>
      </c>
    </row>
    <row r="65" spans="1:12" s="20" customFormat="1" x14ac:dyDescent="0.35">
      <c r="B65" s="207" t="s">
        <v>79</v>
      </c>
      <c r="C65" s="109">
        <v>0</v>
      </c>
      <c r="D65" s="109">
        <f>C66*0.2</f>
        <v>65394.700000000004</v>
      </c>
      <c r="E65" s="109">
        <f t="shared" ref="E65:L65" si="39">D65+D66*0.2</f>
        <v>134788.48172392615</v>
      </c>
      <c r="F65" s="109">
        <f t="shared" si="39"/>
        <v>207987.72036536527</v>
      </c>
      <c r="G65" s="109">
        <f t="shared" si="39"/>
        <v>283542.56134579325</v>
      </c>
      <c r="H65" s="109">
        <f t="shared" si="39"/>
        <v>360313.16114262241</v>
      </c>
      <c r="I65" s="109">
        <f t="shared" si="39"/>
        <v>438191.66702719824</v>
      </c>
      <c r="J65" s="109">
        <f t="shared" si="39"/>
        <v>517058.65185092721</v>
      </c>
      <c r="K65" s="109">
        <f t="shared" si="39"/>
        <v>596782.21272854414</v>
      </c>
      <c r="L65" s="110">
        <f t="shared" si="39"/>
        <v>677217.00307490921</v>
      </c>
    </row>
    <row r="66" spans="1:12" s="20" customFormat="1" x14ac:dyDescent="0.35">
      <c r="B66" s="214" t="s">
        <v>80</v>
      </c>
      <c r="C66" s="60">
        <f>C35</f>
        <v>326973.5</v>
      </c>
      <c r="D66" s="60">
        <f t="shared" ref="D66:L66" si="40">D35</f>
        <v>346968.90861963073</v>
      </c>
      <c r="E66" s="60">
        <f t="shared" si="40"/>
        <v>365996.19320719561</v>
      </c>
      <c r="F66" s="60">
        <f t="shared" si="40"/>
        <v>377774.20490213996</v>
      </c>
      <c r="G66" s="60">
        <f t="shared" si="40"/>
        <v>383852.99898414587</v>
      </c>
      <c r="H66" s="60">
        <f t="shared" si="40"/>
        <v>389392.5294228791</v>
      </c>
      <c r="I66" s="60">
        <f t="shared" si="40"/>
        <v>394334.92411864479</v>
      </c>
      <c r="J66" s="60">
        <f t="shared" si="40"/>
        <v>398617.80438808491</v>
      </c>
      <c r="K66" s="60">
        <f t="shared" si="40"/>
        <v>402173.95173182536</v>
      </c>
      <c r="L66" s="111">
        <f t="shared" si="40"/>
        <v>404930.94995493384</v>
      </c>
    </row>
    <row r="67" spans="1:12" s="20" customFormat="1" x14ac:dyDescent="0.35">
      <c r="B67" s="215" t="s">
        <v>81</v>
      </c>
      <c r="C67" s="112">
        <f>SUM(C63:C66)</f>
        <v>336973.5</v>
      </c>
      <c r="D67" s="112">
        <f t="shared" ref="D67:L67" si="41">SUM(D63:D66)</f>
        <v>422363.60861963074</v>
      </c>
      <c r="E67" s="112">
        <f t="shared" si="41"/>
        <v>510784.67493112176</v>
      </c>
      <c r="F67" s="112">
        <f t="shared" si="41"/>
        <v>595761.92526750523</v>
      </c>
      <c r="G67" s="112">
        <f t="shared" si="41"/>
        <v>677395.56032993912</v>
      </c>
      <c r="H67" s="112">
        <f t="shared" si="41"/>
        <v>759705.69056550157</v>
      </c>
      <c r="I67" s="112">
        <f t="shared" si="41"/>
        <v>842526.59114584303</v>
      </c>
      <c r="J67" s="112">
        <f t="shared" si="41"/>
        <v>925676.45623901207</v>
      </c>
      <c r="K67" s="112">
        <f t="shared" si="41"/>
        <v>1008956.1644603695</v>
      </c>
      <c r="L67" s="113">
        <f t="shared" si="41"/>
        <v>1092147.953029843</v>
      </c>
    </row>
    <row r="68" spans="1:12" s="20" customFormat="1" ht="15" thickBot="1" x14ac:dyDescent="0.4">
      <c r="B68" s="216"/>
      <c r="C68" s="81"/>
      <c r="D68" s="81"/>
      <c r="E68" s="81"/>
      <c r="F68" s="81"/>
      <c r="G68" s="81"/>
      <c r="H68" s="81"/>
      <c r="I68" s="81"/>
      <c r="J68" s="81"/>
      <c r="K68" s="81"/>
      <c r="L68" s="118"/>
    </row>
    <row r="69" spans="1:12" s="20" customFormat="1" ht="15.5" thickTop="1" thickBot="1" x14ac:dyDescent="0.4">
      <c r="B69" s="119" t="s">
        <v>82</v>
      </c>
      <c r="C69" s="120">
        <f>+C62+C67</f>
        <v>1853061.3901572805</v>
      </c>
      <c r="D69" s="120">
        <f t="shared" ref="D69:L69" si="42">+D62+D67</f>
        <v>1682284.4438736681</v>
      </c>
      <c r="E69" s="120">
        <f t="shared" si="42"/>
        <v>1509871.324406032</v>
      </c>
      <c r="F69" s="120">
        <f t="shared" si="42"/>
        <v>1336093.4982756849</v>
      </c>
      <c r="G69" s="120">
        <f t="shared" si="42"/>
        <v>1159262.2990679345</v>
      </c>
      <c r="H69" s="120">
        <f t="shared" si="42"/>
        <v>981382.63695969013</v>
      </c>
      <c r="I69" s="120">
        <f t="shared" si="42"/>
        <v>802373.57913451525</v>
      </c>
      <c r="J69" s="120">
        <f t="shared" si="42"/>
        <v>622148.10657855496</v>
      </c>
      <c r="K69" s="120">
        <f t="shared" si="42"/>
        <v>440612.65666713775</v>
      </c>
      <c r="L69" s="121">
        <f t="shared" si="42"/>
        <v>257666.63122955535</v>
      </c>
    </row>
    <row r="70" spans="1:12" s="20" customFormat="1" ht="15.5" thickTop="1" thickBot="1" x14ac:dyDescent="0.4">
      <c r="B70" s="24"/>
    </row>
    <row r="71" spans="1:12" s="20" customFormat="1" ht="15.5" thickTop="1" thickBot="1" x14ac:dyDescent="0.4">
      <c r="A71" s="84"/>
      <c r="B71" s="191" t="s">
        <v>83</v>
      </c>
      <c r="C71" s="192"/>
      <c r="D71" s="192"/>
      <c r="E71" s="192"/>
      <c r="F71" s="192"/>
      <c r="G71" s="192"/>
      <c r="H71" s="192"/>
      <c r="I71" s="192"/>
      <c r="J71" s="192"/>
      <c r="K71" s="192"/>
      <c r="L71" s="193"/>
    </row>
    <row r="72" spans="1:12" s="20" customFormat="1" ht="15.5" thickTop="1" thickBot="1" x14ac:dyDescent="0.4">
      <c r="B72" s="221"/>
      <c r="C72" s="222">
        <v>2023</v>
      </c>
      <c r="D72" s="222">
        <v>2024</v>
      </c>
      <c r="E72" s="222">
        <v>2025</v>
      </c>
      <c r="F72" s="222">
        <v>2026</v>
      </c>
      <c r="G72" s="222">
        <v>2027</v>
      </c>
      <c r="H72" s="224">
        <v>2028</v>
      </c>
      <c r="I72" s="222">
        <v>2029</v>
      </c>
      <c r="J72" s="222">
        <v>2030</v>
      </c>
      <c r="K72" s="222">
        <v>2031</v>
      </c>
      <c r="L72" s="195">
        <v>2032</v>
      </c>
    </row>
    <row r="73" spans="1:12" s="20" customFormat="1" ht="15" thickTop="1" x14ac:dyDescent="0.35">
      <c r="B73" s="217" t="s">
        <v>84</v>
      </c>
      <c r="C73" s="109">
        <f>C35</f>
        <v>326973.5</v>
      </c>
      <c r="D73" s="109">
        <f t="shared" ref="D73:L73" si="43">D35</f>
        <v>346968.90861963073</v>
      </c>
      <c r="E73" s="109">
        <f t="shared" si="43"/>
        <v>365996.19320719561</v>
      </c>
      <c r="F73" s="109">
        <f t="shared" si="43"/>
        <v>377774.20490213996</v>
      </c>
      <c r="G73" s="109">
        <f t="shared" si="43"/>
        <v>383852.99898414587</v>
      </c>
      <c r="H73" s="109">
        <f t="shared" si="43"/>
        <v>389392.5294228791</v>
      </c>
      <c r="I73" s="109">
        <f t="shared" si="43"/>
        <v>394334.92411864479</v>
      </c>
      <c r="J73" s="109">
        <f t="shared" si="43"/>
        <v>398617.80438808491</v>
      </c>
      <c r="K73" s="109">
        <f t="shared" si="43"/>
        <v>402173.95173182536</v>
      </c>
      <c r="L73" s="110">
        <f t="shared" si="43"/>
        <v>404930.94995493384</v>
      </c>
    </row>
    <row r="74" spans="1:12" s="20" customFormat="1" x14ac:dyDescent="0.35">
      <c r="B74" s="200" t="s">
        <v>85</v>
      </c>
      <c r="C74" s="109">
        <f>C29</f>
        <v>165000</v>
      </c>
      <c r="D74" s="109">
        <f t="shared" ref="D74:L74" si="44">D29</f>
        <v>165000</v>
      </c>
      <c r="E74" s="109">
        <f t="shared" si="44"/>
        <v>165000</v>
      </c>
      <c r="F74" s="109">
        <f t="shared" si="44"/>
        <v>165000</v>
      </c>
      <c r="G74" s="109">
        <f t="shared" si="44"/>
        <v>165000</v>
      </c>
      <c r="H74" s="109">
        <f t="shared" si="44"/>
        <v>165000</v>
      </c>
      <c r="I74" s="109">
        <f t="shared" si="44"/>
        <v>165000</v>
      </c>
      <c r="J74" s="109">
        <f t="shared" si="44"/>
        <v>165000</v>
      </c>
      <c r="K74" s="109">
        <f t="shared" si="44"/>
        <v>165000</v>
      </c>
      <c r="L74" s="110">
        <f t="shared" si="44"/>
        <v>165000</v>
      </c>
    </row>
    <row r="75" spans="1:12" s="20" customFormat="1" x14ac:dyDescent="0.35">
      <c r="B75" s="218" t="s">
        <v>86</v>
      </c>
      <c r="C75" s="60">
        <f>-C50</f>
        <v>17185.185185185186</v>
      </c>
      <c r="D75" s="60">
        <f>-D50+C50</f>
        <v>17586.912037037033</v>
      </c>
      <c r="E75" s="60">
        <f>-E50+D50</f>
        <v>17998.055991608795</v>
      </c>
      <c r="F75" s="60">
        <f>-F50+E50</f>
        <v>19031.386638283773</v>
      </c>
      <c r="G75" s="60">
        <f t="shared" ref="G75:L75" si="45">-G50+F50</f>
        <v>20135.033218700599</v>
      </c>
      <c r="H75" s="60">
        <f t="shared" si="45"/>
        <v>21314.145434605394</v>
      </c>
      <c r="I75" s="60">
        <f t="shared" si="45"/>
        <v>22574.260355297418</v>
      </c>
      <c r="J75" s="60">
        <f t="shared" si="45"/>
        <v>23921.331821974774</v>
      </c>
      <c r="K75" s="60">
        <f t="shared" si="45"/>
        <v>25361.762090850913</v>
      </c>
      <c r="L75" s="111">
        <f t="shared" si="45"/>
        <v>26902.435885665152</v>
      </c>
    </row>
    <row r="76" spans="1:12" s="20" customFormat="1" x14ac:dyDescent="0.35">
      <c r="B76" s="201" t="s">
        <v>87</v>
      </c>
      <c r="C76" s="112">
        <f>SUM(C73:C75)</f>
        <v>509158.68518518517</v>
      </c>
      <c r="D76" s="112">
        <f t="shared" ref="D76:L76" si="46">SUM(D73:D75)</f>
        <v>529555.82065666781</v>
      </c>
      <c r="E76" s="112">
        <f t="shared" si="46"/>
        <v>548994.24919880438</v>
      </c>
      <c r="F76" s="112">
        <f t="shared" si="46"/>
        <v>561805.59154042369</v>
      </c>
      <c r="G76" s="112">
        <f t="shared" si="46"/>
        <v>568988.03220284649</v>
      </c>
      <c r="H76" s="112">
        <f t="shared" si="46"/>
        <v>575706.67485748453</v>
      </c>
      <c r="I76" s="112">
        <f t="shared" si="46"/>
        <v>581909.18447394227</v>
      </c>
      <c r="J76" s="112">
        <f t="shared" si="46"/>
        <v>587539.13621005975</v>
      </c>
      <c r="K76" s="112">
        <f t="shared" si="46"/>
        <v>592535.71382267633</v>
      </c>
      <c r="L76" s="113">
        <f t="shared" si="46"/>
        <v>596833.38584059896</v>
      </c>
    </row>
    <row r="77" spans="1:12" s="20" customFormat="1" x14ac:dyDescent="0.35">
      <c r="B77" s="200" t="s">
        <v>88</v>
      </c>
      <c r="C77" s="109">
        <f t="shared" ref="C77:C83" si="47">-C39</f>
        <v>-359589.0410958904</v>
      </c>
      <c r="D77" s="109">
        <f t="shared" ref="D77:E81" si="48">-D39+C39</f>
        <v>-10428.08219178085</v>
      </c>
      <c r="E77" s="109">
        <f t="shared" si="48"/>
        <v>-10730.496575342433</v>
      </c>
      <c r="F77" s="109">
        <f t="shared" ref="F77:L77" si="49">-F39+E39</f>
        <v>-11041.680976027448</v>
      </c>
      <c r="G77" s="109">
        <f t="shared" si="49"/>
        <v>-9794.7325209759292</v>
      </c>
      <c r="H77" s="109">
        <f t="shared" si="49"/>
        <v>-10039.60083400039</v>
      </c>
      <c r="I77" s="109">
        <f t="shared" si="49"/>
        <v>-10290.590854850423</v>
      </c>
      <c r="J77" s="109">
        <f t="shared" si="49"/>
        <v>-10547.855626221746</v>
      </c>
      <c r="K77" s="109">
        <f t="shared" si="49"/>
        <v>-10811.552016877162</v>
      </c>
      <c r="L77" s="110">
        <f t="shared" si="49"/>
        <v>-11081.840817299089</v>
      </c>
    </row>
    <row r="78" spans="1:12" s="20" customFormat="1" x14ac:dyDescent="0.35">
      <c r="B78" s="200" t="s">
        <v>89</v>
      </c>
      <c r="C78" s="109">
        <f t="shared" si="47"/>
        <v>-71917.808219178085</v>
      </c>
      <c r="D78" s="109">
        <f t="shared" si="48"/>
        <v>-2085.6164383561554</v>
      </c>
      <c r="E78" s="109">
        <f t="shared" si="48"/>
        <v>-2146.0993150684953</v>
      </c>
      <c r="F78" s="109">
        <f t="shared" ref="F78:L78" si="50">-F40+E40</f>
        <v>-2208.3361952054838</v>
      </c>
      <c r="G78" s="109">
        <f t="shared" si="50"/>
        <v>-1958.9465041951917</v>
      </c>
      <c r="H78" s="109">
        <f t="shared" si="50"/>
        <v>-2007.9201668000896</v>
      </c>
      <c r="I78" s="109">
        <f t="shared" si="50"/>
        <v>-2058.1181709700759</v>
      </c>
      <c r="J78" s="109">
        <f t="shared" si="50"/>
        <v>-2109.5711252443289</v>
      </c>
      <c r="K78" s="109">
        <f t="shared" si="50"/>
        <v>-2162.3104033754498</v>
      </c>
      <c r="L78" s="110">
        <f t="shared" si="50"/>
        <v>-2216.3681634598179</v>
      </c>
    </row>
    <row r="79" spans="1:12" s="20" customFormat="1" x14ac:dyDescent="0.35">
      <c r="B79" s="200" t="s">
        <v>90</v>
      </c>
      <c r="C79" s="109">
        <f t="shared" si="47"/>
        <v>-48184.931506849316</v>
      </c>
      <c r="D79" s="109">
        <f t="shared" si="48"/>
        <v>-1903.3047945205471</v>
      </c>
      <c r="E79" s="109">
        <f t="shared" si="48"/>
        <v>-1978.4853339041001</v>
      </c>
      <c r="F79" s="109">
        <f t="shared" ref="F79:L80" si="51">-F41+E41</f>
        <v>-2056.635504593316</v>
      </c>
      <c r="G79" s="109">
        <f t="shared" si="51"/>
        <v>-2137.8726070247722</v>
      </c>
      <c r="H79" s="109">
        <f t="shared" si="51"/>
        <v>-2222.3185750022531</v>
      </c>
      <c r="I79" s="109">
        <f t="shared" si="51"/>
        <v>-2310.1001587148276</v>
      </c>
      <c r="J79" s="109">
        <f t="shared" si="51"/>
        <v>-2401.3491149840556</v>
      </c>
      <c r="K79" s="109">
        <f t="shared" si="51"/>
        <v>-2496.2024050259351</v>
      </c>
      <c r="L79" s="110">
        <f t="shared" si="51"/>
        <v>-2594.8024000244768</v>
      </c>
    </row>
    <row r="80" spans="1:12" s="20" customFormat="1" x14ac:dyDescent="0.35">
      <c r="B80" s="200" t="s">
        <v>91</v>
      </c>
      <c r="C80" s="109">
        <f t="shared" si="47"/>
        <v>-71917.808219178085</v>
      </c>
      <c r="D80" s="109">
        <f t="shared" si="48"/>
        <v>-2085.6164383561554</v>
      </c>
      <c r="E80" s="109">
        <f t="shared" si="48"/>
        <v>-2146.0993150684953</v>
      </c>
      <c r="F80" s="109">
        <f t="shared" si="51"/>
        <v>-2208.3361952054838</v>
      </c>
      <c r="G80" s="109">
        <f t="shared" si="51"/>
        <v>-1958.9465041951917</v>
      </c>
      <c r="H80" s="109">
        <f t="shared" si="51"/>
        <v>-2007.9201668000896</v>
      </c>
      <c r="I80" s="109">
        <f t="shared" si="51"/>
        <v>-2058.1181709700759</v>
      </c>
      <c r="J80" s="109">
        <f t="shared" si="51"/>
        <v>-2109.5711252443289</v>
      </c>
      <c r="K80" s="109">
        <f t="shared" si="51"/>
        <v>-2162.3104033754498</v>
      </c>
      <c r="L80" s="110">
        <f t="shared" si="51"/>
        <v>-2216.3681634598179</v>
      </c>
    </row>
    <row r="81" spans="2:12" s="20" customFormat="1" x14ac:dyDescent="0.35">
      <c r="B81" s="200" t="s">
        <v>92</v>
      </c>
      <c r="C81" s="109">
        <f t="shared" si="47"/>
        <v>146969.17808219179</v>
      </c>
      <c r="D81" s="109">
        <f t="shared" si="48"/>
        <v>4743.8784246575087</v>
      </c>
      <c r="E81" s="109">
        <f t="shared" si="48"/>
        <v>5346.870012842468</v>
      </c>
      <c r="F81" s="109">
        <f t="shared" ref="F81:L81" si="52">-F43+E43</f>
        <v>6051.1903025791689</v>
      </c>
      <c r="G81" s="109">
        <f t="shared" si="52"/>
        <v>6288.8867712006031</v>
      </c>
      <c r="H81" s="109">
        <f t="shared" si="52"/>
        <v>6536.0636802014778</v>
      </c>
      <c r="I81" s="109">
        <f t="shared" si="52"/>
        <v>6793.1040211522777</v>
      </c>
      <c r="J81" s="109">
        <f t="shared" si="52"/>
        <v>7060.4064380666532</v>
      </c>
      <c r="K81" s="109">
        <f t="shared" si="52"/>
        <v>7338.3858743501478</v>
      </c>
      <c r="L81" s="110">
        <f t="shared" si="52"/>
        <v>7627.4742468004697</v>
      </c>
    </row>
    <row r="82" spans="2:12" s="20" customFormat="1" x14ac:dyDescent="0.35">
      <c r="B82" s="200" t="s">
        <v>93</v>
      </c>
      <c r="C82" s="109">
        <f t="shared" si="47"/>
        <v>29393.835616438355</v>
      </c>
      <c r="D82" s="109">
        <f>-D44+C44</f>
        <v>948.77568493150829</v>
      </c>
      <c r="E82" s="109">
        <f t="shared" ref="E82:L83" si="53">-E44+D44</f>
        <v>1069.3740025684965</v>
      </c>
      <c r="F82" s="109">
        <f t="shared" si="53"/>
        <v>1210.2380605158251</v>
      </c>
      <c r="G82" s="109">
        <f t="shared" si="53"/>
        <v>1257.7773542401264</v>
      </c>
      <c r="H82" s="109">
        <f t="shared" si="53"/>
        <v>1307.2127360402883</v>
      </c>
      <c r="I82" s="109">
        <f t="shared" si="53"/>
        <v>1358.6208042304643</v>
      </c>
      <c r="J82" s="109">
        <f t="shared" si="53"/>
        <v>1412.0812876133277</v>
      </c>
      <c r="K82" s="109">
        <f t="shared" si="53"/>
        <v>1467.6771748700266</v>
      </c>
      <c r="L82" s="110">
        <f t="shared" si="53"/>
        <v>1525.4948493600969</v>
      </c>
    </row>
    <row r="83" spans="2:12" s="20" customFormat="1" x14ac:dyDescent="0.35">
      <c r="B83" s="200" t="s">
        <v>94</v>
      </c>
      <c r="C83" s="109">
        <f t="shared" si="47"/>
        <v>-10000</v>
      </c>
      <c r="D83" s="109">
        <f>-D45+C45</f>
        <v>-1000</v>
      </c>
      <c r="E83" s="109">
        <f t="shared" si="53"/>
        <v>0</v>
      </c>
      <c r="F83" s="109">
        <f t="shared" si="53"/>
        <v>0</v>
      </c>
      <c r="G83" s="109">
        <f t="shared" si="53"/>
        <v>0</v>
      </c>
      <c r="H83" s="109">
        <f t="shared" si="53"/>
        <v>0</v>
      </c>
      <c r="I83" s="109">
        <f t="shared" si="53"/>
        <v>0</v>
      </c>
      <c r="J83" s="109">
        <f t="shared" si="53"/>
        <v>0</v>
      </c>
      <c r="K83" s="109">
        <f t="shared" si="53"/>
        <v>0</v>
      </c>
      <c r="L83" s="110">
        <f t="shared" si="53"/>
        <v>0</v>
      </c>
    </row>
    <row r="84" spans="2:12" s="20" customFormat="1" x14ac:dyDescent="0.35">
      <c r="B84" s="218" t="s">
        <v>95</v>
      </c>
      <c r="C84" s="60">
        <f>-SUM(C47:C49)+SUM(B47:B49)-C74</f>
        <v>-1650000</v>
      </c>
      <c r="D84" s="60">
        <f t="shared" ref="D84:L84" si="54">-SUM(D47:D49)+SUM(C47:C49)-D74</f>
        <v>0</v>
      </c>
      <c r="E84" s="60">
        <f t="shared" si="54"/>
        <v>0</v>
      </c>
      <c r="F84" s="60">
        <f t="shared" si="54"/>
        <v>0</v>
      </c>
      <c r="G84" s="60">
        <f t="shared" si="54"/>
        <v>0</v>
      </c>
      <c r="H84" s="60">
        <f t="shared" si="54"/>
        <v>0</v>
      </c>
      <c r="I84" s="60">
        <f t="shared" si="54"/>
        <v>0</v>
      </c>
      <c r="J84" s="60">
        <f t="shared" si="54"/>
        <v>0</v>
      </c>
      <c r="K84" s="60">
        <f t="shared" si="54"/>
        <v>0</v>
      </c>
      <c r="L84" s="111">
        <f t="shared" si="54"/>
        <v>0</v>
      </c>
    </row>
    <row r="85" spans="2:12" s="20" customFormat="1" ht="14.5" customHeight="1" x14ac:dyDescent="0.35">
      <c r="B85" s="201" t="s">
        <v>96</v>
      </c>
      <c r="C85" s="112">
        <f>SUM(C76:C84)</f>
        <v>-1526087.8901572805</v>
      </c>
      <c r="D85" s="112">
        <f t="shared" ref="D85:L85" si="55">SUM(D76:D84)</f>
        <v>517745.85490324307</v>
      </c>
      <c r="E85" s="112">
        <f t="shared" si="55"/>
        <v>538409.31267483183</v>
      </c>
      <c r="F85" s="112">
        <f t="shared" si="55"/>
        <v>551552.03103248717</v>
      </c>
      <c r="G85" s="112">
        <f t="shared" si="55"/>
        <v>560684.19819189608</v>
      </c>
      <c r="H85" s="112">
        <f t="shared" si="55"/>
        <v>567272.19153112348</v>
      </c>
      <c r="I85" s="112">
        <f t="shared" si="55"/>
        <v>573343.98194381956</v>
      </c>
      <c r="J85" s="112">
        <f t="shared" si="55"/>
        <v>578843.27694404521</v>
      </c>
      <c r="K85" s="112">
        <f t="shared" si="55"/>
        <v>583709.40164324257</v>
      </c>
      <c r="L85" s="113">
        <f t="shared" si="55"/>
        <v>587876.97539251624</v>
      </c>
    </row>
    <row r="86" spans="2:12" s="20" customFormat="1" x14ac:dyDescent="0.35">
      <c r="B86" s="200" t="s">
        <v>97</v>
      </c>
      <c r="C86" s="109">
        <f>C56</f>
        <v>150000</v>
      </c>
      <c r="D86" s="109">
        <f>-D56+C56</f>
        <v>0</v>
      </c>
      <c r="E86" s="109">
        <f t="shared" ref="E86:L86" si="56">-E56+D56</f>
        <v>0</v>
      </c>
      <c r="F86" s="109">
        <f t="shared" si="56"/>
        <v>0</v>
      </c>
      <c r="G86" s="109">
        <f t="shared" si="56"/>
        <v>0</v>
      </c>
      <c r="H86" s="109">
        <f t="shared" si="56"/>
        <v>0</v>
      </c>
      <c r="I86" s="109">
        <f t="shared" si="56"/>
        <v>0</v>
      </c>
      <c r="J86" s="109">
        <f t="shared" si="56"/>
        <v>0</v>
      </c>
      <c r="K86" s="109">
        <f t="shared" si="56"/>
        <v>0</v>
      </c>
      <c r="L86" s="110">
        <f t="shared" si="56"/>
        <v>0</v>
      </c>
    </row>
    <row r="87" spans="2:12" s="20" customFormat="1" x14ac:dyDescent="0.35">
      <c r="B87" s="200" t="s">
        <v>98</v>
      </c>
      <c r="C87" s="109">
        <f>C57</f>
        <v>1377931.767386941</v>
      </c>
      <c r="D87" s="109">
        <f>+D57-C57</f>
        <v>-127561.30308064655</v>
      </c>
      <c r="E87" s="109">
        <f t="shared" ref="E87:L87" si="57">+E57-D57</f>
        <v>-133301.56171927578</v>
      </c>
      <c r="F87" s="109">
        <f t="shared" si="57"/>
        <v>-139300.13199664315</v>
      </c>
      <c r="G87" s="109">
        <f t="shared" si="57"/>
        <v>-145568.6379364921</v>
      </c>
      <c r="H87" s="109">
        <f t="shared" si="57"/>
        <v>-152119.22664363426</v>
      </c>
      <c r="I87" s="109">
        <f t="shared" si="57"/>
        <v>-158964.59184259776</v>
      </c>
      <c r="J87" s="109">
        <f t="shared" si="57"/>
        <v>-166117.99847551464</v>
      </c>
      <c r="K87" s="109">
        <f t="shared" si="57"/>
        <v>-173593.30840691281</v>
      </c>
      <c r="L87" s="110">
        <f t="shared" si="57"/>
        <v>-181405.00728522395</v>
      </c>
    </row>
    <row r="88" spans="2:12" s="20" customFormat="1" x14ac:dyDescent="0.35">
      <c r="B88" s="200" t="s">
        <v>99</v>
      </c>
      <c r="C88" s="109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0</v>
      </c>
      <c r="J88" s="109">
        <v>0</v>
      </c>
      <c r="K88" s="109">
        <v>0</v>
      </c>
      <c r="L88" s="110">
        <v>0</v>
      </c>
    </row>
    <row r="89" spans="2:12" s="20" customFormat="1" x14ac:dyDescent="0.35">
      <c r="B89" s="200" t="s">
        <v>100</v>
      </c>
      <c r="C89" s="109">
        <v>0</v>
      </c>
      <c r="D89" s="109">
        <v>0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9">
        <v>0</v>
      </c>
      <c r="L89" s="110">
        <v>0</v>
      </c>
    </row>
    <row r="90" spans="2:12" s="20" customFormat="1" x14ac:dyDescent="0.35">
      <c r="B90" s="218" t="s">
        <v>35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111">
        <v>0</v>
      </c>
    </row>
    <row r="91" spans="2:12" s="20" customFormat="1" x14ac:dyDescent="0.35">
      <c r="B91" s="201" t="s">
        <v>101</v>
      </c>
      <c r="C91" s="112">
        <f>SUM(C85:C90)</f>
        <v>1843.8772296605166</v>
      </c>
      <c r="D91" s="112">
        <f t="shared" ref="D91:L91" si="58">SUM(D85:D90)</f>
        <v>390184.55182259652</v>
      </c>
      <c r="E91" s="112">
        <f t="shared" si="58"/>
        <v>405107.75095555605</v>
      </c>
      <c r="F91" s="112">
        <f t="shared" si="58"/>
        <v>412251.89903584402</v>
      </c>
      <c r="G91" s="112">
        <f t="shared" si="58"/>
        <v>415115.56025540398</v>
      </c>
      <c r="H91" s="112">
        <f t="shared" si="58"/>
        <v>415152.96488748922</v>
      </c>
      <c r="I91" s="112">
        <f t="shared" si="58"/>
        <v>414379.3901012218</v>
      </c>
      <c r="J91" s="112">
        <f t="shared" si="58"/>
        <v>412725.27846853057</v>
      </c>
      <c r="K91" s="112">
        <f t="shared" si="58"/>
        <v>410116.09323632973</v>
      </c>
      <c r="L91" s="113">
        <f t="shared" si="58"/>
        <v>406471.96810729231</v>
      </c>
    </row>
    <row r="92" spans="2:12" s="20" customFormat="1" x14ac:dyDescent="0.35">
      <c r="B92" s="218" t="s">
        <v>102</v>
      </c>
      <c r="C92" s="82">
        <v>10000</v>
      </c>
      <c r="D92" s="82">
        <v>-261578.8</v>
      </c>
      <c r="E92" s="82">
        <v>-277575.1268957046</v>
      </c>
      <c r="F92" s="82">
        <v>-292796.95456575649</v>
      </c>
      <c r="G92" s="82">
        <v>-302219.36392171198</v>
      </c>
      <c r="H92" s="82">
        <v>-307082.39918731665</v>
      </c>
      <c r="I92" s="82">
        <v>-311514.02353830333</v>
      </c>
      <c r="J92" s="82">
        <v>-315467.93929491588</v>
      </c>
      <c r="K92" s="82">
        <v>-318894.24351046793</v>
      </c>
      <c r="L92" s="137">
        <v>-321739.16138546029</v>
      </c>
    </row>
    <row r="93" spans="2:12" s="20" customFormat="1" x14ac:dyDescent="0.35">
      <c r="B93" s="201" t="s">
        <v>103</v>
      </c>
      <c r="C93" s="112">
        <f>SUM(C91:C92)</f>
        <v>11843.877229660517</v>
      </c>
      <c r="D93" s="112">
        <f t="shared" ref="D93:L93" si="59">SUM(D91:D92)</f>
        <v>128605.75182259653</v>
      </c>
      <c r="E93" s="112">
        <f t="shared" si="59"/>
        <v>127532.62405985146</v>
      </c>
      <c r="F93" s="112">
        <f t="shared" si="59"/>
        <v>119454.94447008753</v>
      </c>
      <c r="G93" s="112">
        <f t="shared" si="59"/>
        <v>112896.196333692</v>
      </c>
      <c r="H93" s="112">
        <f t="shared" si="59"/>
        <v>108070.56570017256</v>
      </c>
      <c r="I93" s="112">
        <f t="shared" si="59"/>
        <v>102865.36656291847</v>
      </c>
      <c r="J93" s="112">
        <f t="shared" si="59"/>
        <v>97257.339173614688</v>
      </c>
      <c r="K93" s="112">
        <f t="shared" si="59"/>
        <v>91221.849725861801</v>
      </c>
      <c r="L93" s="113">
        <f t="shared" si="59"/>
        <v>84732.806721832021</v>
      </c>
    </row>
    <row r="94" spans="2:12" s="20" customFormat="1" ht="15" thickBot="1" x14ac:dyDescent="0.4">
      <c r="B94" s="219" t="s">
        <v>104</v>
      </c>
      <c r="C94" s="81">
        <v>0</v>
      </c>
      <c r="D94" s="81">
        <f>C95</f>
        <v>11843.877229660517</v>
      </c>
      <c r="E94" s="81">
        <f>SUM(D93:D94)</f>
        <v>140449.62905225705</v>
      </c>
      <c r="F94" s="81">
        <f>SUM(E93:E94)</f>
        <v>267982.2531121085</v>
      </c>
      <c r="G94" s="81">
        <f t="shared" ref="G94:L94" si="60">SUM(F93:F94)</f>
        <v>387437.19758219604</v>
      </c>
      <c r="H94" s="81">
        <f t="shared" si="60"/>
        <v>500333.39391588804</v>
      </c>
      <c r="I94" s="81">
        <f t="shared" si="60"/>
        <v>608403.9596160606</v>
      </c>
      <c r="J94" s="81">
        <f t="shared" si="60"/>
        <v>711269.32617897913</v>
      </c>
      <c r="K94" s="81">
        <f t="shared" si="60"/>
        <v>808526.66535259387</v>
      </c>
      <c r="L94" s="118">
        <f t="shared" si="60"/>
        <v>899748.51507845568</v>
      </c>
    </row>
    <row r="95" spans="2:12" s="20" customFormat="1" ht="15" thickTop="1" x14ac:dyDescent="0.35">
      <c r="B95" s="220" t="s">
        <v>105</v>
      </c>
      <c r="C95" s="112">
        <f>C91+C92</f>
        <v>11843.877229660517</v>
      </c>
      <c r="D95" s="112">
        <f>SUM(D93:D94)</f>
        <v>140449.62905225705</v>
      </c>
      <c r="E95" s="112">
        <f>SUM(E93:E94)</f>
        <v>267982.2531121085</v>
      </c>
      <c r="F95" s="112">
        <f t="shared" ref="F95:L95" si="61">SUM(F93:F94)</f>
        <v>387437.19758219604</v>
      </c>
      <c r="G95" s="112">
        <f t="shared" si="61"/>
        <v>500333.39391588804</v>
      </c>
      <c r="H95" s="112">
        <f t="shared" si="61"/>
        <v>608403.9596160606</v>
      </c>
      <c r="I95" s="112">
        <f t="shared" si="61"/>
        <v>711269.32617897913</v>
      </c>
      <c r="J95" s="112">
        <f t="shared" si="61"/>
        <v>808526.66535259387</v>
      </c>
      <c r="K95" s="112">
        <f t="shared" si="61"/>
        <v>899748.51507845568</v>
      </c>
      <c r="L95" s="113">
        <f t="shared" si="61"/>
        <v>984481.3218002877</v>
      </c>
    </row>
    <row r="96" spans="2:12" s="20" customFormat="1" ht="15" thickBot="1" x14ac:dyDescent="0.4">
      <c r="B96" s="139" t="s">
        <v>106</v>
      </c>
      <c r="C96" s="81"/>
      <c r="D96" s="81"/>
      <c r="E96" s="81"/>
      <c r="F96" s="81"/>
      <c r="G96" s="81"/>
      <c r="H96" s="81"/>
      <c r="I96" s="81"/>
      <c r="J96" s="81"/>
      <c r="K96" s="81"/>
      <c r="L96" s="118"/>
    </row>
    <row r="97" spans="2:13" s="20" customFormat="1" ht="15" thickTop="1" x14ac:dyDescent="0.35"/>
    <row r="98" spans="2:13" s="20" customFormat="1" x14ac:dyDescent="0.35">
      <c r="H98" s="83"/>
    </row>
    <row r="99" spans="2:13" s="20" customFormat="1" x14ac:dyDescent="0.35">
      <c r="B99" s="23" t="s">
        <v>107</v>
      </c>
      <c r="C99" s="21">
        <v>2023</v>
      </c>
      <c r="D99" s="21">
        <v>2024</v>
      </c>
      <c r="E99" s="21">
        <v>2025</v>
      </c>
      <c r="F99" s="21">
        <v>2026</v>
      </c>
      <c r="G99" s="21">
        <v>2027</v>
      </c>
      <c r="H99" s="21">
        <v>2028</v>
      </c>
      <c r="I99" s="21">
        <v>2029</v>
      </c>
      <c r="J99" s="21">
        <v>2030</v>
      </c>
      <c r="K99" s="21">
        <v>2031</v>
      </c>
      <c r="L99" s="21">
        <v>2032</v>
      </c>
    </row>
    <row r="100" spans="2:13" s="20" customFormat="1" x14ac:dyDescent="0.35">
      <c r="B100" s="22" t="s">
        <v>108</v>
      </c>
      <c r="C100" s="25">
        <v>75</v>
      </c>
      <c r="D100" s="25">
        <v>75</v>
      </c>
      <c r="E100" s="25">
        <v>75</v>
      </c>
      <c r="F100" s="25">
        <v>75</v>
      </c>
      <c r="G100" s="25">
        <v>75</v>
      </c>
      <c r="H100" s="25">
        <v>75</v>
      </c>
      <c r="I100" s="25">
        <v>75</v>
      </c>
      <c r="J100" s="25">
        <v>75</v>
      </c>
      <c r="K100" s="25">
        <v>75</v>
      </c>
      <c r="L100" s="25">
        <v>75</v>
      </c>
    </row>
    <row r="101" spans="2:13" s="20" customFormat="1" x14ac:dyDescent="0.35">
      <c r="B101" s="22" t="s">
        <v>109</v>
      </c>
      <c r="C101" s="25">
        <v>15</v>
      </c>
      <c r="D101" s="25">
        <v>15</v>
      </c>
      <c r="E101" s="25">
        <v>15</v>
      </c>
      <c r="F101" s="25">
        <v>15</v>
      </c>
      <c r="G101" s="25">
        <v>15</v>
      </c>
      <c r="H101" s="25">
        <v>15</v>
      </c>
      <c r="I101" s="25">
        <v>15</v>
      </c>
      <c r="J101" s="25">
        <v>15</v>
      </c>
      <c r="K101" s="25">
        <v>15</v>
      </c>
      <c r="L101" s="25">
        <v>15</v>
      </c>
    </row>
    <row r="102" spans="2:13" s="20" customFormat="1" x14ac:dyDescent="0.35">
      <c r="B102" s="22" t="s">
        <v>110</v>
      </c>
      <c r="C102" s="25">
        <v>30</v>
      </c>
      <c r="D102" s="25">
        <v>30</v>
      </c>
      <c r="E102" s="25">
        <v>30</v>
      </c>
      <c r="F102" s="25">
        <v>30</v>
      </c>
      <c r="G102" s="25">
        <v>30</v>
      </c>
      <c r="H102" s="25">
        <v>30</v>
      </c>
      <c r="I102" s="25">
        <v>30</v>
      </c>
      <c r="J102" s="25">
        <v>30</v>
      </c>
      <c r="K102" s="25">
        <v>30</v>
      </c>
      <c r="L102" s="25">
        <v>30</v>
      </c>
    </row>
    <row r="103" spans="2:13" s="20" customFormat="1" x14ac:dyDescent="0.35">
      <c r="B103" s="22" t="s">
        <v>111</v>
      </c>
      <c r="C103" s="25">
        <v>15</v>
      </c>
      <c r="D103" s="25">
        <v>15</v>
      </c>
      <c r="E103" s="25">
        <v>15</v>
      </c>
      <c r="F103" s="25">
        <v>15</v>
      </c>
      <c r="G103" s="25">
        <v>15</v>
      </c>
      <c r="H103" s="25">
        <v>15</v>
      </c>
      <c r="I103" s="25">
        <v>15</v>
      </c>
      <c r="J103" s="25">
        <v>15</v>
      </c>
      <c r="K103" s="25">
        <v>15</v>
      </c>
      <c r="L103" s="25">
        <v>15</v>
      </c>
    </row>
    <row r="104" spans="2:13" s="20" customFormat="1" x14ac:dyDescent="0.35">
      <c r="B104" s="22" t="s">
        <v>112</v>
      </c>
      <c r="C104" s="25">
        <v>75</v>
      </c>
      <c r="D104" s="25">
        <v>75</v>
      </c>
      <c r="E104" s="25">
        <v>75</v>
      </c>
      <c r="F104" s="25">
        <v>75</v>
      </c>
      <c r="G104" s="25">
        <v>75</v>
      </c>
      <c r="H104" s="25">
        <v>75</v>
      </c>
      <c r="I104" s="25">
        <v>75</v>
      </c>
      <c r="J104" s="25">
        <v>75</v>
      </c>
      <c r="K104" s="25">
        <v>75</v>
      </c>
      <c r="L104" s="25">
        <v>75</v>
      </c>
    </row>
    <row r="105" spans="2:13" s="20" customFormat="1" x14ac:dyDescent="0.35">
      <c r="B105" s="22" t="s">
        <v>113</v>
      </c>
      <c r="C105" s="25">
        <v>15</v>
      </c>
      <c r="D105" s="25">
        <v>15</v>
      </c>
      <c r="E105" s="25">
        <v>15</v>
      </c>
      <c r="F105" s="25">
        <v>15</v>
      </c>
      <c r="G105" s="25">
        <v>15</v>
      </c>
      <c r="H105" s="25">
        <v>15</v>
      </c>
      <c r="I105" s="25">
        <v>15</v>
      </c>
      <c r="J105" s="25">
        <v>15</v>
      </c>
      <c r="K105" s="25">
        <v>15</v>
      </c>
      <c r="L105" s="25">
        <v>15</v>
      </c>
    </row>
    <row r="106" spans="2:13" s="20" customFormat="1" x14ac:dyDescent="0.35">
      <c r="B106" s="26" t="s">
        <v>95</v>
      </c>
      <c r="C106" s="27">
        <v>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</row>
    <row r="107" spans="2:13" s="20" customFormat="1" x14ac:dyDescent="0.35"/>
    <row r="109" spans="2:13" ht="15" thickBot="1" x14ac:dyDescent="0.4"/>
    <row r="110" spans="2:13" ht="15" thickTop="1" x14ac:dyDescent="0.35">
      <c r="B110" s="106" t="s">
        <v>184</v>
      </c>
      <c r="C110" s="107"/>
      <c r="D110" s="107"/>
      <c r="E110" s="107"/>
      <c r="F110" s="107"/>
      <c r="G110" s="107"/>
      <c r="H110" s="107"/>
      <c r="I110" s="107"/>
      <c r="J110" s="107"/>
      <c r="K110" s="107"/>
      <c r="L110" s="108"/>
    </row>
    <row r="111" spans="2:13" x14ac:dyDescent="0.35">
      <c r="B111" s="140" t="s">
        <v>134</v>
      </c>
      <c r="C111" s="48">
        <v>2023</v>
      </c>
      <c r="D111" s="48">
        <v>2024</v>
      </c>
      <c r="E111" s="48">
        <v>2025</v>
      </c>
      <c r="F111" s="48">
        <v>2026</v>
      </c>
      <c r="G111" s="48">
        <v>2027</v>
      </c>
      <c r="H111" s="48">
        <v>2028</v>
      </c>
      <c r="I111" s="48">
        <v>2029</v>
      </c>
      <c r="J111" s="48">
        <v>2030</v>
      </c>
      <c r="K111" s="48">
        <v>2031</v>
      </c>
      <c r="L111" s="141">
        <v>2032</v>
      </c>
      <c r="M111" s="43"/>
    </row>
    <row r="112" spans="2:13" x14ac:dyDescent="0.35">
      <c r="B112" s="142" t="s">
        <v>135</v>
      </c>
      <c r="C112" s="143">
        <v>1</v>
      </c>
      <c r="D112" s="143">
        <v>2</v>
      </c>
      <c r="E112" s="143">
        <v>3</v>
      </c>
      <c r="F112" s="143">
        <v>4</v>
      </c>
      <c r="G112" s="143">
        <v>5</v>
      </c>
      <c r="H112" s="143">
        <v>6</v>
      </c>
      <c r="I112" s="143">
        <v>7</v>
      </c>
      <c r="J112" s="143">
        <v>8</v>
      </c>
      <c r="K112" s="143">
        <v>9</v>
      </c>
      <c r="L112" s="144">
        <v>10</v>
      </c>
      <c r="M112" s="43"/>
    </row>
    <row r="113" spans="2:13" x14ac:dyDescent="0.35">
      <c r="B113" s="142" t="s">
        <v>136</v>
      </c>
      <c r="C113" s="59">
        <f>C85</f>
        <v>-1526087.8901572805</v>
      </c>
      <c r="D113" s="59">
        <f>D85</f>
        <v>517745.85490324307</v>
      </c>
      <c r="E113" s="59">
        <f t="shared" ref="E113:L113" si="62">E85</f>
        <v>538409.31267483183</v>
      </c>
      <c r="F113" s="59">
        <f t="shared" si="62"/>
        <v>551552.03103248717</v>
      </c>
      <c r="G113" s="59">
        <f t="shared" si="62"/>
        <v>560684.19819189608</v>
      </c>
      <c r="H113" s="59">
        <f t="shared" si="62"/>
        <v>567272.19153112348</v>
      </c>
      <c r="I113" s="59">
        <f t="shared" si="62"/>
        <v>573343.98194381956</v>
      </c>
      <c r="J113" s="59">
        <f t="shared" si="62"/>
        <v>578843.27694404521</v>
      </c>
      <c r="K113" s="59">
        <f t="shared" si="62"/>
        <v>583709.40164324257</v>
      </c>
      <c r="L113" s="145">
        <f t="shared" si="62"/>
        <v>587876.97539251624</v>
      </c>
      <c r="M113" s="43"/>
    </row>
    <row r="114" spans="2:13" x14ac:dyDescent="0.35">
      <c r="B114" s="142" t="s">
        <v>137</v>
      </c>
      <c r="C114" s="59">
        <f>C113/(1+$C$117)^C112</f>
        <v>-1461143.0229483878</v>
      </c>
      <c r="D114" s="59">
        <f t="shared" ref="D114:L114" si="63">D113/(1+$C$117)^D112</f>
        <v>474616.67835798539</v>
      </c>
      <c r="E114" s="59">
        <f t="shared" si="63"/>
        <v>472554.72564436909</v>
      </c>
      <c r="F114" s="59">
        <f t="shared" si="63"/>
        <v>463488.77226861706</v>
      </c>
      <c r="G114" s="59">
        <f t="shared" si="63"/>
        <v>451111.84317714931</v>
      </c>
      <c r="H114" s="59">
        <f t="shared" si="63"/>
        <v>436989.08483570529</v>
      </c>
      <c r="I114" s="59">
        <f t="shared" si="63"/>
        <v>422870.64258746261</v>
      </c>
      <c r="J114" s="59">
        <f t="shared" si="63"/>
        <v>408758.17674066877</v>
      </c>
      <c r="K114" s="59">
        <f t="shared" si="63"/>
        <v>394652.92934700788</v>
      </c>
      <c r="L114" s="145">
        <f t="shared" si="63"/>
        <v>380555.73912135413</v>
      </c>
      <c r="M114" s="44"/>
    </row>
    <row r="115" spans="2:13" x14ac:dyDescent="0.35">
      <c r="B115" s="146" t="s">
        <v>138</v>
      </c>
      <c r="C115" s="58">
        <f>C114</f>
        <v>-1461143.0229483878</v>
      </c>
      <c r="D115" s="58">
        <f>C115+D114</f>
        <v>-986526.34459040244</v>
      </c>
      <c r="E115" s="58">
        <f t="shared" ref="E115:L115" si="64">D115+E114</f>
        <v>-513971.61894603336</v>
      </c>
      <c r="F115" s="58">
        <f t="shared" si="64"/>
        <v>-50482.846677416295</v>
      </c>
      <c r="G115" s="58">
        <f t="shared" si="64"/>
        <v>400628.99649973301</v>
      </c>
      <c r="H115" s="58">
        <f t="shared" si="64"/>
        <v>837618.0813354383</v>
      </c>
      <c r="I115" s="58">
        <f t="shared" si="64"/>
        <v>1260488.7239229009</v>
      </c>
      <c r="J115" s="58">
        <f t="shared" si="64"/>
        <v>1669246.9006635696</v>
      </c>
      <c r="K115" s="58">
        <f t="shared" si="64"/>
        <v>2063899.8300105776</v>
      </c>
      <c r="L115" s="147">
        <f t="shared" si="64"/>
        <v>2444455.5691319318</v>
      </c>
      <c r="M115" s="28"/>
    </row>
    <row r="116" spans="2:13" x14ac:dyDescent="0.35">
      <c r="B116" s="124"/>
      <c r="C116" s="51"/>
      <c r="D116" s="115"/>
      <c r="E116" s="115"/>
      <c r="F116" s="115"/>
      <c r="G116" s="115"/>
      <c r="H116" s="115"/>
      <c r="I116" s="115"/>
      <c r="J116" s="115"/>
      <c r="K116" s="115"/>
      <c r="L116" s="116"/>
      <c r="M116" s="28"/>
    </row>
    <row r="117" spans="2:13" x14ac:dyDescent="0.35">
      <c r="B117" s="148" t="s">
        <v>139</v>
      </c>
      <c r="C117" s="149">
        <v>4.4447987766346585E-2</v>
      </c>
      <c r="D117" s="52"/>
      <c r="E117" s="52"/>
      <c r="F117" s="52"/>
      <c r="G117" s="52"/>
      <c r="H117" s="52"/>
      <c r="I117" s="52"/>
      <c r="J117" s="52"/>
      <c r="K117" s="52"/>
      <c r="L117" s="150"/>
      <c r="M117" s="28"/>
    </row>
    <row r="118" spans="2:13" x14ac:dyDescent="0.35">
      <c r="B118" s="122" t="s">
        <v>134</v>
      </c>
      <c r="C118" s="45">
        <f>NPV(C117,C113:L113)</f>
        <v>2444455.5691319318</v>
      </c>
      <c r="D118" s="50"/>
      <c r="E118" s="50"/>
      <c r="F118" s="50"/>
      <c r="G118" s="50"/>
      <c r="H118" s="50"/>
      <c r="I118" s="50"/>
      <c r="J118" s="50"/>
      <c r="K118" s="50"/>
      <c r="L118" s="151"/>
      <c r="M118" s="28"/>
    </row>
    <row r="119" spans="2:13" x14ac:dyDescent="0.35">
      <c r="B119" s="124"/>
      <c r="C119" s="152"/>
      <c r="D119" s="115"/>
      <c r="E119" s="115"/>
      <c r="F119" s="115"/>
      <c r="G119" s="115"/>
      <c r="H119" s="115"/>
      <c r="I119" s="115"/>
      <c r="J119" s="115"/>
      <c r="K119" s="115"/>
      <c r="L119" s="116"/>
      <c r="M119" s="28"/>
    </row>
    <row r="120" spans="2:13" x14ac:dyDescent="0.35">
      <c r="B120" s="124"/>
      <c r="C120" s="152"/>
      <c r="D120" s="115"/>
      <c r="E120" s="115"/>
      <c r="F120" s="115"/>
      <c r="G120" s="115"/>
      <c r="H120" s="115"/>
      <c r="I120" s="115"/>
      <c r="J120" s="115"/>
      <c r="K120" s="115"/>
      <c r="L120" s="116"/>
      <c r="M120" s="28"/>
    </row>
    <row r="121" spans="2:13" x14ac:dyDescent="0.35">
      <c r="B121" s="140" t="s">
        <v>140</v>
      </c>
      <c r="C121" s="153" t="s">
        <v>141</v>
      </c>
      <c r="D121" s="115"/>
      <c r="E121" s="115"/>
      <c r="F121" s="115"/>
      <c r="G121" s="115"/>
      <c r="H121" s="115"/>
      <c r="I121" s="115"/>
      <c r="J121" s="115"/>
      <c r="K121" s="115"/>
      <c r="L121" s="116"/>
      <c r="M121" s="28"/>
    </row>
    <row r="122" spans="2:13" x14ac:dyDescent="0.35">
      <c r="B122" s="154" t="s">
        <v>140</v>
      </c>
      <c r="C122" s="46">
        <f>IRR(C113:L113)</f>
        <v>0.33116269619793304</v>
      </c>
      <c r="D122" s="115"/>
      <c r="E122" s="115"/>
      <c r="F122" s="115"/>
      <c r="G122" s="115"/>
      <c r="H122" s="115"/>
      <c r="I122" s="115"/>
      <c r="J122" s="115"/>
      <c r="K122" s="115"/>
      <c r="L122" s="116"/>
      <c r="M122" s="28"/>
    </row>
    <row r="123" spans="2:13" x14ac:dyDescent="0.35">
      <c r="B123" s="155"/>
      <c r="C123" s="156"/>
      <c r="D123" s="115"/>
      <c r="E123" s="115"/>
      <c r="F123" s="115"/>
      <c r="G123" s="115"/>
      <c r="H123" s="115"/>
      <c r="I123" s="115"/>
      <c r="J123" s="115"/>
      <c r="K123" s="115"/>
      <c r="L123" s="116"/>
      <c r="M123" s="28"/>
    </row>
    <row r="124" spans="2:13" x14ac:dyDescent="0.35">
      <c r="B124" s="155"/>
      <c r="C124" s="156"/>
      <c r="D124" s="115"/>
      <c r="E124" s="115"/>
      <c r="F124" s="115"/>
      <c r="G124" s="115"/>
      <c r="H124" s="115"/>
      <c r="I124" s="115"/>
      <c r="J124" s="115"/>
      <c r="K124" s="115"/>
      <c r="L124" s="116"/>
      <c r="M124" s="28"/>
    </row>
    <row r="125" spans="2:13" x14ac:dyDescent="0.35">
      <c r="B125" s="140" t="s">
        <v>142</v>
      </c>
      <c r="C125" s="153" t="s">
        <v>141</v>
      </c>
      <c r="D125" s="153"/>
      <c r="E125" s="153"/>
      <c r="F125" s="153"/>
      <c r="G125" s="153"/>
      <c r="H125" s="153"/>
      <c r="I125" s="153"/>
      <c r="J125" s="153"/>
      <c r="K125" s="115"/>
      <c r="L125" s="116"/>
      <c r="M125" s="28"/>
    </row>
    <row r="126" spans="2:13" x14ac:dyDescent="0.35">
      <c r="B126" s="148" t="s">
        <v>143</v>
      </c>
      <c r="C126" s="53">
        <v>4</v>
      </c>
      <c r="D126" s="53"/>
      <c r="E126" s="53"/>
      <c r="F126" s="53"/>
      <c r="G126" s="53"/>
      <c r="H126" s="53"/>
      <c r="I126" s="53"/>
      <c r="J126" s="53"/>
      <c r="K126" s="115"/>
      <c r="L126" s="116"/>
      <c r="M126" s="28"/>
    </row>
    <row r="127" spans="2:13" x14ac:dyDescent="0.35">
      <c r="B127" s="142" t="s">
        <v>144</v>
      </c>
      <c r="C127" s="157">
        <f>G114</f>
        <v>451111.84317714931</v>
      </c>
      <c r="D127" s="152"/>
      <c r="E127" s="152"/>
      <c r="F127" s="152"/>
      <c r="G127" s="152"/>
      <c r="H127" s="152"/>
      <c r="I127" s="152"/>
      <c r="J127" s="152"/>
      <c r="K127" s="115"/>
      <c r="L127" s="116"/>
      <c r="M127" s="28"/>
    </row>
    <row r="128" spans="2:13" x14ac:dyDescent="0.35">
      <c r="B128" s="142" t="s">
        <v>145</v>
      </c>
      <c r="C128" s="157">
        <f>-F115</f>
        <v>50482.846677416295</v>
      </c>
      <c r="D128" s="152"/>
      <c r="E128" s="152"/>
      <c r="F128" s="152"/>
      <c r="G128" s="152"/>
      <c r="H128" s="152"/>
      <c r="I128" s="152"/>
      <c r="J128" s="152"/>
      <c r="K128" s="115"/>
      <c r="L128" s="116"/>
      <c r="M128" s="28"/>
    </row>
    <row r="129" spans="2:13" x14ac:dyDescent="0.35">
      <c r="B129" s="142" t="s">
        <v>146</v>
      </c>
      <c r="C129" s="55">
        <f>C128/C127</f>
        <v>0.11190760659677902</v>
      </c>
      <c r="D129" s="152"/>
      <c r="E129" s="152"/>
      <c r="F129" s="152"/>
      <c r="G129" s="152"/>
      <c r="H129" s="152"/>
      <c r="I129" s="152"/>
      <c r="J129" s="152"/>
      <c r="K129" s="115"/>
      <c r="L129" s="116"/>
      <c r="M129" s="28"/>
    </row>
    <row r="130" spans="2:13" x14ac:dyDescent="0.35">
      <c r="B130" s="122" t="s">
        <v>142</v>
      </c>
      <c r="C130" s="47">
        <f>C126+C129</f>
        <v>4.1119076065967795</v>
      </c>
      <c r="D130" s="54" t="s">
        <v>147</v>
      </c>
      <c r="E130" s="54" t="s">
        <v>156</v>
      </c>
      <c r="F130" s="54" t="s">
        <v>157</v>
      </c>
      <c r="G130" s="57" t="s">
        <v>158</v>
      </c>
      <c r="H130" s="57">
        <f>C129*12</f>
        <v>1.3428912791613483</v>
      </c>
      <c r="I130" s="57" t="s">
        <v>148</v>
      </c>
      <c r="J130" s="54"/>
      <c r="K130" s="115"/>
      <c r="L130" s="116"/>
      <c r="M130" s="28"/>
    </row>
    <row r="131" spans="2:13" ht="15" thickBot="1" x14ac:dyDescent="0.4">
      <c r="B131" s="158"/>
      <c r="C131" s="159"/>
      <c r="D131" s="159"/>
      <c r="E131" s="159"/>
      <c r="F131" s="159"/>
      <c r="G131" s="159"/>
      <c r="H131" s="159"/>
      <c r="I131" s="159"/>
      <c r="J131" s="159"/>
      <c r="K131" s="159"/>
      <c r="L131" s="160"/>
      <c r="M131" s="28"/>
    </row>
    <row r="132" spans="2:13" ht="15" thickTop="1" x14ac:dyDescent="0.35"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2:13" ht="15" thickBot="1" x14ac:dyDescent="0.4"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2:13" ht="15" thickTop="1" x14ac:dyDescent="0.35">
      <c r="B134" s="106" t="s">
        <v>185</v>
      </c>
      <c r="C134" s="107"/>
      <c r="D134" s="107"/>
      <c r="E134" s="107"/>
      <c r="F134" s="107"/>
      <c r="G134" s="107"/>
      <c r="H134" s="107"/>
      <c r="I134" s="107"/>
      <c r="J134" s="107"/>
      <c r="K134" s="107"/>
      <c r="L134" s="108"/>
      <c r="M134" s="28"/>
    </row>
    <row r="135" spans="2:13" x14ac:dyDescent="0.35">
      <c r="B135" s="140" t="s">
        <v>149</v>
      </c>
      <c r="C135" s="48">
        <v>2023</v>
      </c>
      <c r="D135" s="48">
        <v>2024</v>
      </c>
      <c r="E135" s="48">
        <v>2025</v>
      </c>
      <c r="F135" s="48">
        <v>2026</v>
      </c>
      <c r="G135" s="48">
        <v>2027</v>
      </c>
      <c r="H135" s="48">
        <v>2028</v>
      </c>
      <c r="I135" s="48">
        <v>2029</v>
      </c>
      <c r="J135" s="48">
        <v>2030</v>
      </c>
      <c r="K135" s="48">
        <v>2031</v>
      </c>
      <c r="L135" s="141">
        <v>2032</v>
      </c>
      <c r="M135" s="28"/>
    </row>
    <row r="136" spans="2:13" x14ac:dyDescent="0.35">
      <c r="B136" s="161" t="s">
        <v>150</v>
      </c>
      <c r="C136" s="162">
        <f>+C30</f>
        <v>527750</v>
      </c>
      <c r="D136" s="162">
        <f t="shared" ref="D136:L136" si="65">+D30</f>
        <v>549989.8125</v>
      </c>
      <c r="E136" s="162">
        <f t="shared" si="65"/>
        <v>570639.68505078135</v>
      </c>
      <c r="F136" s="162">
        <f t="shared" si="65"/>
        <v>580976.77593145054</v>
      </c>
      <c r="G136" s="162">
        <f t="shared" si="65"/>
        <v>583139.32974473038</v>
      </c>
      <c r="H136" s="162">
        <f t="shared" si="65"/>
        <v>584271.8623118368</v>
      </c>
      <c r="I136" s="162">
        <f t="shared" si="65"/>
        <v>584281.41347315861</v>
      </c>
      <c r="J136" s="162">
        <f t="shared" si="65"/>
        <v>583068.20138870226</v>
      </c>
      <c r="K136" s="162">
        <f t="shared" si="65"/>
        <v>580525.13465250586</v>
      </c>
      <c r="L136" s="163">
        <f t="shared" si="65"/>
        <v>576537.28906560736</v>
      </c>
      <c r="M136" s="28"/>
    </row>
    <row r="137" spans="2:13" x14ac:dyDescent="0.35">
      <c r="B137" s="161" t="s">
        <v>151</v>
      </c>
      <c r="C137" s="162">
        <f>C53</f>
        <v>1853061.3901572805</v>
      </c>
      <c r="D137" s="162">
        <f t="shared" ref="D137:L137" si="66">D53</f>
        <v>1682284.4438736681</v>
      </c>
      <c r="E137" s="162">
        <f t="shared" si="66"/>
        <v>1509871.324406032</v>
      </c>
      <c r="F137" s="162">
        <f t="shared" si="66"/>
        <v>1336093.4982756851</v>
      </c>
      <c r="G137" s="162">
        <f t="shared" si="66"/>
        <v>1159262.2990679345</v>
      </c>
      <c r="H137" s="162">
        <f t="shared" si="66"/>
        <v>981382.63695969037</v>
      </c>
      <c r="I137" s="162">
        <f t="shared" si="66"/>
        <v>802373.57913451572</v>
      </c>
      <c r="J137" s="162">
        <f t="shared" si="66"/>
        <v>622148.10657855519</v>
      </c>
      <c r="K137" s="162">
        <f t="shared" si="66"/>
        <v>440612.65666713833</v>
      </c>
      <c r="L137" s="163">
        <f t="shared" si="66"/>
        <v>257666.63122955555</v>
      </c>
      <c r="M137" s="28"/>
    </row>
    <row r="138" spans="2:13" x14ac:dyDescent="0.35">
      <c r="B138" s="164" t="s">
        <v>149</v>
      </c>
      <c r="C138" s="56">
        <f>C136/C137</f>
        <v>0.28479898334895787</v>
      </c>
      <c r="D138" s="56">
        <f t="shared" ref="D138:L138" si="67">D136/D137</f>
        <v>0.32693033244341274</v>
      </c>
      <c r="E138" s="56">
        <f t="shared" si="67"/>
        <v>0.37793928252479742</v>
      </c>
      <c r="F138" s="56">
        <f t="shared" si="67"/>
        <v>0.43483242503704911</v>
      </c>
      <c r="G138" s="56">
        <f t="shared" si="67"/>
        <v>0.503026217805568</v>
      </c>
      <c r="H138" s="56">
        <f t="shared" si="67"/>
        <v>0.59535581770827206</v>
      </c>
      <c r="I138" s="56">
        <f t="shared" si="67"/>
        <v>0.72819124241777333</v>
      </c>
      <c r="J138" s="56">
        <f t="shared" si="67"/>
        <v>0.93718552740637728</v>
      </c>
      <c r="K138" s="56">
        <f t="shared" si="67"/>
        <v>1.3175407602761278</v>
      </c>
      <c r="L138" s="165">
        <f t="shared" si="67"/>
        <v>2.2375318306233045</v>
      </c>
      <c r="M138" s="28"/>
    </row>
    <row r="139" spans="2:13" x14ac:dyDescent="0.35">
      <c r="B139" s="161"/>
      <c r="C139" s="166"/>
      <c r="D139" s="115"/>
      <c r="E139" s="115"/>
      <c r="F139" s="115"/>
      <c r="G139" s="115"/>
      <c r="H139" s="115"/>
      <c r="I139" s="115"/>
      <c r="J139" s="115"/>
      <c r="K139" s="115"/>
      <c r="L139" s="116"/>
      <c r="M139" s="28"/>
    </row>
    <row r="140" spans="2:13" x14ac:dyDescent="0.35">
      <c r="B140" s="167" t="s">
        <v>152</v>
      </c>
      <c r="C140" s="166"/>
      <c r="D140" s="115"/>
      <c r="E140" s="115"/>
      <c r="F140" s="115"/>
      <c r="G140" s="115"/>
      <c r="H140" s="115"/>
      <c r="I140" s="115"/>
      <c r="J140" s="115"/>
      <c r="K140" s="115"/>
      <c r="L140" s="116"/>
      <c r="M140" s="28"/>
    </row>
    <row r="141" spans="2:13" x14ac:dyDescent="0.35">
      <c r="B141" s="161"/>
      <c r="C141" s="166"/>
      <c r="D141" s="115"/>
      <c r="E141" s="115"/>
      <c r="F141" s="115"/>
      <c r="G141" s="115"/>
      <c r="H141" s="115"/>
      <c r="I141" s="115"/>
      <c r="J141" s="115"/>
      <c r="K141" s="115"/>
      <c r="L141" s="116"/>
      <c r="M141" s="28"/>
    </row>
    <row r="142" spans="2:13" x14ac:dyDescent="0.35">
      <c r="B142" s="140" t="s">
        <v>149</v>
      </c>
      <c r="C142" s="48">
        <v>2023</v>
      </c>
      <c r="D142" s="48">
        <v>2024</v>
      </c>
      <c r="E142" s="48">
        <v>2025</v>
      </c>
      <c r="F142" s="48">
        <v>2026</v>
      </c>
      <c r="G142" s="48">
        <v>2027</v>
      </c>
      <c r="H142" s="48">
        <v>2028</v>
      </c>
      <c r="I142" s="48">
        <v>2029</v>
      </c>
      <c r="J142" s="48">
        <v>2030</v>
      </c>
      <c r="K142" s="48">
        <v>2031</v>
      </c>
      <c r="L142" s="141">
        <v>2032</v>
      </c>
      <c r="M142" s="28"/>
    </row>
    <row r="143" spans="2:13" x14ac:dyDescent="0.35">
      <c r="B143" s="161" t="s">
        <v>153</v>
      </c>
      <c r="C143" s="168">
        <f>C136-C34</f>
        <v>401223.5</v>
      </c>
      <c r="D143" s="168">
        <f t="shared" ref="D143:L143" si="68">D136-D34</f>
        <v>415725.83815204306</v>
      </c>
      <c r="E143" s="168">
        <f t="shared" si="68"/>
        <v>429012.86410097888</v>
      </c>
      <c r="F143" s="168">
        <f t="shared" si="68"/>
        <v>434792.3055185558</v>
      </c>
      <c r="G143" s="168">
        <f t="shared" si="68"/>
        <v>434602.59366071277</v>
      </c>
      <c r="H143" s="168">
        <f t="shared" si="68"/>
        <v>433591.53539230383</v>
      </c>
      <c r="I143" s="168">
        <f t="shared" si="68"/>
        <v>431688.56488910597</v>
      </c>
      <c r="J143" s="168">
        <f t="shared" si="68"/>
        <v>428818.03852562921</v>
      </c>
      <c r="K143" s="168">
        <f t="shared" si="68"/>
        <v>424898.87593797152</v>
      </c>
      <c r="L143" s="169">
        <f t="shared" si="68"/>
        <v>419844.17528276891</v>
      </c>
      <c r="M143" s="28"/>
    </row>
    <row r="144" spans="2:13" x14ac:dyDescent="0.35">
      <c r="B144" s="161" t="s">
        <v>151</v>
      </c>
      <c r="C144" s="168">
        <f>C137</f>
        <v>1853061.3901572805</v>
      </c>
      <c r="D144" s="168">
        <f t="shared" ref="D144:L144" si="69">D137</f>
        <v>1682284.4438736681</v>
      </c>
      <c r="E144" s="168">
        <f t="shared" si="69"/>
        <v>1509871.324406032</v>
      </c>
      <c r="F144" s="168">
        <f t="shared" si="69"/>
        <v>1336093.4982756851</v>
      </c>
      <c r="G144" s="168">
        <f t="shared" si="69"/>
        <v>1159262.2990679345</v>
      </c>
      <c r="H144" s="168">
        <f t="shared" si="69"/>
        <v>981382.63695969037</v>
      </c>
      <c r="I144" s="168">
        <f t="shared" si="69"/>
        <v>802373.57913451572</v>
      </c>
      <c r="J144" s="168">
        <f t="shared" si="69"/>
        <v>622148.10657855519</v>
      </c>
      <c r="K144" s="168">
        <f t="shared" si="69"/>
        <v>440612.65666713833</v>
      </c>
      <c r="L144" s="169">
        <f t="shared" si="69"/>
        <v>257666.63122955555</v>
      </c>
      <c r="M144" s="28"/>
    </row>
    <row r="145" spans="2:13" x14ac:dyDescent="0.35">
      <c r="B145" s="164" t="s">
        <v>149</v>
      </c>
      <c r="C145" s="56">
        <f>C143/C144</f>
        <v>0.21651927029030901</v>
      </c>
      <c r="D145" s="56">
        <f t="shared" ref="D145:L145" si="70">D143/D144</f>
        <v>0.24711982546470138</v>
      </c>
      <c r="E145" s="56">
        <f t="shared" si="70"/>
        <v>0.28413869259338914</v>
      </c>
      <c r="F145" s="56">
        <f t="shared" si="70"/>
        <v>0.32542056830579846</v>
      </c>
      <c r="G145" s="56">
        <f t="shared" si="70"/>
        <v>0.37489582298168433</v>
      </c>
      <c r="H145" s="56">
        <f t="shared" si="70"/>
        <v>0.44181700293329451</v>
      </c>
      <c r="I145" s="56">
        <f t="shared" si="70"/>
        <v>0.53801443132605264</v>
      </c>
      <c r="J145" s="56">
        <f t="shared" si="70"/>
        <v>0.68925394771973758</v>
      </c>
      <c r="K145" s="56">
        <f t="shared" si="70"/>
        <v>0.96433651986298297</v>
      </c>
      <c r="L145" s="165">
        <f t="shared" si="70"/>
        <v>1.6294084075975253</v>
      </c>
      <c r="M145" s="28"/>
    </row>
    <row r="146" spans="2:13" x14ac:dyDescent="0.35">
      <c r="B146" s="124"/>
      <c r="C146" s="115"/>
      <c r="D146" s="115"/>
      <c r="E146" s="115"/>
      <c r="F146" s="115"/>
      <c r="G146" s="115"/>
      <c r="H146" s="115"/>
      <c r="I146" s="115"/>
      <c r="J146" s="115"/>
      <c r="K146" s="115"/>
      <c r="L146" s="116"/>
      <c r="M146" s="28"/>
    </row>
    <row r="147" spans="2:13" x14ac:dyDescent="0.35">
      <c r="B147" s="124"/>
      <c r="C147" s="115"/>
      <c r="D147" s="115"/>
      <c r="E147" s="115"/>
      <c r="F147" s="115"/>
      <c r="G147" s="115"/>
      <c r="H147" s="115"/>
      <c r="I147" s="115"/>
      <c r="J147" s="115"/>
      <c r="K147" s="115"/>
      <c r="L147" s="116"/>
      <c r="M147" s="28"/>
    </row>
    <row r="148" spans="2:13" x14ac:dyDescent="0.35">
      <c r="B148" s="124"/>
      <c r="C148" s="115"/>
      <c r="D148" s="115"/>
      <c r="E148" s="115"/>
      <c r="F148" s="115"/>
      <c r="G148" s="115"/>
      <c r="H148" s="115"/>
      <c r="I148" s="115"/>
      <c r="J148" s="115"/>
      <c r="K148" s="115"/>
      <c r="L148" s="116"/>
      <c r="M148" s="28"/>
    </row>
    <row r="149" spans="2:13" x14ac:dyDescent="0.35">
      <c r="B149" s="124"/>
      <c r="C149" s="115"/>
      <c r="D149" s="115"/>
      <c r="E149" s="115"/>
      <c r="F149" s="115"/>
      <c r="G149" s="115"/>
      <c r="H149" s="115"/>
      <c r="I149" s="115"/>
      <c r="J149" s="115"/>
      <c r="K149" s="115"/>
      <c r="L149" s="116"/>
      <c r="M149" s="28"/>
    </row>
    <row r="150" spans="2:13" x14ac:dyDescent="0.35">
      <c r="B150" s="124"/>
      <c r="C150" s="115"/>
      <c r="D150" s="115"/>
      <c r="E150" s="115"/>
      <c r="F150" s="115"/>
      <c r="G150" s="115"/>
      <c r="H150" s="115"/>
      <c r="I150" s="115"/>
      <c r="J150" s="115"/>
      <c r="K150" s="115"/>
      <c r="L150" s="116"/>
      <c r="M150" s="28"/>
    </row>
    <row r="151" spans="2:13" x14ac:dyDescent="0.35">
      <c r="B151" s="124"/>
      <c r="C151" s="115"/>
      <c r="D151" s="115"/>
      <c r="E151" s="115"/>
      <c r="F151" s="115"/>
      <c r="G151" s="115"/>
      <c r="H151" s="115"/>
      <c r="I151" s="115"/>
      <c r="J151" s="115"/>
      <c r="K151" s="115"/>
      <c r="L151" s="116"/>
      <c r="M151" s="28"/>
    </row>
    <row r="152" spans="2:13" x14ac:dyDescent="0.35">
      <c r="B152" s="124"/>
      <c r="C152" s="115"/>
      <c r="D152" s="115"/>
      <c r="E152" s="115"/>
      <c r="F152" s="115"/>
      <c r="G152" s="115"/>
      <c r="H152" s="115"/>
      <c r="I152" s="115"/>
      <c r="J152" s="115"/>
      <c r="K152" s="115"/>
      <c r="L152" s="116"/>
      <c r="M152" s="28"/>
    </row>
    <row r="153" spans="2:13" x14ac:dyDescent="0.35">
      <c r="B153" s="140" t="s">
        <v>130</v>
      </c>
      <c r="C153" s="115"/>
      <c r="D153" s="115"/>
      <c r="E153" s="115"/>
      <c r="F153" s="115"/>
      <c r="G153" s="115"/>
      <c r="H153" s="115"/>
      <c r="I153" s="115"/>
      <c r="J153" s="115"/>
      <c r="K153" s="115"/>
      <c r="L153" s="116"/>
      <c r="M153" s="28"/>
    </row>
    <row r="154" spans="2:13" x14ac:dyDescent="0.35">
      <c r="B154" s="170" t="s">
        <v>154</v>
      </c>
      <c r="C154" s="115"/>
      <c r="D154" s="115"/>
      <c r="E154" s="115"/>
      <c r="F154" s="115"/>
      <c r="G154" s="115"/>
      <c r="H154" s="115"/>
      <c r="I154" s="115"/>
      <c r="J154" s="115"/>
      <c r="K154" s="115"/>
      <c r="L154" s="116"/>
      <c r="M154" s="28"/>
    </row>
    <row r="155" spans="2:13" x14ac:dyDescent="0.35">
      <c r="B155" s="124"/>
      <c r="C155" s="115"/>
      <c r="D155" s="115"/>
      <c r="E155" s="115"/>
      <c r="F155" s="115"/>
      <c r="G155" s="115"/>
      <c r="H155" s="115"/>
      <c r="I155" s="115"/>
      <c r="J155" s="115"/>
      <c r="K155" s="115"/>
      <c r="L155" s="116"/>
      <c r="M155" s="28"/>
    </row>
    <row r="156" spans="2:13" x14ac:dyDescent="0.35">
      <c r="B156" s="140" t="s">
        <v>155</v>
      </c>
      <c r="C156" s="115"/>
      <c r="D156" s="115"/>
      <c r="E156" s="115"/>
      <c r="F156" s="115"/>
      <c r="G156" s="115"/>
      <c r="H156" s="115"/>
      <c r="I156" s="115"/>
      <c r="J156" s="115"/>
      <c r="K156" s="115"/>
      <c r="L156" s="116"/>
      <c r="M156" s="28"/>
    </row>
    <row r="157" spans="2:13" ht="15" thickBot="1" x14ac:dyDescent="0.4">
      <c r="B157" s="171" t="s">
        <v>154</v>
      </c>
      <c r="C157" s="159"/>
      <c r="D157" s="159"/>
      <c r="E157" s="159"/>
      <c r="F157" s="159"/>
      <c r="G157" s="159"/>
      <c r="H157" s="159"/>
      <c r="I157" s="159"/>
      <c r="J157" s="159"/>
      <c r="K157" s="159"/>
      <c r="L157" s="160"/>
      <c r="M157" s="28"/>
    </row>
    <row r="158" spans="2:13" ht="15" thickTop="1" x14ac:dyDescent="0.35"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spans="2:13" x14ac:dyDescent="0.35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spans="2:13" ht="15" thickBot="1" x14ac:dyDescent="0.4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spans="2:14" ht="15" thickTop="1" x14ac:dyDescent="0.35">
      <c r="B161" s="172" t="s">
        <v>186</v>
      </c>
      <c r="C161" s="173"/>
      <c r="D161" s="173"/>
      <c r="E161" s="173"/>
      <c r="F161" s="173"/>
      <c r="G161" s="173"/>
      <c r="H161" s="173"/>
      <c r="I161" s="173"/>
      <c r="J161" s="173"/>
      <c r="K161" s="173"/>
      <c r="L161" s="174"/>
      <c r="M161" s="28"/>
    </row>
    <row r="162" spans="2:14" x14ac:dyDescent="0.35">
      <c r="B162" s="175" t="s">
        <v>174</v>
      </c>
      <c r="C162" s="68">
        <v>2023</v>
      </c>
      <c r="D162" s="68">
        <f>+C162+1</f>
        <v>2024</v>
      </c>
      <c r="E162" s="68">
        <f t="shared" ref="E162:L162" si="71">+D162+1</f>
        <v>2025</v>
      </c>
      <c r="F162" s="68">
        <f t="shared" si="71"/>
        <v>2026</v>
      </c>
      <c r="G162" s="68">
        <f t="shared" si="71"/>
        <v>2027</v>
      </c>
      <c r="H162" s="68">
        <f t="shared" si="71"/>
        <v>2028</v>
      </c>
      <c r="I162" s="68">
        <f t="shared" si="71"/>
        <v>2029</v>
      </c>
      <c r="J162" s="68">
        <f t="shared" si="71"/>
        <v>2030</v>
      </c>
      <c r="K162" s="68">
        <f t="shared" si="71"/>
        <v>2031</v>
      </c>
      <c r="L162" s="176">
        <f t="shared" si="71"/>
        <v>2032</v>
      </c>
      <c r="M162" s="49"/>
    </row>
    <row r="163" spans="2:14" x14ac:dyDescent="0.35">
      <c r="B163" s="127" t="s">
        <v>175</v>
      </c>
      <c r="C163" s="69">
        <f>+C62/C67</f>
        <v>4.4991309113543956</v>
      </c>
      <c r="D163" s="69">
        <f t="shared" ref="D163:L163" si="72">+D62/D67</f>
        <v>2.9830241278876088</v>
      </c>
      <c r="E163" s="69">
        <f t="shared" si="72"/>
        <v>1.9559839958190504</v>
      </c>
      <c r="F163" s="69">
        <f t="shared" si="72"/>
        <v>1.2426634560034375</v>
      </c>
      <c r="G163" s="69">
        <f t="shared" si="72"/>
        <v>0.71135207692133751</v>
      </c>
      <c r="H163" s="69">
        <f t="shared" si="72"/>
        <v>0.29179318931937848</v>
      </c>
      <c r="I163" s="69">
        <f t="shared" si="72"/>
        <v>-4.7657857251388776E-2</v>
      </c>
      <c r="J163" s="69">
        <f t="shared" si="72"/>
        <v>-0.32789896255294332</v>
      </c>
      <c r="K163" s="69">
        <f t="shared" si="72"/>
        <v>-0.56329851366457018</v>
      </c>
      <c r="L163" s="177">
        <f t="shared" si="72"/>
        <v>-0.76407351173004068</v>
      </c>
      <c r="M163" s="49"/>
    </row>
    <row r="164" spans="2:14" x14ac:dyDescent="0.35">
      <c r="B164" s="127" t="s">
        <v>176</v>
      </c>
      <c r="C164" s="69">
        <f>(C67+C57+C59)/C51</f>
        <v>1.1683389826006765</v>
      </c>
      <c r="D164" s="69">
        <f t="shared" ref="D164:L164" si="73">(D67+D57+D59)/D51</f>
        <v>1.3015077476225236</v>
      </c>
      <c r="E164" s="69">
        <f t="shared" si="73"/>
        <v>1.4768730698633874</v>
      </c>
      <c r="F164" s="69">
        <f t="shared" si="73"/>
        <v>1.7137152414788928</v>
      </c>
      <c r="G164" s="69">
        <f t="shared" si="73"/>
        <v>2.0592975144150145</v>
      </c>
      <c r="H164" s="69">
        <f t="shared" si="73"/>
        <v>2.6333580039465043</v>
      </c>
      <c r="I164" s="69">
        <f t="shared" si="73"/>
        <v>3.7965972716813665</v>
      </c>
      <c r="J164" s="69">
        <f t="shared" si="73"/>
        <v>7.522155772755772</v>
      </c>
      <c r="K164" s="69">
        <f t="shared" si="73"/>
        <v>-59.198173049768705</v>
      </c>
      <c r="L164" s="177">
        <f t="shared" si="73"/>
        <v>-5.1513859380687057</v>
      </c>
      <c r="M164" s="49"/>
    </row>
    <row r="165" spans="2:14" x14ac:dyDescent="0.35">
      <c r="B165" s="136" t="s">
        <v>177</v>
      </c>
      <c r="C165" s="70">
        <f>+(-C61+C39+C40+C45)/(-C43-C44+C56+C58+C60)</f>
        <v>1.3890995839478357</v>
      </c>
      <c r="D165" s="70">
        <f t="shared" ref="D165:L165" si="74">+(-D61+D39+D40+D45)/(-D43-D44+D56+D58+D60)</f>
        <v>1.7932841831249213</v>
      </c>
      <c r="E165" s="70">
        <f t="shared" si="74"/>
        <v>2.174122493600517</v>
      </c>
      <c r="F165" s="70">
        <f t="shared" si="74"/>
        <v>2.5122956267970471</v>
      </c>
      <c r="G165" s="70">
        <f t="shared" si="74"/>
        <v>2.8114646224649196</v>
      </c>
      <c r="H165" s="70">
        <f t="shared" si="74"/>
        <v>3.0830256038967696</v>
      </c>
      <c r="I165" s="70">
        <f t="shared" si="74"/>
        <v>3.3269687299717927</v>
      </c>
      <c r="J165" s="70">
        <f t="shared" si="74"/>
        <v>3.5433224203355542</v>
      </c>
      <c r="K165" s="70">
        <f t="shared" si="74"/>
        <v>3.7321526362626267</v>
      </c>
      <c r="L165" s="178">
        <f t="shared" si="74"/>
        <v>3.893561998648424</v>
      </c>
      <c r="M165" s="49"/>
    </row>
    <row r="166" spans="2:14" x14ac:dyDescent="0.35">
      <c r="B166" s="142"/>
      <c r="C166" s="143"/>
      <c r="D166" s="143"/>
      <c r="E166" s="143"/>
      <c r="F166" s="143"/>
      <c r="G166" s="143"/>
      <c r="H166" s="143"/>
      <c r="I166" s="143"/>
      <c r="J166" s="143"/>
      <c r="K166" s="143"/>
      <c r="L166" s="144"/>
      <c r="M166" s="49"/>
    </row>
    <row r="167" spans="2:14" x14ac:dyDescent="0.35">
      <c r="B167" s="175" t="s">
        <v>178</v>
      </c>
      <c r="C167" s="68">
        <v>2023</v>
      </c>
      <c r="D167" s="68">
        <f>+C167+1</f>
        <v>2024</v>
      </c>
      <c r="E167" s="68">
        <f t="shared" ref="E167:L167" si="75">+D167+1</f>
        <v>2025</v>
      </c>
      <c r="F167" s="68">
        <f t="shared" si="75"/>
        <v>2026</v>
      </c>
      <c r="G167" s="68">
        <f t="shared" si="75"/>
        <v>2027</v>
      </c>
      <c r="H167" s="68">
        <f t="shared" si="75"/>
        <v>2028</v>
      </c>
      <c r="I167" s="68">
        <f t="shared" si="75"/>
        <v>2029</v>
      </c>
      <c r="J167" s="68">
        <f t="shared" si="75"/>
        <v>2030</v>
      </c>
      <c r="K167" s="68">
        <f t="shared" si="75"/>
        <v>2031</v>
      </c>
      <c r="L167" s="176">
        <f t="shared" si="75"/>
        <v>2032</v>
      </c>
      <c r="M167" s="49"/>
    </row>
    <row r="168" spans="2:14" x14ac:dyDescent="0.35">
      <c r="B168" s="127" t="s">
        <v>179</v>
      </c>
      <c r="C168" s="71"/>
      <c r="D168" s="76">
        <f>D85</f>
        <v>517745.85490324307</v>
      </c>
      <c r="E168" s="76">
        <f t="shared" ref="E168:L168" si="76">E85</f>
        <v>538409.31267483183</v>
      </c>
      <c r="F168" s="76">
        <f t="shared" si="76"/>
        <v>551552.03103248717</v>
      </c>
      <c r="G168" s="76">
        <f t="shared" si="76"/>
        <v>560684.19819189608</v>
      </c>
      <c r="H168" s="76">
        <f t="shared" si="76"/>
        <v>567272.19153112348</v>
      </c>
      <c r="I168" s="76">
        <f t="shared" si="76"/>
        <v>573343.98194381956</v>
      </c>
      <c r="J168" s="76">
        <f t="shared" si="76"/>
        <v>578843.27694404521</v>
      </c>
      <c r="K168" s="76">
        <f t="shared" si="76"/>
        <v>583709.40164324257</v>
      </c>
      <c r="L168" s="179">
        <f t="shared" si="76"/>
        <v>587876.97539251624</v>
      </c>
      <c r="M168" s="49"/>
    </row>
    <row r="169" spans="2:14" x14ac:dyDescent="0.35">
      <c r="B169" s="127" t="s">
        <v>180</v>
      </c>
      <c r="C169" s="71"/>
      <c r="D169" s="77">
        <f>-D87-D31</f>
        <v>189568.23261305891</v>
      </c>
      <c r="E169" s="77">
        <f t="shared" ref="E169:L169" si="77">-E87-E31</f>
        <v>189568.23261305902</v>
      </c>
      <c r="F169" s="77">
        <f t="shared" si="77"/>
        <v>189568.23261305899</v>
      </c>
      <c r="G169" s="77">
        <f t="shared" si="77"/>
        <v>189568.23261305899</v>
      </c>
      <c r="H169" s="77">
        <f t="shared" si="77"/>
        <v>189568.23261305902</v>
      </c>
      <c r="I169" s="77">
        <f t="shared" si="77"/>
        <v>189568.23261305896</v>
      </c>
      <c r="J169" s="77">
        <f t="shared" si="77"/>
        <v>189568.23261305896</v>
      </c>
      <c r="K169" s="77">
        <f t="shared" si="77"/>
        <v>189568.23261305896</v>
      </c>
      <c r="L169" s="180">
        <f t="shared" si="77"/>
        <v>189568.23261305902</v>
      </c>
      <c r="M169" s="49"/>
    </row>
    <row r="170" spans="2:14" x14ac:dyDescent="0.35">
      <c r="B170" s="136" t="s">
        <v>178</v>
      </c>
      <c r="C170" s="73"/>
      <c r="D170" s="70">
        <f>+D168/D169</f>
        <v>2.7311846914775573</v>
      </c>
      <c r="E170" s="70">
        <f t="shared" ref="E170:L170" si="78">+E168/E169</f>
        <v>2.8401874367516879</v>
      </c>
      <c r="F170" s="70">
        <f t="shared" si="78"/>
        <v>2.9095171877151942</v>
      </c>
      <c r="G170" s="70">
        <f t="shared" si="78"/>
        <v>2.9576906977676365</v>
      </c>
      <c r="H170" s="70">
        <f t="shared" si="78"/>
        <v>2.9924433208649597</v>
      </c>
      <c r="I170" s="70">
        <f t="shared" si="78"/>
        <v>3.0244728984423896</v>
      </c>
      <c r="J170" s="70">
        <f t="shared" si="78"/>
        <v>3.0534824794487738</v>
      </c>
      <c r="K170" s="70">
        <f t="shared" si="78"/>
        <v>3.0791519950217232</v>
      </c>
      <c r="L170" s="178">
        <f t="shared" si="78"/>
        <v>3.1011365527286054</v>
      </c>
      <c r="M170" s="49"/>
    </row>
    <row r="171" spans="2:14" x14ac:dyDescent="0.35">
      <c r="B171" s="142"/>
      <c r="C171" s="143"/>
      <c r="D171" s="143"/>
      <c r="E171" s="143"/>
      <c r="F171" s="143"/>
      <c r="G171" s="143"/>
      <c r="H171" s="143"/>
      <c r="I171" s="143"/>
      <c r="J171" s="143"/>
      <c r="K171" s="143"/>
      <c r="L171" s="144"/>
      <c r="M171" s="49"/>
    </row>
    <row r="172" spans="2:14" x14ac:dyDescent="0.35">
      <c r="B172" s="175" t="s">
        <v>181</v>
      </c>
      <c r="C172" s="68">
        <v>2023</v>
      </c>
      <c r="D172" s="68">
        <f>+C172+1</f>
        <v>2024</v>
      </c>
      <c r="E172" s="68">
        <f t="shared" ref="E172:L172" si="79">+D172+1</f>
        <v>2025</v>
      </c>
      <c r="F172" s="68">
        <f t="shared" si="79"/>
        <v>2026</v>
      </c>
      <c r="G172" s="68">
        <f t="shared" si="79"/>
        <v>2027</v>
      </c>
      <c r="H172" s="68">
        <f t="shared" si="79"/>
        <v>2028</v>
      </c>
      <c r="I172" s="68">
        <f t="shared" si="79"/>
        <v>2029</v>
      </c>
      <c r="J172" s="68">
        <f t="shared" si="79"/>
        <v>2030</v>
      </c>
      <c r="K172" s="68">
        <f t="shared" si="79"/>
        <v>2031</v>
      </c>
      <c r="L172" s="176">
        <f t="shared" si="79"/>
        <v>2032</v>
      </c>
      <c r="M172" s="49"/>
      <c r="N172" t="s">
        <v>130</v>
      </c>
    </row>
    <row r="173" spans="2:14" x14ac:dyDescent="0.35">
      <c r="B173" s="127" t="s">
        <v>179</v>
      </c>
      <c r="C173" s="71"/>
      <c r="D173" s="76">
        <f>D85</f>
        <v>517745.85490324307</v>
      </c>
      <c r="E173" s="76">
        <f t="shared" ref="E173:L173" si="80">E85</f>
        <v>538409.31267483183</v>
      </c>
      <c r="F173" s="76">
        <f t="shared" si="80"/>
        <v>551552.03103248717</v>
      </c>
      <c r="G173" s="76">
        <f t="shared" si="80"/>
        <v>560684.19819189608</v>
      </c>
      <c r="H173" s="76">
        <f t="shared" si="80"/>
        <v>567272.19153112348</v>
      </c>
      <c r="I173" s="76">
        <f t="shared" si="80"/>
        <v>573343.98194381956</v>
      </c>
      <c r="J173" s="76">
        <f t="shared" si="80"/>
        <v>578843.27694404521</v>
      </c>
      <c r="K173" s="76">
        <f t="shared" si="80"/>
        <v>583709.40164324257</v>
      </c>
      <c r="L173" s="179">
        <f t="shared" si="80"/>
        <v>587876.97539251624</v>
      </c>
      <c r="M173" s="49"/>
      <c r="N173" s="67">
        <f>WACC!R11</f>
        <v>4.4447987766346585E-2</v>
      </c>
    </row>
    <row r="174" spans="2:14" x14ac:dyDescent="0.35">
      <c r="B174" s="127" t="s">
        <v>44</v>
      </c>
      <c r="C174" s="71"/>
      <c r="D174" s="72">
        <v>1</v>
      </c>
      <c r="E174" s="72">
        <v>2</v>
      </c>
      <c r="F174" s="72">
        <v>3</v>
      </c>
      <c r="G174" s="72">
        <v>4</v>
      </c>
      <c r="H174" s="72">
        <v>5</v>
      </c>
      <c r="I174" s="72">
        <v>6</v>
      </c>
      <c r="J174" s="72">
        <v>7</v>
      </c>
      <c r="K174" s="72">
        <v>8</v>
      </c>
      <c r="L174" s="181">
        <v>9</v>
      </c>
      <c r="M174" s="49"/>
    </row>
    <row r="175" spans="2:14" x14ac:dyDescent="0.35">
      <c r="B175" s="127" t="s">
        <v>171</v>
      </c>
      <c r="C175" s="71"/>
      <c r="D175" s="76">
        <f>+D57</f>
        <v>1250370.4643062945</v>
      </c>
      <c r="E175" s="76">
        <f t="shared" ref="E175:L175" si="81">+E57</f>
        <v>1117068.9025870187</v>
      </c>
      <c r="F175" s="76">
        <f t="shared" si="81"/>
        <v>977768.77059037553</v>
      </c>
      <c r="G175" s="76">
        <f t="shared" si="81"/>
        <v>832200.13265388343</v>
      </c>
      <c r="H175" s="76">
        <f t="shared" si="81"/>
        <v>680080.90601024916</v>
      </c>
      <c r="I175" s="76">
        <f t="shared" si="81"/>
        <v>521116.31416765141</v>
      </c>
      <c r="J175" s="76">
        <f t="shared" si="81"/>
        <v>354998.31569213676</v>
      </c>
      <c r="K175" s="76">
        <f t="shared" si="81"/>
        <v>181405.00728522395</v>
      </c>
      <c r="L175" s="179">
        <f t="shared" si="81"/>
        <v>0</v>
      </c>
      <c r="M175" s="49"/>
    </row>
    <row r="176" spans="2:14" x14ac:dyDescent="0.35">
      <c r="B176" s="127" t="s">
        <v>182</v>
      </c>
      <c r="C176" s="71"/>
      <c r="D176" s="76">
        <f>NPV(N173,D173:L173)</f>
        <v>4079194.5905213668</v>
      </c>
      <c r="E176" s="76">
        <f t="shared" ref="E176:L176" si="82">NPV(O173,E173:M173)</f>
        <v>4541691.3693539631</v>
      </c>
      <c r="F176" s="76">
        <f t="shared" si="82"/>
        <v>4003282.1011271188</v>
      </c>
      <c r="G176" s="76">
        <f t="shared" si="82"/>
        <v>3451730.0700946311</v>
      </c>
      <c r="H176" s="76">
        <f t="shared" si="82"/>
        <v>2891045.871902735</v>
      </c>
      <c r="I176" s="76">
        <f t="shared" si="82"/>
        <v>2323773.6803716114</v>
      </c>
      <c r="J176" s="76">
        <f t="shared" si="82"/>
        <v>1750429.6984277917</v>
      </c>
      <c r="K176" s="76">
        <f t="shared" si="82"/>
        <v>1171586.4214837467</v>
      </c>
      <c r="L176" s="179">
        <f t="shared" si="82"/>
        <v>587877.01984050404</v>
      </c>
      <c r="M176" s="49"/>
    </row>
    <row r="177" spans="2:13" x14ac:dyDescent="0.35">
      <c r="B177" s="127" t="s">
        <v>183</v>
      </c>
      <c r="C177" s="71"/>
      <c r="D177" s="76">
        <f>-D61</f>
        <v>140449.62905225705</v>
      </c>
      <c r="E177" s="76">
        <f t="shared" ref="E177:L177" si="83">-E61</f>
        <v>267982.2531121085</v>
      </c>
      <c r="F177" s="76">
        <f t="shared" si="83"/>
        <v>387437.19758219604</v>
      </c>
      <c r="G177" s="76">
        <f t="shared" si="83"/>
        <v>500333.39391588804</v>
      </c>
      <c r="H177" s="76">
        <f t="shared" si="83"/>
        <v>608403.9596160606</v>
      </c>
      <c r="I177" s="76">
        <f t="shared" si="83"/>
        <v>711269.32617897913</v>
      </c>
      <c r="J177" s="76">
        <f t="shared" si="83"/>
        <v>808526.66535259387</v>
      </c>
      <c r="K177" s="76">
        <f t="shared" si="83"/>
        <v>899748.51507845568</v>
      </c>
      <c r="L177" s="179">
        <f t="shared" si="83"/>
        <v>984481.3218002877</v>
      </c>
      <c r="M177" s="49"/>
    </row>
    <row r="178" spans="2:13" ht="15" thickBot="1" x14ac:dyDescent="0.4">
      <c r="B178" s="138" t="s">
        <v>181</v>
      </c>
      <c r="C178" s="182"/>
      <c r="D178" s="183">
        <f>+(D176+D177)/D175</f>
        <v>3.3747152064365835</v>
      </c>
      <c r="E178" s="183">
        <f t="shared" ref="E178:L178" si="84">+(E176+E177)/E175</f>
        <v>4.3056194755107349</v>
      </c>
      <c r="F178" s="183">
        <f t="shared" si="84"/>
        <v>4.4905497401580998</v>
      </c>
      <c r="G178" s="183">
        <f t="shared" si="84"/>
        <v>4.7489339510285848</v>
      </c>
      <c r="H178" s="183">
        <f t="shared" si="84"/>
        <v>5.1456375272298214</v>
      </c>
      <c r="I178" s="183">
        <f t="shared" si="84"/>
        <v>5.8241181940317626</v>
      </c>
      <c r="J178" s="183">
        <f t="shared" si="84"/>
        <v>7.2083619855807299</v>
      </c>
      <c r="K178" s="183">
        <f t="shared" si="84"/>
        <v>11.418289757048617</v>
      </c>
      <c r="L178" s="184"/>
      <c r="M178" s="49"/>
    </row>
    <row r="179" spans="2:13" ht="15" thickTop="1" x14ac:dyDescent="0.35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</row>
    <row r="180" spans="2:13" x14ac:dyDescent="0.35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</row>
  </sheetData>
  <mergeCells count="6">
    <mergeCell ref="B161:L161"/>
    <mergeCell ref="B15:L15"/>
    <mergeCell ref="B37:L37"/>
    <mergeCell ref="B71:L71"/>
    <mergeCell ref="B110:L110"/>
    <mergeCell ref="B134:L134"/>
  </mergeCells>
  <conditionalFormatting sqref="C26:L26">
    <cfRule type="cellIs" dxfId="54" priority="53" operator="equal">
      <formula>0</formula>
    </cfRule>
    <cfRule type="cellIs" dxfId="53" priority="54" operator="lessThan">
      <formula>0</formula>
    </cfRule>
    <cfRule type="cellIs" dxfId="52" priority="55" operator="greaterThan">
      <formula>0</formula>
    </cfRule>
  </conditionalFormatting>
  <conditionalFormatting sqref="C30:L30">
    <cfRule type="cellIs" dxfId="51" priority="50" operator="equal">
      <formula>0</formula>
    </cfRule>
    <cfRule type="cellIs" dxfId="50" priority="51" operator="lessThan">
      <formula>0</formula>
    </cfRule>
    <cfRule type="cellIs" dxfId="49" priority="52" operator="greaterThan">
      <formula>0</formula>
    </cfRule>
  </conditionalFormatting>
  <conditionalFormatting sqref="C43:L43">
    <cfRule type="cellIs" dxfId="48" priority="48" operator="lessThan">
      <formula>0</formula>
    </cfRule>
    <cfRule type="cellIs" dxfId="47" priority="49" operator="greaterThan">
      <formula>-175862.31</formula>
    </cfRule>
  </conditionalFormatting>
  <conditionalFormatting sqref="C44:L44">
    <cfRule type="cellIs" dxfId="46" priority="47" operator="lessThan">
      <formula>0</formula>
    </cfRule>
  </conditionalFormatting>
  <conditionalFormatting sqref="C46:L46">
    <cfRule type="cellIs" dxfId="45" priority="44" operator="equal">
      <formula>0</formula>
    </cfRule>
    <cfRule type="cellIs" dxfId="44" priority="45" operator="lessThan">
      <formula>0</formula>
    </cfRule>
    <cfRule type="cellIs" dxfId="43" priority="46" operator="greaterThan">
      <formula>0</formula>
    </cfRule>
  </conditionalFormatting>
  <conditionalFormatting sqref="C50:L50">
    <cfRule type="cellIs" dxfId="42" priority="43" operator="lessThan">
      <formula>0</formula>
    </cfRule>
  </conditionalFormatting>
  <conditionalFormatting sqref="C51:L51">
    <cfRule type="cellIs" dxfId="41" priority="40" operator="equal">
      <formula>0</formula>
    </cfRule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C53:L53"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C33:L33">
    <cfRule type="cellIs" dxfId="35" priority="34" operator="equal">
      <formula>0</formula>
    </cfRule>
    <cfRule type="cellIs" dxfId="34" priority="35" operator="lessThan">
      <formula>0</formula>
    </cfRule>
    <cfRule type="cellIs" dxfId="33" priority="36" operator="greaterThan">
      <formula>0</formula>
    </cfRule>
  </conditionalFormatting>
  <conditionalFormatting sqref="C31:L32">
    <cfRule type="cellIs" dxfId="32" priority="31" operator="equal">
      <formula>0</formula>
    </cfRule>
    <cfRule type="cellIs" dxfId="31" priority="32" operator="greaterThan">
      <formula>0</formula>
    </cfRule>
    <cfRule type="cellIs" dxfId="30" priority="33" operator="lessThan">
      <formula>0</formula>
    </cfRule>
  </conditionalFormatting>
  <conditionalFormatting sqref="C34:L34">
    <cfRule type="cellIs" dxfId="29" priority="30" operator="greaterThan">
      <formula>0</formula>
    </cfRule>
  </conditionalFormatting>
  <conditionalFormatting sqref="C35:L35">
    <cfRule type="cellIs" dxfId="28" priority="27" operator="equal">
      <formula>0</formula>
    </cfRule>
    <cfRule type="cellIs" dxfId="27" priority="28" operator="lessThan">
      <formula>0</formula>
    </cfRule>
    <cfRule type="cellIs" dxfId="26" priority="29" operator="greaterThan">
      <formula>0</formula>
    </cfRule>
  </conditionalFormatting>
  <conditionalFormatting sqref="C66:L66">
    <cfRule type="cellIs" dxfId="25" priority="26" operator="greaterThan">
      <formula>0</formula>
    </cfRule>
  </conditionalFormatting>
  <conditionalFormatting sqref="C76:L76">
    <cfRule type="cellIs" dxfId="24" priority="23" operator="equal">
      <formula>0</formula>
    </cfRule>
    <cfRule type="cellIs" dxfId="23" priority="24" operator="lessThan">
      <formula>0</formula>
    </cfRule>
    <cfRule type="cellIs" dxfId="22" priority="25" operator="greaterThan">
      <formula>0</formula>
    </cfRule>
  </conditionalFormatting>
  <conditionalFormatting sqref="C85:L85">
    <cfRule type="cellIs" dxfId="21" priority="20" operator="equal">
      <formula>0</formula>
    </cfRule>
    <cfRule type="cellIs" dxfId="20" priority="21" operator="lessThan">
      <formula>0</formula>
    </cfRule>
    <cfRule type="cellIs" dxfId="19" priority="22" operator="greaterThan">
      <formula>0</formula>
    </cfRule>
  </conditionalFormatting>
  <conditionalFormatting sqref="C91:L91">
    <cfRule type="cellIs" dxfId="18" priority="17" operator="equal">
      <formula>0</formula>
    </cfRule>
    <cfRule type="cellIs" dxfId="17" priority="18" operator="lessThan">
      <formula>0</formula>
    </cfRule>
    <cfRule type="cellIs" dxfId="16" priority="19" operator="greaterThan">
      <formula>0</formula>
    </cfRule>
  </conditionalFormatting>
  <conditionalFormatting sqref="C93:L93">
    <cfRule type="cellIs" dxfId="15" priority="14" operator="equal">
      <formula>0</formula>
    </cfRule>
    <cfRule type="cellIs" dxfId="14" priority="15" operator="lessThan">
      <formula>0</formula>
    </cfRule>
    <cfRule type="cellIs" dxfId="13" priority="16" operator="greaterThan">
      <formula>0</formula>
    </cfRule>
  </conditionalFormatting>
  <conditionalFormatting sqref="E95:L95">
    <cfRule type="cellIs" dxfId="12" priority="13" operator="greaterThan">
      <formula>0</formula>
    </cfRule>
  </conditionalFormatting>
  <conditionalFormatting sqref="C95:L95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C62:L62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C67:L67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C69:L6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opLeftCell="A9" workbookViewId="0">
      <selection activeCell="G16" sqref="G16:G25"/>
    </sheetView>
  </sheetViews>
  <sheetFormatPr defaultRowHeight="14.5" x14ac:dyDescent="0.35"/>
  <cols>
    <col min="2" max="2" width="25.54296875" customWidth="1"/>
    <col min="3" max="3" width="14.26953125" bestFit="1" customWidth="1"/>
    <col min="7" max="7" width="14.1796875" bestFit="1" customWidth="1"/>
    <col min="8" max="9" width="12.54296875" bestFit="1" customWidth="1"/>
    <col min="10" max="10" width="11.54296875" bestFit="1" customWidth="1"/>
    <col min="11" max="11" width="14.1796875" bestFit="1" customWidth="1"/>
  </cols>
  <sheetData>
    <row r="3" spans="2:11" ht="16.5" customHeight="1" x14ac:dyDescent="0.35">
      <c r="B3" s="85" t="s">
        <v>31</v>
      </c>
      <c r="C3" s="85"/>
    </row>
    <row r="4" spans="2:11" x14ac:dyDescent="0.35">
      <c r="B4" s="3" t="s">
        <v>32</v>
      </c>
      <c r="C4" s="5">
        <v>850000</v>
      </c>
    </row>
    <row r="5" spans="2:11" x14ac:dyDescent="0.35">
      <c r="B5" s="3" t="s">
        <v>33</v>
      </c>
      <c r="C5" s="5">
        <v>250000</v>
      </c>
    </row>
    <row r="6" spans="2:11" x14ac:dyDescent="0.35">
      <c r="B6" s="3" t="s">
        <v>34</v>
      </c>
      <c r="C6" s="5">
        <v>350000</v>
      </c>
    </row>
    <row r="7" spans="2:11" x14ac:dyDescent="0.35">
      <c r="B7" s="3" t="s">
        <v>35</v>
      </c>
      <c r="C7" s="5">
        <v>200000</v>
      </c>
    </row>
    <row r="8" spans="2:11" x14ac:dyDescent="0.35">
      <c r="B8" s="4" t="s">
        <v>36</v>
      </c>
      <c r="C8" s="8">
        <v>1650000</v>
      </c>
    </row>
    <row r="9" spans="2:11" x14ac:dyDescent="0.35">
      <c r="B9" s="6" t="s">
        <v>37</v>
      </c>
      <c r="C9" s="7">
        <v>10</v>
      </c>
    </row>
    <row r="10" spans="2:11" x14ac:dyDescent="0.35">
      <c r="B10" s="9" t="s">
        <v>38</v>
      </c>
      <c r="C10" s="1">
        <f>C8/C9</f>
        <v>165000</v>
      </c>
    </row>
    <row r="15" spans="2:11" x14ac:dyDescent="0.35">
      <c r="B15" s="74" t="s">
        <v>39</v>
      </c>
      <c r="C15" s="74"/>
      <c r="D15" s="11"/>
      <c r="E15" s="74" t="s">
        <v>40</v>
      </c>
      <c r="F15" s="74"/>
      <c r="G15" s="74"/>
      <c r="H15" s="74"/>
      <c r="I15" s="74"/>
      <c r="J15" s="74"/>
      <c r="K15" s="74"/>
    </row>
    <row r="16" spans="2:11" ht="13.5" customHeight="1" x14ac:dyDescent="0.35">
      <c r="B16" s="13" t="s">
        <v>41</v>
      </c>
      <c r="C16" s="13" t="s">
        <v>42</v>
      </c>
      <c r="D16" s="11"/>
      <c r="E16" s="13" t="s">
        <v>43</v>
      </c>
      <c r="F16" s="13" t="s">
        <v>44</v>
      </c>
      <c r="G16" s="14" t="s">
        <v>45</v>
      </c>
      <c r="H16" s="14" t="s">
        <v>46</v>
      </c>
      <c r="I16" s="14" t="s">
        <v>47</v>
      </c>
      <c r="J16" s="14" t="s">
        <v>48</v>
      </c>
      <c r="K16" s="14" t="s">
        <v>49</v>
      </c>
    </row>
    <row r="17" spans="2:11" x14ac:dyDescent="0.35">
      <c r="B17" s="15" t="s">
        <v>50</v>
      </c>
      <c r="C17" s="2">
        <v>1500000</v>
      </c>
      <c r="D17" s="11"/>
      <c r="E17" s="15">
        <v>1</v>
      </c>
      <c r="F17" s="15">
        <v>2023</v>
      </c>
      <c r="G17" s="17">
        <f>+C17</f>
        <v>1500000</v>
      </c>
      <c r="H17" s="17">
        <f>-PMT(C20,C21,C17)</f>
        <v>189568.23261305896</v>
      </c>
      <c r="I17" s="17">
        <f>+H17-J17</f>
        <v>122068.23261305896</v>
      </c>
      <c r="J17" s="17">
        <f>+G17*$C$20</f>
        <v>67500</v>
      </c>
      <c r="K17" s="17">
        <f>+G17-I17</f>
        <v>1377931.767386941</v>
      </c>
    </row>
    <row r="18" spans="2:11" x14ac:dyDescent="0.35">
      <c r="B18" s="15" t="s">
        <v>51</v>
      </c>
      <c r="C18" s="12">
        <v>2.5000000000000001E-2</v>
      </c>
      <c r="D18" s="11"/>
      <c r="E18" s="15">
        <v>2</v>
      </c>
      <c r="F18" s="15">
        <v>2024</v>
      </c>
      <c r="G18" s="19">
        <f>K17</f>
        <v>1377931.767386941</v>
      </c>
      <c r="H18" s="19">
        <f>H17</f>
        <v>189568.23261305896</v>
      </c>
      <c r="I18" s="19">
        <f>+H18-J18</f>
        <v>127561.30308064661</v>
      </c>
      <c r="J18" s="19">
        <f>G18*$C$20</f>
        <v>62006.929532412345</v>
      </c>
      <c r="K18" s="19">
        <f>+G18-I18</f>
        <v>1250370.4643062945</v>
      </c>
    </row>
    <row r="19" spans="2:11" x14ac:dyDescent="0.35">
      <c r="B19" s="15" t="s">
        <v>52</v>
      </c>
      <c r="C19" s="12">
        <v>0.02</v>
      </c>
      <c r="D19" s="11"/>
      <c r="E19" s="15">
        <v>3</v>
      </c>
      <c r="F19" s="15">
        <v>2025</v>
      </c>
      <c r="G19" s="19">
        <f t="shared" ref="G19:G26" si="0">K18</f>
        <v>1250370.4643062945</v>
      </c>
      <c r="H19" s="19">
        <f t="shared" ref="H19:H26" si="1">H18</f>
        <v>189568.23261305896</v>
      </c>
      <c r="I19" s="19">
        <f t="shared" ref="I19:I26" si="2">+H19-J19</f>
        <v>133301.56171927572</v>
      </c>
      <c r="J19" s="19">
        <f t="shared" ref="J19:J26" si="3">G19*$C$20</f>
        <v>56266.670893783252</v>
      </c>
      <c r="K19" s="19">
        <f t="shared" ref="K19:K26" si="4">+G19-I19</f>
        <v>1117068.9025870187</v>
      </c>
    </row>
    <row r="20" spans="2:11" x14ac:dyDescent="0.35">
      <c r="B20" s="15" t="s">
        <v>53</v>
      </c>
      <c r="C20" s="12">
        <v>4.4999999999999998E-2</v>
      </c>
      <c r="D20" s="11"/>
      <c r="E20" s="15">
        <v>4</v>
      </c>
      <c r="F20" s="15">
        <v>2026</v>
      </c>
      <c r="G20" s="19">
        <f t="shared" si="0"/>
        <v>1117068.9025870187</v>
      </c>
      <c r="H20" s="19">
        <f t="shared" si="1"/>
        <v>189568.23261305896</v>
      </c>
      <c r="I20" s="19">
        <f t="shared" si="2"/>
        <v>139300.13199664312</v>
      </c>
      <c r="J20" s="19">
        <f t="shared" si="3"/>
        <v>50268.100616415839</v>
      </c>
      <c r="K20" s="19">
        <f t="shared" si="4"/>
        <v>977768.77059037553</v>
      </c>
    </row>
    <row r="21" spans="2:11" x14ac:dyDescent="0.35">
      <c r="B21" s="16" t="s">
        <v>37</v>
      </c>
      <c r="C21" s="16">
        <v>10</v>
      </c>
      <c r="D21" s="11"/>
      <c r="E21" s="15">
        <v>5</v>
      </c>
      <c r="F21" s="15">
        <v>2027</v>
      </c>
      <c r="G21" s="19">
        <f t="shared" si="0"/>
        <v>977768.77059037553</v>
      </c>
      <c r="H21" s="19">
        <f t="shared" si="1"/>
        <v>189568.23261305896</v>
      </c>
      <c r="I21" s="19">
        <f t="shared" si="2"/>
        <v>145568.63793649207</v>
      </c>
      <c r="J21" s="19">
        <f t="shared" si="3"/>
        <v>43999.5946765669</v>
      </c>
      <c r="K21" s="19">
        <f t="shared" si="4"/>
        <v>832200.13265388343</v>
      </c>
    </row>
    <row r="22" spans="2:11" x14ac:dyDescent="0.35">
      <c r="B22" s="11"/>
      <c r="C22" s="11"/>
      <c r="D22" s="11"/>
      <c r="E22" s="15">
        <v>6</v>
      </c>
      <c r="F22" s="15">
        <v>2028</v>
      </c>
      <c r="G22" s="19">
        <f t="shared" si="0"/>
        <v>832200.13265388343</v>
      </c>
      <c r="H22" s="19">
        <f t="shared" si="1"/>
        <v>189568.23261305896</v>
      </c>
      <c r="I22" s="19">
        <f t="shared" si="2"/>
        <v>152119.2266436342</v>
      </c>
      <c r="J22" s="19">
        <f t="shared" si="3"/>
        <v>37449.005969424754</v>
      </c>
      <c r="K22" s="19">
        <f t="shared" si="4"/>
        <v>680080.90601024916</v>
      </c>
    </row>
    <row r="23" spans="2:11" x14ac:dyDescent="0.35">
      <c r="B23" s="11"/>
      <c r="C23" s="11"/>
      <c r="D23" s="11"/>
      <c r="E23" s="15">
        <v>7</v>
      </c>
      <c r="F23" s="15">
        <v>2029</v>
      </c>
      <c r="G23" s="19">
        <f t="shared" si="0"/>
        <v>680080.90601024916</v>
      </c>
      <c r="H23" s="19">
        <f t="shared" si="1"/>
        <v>189568.23261305896</v>
      </c>
      <c r="I23" s="19">
        <f t="shared" si="2"/>
        <v>158964.59184259776</v>
      </c>
      <c r="J23" s="19">
        <f t="shared" si="3"/>
        <v>30603.64077046121</v>
      </c>
      <c r="K23" s="19">
        <f t="shared" si="4"/>
        <v>521116.31416765141</v>
      </c>
    </row>
    <row r="24" spans="2:11" x14ac:dyDescent="0.35">
      <c r="B24" s="11"/>
      <c r="C24" s="11"/>
      <c r="D24" s="11"/>
      <c r="E24" s="15">
        <v>8</v>
      </c>
      <c r="F24" s="15">
        <v>2030</v>
      </c>
      <c r="G24" s="19">
        <f t="shared" si="0"/>
        <v>521116.31416765141</v>
      </c>
      <c r="H24" s="19">
        <f t="shared" si="1"/>
        <v>189568.23261305896</v>
      </c>
      <c r="I24" s="19">
        <f t="shared" si="2"/>
        <v>166117.99847551464</v>
      </c>
      <c r="J24" s="19">
        <f t="shared" si="3"/>
        <v>23450.234137544314</v>
      </c>
      <c r="K24" s="19">
        <f t="shared" si="4"/>
        <v>354998.31569213676</v>
      </c>
    </row>
    <row r="25" spans="2:11" x14ac:dyDescent="0.35">
      <c r="B25" s="11"/>
      <c r="C25" s="11"/>
      <c r="D25" s="11"/>
      <c r="E25" s="15">
        <v>9</v>
      </c>
      <c r="F25" s="15">
        <v>2031</v>
      </c>
      <c r="G25" s="19">
        <f t="shared" si="0"/>
        <v>354998.31569213676</v>
      </c>
      <c r="H25" s="19">
        <f t="shared" si="1"/>
        <v>189568.23261305896</v>
      </c>
      <c r="I25" s="19">
        <f t="shared" si="2"/>
        <v>173593.30840691281</v>
      </c>
      <c r="J25" s="19">
        <f t="shared" si="3"/>
        <v>15974.924206146154</v>
      </c>
      <c r="K25" s="19">
        <f t="shared" si="4"/>
        <v>181405.00728522395</v>
      </c>
    </row>
    <row r="26" spans="2:11" x14ac:dyDescent="0.35">
      <c r="B26" s="11"/>
      <c r="C26" s="11"/>
      <c r="D26" s="11"/>
      <c r="E26" s="16">
        <v>10</v>
      </c>
      <c r="F26" s="16">
        <v>2032</v>
      </c>
      <c r="G26" s="18">
        <f t="shared" si="0"/>
        <v>181405.00728522395</v>
      </c>
      <c r="H26" s="18">
        <f t="shared" si="1"/>
        <v>189568.23261305896</v>
      </c>
      <c r="I26" s="18">
        <f t="shared" si="2"/>
        <v>181405.0072852239</v>
      </c>
      <c r="J26" s="18">
        <f t="shared" si="3"/>
        <v>8163.2253278350772</v>
      </c>
      <c r="K26" s="18">
        <f t="shared" si="4"/>
        <v>0</v>
      </c>
    </row>
  </sheetData>
  <mergeCells count="3">
    <mergeCell ref="B15:C15"/>
    <mergeCell ref="E15:K15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6"/>
  <sheetViews>
    <sheetView workbookViewId="0">
      <selection activeCell="Q15" sqref="Q15"/>
    </sheetView>
  </sheetViews>
  <sheetFormatPr defaultRowHeight="14.5" x14ac:dyDescent="0.35"/>
  <cols>
    <col min="19" max="19" width="25.36328125" bestFit="1" customWidth="1"/>
  </cols>
  <sheetData>
    <row r="3" spans="2:20" x14ac:dyDescent="0.35">
      <c r="B3" s="64" t="s">
        <v>115</v>
      </c>
      <c r="C3" s="65">
        <v>0</v>
      </c>
      <c r="D3" s="65">
        <v>0.1</v>
      </c>
      <c r="E3" s="65">
        <f>+D3+0.1</f>
        <v>0.2</v>
      </c>
      <c r="F3" s="65">
        <f t="shared" ref="F3:M3" si="0">+E3+0.1</f>
        <v>0.30000000000000004</v>
      </c>
      <c r="G3" s="65">
        <f t="shared" si="0"/>
        <v>0.4</v>
      </c>
      <c r="H3" s="65">
        <f t="shared" si="0"/>
        <v>0.5</v>
      </c>
      <c r="I3" s="65">
        <f t="shared" si="0"/>
        <v>0.6</v>
      </c>
      <c r="J3" s="65">
        <f t="shared" si="0"/>
        <v>0.7</v>
      </c>
      <c r="K3" s="65">
        <f t="shared" si="0"/>
        <v>0.79999999999999993</v>
      </c>
      <c r="L3" s="65">
        <f t="shared" si="0"/>
        <v>0.89999999999999991</v>
      </c>
      <c r="M3" s="65">
        <f t="shared" si="0"/>
        <v>0.99999999999999989</v>
      </c>
      <c r="N3" s="28"/>
      <c r="O3" s="28"/>
      <c r="P3" s="28"/>
      <c r="Q3" s="28"/>
      <c r="R3" s="28"/>
      <c r="S3" s="28"/>
      <c r="T3" s="28"/>
    </row>
    <row r="4" spans="2:20" x14ac:dyDescent="0.35">
      <c r="B4" s="66" t="s">
        <v>116</v>
      </c>
      <c r="C4" s="67">
        <v>0.02</v>
      </c>
      <c r="D4" s="67">
        <v>0.02</v>
      </c>
      <c r="E4" s="67">
        <v>0.02</v>
      </c>
      <c r="F4" s="67">
        <v>0.02</v>
      </c>
      <c r="G4" s="67">
        <v>0.02</v>
      </c>
      <c r="H4" s="67">
        <v>0.02</v>
      </c>
      <c r="I4" s="67">
        <v>0.02</v>
      </c>
      <c r="J4" s="67">
        <v>0.02</v>
      </c>
      <c r="K4" s="67">
        <v>0.02</v>
      </c>
      <c r="L4" s="67">
        <v>0.02</v>
      </c>
      <c r="M4" s="67">
        <v>0.02</v>
      </c>
      <c r="N4" s="28"/>
      <c r="O4" s="28"/>
      <c r="P4" s="28"/>
      <c r="Q4" s="33"/>
      <c r="R4" s="33"/>
      <c r="S4" s="33"/>
      <c r="T4" s="33"/>
    </row>
    <row r="5" spans="2:20" x14ac:dyDescent="0.35">
      <c r="B5" s="66" t="s">
        <v>117</v>
      </c>
      <c r="C5" s="78">
        <v>1.25</v>
      </c>
      <c r="D5" s="78">
        <v>1.2850000000000001</v>
      </c>
      <c r="E5" s="78">
        <v>1.3320000000000001</v>
      </c>
      <c r="F5" s="78">
        <v>1.41</v>
      </c>
      <c r="G5" s="78">
        <v>1.522</v>
      </c>
      <c r="H5" s="78">
        <v>1.6924999999999999</v>
      </c>
      <c r="I5" s="78">
        <v>1.927</v>
      </c>
      <c r="J5" s="78">
        <v>2.2429999999999999</v>
      </c>
      <c r="K5" s="78">
        <v>2.6500000000000004</v>
      </c>
      <c r="L5" s="78">
        <v>3.165</v>
      </c>
      <c r="M5" s="78">
        <v>3.8</v>
      </c>
      <c r="N5" s="28"/>
      <c r="O5" s="28"/>
      <c r="P5" s="28"/>
      <c r="Q5" s="75" t="s">
        <v>130</v>
      </c>
      <c r="R5" s="75"/>
      <c r="S5" s="28" t="s">
        <v>118</v>
      </c>
      <c r="T5" s="28"/>
    </row>
    <row r="6" spans="2:20" x14ac:dyDescent="0.35">
      <c r="B6" s="66" t="s">
        <v>119</v>
      </c>
      <c r="C6" s="67">
        <v>7.0000000000000007E-2</v>
      </c>
      <c r="D6" s="67">
        <v>7.0000000000000007E-2</v>
      </c>
      <c r="E6" s="67">
        <v>7.0000000000000007E-2</v>
      </c>
      <c r="F6" s="67">
        <v>7.0000000000000007E-2</v>
      </c>
      <c r="G6" s="67">
        <v>7.0000000000000007E-2</v>
      </c>
      <c r="H6" s="67">
        <v>7.0000000000000007E-2</v>
      </c>
      <c r="I6" s="67">
        <v>7.0000000000000007E-2</v>
      </c>
      <c r="J6" s="67">
        <v>7.0000000000000007E-2</v>
      </c>
      <c r="K6" s="67">
        <v>7.0000000000000007E-2</v>
      </c>
      <c r="L6" s="67">
        <v>7.0000000000000007E-2</v>
      </c>
      <c r="M6" s="67">
        <v>7.0000000000000007E-2</v>
      </c>
      <c r="N6" s="28"/>
      <c r="O6" s="28"/>
      <c r="P6" s="28"/>
      <c r="Q6" s="28" t="s">
        <v>120</v>
      </c>
      <c r="R6" s="34">
        <f>-'CE SP FC'!C31/'CE SP FC'!C62</f>
        <v>4.4522484770323889E-2</v>
      </c>
      <c r="S6" s="28" t="s">
        <v>121</v>
      </c>
      <c r="T6" s="28"/>
    </row>
    <row r="7" spans="2:20" x14ac:dyDescent="0.35">
      <c r="B7" s="66" t="s">
        <v>122</v>
      </c>
      <c r="C7" s="67">
        <f>C6-C4</f>
        <v>0.05</v>
      </c>
      <c r="D7" s="67">
        <f t="shared" ref="D7:M7" si="1">D6-D4</f>
        <v>0.05</v>
      </c>
      <c r="E7" s="67">
        <f t="shared" si="1"/>
        <v>0.05</v>
      </c>
      <c r="F7" s="67">
        <f t="shared" si="1"/>
        <v>0.05</v>
      </c>
      <c r="G7" s="67">
        <f t="shared" si="1"/>
        <v>0.05</v>
      </c>
      <c r="H7" s="67">
        <f t="shared" si="1"/>
        <v>0.05</v>
      </c>
      <c r="I7" s="67">
        <f t="shared" si="1"/>
        <v>0.05</v>
      </c>
      <c r="J7" s="67">
        <f t="shared" si="1"/>
        <v>0.05</v>
      </c>
      <c r="K7" s="67">
        <f t="shared" si="1"/>
        <v>0.05</v>
      </c>
      <c r="L7" s="67">
        <f t="shared" si="1"/>
        <v>0.05</v>
      </c>
      <c r="M7" s="67">
        <f t="shared" si="1"/>
        <v>0.05</v>
      </c>
      <c r="N7" s="28"/>
      <c r="O7" s="28"/>
      <c r="P7" s="28"/>
      <c r="Q7" s="28" t="s">
        <v>123</v>
      </c>
      <c r="R7" s="34">
        <f>R6*(1-0.279)</f>
        <v>3.2100711519403524E-2</v>
      </c>
      <c r="S7" s="28" t="s">
        <v>124</v>
      </c>
      <c r="T7" s="28"/>
    </row>
    <row r="8" spans="2:20" x14ac:dyDescent="0.35">
      <c r="B8" s="62" t="s">
        <v>125</v>
      </c>
      <c r="C8" s="35">
        <f>+C4+C5*C7</f>
        <v>8.2500000000000004E-2</v>
      </c>
      <c r="D8" s="35">
        <f t="shared" ref="D8:M8" si="2">D4+D5*D7</f>
        <v>8.4250000000000019E-2</v>
      </c>
      <c r="E8" s="35">
        <f t="shared" si="2"/>
        <v>8.660000000000001E-2</v>
      </c>
      <c r="F8" s="35">
        <f t="shared" si="2"/>
        <v>9.0499999999999997E-2</v>
      </c>
      <c r="G8" s="35">
        <f t="shared" si="2"/>
        <v>9.6100000000000005E-2</v>
      </c>
      <c r="H8" s="35">
        <f t="shared" si="2"/>
        <v>0.10462500000000001</v>
      </c>
      <c r="I8" s="35">
        <f t="shared" si="2"/>
        <v>0.11635000000000001</v>
      </c>
      <c r="J8" s="35">
        <f t="shared" si="2"/>
        <v>0.13214999999999999</v>
      </c>
      <c r="K8" s="35">
        <f t="shared" si="2"/>
        <v>0.15250000000000002</v>
      </c>
      <c r="L8" s="35">
        <f t="shared" si="2"/>
        <v>0.17824999999999999</v>
      </c>
      <c r="M8" s="35">
        <f t="shared" si="2"/>
        <v>0.21</v>
      </c>
      <c r="N8" s="28"/>
      <c r="O8" s="28"/>
      <c r="P8" s="28"/>
      <c r="Q8" s="28" t="s">
        <v>125</v>
      </c>
      <c r="R8" s="34">
        <v>0.1</v>
      </c>
      <c r="S8" s="28" t="s">
        <v>126</v>
      </c>
      <c r="T8" s="28"/>
    </row>
    <row r="9" spans="2:20" x14ac:dyDescent="0.35">
      <c r="B9" s="66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28"/>
      <c r="O9" s="28"/>
      <c r="P9" s="28"/>
      <c r="Q9" s="28" t="s">
        <v>127</v>
      </c>
      <c r="R9" s="29">
        <f>'CE SP FC'!C62/('CE SP FC'!C62+'CE SP FC'!C67)</f>
        <v>0.81815308343810511</v>
      </c>
      <c r="S9" s="28" t="s">
        <v>128</v>
      </c>
      <c r="T9" s="28"/>
    </row>
    <row r="10" spans="2:20" x14ac:dyDescent="0.35">
      <c r="B10" s="36" t="s">
        <v>116</v>
      </c>
      <c r="C10" s="37">
        <f>+C4</f>
        <v>0.02</v>
      </c>
      <c r="D10" s="37">
        <f t="shared" ref="D10:M10" si="3">+D4</f>
        <v>0.02</v>
      </c>
      <c r="E10" s="37">
        <f t="shared" si="3"/>
        <v>0.02</v>
      </c>
      <c r="F10" s="37">
        <f t="shared" si="3"/>
        <v>0.02</v>
      </c>
      <c r="G10" s="37">
        <f t="shared" si="3"/>
        <v>0.02</v>
      </c>
      <c r="H10" s="37">
        <f t="shared" si="3"/>
        <v>0.02</v>
      </c>
      <c r="I10" s="37">
        <f t="shared" si="3"/>
        <v>0.02</v>
      </c>
      <c r="J10" s="37">
        <f t="shared" si="3"/>
        <v>0.02</v>
      </c>
      <c r="K10" s="37">
        <f t="shared" si="3"/>
        <v>0.02</v>
      </c>
      <c r="L10" s="37">
        <f t="shared" si="3"/>
        <v>0.02</v>
      </c>
      <c r="M10" s="37">
        <f t="shared" si="3"/>
        <v>0.02</v>
      </c>
      <c r="N10" s="28"/>
      <c r="O10" s="28"/>
      <c r="P10" s="28"/>
      <c r="Q10" s="28" t="s">
        <v>129</v>
      </c>
      <c r="R10" s="38">
        <f>'CE SP FC'!C67/('CE SP FC'!C62+'CE SP FC'!C67)</f>
        <v>0.18184691656189492</v>
      </c>
      <c r="S10" s="28" t="s">
        <v>128</v>
      </c>
      <c r="T10" s="28"/>
    </row>
    <row r="11" spans="2:20" x14ac:dyDescent="0.35">
      <c r="B11" s="66" t="s">
        <v>52</v>
      </c>
      <c r="C11" s="39">
        <v>5.7000000000000002E-3</v>
      </c>
      <c r="D11" s="39">
        <v>7.5999999999999983E-3</v>
      </c>
      <c r="E11" s="39">
        <v>1.09E-2</v>
      </c>
      <c r="F11" s="39">
        <v>1.4900000000000002E-2</v>
      </c>
      <c r="G11" s="39">
        <v>1.6799999999999999E-2</v>
      </c>
      <c r="H11" s="39">
        <v>2.2799999999999997E-2</v>
      </c>
      <c r="I11" s="39">
        <v>0.03</v>
      </c>
      <c r="J11" s="39">
        <v>0.04</v>
      </c>
      <c r="K11" s="39">
        <v>0.05</v>
      </c>
      <c r="L11" s="39">
        <v>7.0000000000000007E-2</v>
      </c>
      <c r="M11" s="39">
        <v>0.1</v>
      </c>
      <c r="N11" s="28"/>
      <c r="O11" s="28"/>
      <c r="P11" s="28"/>
      <c r="Q11" s="30" t="s">
        <v>130</v>
      </c>
      <c r="R11" s="40">
        <v>4.4447987766346585E-2</v>
      </c>
      <c r="S11" s="28" t="s">
        <v>131</v>
      </c>
      <c r="T11" s="28"/>
    </row>
    <row r="12" spans="2:20" x14ac:dyDescent="0.35">
      <c r="B12" s="66" t="s">
        <v>120</v>
      </c>
      <c r="C12" s="41">
        <f>+C10+C11</f>
        <v>2.5700000000000001E-2</v>
      </c>
      <c r="D12" s="41">
        <f t="shared" ref="D12:M12" si="4">+D10+D11</f>
        <v>2.76E-2</v>
      </c>
      <c r="E12" s="41">
        <f t="shared" si="4"/>
        <v>3.09E-2</v>
      </c>
      <c r="F12" s="41">
        <f t="shared" si="4"/>
        <v>3.49E-2</v>
      </c>
      <c r="G12" s="41">
        <f t="shared" si="4"/>
        <v>3.6799999999999999E-2</v>
      </c>
      <c r="H12" s="41">
        <f t="shared" si="4"/>
        <v>4.2799999999999998E-2</v>
      </c>
      <c r="I12" s="41">
        <f t="shared" si="4"/>
        <v>0.05</v>
      </c>
      <c r="J12" s="41">
        <f t="shared" si="4"/>
        <v>0.06</v>
      </c>
      <c r="K12" s="41">
        <f t="shared" si="4"/>
        <v>7.0000000000000007E-2</v>
      </c>
      <c r="L12" s="41">
        <f t="shared" si="4"/>
        <v>9.0000000000000011E-2</v>
      </c>
      <c r="M12" s="41">
        <f t="shared" si="4"/>
        <v>0.12000000000000001</v>
      </c>
      <c r="N12" s="28"/>
      <c r="O12" s="28"/>
      <c r="P12" s="28"/>
      <c r="Q12" s="28"/>
      <c r="R12" s="28"/>
      <c r="S12" s="28"/>
      <c r="T12" s="28"/>
    </row>
    <row r="13" spans="2:20" x14ac:dyDescent="0.35">
      <c r="B13" s="66" t="s">
        <v>132</v>
      </c>
      <c r="C13" s="41">
        <v>0.24</v>
      </c>
      <c r="D13" s="41">
        <v>0.24</v>
      </c>
      <c r="E13" s="41">
        <v>0.24</v>
      </c>
      <c r="F13" s="41">
        <v>0.24</v>
      </c>
      <c r="G13" s="41">
        <v>0.24</v>
      </c>
      <c r="H13" s="41">
        <v>0.24</v>
      </c>
      <c r="I13" s="41">
        <v>0.24</v>
      </c>
      <c r="J13" s="41">
        <v>0.24</v>
      </c>
      <c r="K13" s="41">
        <v>0.24</v>
      </c>
      <c r="L13" s="41">
        <v>0.24</v>
      </c>
      <c r="M13" s="41">
        <v>0.24</v>
      </c>
      <c r="N13" s="28"/>
      <c r="O13" s="28"/>
      <c r="P13" s="28"/>
      <c r="Q13" s="28"/>
      <c r="R13" s="28"/>
      <c r="S13" s="28"/>
      <c r="T13" s="28"/>
    </row>
    <row r="14" spans="2:20" x14ac:dyDescent="0.35">
      <c r="B14" s="62" t="s">
        <v>133</v>
      </c>
      <c r="C14" s="35">
        <f>+C12*(1-C13)</f>
        <v>1.9532000000000001E-2</v>
      </c>
      <c r="D14" s="35">
        <f t="shared" ref="D14:M14" si="5">+D12*(1-D13)</f>
        <v>2.0976000000000002E-2</v>
      </c>
      <c r="E14" s="35">
        <f t="shared" si="5"/>
        <v>2.3484000000000001E-2</v>
      </c>
      <c r="F14" s="35">
        <f t="shared" si="5"/>
        <v>2.6523999999999999E-2</v>
      </c>
      <c r="G14" s="35">
        <f t="shared" si="5"/>
        <v>2.7968E-2</v>
      </c>
      <c r="H14" s="35">
        <f t="shared" si="5"/>
        <v>3.2528000000000001E-2</v>
      </c>
      <c r="I14" s="35">
        <f t="shared" si="5"/>
        <v>3.8000000000000006E-2</v>
      </c>
      <c r="J14" s="35">
        <f t="shared" si="5"/>
        <v>4.5600000000000002E-2</v>
      </c>
      <c r="K14" s="35">
        <f t="shared" si="5"/>
        <v>5.3200000000000004E-2</v>
      </c>
      <c r="L14" s="35">
        <f t="shared" si="5"/>
        <v>6.8400000000000002E-2</v>
      </c>
      <c r="M14" s="35">
        <f t="shared" si="5"/>
        <v>9.1200000000000003E-2</v>
      </c>
      <c r="N14" s="28"/>
      <c r="O14" s="28"/>
      <c r="P14" s="28"/>
      <c r="Q14" s="28"/>
      <c r="R14" s="28"/>
      <c r="S14" s="28"/>
      <c r="T14" s="28"/>
    </row>
    <row r="15" spans="2:20" x14ac:dyDescent="0.35">
      <c r="B15" s="66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28"/>
      <c r="O15" s="28"/>
      <c r="P15" s="28"/>
      <c r="Q15" s="28"/>
      <c r="R15" s="28"/>
      <c r="S15" s="28"/>
      <c r="T15" s="28"/>
    </row>
    <row r="16" spans="2:20" x14ac:dyDescent="0.35">
      <c r="B16" s="31" t="s">
        <v>130</v>
      </c>
      <c r="C16" s="42">
        <f>C14*C3+C8*(1-C3)</f>
        <v>8.2500000000000004E-2</v>
      </c>
      <c r="D16" s="42">
        <f t="shared" ref="D16:M16" si="6">D14*D3+D8*(1-D3)</f>
        <v>7.7922600000000022E-2</v>
      </c>
      <c r="E16" s="42">
        <f t="shared" si="6"/>
        <v>7.3976800000000009E-2</v>
      </c>
      <c r="F16" s="42">
        <f t="shared" si="6"/>
        <v>7.1307199999999987E-2</v>
      </c>
      <c r="G16" s="42">
        <f t="shared" si="6"/>
        <v>6.8847199999999997E-2</v>
      </c>
      <c r="H16" s="42">
        <f t="shared" si="6"/>
        <v>6.8576500000000012E-2</v>
      </c>
      <c r="I16" s="42">
        <f t="shared" si="6"/>
        <v>6.9340000000000013E-2</v>
      </c>
      <c r="J16" s="42">
        <f t="shared" si="6"/>
        <v>7.156499999999999E-2</v>
      </c>
      <c r="K16" s="42">
        <f t="shared" si="6"/>
        <v>7.3060000000000014E-2</v>
      </c>
      <c r="L16" s="42">
        <f t="shared" si="6"/>
        <v>7.9385000000000011E-2</v>
      </c>
      <c r="M16" s="42">
        <f t="shared" si="6"/>
        <v>9.1200000000000017E-2</v>
      </c>
      <c r="N16" s="28"/>
      <c r="O16" s="28"/>
      <c r="P16" s="28"/>
      <c r="Q16" s="28"/>
      <c r="R16" s="28"/>
      <c r="S16" s="28"/>
      <c r="T16" s="28"/>
    </row>
  </sheetData>
  <mergeCells count="1">
    <mergeCell ref="Q5:R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F10" sqref="F10"/>
    </sheetView>
  </sheetViews>
  <sheetFormatPr defaultRowHeight="14.5" x14ac:dyDescent="0.35"/>
  <cols>
    <col min="2" max="2" width="24.6328125" bestFit="1" customWidth="1"/>
    <col min="3" max="13" width="12.54296875" bestFit="1" customWidth="1"/>
  </cols>
  <sheetData>
    <row r="2" spans="2:13" x14ac:dyDescent="0.35">
      <c r="B2" s="86" t="s">
        <v>159</v>
      </c>
      <c r="C2" s="86"/>
    </row>
    <row r="3" spans="2:13" x14ac:dyDescent="0.35">
      <c r="B3" s="87" t="s">
        <v>149</v>
      </c>
      <c r="C3" s="88">
        <f>'CE SP FC'!C138</f>
        <v>0.28479898334895787</v>
      </c>
    </row>
    <row r="4" spans="2:13" x14ac:dyDescent="0.35">
      <c r="B4" s="89" t="s">
        <v>130</v>
      </c>
      <c r="C4" s="90">
        <f>WACC!R11</f>
        <v>4.4447987766346585E-2</v>
      </c>
    </row>
    <row r="5" spans="2:13" x14ac:dyDescent="0.35">
      <c r="B5" s="63"/>
    </row>
    <row r="6" spans="2:13" x14ac:dyDescent="0.35">
      <c r="B6" s="86" t="s">
        <v>160</v>
      </c>
      <c r="C6" s="86"/>
      <c r="I6" s="99" t="s">
        <v>170</v>
      </c>
      <c r="J6" s="100"/>
    </row>
    <row r="7" spans="2:13" x14ac:dyDescent="0.35">
      <c r="B7" s="87" t="s">
        <v>161</v>
      </c>
      <c r="C7" s="88">
        <f>C3-C4</f>
        <v>0.24035099558261128</v>
      </c>
      <c r="I7" s="101" t="s">
        <v>171</v>
      </c>
      <c r="J7" s="102">
        <f>'CE SP FC'!C62*WACC!R7</f>
        <v>48667.5</v>
      </c>
    </row>
    <row r="8" spans="2:13" x14ac:dyDescent="0.35">
      <c r="B8" s="89" t="s">
        <v>162</v>
      </c>
      <c r="C8" s="91">
        <f>C7*'CE SP FC'!C137</f>
        <v>445385.15</v>
      </c>
      <c r="I8" s="101" t="s">
        <v>172</v>
      </c>
      <c r="J8" s="102">
        <f>'CE SP FC'!C67*WACC!R8</f>
        <v>33697.35</v>
      </c>
    </row>
    <row r="9" spans="2:13" x14ac:dyDescent="0.35">
      <c r="B9" s="63"/>
      <c r="I9" s="104" t="s">
        <v>173</v>
      </c>
      <c r="J9" s="105">
        <f>SUM(J7:J8)</f>
        <v>82364.850000000006</v>
      </c>
    </row>
    <row r="10" spans="2:13" x14ac:dyDescent="0.35">
      <c r="B10" s="86" t="s">
        <v>163</v>
      </c>
      <c r="C10" s="86"/>
      <c r="I10" s="103" t="s">
        <v>167</v>
      </c>
      <c r="J10" s="98">
        <f>+J9-C12</f>
        <v>0</v>
      </c>
    </row>
    <row r="11" spans="2:13" x14ac:dyDescent="0.35">
      <c r="B11" s="93" t="s">
        <v>164</v>
      </c>
      <c r="C11" s="94">
        <f>'CE SP FC'!C136</f>
        <v>527750</v>
      </c>
    </row>
    <row r="12" spans="2:13" x14ac:dyDescent="0.35">
      <c r="B12" s="95" t="s">
        <v>165</v>
      </c>
      <c r="C12" s="96">
        <f>J9</f>
        <v>82364.850000000006</v>
      </c>
    </row>
    <row r="13" spans="2:13" x14ac:dyDescent="0.35">
      <c r="B13" s="97" t="s">
        <v>166</v>
      </c>
      <c r="C13" s="98">
        <f>C11-C12</f>
        <v>445385.15</v>
      </c>
    </row>
    <row r="14" spans="2:13" x14ac:dyDescent="0.35">
      <c r="B14" s="92"/>
    </row>
    <row r="16" spans="2:13" x14ac:dyDescent="0.35">
      <c r="B16" s="64" t="s">
        <v>115</v>
      </c>
      <c r="C16" s="65">
        <v>0</v>
      </c>
      <c r="D16" s="65">
        <v>0.1</v>
      </c>
      <c r="E16" s="65">
        <v>0.2</v>
      </c>
      <c r="F16" s="65">
        <v>0.30000000000000004</v>
      </c>
      <c r="G16" s="65">
        <v>0.4</v>
      </c>
      <c r="H16" s="65">
        <v>0.5</v>
      </c>
      <c r="I16" s="65">
        <v>0.6</v>
      </c>
      <c r="J16" s="65">
        <v>0.7</v>
      </c>
      <c r="K16" s="65">
        <v>0.79999999999999993</v>
      </c>
      <c r="L16" s="65">
        <v>0.89999999999999991</v>
      </c>
      <c r="M16" s="65">
        <v>0.99999999999999989</v>
      </c>
    </row>
    <row r="17" spans="2:13" x14ac:dyDescent="0.35">
      <c r="B17" s="61" t="s">
        <v>130</v>
      </c>
      <c r="C17" s="67">
        <f>WACC!C16</f>
        <v>8.2500000000000004E-2</v>
      </c>
      <c r="D17" s="67">
        <f>WACC!D16</f>
        <v>7.7922600000000022E-2</v>
      </c>
      <c r="E17" s="67">
        <f>WACC!E16</f>
        <v>7.3976800000000009E-2</v>
      </c>
      <c r="F17" s="67">
        <f>WACC!F16</f>
        <v>7.1307199999999987E-2</v>
      </c>
      <c r="G17" s="67">
        <f>WACC!G16</f>
        <v>6.8847199999999997E-2</v>
      </c>
      <c r="H17" s="67">
        <f>WACC!H16</f>
        <v>6.8576500000000012E-2</v>
      </c>
      <c r="I17" s="67">
        <f>WACC!I16</f>
        <v>6.9340000000000013E-2</v>
      </c>
      <c r="J17" s="67">
        <f>WACC!J16</f>
        <v>7.156499999999999E-2</v>
      </c>
      <c r="K17" s="67">
        <f>WACC!K16</f>
        <v>7.3060000000000014E-2</v>
      </c>
      <c r="L17" s="67">
        <f>WACC!L16</f>
        <v>7.9385000000000011E-2</v>
      </c>
      <c r="M17" s="67">
        <f>WACC!M16</f>
        <v>9.1200000000000017E-2</v>
      </c>
    </row>
    <row r="18" spans="2:13" x14ac:dyDescent="0.35">
      <c r="B18" s="61" t="s">
        <v>149</v>
      </c>
      <c r="C18" s="67">
        <f>C3</f>
        <v>0.28479898334895787</v>
      </c>
      <c r="D18" s="67">
        <f>C18</f>
        <v>0.28479898334895787</v>
      </c>
      <c r="E18" s="67">
        <f t="shared" ref="E18:M18" si="0">D18</f>
        <v>0.28479898334895787</v>
      </c>
      <c r="F18" s="67">
        <f t="shared" si="0"/>
        <v>0.28479898334895787</v>
      </c>
      <c r="G18" s="67">
        <f t="shared" si="0"/>
        <v>0.28479898334895787</v>
      </c>
      <c r="H18" s="67">
        <f t="shared" si="0"/>
        <v>0.28479898334895787</v>
      </c>
      <c r="I18" s="67">
        <f t="shared" si="0"/>
        <v>0.28479898334895787</v>
      </c>
      <c r="J18" s="67">
        <f t="shared" si="0"/>
        <v>0.28479898334895787</v>
      </c>
      <c r="K18" s="67">
        <f t="shared" si="0"/>
        <v>0.28479898334895787</v>
      </c>
      <c r="L18" s="67">
        <f t="shared" si="0"/>
        <v>0.28479898334895787</v>
      </c>
      <c r="M18" s="67">
        <f t="shared" si="0"/>
        <v>0.28479898334895787</v>
      </c>
    </row>
    <row r="19" spans="2:13" x14ac:dyDescent="0.35">
      <c r="B19" s="61" t="s">
        <v>168</v>
      </c>
      <c r="C19" s="67">
        <f>C18-C17</f>
        <v>0.20229898334895785</v>
      </c>
      <c r="D19" s="67">
        <f t="shared" ref="D19:L19" si="1">D18-D17</f>
        <v>0.20687638334895786</v>
      </c>
      <c r="E19" s="67">
        <f t="shared" si="1"/>
        <v>0.21082218334895786</v>
      </c>
      <c r="F19" s="67">
        <f t="shared" si="1"/>
        <v>0.21349178334895788</v>
      </c>
      <c r="G19" s="67">
        <f t="shared" si="1"/>
        <v>0.21595178334895787</v>
      </c>
      <c r="H19" s="67">
        <f t="shared" si="1"/>
        <v>0.21622248334895786</v>
      </c>
      <c r="I19" s="67">
        <f t="shared" si="1"/>
        <v>0.21545898334895786</v>
      </c>
      <c r="J19" s="67">
        <f t="shared" si="1"/>
        <v>0.21323398334895788</v>
      </c>
      <c r="K19" s="67">
        <f t="shared" si="1"/>
        <v>0.21173898334895785</v>
      </c>
      <c r="L19" s="67">
        <f t="shared" si="1"/>
        <v>0.20541398334895786</v>
      </c>
      <c r="M19" s="67">
        <f>M18-M17</f>
        <v>0.19359898334895786</v>
      </c>
    </row>
    <row r="20" spans="2:13" x14ac:dyDescent="0.35">
      <c r="B20" s="62" t="s">
        <v>169</v>
      </c>
      <c r="C20" s="60">
        <f>C19*'CE SP FC'!$C$53</f>
        <v>374872.43531202438</v>
      </c>
      <c r="D20" s="60">
        <f>D19*'CE SP FC'!$C$53</f>
        <v>383354.6385193303</v>
      </c>
      <c r="E20" s="60">
        <f>E19*'CE SP FC'!$C$53</f>
        <v>390666.44815261289</v>
      </c>
      <c r="F20" s="60">
        <f>F19*'CE SP FC'!$C$53</f>
        <v>395613.38083977683</v>
      </c>
      <c r="G20" s="60">
        <f>G19*'CE SP FC'!$C$53</f>
        <v>400171.91185956373</v>
      </c>
      <c r="H20" s="60">
        <f>H19*'CE SP FC'!$C$53</f>
        <v>400673.53557787929</v>
      </c>
      <c r="I20" s="60">
        <f>I19*'CE SP FC'!$C$53</f>
        <v>399258.72320649418</v>
      </c>
      <c r="J20" s="60">
        <f>J19*'CE SP FC'!$C$53</f>
        <v>395135.66161339427</v>
      </c>
      <c r="K20" s="60">
        <f>K19*'CE SP FC'!$C$53</f>
        <v>392365.33483510913</v>
      </c>
      <c r="L20" s="60">
        <f>L19*'CE SP FC'!$C$53</f>
        <v>380644.72154236434</v>
      </c>
      <c r="M20" s="60">
        <f>M19*'CE SP FC'!$C$53</f>
        <v>358750.80121765606</v>
      </c>
    </row>
  </sheetData>
  <mergeCells count="4">
    <mergeCell ref="B2:C2"/>
    <mergeCell ref="B6:C6"/>
    <mergeCell ref="B10:C10"/>
    <mergeCell ref="I6:J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CE SP FC</vt:lpstr>
      <vt:lpstr>CAPEX e mutuo</vt:lpstr>
      <vt:lpstr>WACC</vt:lpstr>
      <vt:lpstr>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2023-10-11T08:07:02Z</dcterms:created>
  <dcterms:modified xsi:type="dcterms:W3CDTF">2023-10-13T11:53:49Z</dcterms:modified>
</cp:coreProperties>
</file>