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A3DB5B84-8085-4BF3-8806-702FAF55C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Description" sheetId="4" r:id="rId1"/>
    <sheet name="Calculations" sheetId="1" r:id="rId2"/>
    <sheet name="Sensitivity Analysis" sheetId="6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L26" i="1"/>
  <c r="D16" i="1"/>
  <c r="E17" i="1"/>
  <c r="F17" i="1" s="1"/>
  <c r="E19" i="1"/>
  <c r="F19" i="1"/>
  <c r="G19" i="1"/>
  <c r="H19" i="1"/>
  <c r="I19" i="1" s="1"/>
  <c r="J19" i="1" s="1"/>
  <c r="K19" i="1" s="1"/>
  <c r="L19" i="1" s="1"/>
  <c r="E20" i="1"/>
  <c r="F20" i="1" s="1"/>
  <c r="G20" i="1" s="1"/>
  <c r="H20" i="1" s="1"/>
  <c r="I20" i="1" s="1"/>
  <c r="J20" i="1" s="1"/>
  <c r="K20" i="1" s="1"/>
  <c r="L20" i="1" s="1"/>
  <c r="D17" i="1"/>
  <c r="D18" i="1"/>
  <c r="E18" i="1" s="1"/>
  <c r="D19" i="1"/>
  <c r="D20" i="1"/>
  <c r="C16" i="1"/>
  <c r="D12" i="1"/>
  <c r="D13" i="1"/>
  <c r="E13" i="1" s="1"/>
  <c r="F13" i="1" s="1"/>
  <c r="G13" i="1" s="1"/>
  <c r="H13" i="1" s="1"/>
  <c r="I13" i="1" s="1"/>
  <c r="J13" i="1" s="1"/>
  <c r="K13" i="1" s="1"/>
  <c r="L13" i="1" s="1"/>
  <c r="D14" i="1"/>
  <c r="E14" i="1" s="1"/>
  <c r="F14" i="1" s="1"/>
  <c r="G14" i="1" s="1"/>
  <c r="H14" i="1" s="1"/>
  <c r="I14" i="1" s="1"/>
  <c r="J14" i="1" s="1"/>
  <c r="K14" i="1" s="1"/>
  <c r="L14" i="1" s="1"/>
  <c r="C11" i="1"/>
  <c r="F18" i="1" l="1"/>
  <c r="G18" i="1" s="1"/>
  <c r="H18" i="1" s="1"/>
  <c r="I18" i="1" s="1"/>
  <c r="J18" i="1" s="1"/>
  <c r="K18" i="1" s="1"/>
  <c r="L18" i="1" s="1"/>
  <c r="E16" i="1"/>
  <c r="G17" i="1"/>
  <c r="F16" i="1"/>
  <c r="D11" i="1"/>
  <c r="E12" i="1"/>
  <c r="G5" i="6"/>
  <c r="K5" i="6"/>
  <c r="J5" i="6"/>
  <c r="I5" i="6"/>
  <c r="H5" i="6"/>
  <c r="F5" i="6"/>
  <c r="E5" i="6"/>
  <c r="D5" i="6"/>
  <c r="C5" i="6"/>
  <c r="K2" i="6"/>
  <c r="J2" i="6"/>
  <c r="I2" i="6"/>
  <c r="H2" i="6"/>
  <c r="F2" i="6"/>
  <c r="E2" i="6"/>
  <c r="C2" i="6"/>
  <c r="H17" i="1" l="1"/>
  <c r="G16" i="1"/>
  <c r="F12" i="1"/>
  <c r="E11" i="1"/>
  <c r="D10" i="1"/>
  <c r="E10" i="1" s="1"/>
  <c r="F10" i="1" s="1"/>
  <c r="G10" i="1" s="1"/>
  <c r="H10" i="1" s="1"/>
  <c r="I10" i="1" s="1"/>
  <c r="J10" i="1" s="1"/>
  <c r="K10" i="1" s="1"/>
  <c r="L10" i="1" s="1"/>
  <c r="C15" i="1"/>
  <c r="D15" i="1"/>
  <c r="D21" i="1" s="1"/>
  <c r="E15" i="1"/>
  <c r="F15" i="1"/>
  <c r="G15" i="1"/>
  <c r="H15" i="1"/>
  <c r="I15" i="1"/>
  <c r="J15" i="1"/>
  <c r="K15" i="1"/>
  <c r="L15" i="1"/>
  <c r="C21" i="1" l="1"/>
  <c r="C22" i="1" s="1"/>
  <c r="E21" i="1"/>
  <c r="I17" i="1"/>
  <c r="H16" i="1"/>
  <c r="F11" i="1"/>
  <c r="F21" i="1" s="1"/>
  <c r="G12" i="1"/>
  <c r="D22" i="1"/>
  <c r="B5" i="2"/>
  <c r="B7" i="2" s="1"/>
  <c r="J17" i="1" l="1"/>
  <c r="I16" i="1"/>
  <c r="H12" i="1"/>
  <c r="G11" i="1"/>
  <c r="G21" i="1" s="1"/>
  <c r="E22" i="1"/>
  <c r="B5" i="1"/>
  <c r="B24" i="1"/>
  <c r="B27" i="1" s="1"/>
  <c r="K17" i="1" l="1"/>
  <c r="J16" i="1"/>
  <c r="I12" i="1"/>
  <c r="H11" i="1"/>
  <c r="H21" i="1" s="1"/>
  <c r="F22" i="1"/>
  <c r="B29" i="1"/>
  <c r="B34" i="1" s="1"/>
  <c r="B33" i="1"/>
  <c r="L17" i="1" l="1"/>
  <c r="L16" i="1" s="1"/>
  <c r="K16" i="1"/>
  <c r="J12" i="1"/>
  <c r="I11" i="1"/>
  <c r="I21" i="1" s="1"/>
  <c r="G22" i="1"/>
  <c r="G23" i="1" s="1"/>
  <c r="G25" i="1" s="1"/>
  <c r="G27" i="1" s="1"/>
  <c r="G29" i="1" s="1"/>
  <c r="C23" i="1"/>
  <c r="C25" i="1" s="1"/>
  <c r="C27" i="1" s="1"/>
  <c r="D23" i="1"/>
  <c r="D25" i="1" s="1"/>
  <c r="D27" i="1" s="1"/>
  <c r="D29" i="1" s="1"/>
  <c r="E23" i="1"/>
  <c r="E25" i="1" s="1"/>
  <c r="E27" i="1" s="1"/>
  <c r="E29" i="1" s="1"/>
  <c r="F23" i="1"/>
  <c r="F25" i="1" s="1"/>
  <c r="F27" i="1" s="1"/>
  <c r="F29" i="1" s="1"/>
  <c r="K12" i="1" l="1"/>
  <c r="J11" i="1"/>
  <c r="J21" i="1" s="1"/>
  <c r="H22" i="1"/>
  <c r="H23" i="1" s="1"/>
  <c r="H25" i="1" s="1"/>
  <c r="H27" i="1" s="1"/>
  <c r="H29" i="1" s="1"/>
  <c r="C29" i="1"/>
  <c r="C33" i="1"/>
  <c r="D33" i="1" s="1"/>
  <c r="E33" i="1" s="1"/>
  <c r="F33" i="1" s="1"/>
  <c r="G33" i="1" s="1"/>
  <c r="L12" i="1" l="1"/>
  <c r="L11" i="1" s="1"/>
  <c r="L21" i="1" s="1"/>
  <c r="K11" i="1"/>
  <c r="K21" i="1" s="1"/>
  <c r="H33" i="1"/>
  <c r="I22" i="1"/>
  <c r="I23" i="1" s="1"/>
  <c r="I25" i="1" s="1"/>
  <c r="I27" i="1" s="1"/>
  <c r="I29" i="1" s="1"/>
  <c r="C34" i="1"/>
  <c r="D34" i="1" s="1"/>
  <c r="E34" i="1" s="1"/>
  <c r="F34" i="1" s="1"/>
  <c r="G34" i="1" s="1"/>
  <c r="H34" i="1" s="1"/>
  <c r="I34" i="1" l="1"/>
  <c r="J22" i="1"/>
  <c r="J23" i="1" s="1"/>
  <c r="J25" i="1" s="1"/>
  <c r="J27" i="1" s="1"/>
  <c r="I33" i="1"/>
  <c r="J33" i="1" l="1"/>
  <c r="B35" i="1"/>
  <c r="J29" i="1"/>
  <c r="B36" i="1" s="1"/>
  <c r="L22" i="1"/>
  <c r="L23" i="1" s="1"/>
  <c r="L25" i="1" s="1"/>
  <c r="L27" i="1" s="1"/>
  <c r="L29" i="1" s="1"/>
  <c r="K22" i="1"/>
  <c r="K23" i="1" s="1"/>
  <c r="K25" i="1" s="1"/>
  <c r="K27" i="1" s="1"/>
  <c r="K29" i="1" s="1"/>
  <c r="B31" i="1" l="1"/>
  <c r="B38" i="1"/>
  <c r="B30" i="1"/>
  <c r="J34" i="1"/>
  <c r="K33" i="1"/>
  <c r="L33" i="1" s="1"/>
  <c r="K34" i="1" l="1"/>
  <c r="L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Individual Project Part 4</t>
        </r>
      </text>
    </comment>
  </commentList>
</comments>
</file>

<file path=xl/sharedStrings.xml><?xml version="1.0" encoding="utf-8"?>
<sst xmlns="http://schemas.openxmlformats.org/spreadsheetml/2006/main" count="55" uniqueCount="49">
  <si>
    <t>Years</t>
  </si>
  <si>
    <t>Sales Growth Rate</t>
  </si>
  <si>
    <t>COGS Growth Rate</t>
  </si>
  <si>
    <t>Sales/Revenue</t>
  </si>
  <si>
    <t>Sale of Equipment</t>
  </si>
  <si>
    <t>Purchase Equipment</t>
  </si>
  <si>
    <t>Labor Training Expenses</t>
  </si>
  <si>
    <t>Depreciation</t>
  </si>
  <si>
    <t>Cost of Goods Sold (COGS):</t>
  </si>
  <si>
    <t>OPEX Growth Rate</t>
  </si>
  <si>
    <t>Pretax income</t>
  </si>
  <si>
    <t xml:space="preserve">Income tax </t>
  </si>
  <si>
    <t>Initial outlay</t>
  </si>
  <si>
    <t>After-tax CF</t>
  </si>
  <si>
    <t>Terminal year CF</t>
  </si>
  <si>
    <t>CF</t>
  </si>
  <si>
    <t>Tax Rate</t>
  </si>
  <si>
    <t>DCF</t>
  </si>
  <si>
    <t>Cost of Equity</t>
  </si>
  <si>
    <t>Cost of Debt</t>
  </si>
  <si>
    <t>Debt</t>
  </si>
  <si>
    <t>Equity</t>
  </si>
  <si>
    <t>WACC</t>
  </si>
  <si>
    <t>NPV</t>
  </si>
  <si>
    <t>IRR</t>
  </si>
  <si>
    <t>Acc CF</t>
  </si>
  <si>
    <t>Acc DCF</t>
  </si>
  <si>
    <t>PP</t>
  </si>
  <si>
    <t>DPP</t>
  </si>
  <si>
    <t>PI</t>
  </si>
  <si>
    <t>Total Costs</t>
  </si>
  <si>
    <t>+5%</t>
  </si>
  <si>
    <t>+10%</t>
  </si>
  <si>
    <t>+15%</t>
  </si>
  <si>
    <t>+20%</t>
  </si>
  <si>
    <t>-5%</t>
  </si>
  <si>
    <t>-10%</t>
  </si>
  <si>
    <t>-15%</t>
  </si>
  <si>
    <t>-20%</t>
  </si>
  <si>
    <t>0%</t>
  </si>
  <si>
    <t>Direct Labor Cost</t>
  </si>
  <si>
    <t>Other Costs</t>
  </si>
  <si>
    <t>Operating Expenses:</t>
  </si>
  <si>
    <t>Repairs and Maintenance</t>
  </si>
  <si>
    <t>Other Employ Salaries</t>
  </si>
  <si>
    <t>Utilities</t>
  </si>
  <si>
    <t>Other Operating Expenses</t>
  </si>
  <si>
    <t>Material</t>
  </si>
  <si>
    <t>Debt +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</si>
</sst>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13" x14ac:knownFonts="1"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b/>
      <sz val="11"/>
      <color theme="1"/>
      <name val="Sylfaen"/>
      <family val="2"/>
      <scheme val="minor"/>
    </font>
    <font>
      <b/>
      <sz val="11"/>
      <color theme="1"/>
      <name val="Sylfaen"/>
      <family val="2"/>
      <charset val="204"/>
      <scheme val="minor"/>
    </font>
    <font>
      <sz val="12"/>
      <color theme="1"/>
      <name val="Sylfaen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45923D"/>
      <name val="Arial"/>
      <family val="2"/>
    </font>
    <font>
      <b/>
      <sz val="11"/>
      <color rgb="FF00B050"/>
      <name val="Sylfaen"/>
      <family val="2"/>
      <scheme val="minor"/>
    </font>
    <font>
      <b/>
      <sz val="11"/>
      <color rgb="FFFF0000"/>
      <name val="Sylfaen"/>
      <family val="2"/>
      <scheme val="minor"/>
    </font>
    <font>
      <b/>
      <i/>
      <sz val="11"/>
      <color theme="2" tint="-0.749992370372631"/>
      <name val="Sylfaen"/>
      <family val="2"/>
      <scheme val="minor"/>
    </font>
    <font>
      <b/>
      <sz val="12"/>
      <color theme="1"/>
      <name val="Sylfaen"/>
      <family val="2"/>
      <scheme val="minor"/>
    </font>
    <font>
      <b/>
      <sz val="12"/>
      <color rgb="FFFF0000"/>
      <name val="Sylfae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10" fontId="0" fillId="0" borderId="0" xfId="0" applyNumberFormat="1"/>
    <xf numFmtId="1" fontId="0" fillId="0" borderId="0" xfId="0" applyNumberFormat="1"/>
    <xf numFmtId="165" fontId="2" fillId="2" borderId="0" xfId="1" applyNumberFormat="1" applyFont="1" applyFill="1"/>
    <xf numFmtId="0" fontId="2" fillId="2" borderId="4" xfId="0" applyFont="1" applyFill="1" applyBorder="1"/>
    <xf numFmtId="0" fontId="0" fillId="0" borderId="2" xfId="0" applyBorder="1" applyAlignment="1">
      <alignment horizontal="center"/>
    </xf>
    <xf numFmtId="0" fontId="8" fillId="0" borderId="0" xfId="0" applyFont="1"/>
    <xf numFmtId="10" fontId="7" fillId="2" borderId="5" xfId="0" applyNumberFormat="1" applyFont="1" applyFill="1" applyBorder="1"/>
    <xf numFmtId="10" fontId="7" fillId="2" borderId="6" xfId="0" applyNumberFormat="1" applyFont="1" applyFill="1" applyBorder="1"/>
    <xf numFmtId="164" fontId="7" fillId="2" borderId="6" xfId="0" applyNumberFormat="1" applyFont="1" applyFill="1" applyBorder="1"/>
    <xf numFmtId="3" fontId="4" fillId="0" borderId="0" xfId="0" applyNumberFormat="1" applyFont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3" fontId="0" fillId="0" borderId="2" xfId="0" applyNumberFormat="1" applyBorder="1"/>
    <xf numFmtId="37" fontId="0" fillId="0" borderId="0" xfId="0" applyNumberFormat="1"/>
    <xf numFmtId="37" fontId="0" fillId="0" borderId="3" xfId="0" applyNumberFormat="1" applyBorder="1"/>
    <xf numFmtId="37" fontId="4" fillId="0" borderId="3" xfId="0" applyNumberFormat="1" applyFont="1" applyBorder="1" applyAlignment="1">
      <alignment vertical="center" wrapText="1"/>
    </xf>
    <xf numFmtId="37" fontId="0" fillId="0" borderId="1" xfId="0" applyNumberFormat="1" applyBorder="1"/>
    <xf numFmtId="0" fontId="3" fillId="0" borderId="7" xfId="0" applyFont="1" applyBorder="1" applyAlignment="1">
      <alignment horizontal="left" wrapText="1"/>
    </xf>
    <xf numFmtId="0" fontId="0" fillId="0" borderId="7" xfId="0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9" fontId="0" fillId="0" borderId="0" xfId="0" quotePrefix="1" applyNumberFormat="1" applyAlignment="1">
      <alignment horizontal="center"/>
    </xf>
    <xf numFmtId="10" fontId="0" fillId="0" borderId="0" xfId="1" applyNumberFormat="1" applyFont="1"/>
    <xf numFmtId="0" fontId="2" fillId="0" borderId="7" xfId="0" applyFont="1" applyBorder="1"/>
    <xf numFmtId="39" fontId="0" fillId="0" borderId="7" xfId="0" applyNumberFormat="1" applyBorder="1"/>
    <xf numFmtId="0" fontId="8" fillId="0" borderId="3" xfId="0" applyFont="1" applyBorder="1"/>
    <xf numFmtId="10" fontId="0" fillId="0" borderId="3" xfId="1" applyNumberFormat="1" applyFont="1" applyBorder="1"/>
    <xf numFmtId="10" fontId="7" fillId="2" borderId="8" xfId="0" applyNumberFormat="1" applyFont="1" applyFill="1" applyBorder="1"/>
    <xf numFmtId="0" fontId="0" fillId="0" borderId="9" xfId="0" applyBorder="1"/>
    <xf numFmtId="0" fontId="10" fillId="0" borderId="0" xfId="0" applyFont="1" applyAlignment="1">
      <alignment horizontal="right"/>
    </xf>
    <xf numFmtId="3" fontId="11" fillId="0" borderId="0" xfId="0" applyNumberFormat="1" applyFont="1" applyAlignment="1">
      <alignment vertical="center" wrapText="1"/>
    </xf>
    <xf numFmtId="3" fontId="12" fillId="0" borderId="2" xfId="0" applyNumberFormat="1" applyFont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37" fontId="2" fillId="0" borderId="2" xfId="0" applyNumberFormat="1" applyFont="1" applyBorder="1"/>
    <xf numFmtId="37" fontId="2" fillId="0" borderId="0" xfId="0" applyNumberFormat="1" applyFont="1"/>
    <xf numFmtId="2" fontId="2" fillId="2" borderId="7" xfId="0" applyNumberFormat="1" applyFont="1" applyFill="1" applyBorder="1"/>
    <xf numFmtId="2" fontId="2" fillId="2" borderId="0" xfId="0" applyNumberFormat="1" applyFont="1" applyFill="1"/>
    <xf numFmtId="37" fontId="2" fillId="2" borderId="0" xfId="0" applyNumberFormat="1" applyFont="1" applyFill="1"/>
    <xf numFmtId="10" fontId="2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Analysis'!$C$2:$K$2</c:f>
              <c:numCache>
                <c:formatCode>0.00%</c:formatCode>
                <c:ptCount val="9"/>
                <c:pt idx="0">
                  <c:v>5.7200000000000001E-2</c:v>
                </c:pt>
                <c:pt idx="1">
                  <c:v>6.0774999999999996E-2</c:v>
                </c:pt>
                <c:pt idx="2">
                  <c:v>6.4349999999999991E-2</c:v>
                </c:pt>
                <c:pt idx="3">
                  <c:v>6.7924999999999985E-2</c:v>
                </c:pt>
                <c:pt idx="4">
                  <c:v>7.1499999999999994E-2</c:v>
                </c:pt>
                <c:pt idx="5">
                  <c:v>7.5075000000000003E-2</c:v>
                </c:pt>
                <c:pt idx="6">
                  <c:v>7.8649999999999998E-2</c:v>
                </c:pt>
                <c:pt idx="7">
                  <c:v>8.2224999999999993E-2</c:v>
                </c:pt>
                <c:pt idx="8">
                  <c:v>8.5799999999999987E-2</c:v>
                </c:pt>
              </c:numCache>
            </c:numRef>
          </c:xVal>
          <c:yVal>
            <c:numRef>
              <c:f>'Sensitivity Analysis'!$C$3:$K$3</c:f>
              <c:numCache>
                <c:formatCode>#,##0.00_);\(#,##0.00\)</c:formatCode>
                <c:ptCount val="9"/>
                <c:pt idx="0">
                  <c:v>652923305.29538572</c:v>
                </c:pt>
                <c:pt idx="1">
                  <c:v>1022984154.7705286</c:v>
                </c:pt>
                <c:pt idx="2">
                  <c:v>1399963270.1034374</c:v>
                </c:pt>
                <c:pt idx="3">
                  <c:v>1783986315.6383028</c:v>
                </c:pt>
                <c:pt idx="4">
                  <c:v>2175181025.6120849</c:v>
                </c:pt>
                <c:pt idx="5">
                  <c:v>2573677233.5698428</c:v>
                </c:pt>
                <c:pt idx="6">
                  <c:v>2979606902.1218538</c:v>
                </c:pt>
                <c:pt idx="7">
                  <c:v>3393104153.0462675</c:v>
                </c:pt>
                <c:pt idx="8">
                  <c:v>3814305297.7400246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D-46BC-97B5-F41B0D54A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848048"/>
        <c:axId val="1767848464"/>
      </c:scatterChart>
      <c:valAx>
        <c:axId val="1767848048"/>
        <c:scaling>
          <c:orientation val="minMax"/>
          <c:max val="9.0000000000000024E-2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00B050"/>
                    </a:solidFill>
                  </a:rPr>
                  <a:t>Change in Sales</a:t>
                </a:r>
                <a:r>
                  <a:rPr lang="en-US" sz="1100" b="1" baseline="0">
                    <a:solidFill>
                      <a:srgbClr val="00B050"/>
                    </a:solidFill>
                  </a:rPr>
                  <a:t> Growth Rate</a:t>
                </a:r>
                <a:endParaRPr lang="en-US" sz="1100" b="1">
                  <a:solidFill>
                    <a:srgbClr val="00B05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2951640419947507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a-G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a-GE"/>
          </a:p>
        </c:txPr>
        <c:crossAx val="1767848464"/>
        <c:crosses val="autoZero"/>
        <c:crossBetween val="midCat"/>
      </c:valAx>
      <c:valAx>
        <c:axId val="17678484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00B050"/>
                    </a:solidFill>
                  </a:rPr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a-GE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a-GE"/>
          </a:p>
        </c:txPr>
        <c:crossAx val="176784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a-G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Analysis'!$C$5:$K$5</c:f>
              <c:numCache>
                <c:formatCode>0.00%</c:formatCode>
                <c:ptCount val="9"/>
                <c:pt idx="0">
                  <c:v>6.3600000000000004E-2</c:v>
                </c:pt>
                <c:pt idx="1">
                  <c:v>6.7574999999999996E-2</c:v>
                </c:pt>
                <c:pt idx="2">
                  <c:v>7.1550000000000002E-2</c:v>
                </c:pt>
                <c:pt idx="3">
                  <c:v>7.5524999999999995E-2</c:v>
                </c:pt>
                <c:pt idx="4">
                  <c:v>7.9500000000000001E-2</c:v>
                </c:pt>
                <c:pt idx="5">
                  <c:v>8.3475000000000008E-2</c:v>
                </c:pt>
                <c:pt idx="6">
                  <c:v>8.7450000000000014E-2</c:v>
                </c:pt>
                <c:pt idx="7">
                  <c:v>9.1424999999999992E-2</c:v>
                </c:pt>
                <c:pt idx="8">
                  <c:v>9.5399999999999999E-2</c:v>
                </c:pt>
              </c:numCache>
            </c:numRef>
          </c:xVal>
          <c:yVal>
            <c:numRef>
              <c:f>'Sensitivity Analysis'!$C$6:$K$6</c:f>
              <c:numCache>
                <c:formatCode>#,##0.00_);\(#,##0.00\)</c:formatCode>
                <c:ptCount val="9"/>
                <c:pt idx="0">
                  <c:v>2781019999.36514</c:v>
                </c:pt>
                <c:pt idx="1">
                  <c:v>2634200021.83043</c:v>
                </c:pt>
                <c:pt idx="2">
                  <c:v>2484328054.3917294</c:v>
                </c:pt>
                <c:pt idx="3">
                  <c:v>2331342596.5858545</c:v>
                </c:pt>
                <c:pt idx="4">
                  <c:v>2175181025.6120849</c:v>
                </c:pt>
                <c:pt idx="5">
                  <c:v>2015779578.6773233</c:v>
                </c:pt>
                <c:pt idx="6">
                  <c:v>1853073335.1141427</c:v>
                </c:pt>
                <c:pt idx="7">
                  <c:v>1686996198.2692952</c:v>
                </c:pt>
                <c:pt idx="8">
                  <c:v>1517480877.1606197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44-446E-BBC6-561D1F8A6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848048"/>
        <c:axId val="1767848464"/>
      </c:scatterChart>
      <c:valAx>
        <c:axId val="1767848048"/>
        <c:scaling>
          <c:orientation val="minMax"/>
          <c:min val="6.0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00B050"/>
                    </a:solidFill>
                  </a:rPr>
                  <a:t>Change in COGS</a:t>
                </a:r>
                <a:r>
                  <a:rPr lang="en-US" sz="1100" b="1" baseline="0">
                    <a:solidFill>
                      <a:srgbClr val="00B050"/>
                    </a:solidFill>
                  </a:rPr>
                  <a:t> Growth Rate</a:t>
                </a:r>
                <a:endParaRPr lang="en-US" sz="1100" b="1">
                  <a:solidFill>
                    <a:srgbClr val="00B05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2951640419947507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a-G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a-GE"/>
          </a:p>
        </c:txPr>
        <c:crossAx val="1767848464"/>
        <c:crosses val="autoZero"/>
        <c:crossBetween val="midCat"/>
      </c:valAx>
      <c:valAx>
        <c:axId val="1767848464"/>
        <c:scaling>
          <c:orientation val="minMax"/>
          <c:min val="14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00B050"/>
                    </a:solidFill>
                  </a:rPr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a-GE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a-GE"/>
          </a:p>
        </c:txPr>
        <c:crossAx val="176784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a-G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3" y="0"/>
          <a:ext cx="7305677" cy="26670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Volkswagen R&amp;D</a:t>
          </a:r>
          <a:r>
            <a:rPr lang="en-US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team developed</a:t>
          </a:r>
          <a:r>
            <a:rPr lang="en-US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new manufacturing technology and plans</a:t>
          </a:r>
          <a:r>
            <a:rPr lang="en-US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to implement it</a:t>
          </a:r>
          <a:r>
            <a:rPr lang="en-US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 Wolfsburg production plant.</a:t>
          </a:r>
          <a:r>
            <a:rPr lang="en-US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Necessary equipment for implementing the new technology </a:t>
          </a:r>
          <a:r>
            <a:rPr lang="en-US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will cost</a:t>
          </a:r>
          <a:r>
            <a:rPr lang="en-US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€ 5.5B</a:t>
          </a:r>
          <a:r>
            <a:rPr lang="en-US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Equipment has usuful life of 10 years and after depreciating</a:t>
          </a:r>
          <a:r>
            <a:rPr lang="en-US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(using straight line depreciation method)</a:t>
          </a:r>
          <a:r>
            <a:rPr lang="en-US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it will have residual value</a:t>
          </a:r>
          <a:r>
            <a:rPr lang="en-US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of € 250M. </a:t>
          </a:r>
          <a:r>
            <a:rPr lang="en-US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Cost of training workers to use these machinery will be </a:t>
          </a:r>
          <a:r>
            <a:rPr lang="en-US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€ </a:t>
          </a:r>
          <a:r>
            <a:rPr lang="en-US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14M. Sales</a:t>
          </a:r>
          <a:r>
            <a:rPr lang="en-US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revenue will be € 2.9B in first year and increase with the rate of 7.15% each year for 10 years. Cost of Goods Sold (material, labor and other direct costs of producing VW cars) will be € 1B in first year and increase by 7.95% each year. Other operating expenses (repairs&amp;maintenance, employee salaries, utilities, others) amount to € 575M in first year and increases by 7.35% each year. Income tax rate is 30%, and required rate of return 2.53%. More detailed description of cash flows and calculations are shown on other sheets.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38</xdr:row>
      <xdr:rowOff>23811</xdr:rowOff>
    </xdr:from>
    <xdr:to>
      <xdr:col>5</xdr:col>
      <xdr:colOff>14287</xdr:colOff>
      <xdr:row>42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906" y="7381344"/>
          <a:ext cx="6013714" cy="907523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As we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can see NPV is </a:t>
          </a:r>
          <a:r>
            <a:rPr lang="en-US" sz="120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positive (€ 2,175,181,026), 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IRR (8.51%) is more than the Required Rate of Return (2.53%), Discounted Payback Period exists and equals 7.85, and Profitability index (1.39) is more than 1. Thus, the project adds value and the company should accept it. 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6</xdr:row>
      <xdr:rowOff>200024</xdr:rowOff>
    </xdr:from>
    <xdr:to>
      <xdr:col>4</xdr:col>
      <xdr:colOff>723899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800099</xdr:colOff>
      <xdr:row>7</xdr:row>
      <xdr:rowOff>9525</xdr:rowOff>
    </xdr:from>
    <xdr:to>
      <xdr:col>8</xdr:col>
      <xdr:colOff>981074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9526</xdr:colOff>
      <xdr:row>7</xdr:row>
      <xdr:rowOff>9525</xdr:rowOff>
    </xdr:from>
    <xdr:to>
      <xdr:col>11</xdr:col>
      <xdr:colOff>0</xdr:colOff>
      <xdr:row>16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443086" y="1320165"/>
          <a:ext cx="2200274" cy="164401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After</a:t>
          </a:r>
          <a:r>
            <a:rPr lang="en-US" sz="1100" baseline="0"/>
            <a:t> varying Sales growth rate and COGS growth rate between  +-20% we observe that NPV remains positive. Also, it seems that NPV is a little more sensitive with the change of Sales growth rate than with the change of COGS growth rate.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5" sqref="A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zoomScale="90" zoomScaleNormal="90" workbookViewId="0">
      <selection activeCell="C48" sqref="C48"/>
    </sheetView>
  </sheetViews>
  <sheetFormatPr defaultColWidth="9.109375" defaultRowHeight="14.4" x14ac:dyDescent="0.3"/>
  <cols>
    <col min="1" max="1" width="23.88671875" customWidth="1"/>
    <col min="2" max="2" width="16.33203125" bestFit="1" customWidth="1"/>
    <col min="3" max="12" width="15.77734375" bestFit="1" customWidth="1"/>
  </cols>
  <sheetData>
    <row r="1" spans="1:12" x14ac:dyDescent="0.3">
      <c r="A1" s="13" t="s">
        <v>1</v>
      </c>
      <c r="B1" s="14">
        <v>7.1499999999999994E-2</v>
      </c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3">
      <c r="A2" s="13" t="s">
        <v>2</v>
      </c>
      <c r="B2" s="15">
        <v>7.9500000000000001E-2</v>
      </c>
    </row>
    <row r="3" spans="1:12" x14ac:dyDescent="0.3">
      <c r="A3" s="13" t="s">
        <v>9</v>
      </c>
      <c r="B3" s="15">
        <v>7.3499999999999996E-2</v>
      </c>
    </row>
    <row r="4" spans="1:12" x14ac:dyDescent="0.3">
      <c r="A4" s="13" t="s">
        <v>16</v>
      </c>
      <c r="B4" s="16">
        <v>0.3</v>
      </c>
    </row>
    <row r="5" spans="1:12" x14ac:dyDescent="0.3">
      <c r="A5" s="13" t="s">
        <v>22</v>
      </c>
      <c r="B5" s="15">
        <f>WACC!B7</f>
        <v>2.5296527390291135E-2</v>
      </c>
    </row>
    <row r="6" spans="1:12" x14ac:dyDescent="0.3">
      <c r="A6" s="5" t="s">
        <v>0</v>
      </c>
      <c r="B6" s="12">
        <v>0</v>
      </c>
      <c r="C6" s="12">
        <v>1</v>
      </c>
      <c r="D6" s="12">
        <v>2</v>
      </c>
      <c r="E6" s="12">
        <v>3</v>
      </c>
      <c r="F6" s="12">
        <v>4</v>
      </c>
      <c r="G6" s="12">
        <v>5</v>
      </c>
      <c r="H6" s="12">
        <v>6</v>
      </c>
      <c r="I6" s="12">
        <v>7</v>
      </c>
      <c r="J6" s="12">
        <v>8</v>
      </c>
      <c r="K6" s="12">
        <v>9</v>
      </c>
      <c r="L6" s="12">
        <v>10</v>
      </c>
    </row>
    <row r="7" spans="1:12" ht="16.2" x14ac:dyDescent="0.3">
      <c r="A7" s="2" t="s">
        <v>5</v>
      </c>
      <c r="B7" s="39">
        <v>5500000000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6.2" x14ac:dyDescent="0.3">
      <c r="A8" s="3" t="s">
        <v>6</v>
      </c>
      <c r="B8" s="39">
        <v>14000000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16.2" x14ac:dyDescent="0.3">
      <c r="A9" s="4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41">
        <v>250000000</v>
      </c>
    </row>
    <row r="10" spans="1:12" ht="16.2" x14ac:dyDescent="0.3">
      <c r="A10" s="26" t="s">
        <v>3</v>
      </c>
      <c r="B10" s="19"/>
      <c r="C10" s="40">
        <v>2900000000</v>
      </c>
      <c r="D10" s="40">
        <f t="shared" ref="D10:L10" si="0">C10*(1+$B$1)</f>
        <v>3107349999.9999995</v>
      </c>
      <c r="E10" s="40">
        <f t="shared" si="0"/>
        <v>3329525524.999999</v>
      </c>
      <c r="F10" s="40">
        <f t="shared" si="0"/>
        <v>3567586600.0374985</v>
      </c>
      <c r="G10" s="40">
        <f t="shared" si="0"/>
        <v>3822669041.9401793</v>
      </c>
      <c r="H10" s="40">
        <f t="shared" si="0"/>
        <v>4095989878.4389019</v>
      </c>
      <c r="I10" s="40">
        <f t="shared" si="0"/>
        <v>4388853154.747283</v>
      </c>
      <c r="J10" s="40">
        <f t="shared" si="0"/>
        <v>4702656155.3117132</v>
      </c>
      <c r="K10" s="40">
        <f t="shared" si="0"/>
        <v>5038896070.4165001</v>
      </c>
      <c r="L10" s="40">
        <f t="shared" si="0"/>
        <v>5399177139.4512796</v>
      </c>
    </row>
    <row r="11" spans="1:12" ht="16.2" x14ac:dyDescent="0.3">
      <c r="A11" s="3" t="s">
        <v>8</v>
      </c>
      <c r="B11" s="17"/>
      <c r="C11" s="39">
        <f t="shared" ref="C11:L11" si="1">SUM(C12:C14)</f>
        <v>1000000000</v>
      </c>
      <c r="D11" s="39">
        <f t="shared" si="1"/>
        <v>1079500000</v>
      </c>
      <c r="E11" s="39">
        <f t="shared" si="1"/>
        <v>1165320249.9999998</v>
      </c>
      <c r="F11" s="39">
        <f t="shared" si="1"/>
        <v>1257963209.8749998</v>
      </c>
      <c r="G11" s="39">
        <f t="shared" si="1"/>
        <v>1357971285.0600622</v>
      </c>
      <c r="H11" s="39">
        <f t="shared" si="1"/>
        <v>1465930002.2223368</v>
      </c>
      <c r="I11" s="39">
        <f t="shared" si="1"/>
        <v>1582471437.3990126</v>
      </c>
      <c r="J11" s="39">
        <f t="shared" si="1"/>
        <v>1708277916.6722336</v>
      </c>
      <c r="K11" s="39">
        <f t="shared" si="1"/>
        <v>1844086011.0476763</v>
      </c>
      <c r="L11" s="39">
        <f t="shared" si="1"/>
        <v>1990690848.9259663</v>
      </c>
    </row>
    <row r="12" spans="1:12" ht="16.2" x14ac:dyDescent="0.3">
      <c r="A12" s="38" t="s">
        <v>47</v>
      </c>
      <c r="B12" s="17"/>
      <c r="C12" s="17">
        <v>600000000</v>
      </c>
      <c r="D12" s="17">
        <f t="shared" ref="D12:L14" si="2">C12*(1+$B$2)</f>
        <v>647700000</v>
      </c>
      <c r="E12" s="17">
        <f t="shared" si="2"/>
        <v>699192149.99999988</v>
      </c>
      <c r="F12" s="17">
        <f t="shared" si="2"/>
        <v>754777925.92499983</v>
      </c>
      <c r="G12" s="17">
        <f t="shared" si="2"/>
        <v>814782771.03603721</v>
      </c>
      <c r="H12" s="17">
        <f t="shared" si="2"/>
        <v>879558001.33340204</v>
      </c>
      <c r="I12" s="17">
        <f t="shared" si="2"/>
        <v>949482862.43940747</v>
      </c>
      <c r="J12" s="17">
        <f t="shared" si="2"/>
        <v>1024966750.0033402</v>
      </c>
      <c r="K12" s="17">
        <f t="shared" si="2"/>
        <v>1106451606.6286056</v>
      </c>
      <c r="L12" s="17">
        <f t="shared" si="2"/>
        <v>1194414509.3555796</v>
      </c>
    </row>
    <row r="13" spans="1:12" ht="16.2" x14ac:dyDescent="0.3">
      <c r="A13" s="38" t="s">
        <v>40</v>
      </c>
      <c r="B13" s="17"/>
      <c r="C13" s="17">
        <v>250000000</v>
      </c>
      <c r="D13" s="17">
        <f t="shared" si="2"/>
        <v>269875000</v>
      </c>
      <c r="E13" s="17">
        <f t="shared" si="2"/>
        <v>291330062.5</v>
      </c>
      <c r="F13" s="17">
        <f t="shared" si="2"/>
        <v>314490802.46875</v>
      </c>
      <c r="G13" s="17">
        <f t="shared" si="2"/>
        <v>339492821.2650156</v>
      </c>
      <c r="H13" s="17">
        <f t="shared" si="2"/>
        <v>366482500.55558431</v>
      </c>
      <c r="I13" s="17">
        <f t="shared" si="2"/>
        <v>395617859.3497532</v>
      </c>
      <c r="J13" s="17">
        <f t="shared" si="2"/>
        <v>427069479.16805851</v>
      </c>
      <c r="K13" s="17">
        <f t="shared" si="2"/>
        <v>461021502.76191914</v>
      </c>
      <c r="L13" s="17">
        <f t="shared" si="2"/>
        <v>497672712.23149168</v>
      </c>
    </row>
    <row r="14" spans="1:12" ht="16.2" x14ac:dyDescent="0.3">
      <c r="A14" s="38" t="s">
        <v>41</v>
      </c>
      <c r="B14" s="17"/>
      <c r="C14" s="17">
        <v>150000000</v>
      </c>
      <c r="D14" s="17">
        <f t="shared" si="2"/>
        <v>161925000</v>
      </c>
      <c r="E14" s="17">
        <f t="shared" si="2"/>
        <v>174798037.49999997</v>
      </c>
      <c r="F14" s="17">
        <f t="shared" si="2"/>
        <v>188694481.48124996</v>
      </c>
      <c r="G14" s="17">
        <f t="shared" si="2"/>
        <v>203695692.7590093</v>
      </c>
      <c r="H14" s="17">
        <f t="shared" si="2"/>
        <v>219889500.33335051</v>
      </c>
      <c r="I14" s="17">
        <f t="shared" si="2"/>
        <v>237370715.60985187</v>
      </c>
      <c r="J14" s="17">
        <f t="shared" si="2"/>
        <v>256241687.50083506</v>
      </c>
      <c r="K14" s="17">
        <f t="shared" si="2"/>
        <v>276612901.6571514</v>
      </c>
      <c r="L14" s="17">
        <f t="shared" si="2"/>
        <v>298603627.3388949</v>
      </c>
    </row>
    <row r="15" spans="1:12" ht="16.2" x14ac:dyDescent="0.3">
      <c r="A15" s="6" t="s">
        <v>7</v>
      </c>
      <c r="B15" s="17"/>
      <c r="C15" s="39">
        <f t="shared" ref="C15:L15" si="3">($B$7-$L$9)/10</f>
        <v>525000000</v>
      </c>
      <c r="D15" s="39">
        <f t="shared" si="3"/>
        <v>525000000</v>
      </c>
      <c r="E15" s="39">
        <f t="shared" si="3"/>
        <v>525000000</v>
      </c>
      <c r="F15" s="39">
        <f t="shared" si="3"/>
        <v>525000000</v>
      </c>
      <c r="G15" s="39">
        <f t="shared" si="3"/>
        <v>525000000</v>
      </c>
      <c r="H15" s="39">
        <f t="shared" si="3"/>
        <v>525000000</v>
      </c>
      <c r="I15" s="39">
        <f t="shared" si="3"/>
        <v>525000000</v>
      </c>
      <c r="J15" s="39">
        <f t="shared" si="3"/>
        <v>525000000</v>
      </c>
      <c r="K15" s="39">
        <f t="shared" si="3"/>
        <v>525000000</v>
      </c>
      <c r="L15" s="39">
        <f t="shared" si="3"/>
        <v>525000000</v>
      </c>
    </row>
    <row r="16" spans="1:12" ht="16.2" x14ac:dyDescent="0.3">
      <c r="A16" s="6" t="s">
        <v>42</v>
      </c>
      <c r="B16" s="17"/>
      <c r="C16" s="39">
        <f>SUM(C17:C20)</f>
        <v>575000000</v>
      </c>
      <c r="D16" s="39">
        <f>SUM(D17:D20)</f>
        <v>617262499.99999988</v>
      </c>
      <c r="E16" s="39">
        <f>SUM(E17:E20)</f>
        <v>662631293.74999976</v>
      </c>
      <c r="F16" s="39">
        <f t="shared" ref="F16:L16" si="4">SUM(F17:F20)</f>
        <v>711334693.84062469</v>
      </c>
      <c r="G16" s="39">
        <f t="shared" si="4"/>
        <v>763617793.83791053</v>
      </c>
      <c r="H16" s="39">
        <f t="shared" si="4"/>
        <v>819743701.68499684</v>
      </c>
      <c r="I16" s="39">
        <f t="shared" si="4"/>
        <v>879994863.75884414</v>
      </c>
      <c r="J16" s="39">
        <f t="shared" si="4"/>
        <v>944674486.24511898</v>
      </c>
      <c r="K16" s="39">
        <f t="shared" si="4"/>
        <v>1014108060.9841352</v>
      </c>
      <c r="L16" s="39">
        <f t="shared" si="4"/>
        <v>1088645003.466469</v>
      </c>
    </row>
    <row r="17" spans="1:12" ht="16.2" x14ac:dyDescent="0.3">
      <c r="A17" s="38" t="s">
        <v>43</v>
      </c>
      <c r="C17" s="17">
        <v>150000000</v>
      </c>
      <c r="D17" s="17">
        <f t="shared" ref="D17:L20" si="5">C17*(1+$B$3)</f>
        <v>161024999.99999997</v>
      </c>
      <c r="E17" s="17">
        <f t="shared" si="5"/>
        <v>172860337.49999994</v>
      </c>
      <c r="F17" s="17">
        <f t="shared" si="5"/>
        <v>185565572.30624992</v>
      </c>
      <c r="G17" s="17">
        <f t="shared" si="5"/>
        <v>199204641.87075928</v>
      </c>
      <c r="H17" s="17">
        <f t="shared" si="5"/>
        <v>213846183.04826006</v>
      </c>
      <c r="I17" s="17">
        <f t="shared" si="5"/>
        <v>229563877.50230715</v>
      </c>
      <c r="J17" s="17">
        <f t="shared" si="5"/>
        <v>246436822.4987267</v>
      </c>
      <c r="K17" s="17">
        <f t="shared" si="5"/>
        <v>264549928.95238307</v>
      </c>
      <c r="L17" s="17">
        <f t="shared" si="5"/>
        <v>283994348.73038322</v>
      </c>
    </row>
    <row r="18" spans="1:12" ht="16.2" x14ac:dyDescent="0.3">
      <c r="A18" s="38" t="s">
        <v>44</v>
      </c>
      <c r="C18" s="17">
        <v>200000000</v>
      </c>
      <c r="D18" s="17">
        <f t="shared" si="5"/>
        <v>214699999.99999997</v>
      </c>
      <c r="E18" s="17">
        <f t="shared" si="5"/>
        <v>230480449.99999994</v>
      </c>
      <c r="F18" s="17">
        <f t="shared" si="5"/>
        <v>247420763.0749999</v>
      </c>
      <c r="G18" s="17">
        <f t="shared" si="5"/>
        <v>265606189.16101235</v>
      </c>
      <c r="H18" s="17">
        <f t="shared" si="5"/>
        <v>285128244.06434673</v>
      </c>
      <c r="I18" s="17">
        <f t="shared" si="5"/>
        <v>306085170.0030762</v>
      </c>
      <c r="J18" s="17">
        <f t="shared" si="5"/>
        <v>328582429.99830228</v>
      </c>
      <c r="K18" s="17">
        <f t="shared" si="5"/>
        <v>352733238.60317749</v>
      </c>
      <c r="L18" s="17">
        <f t="shared" si="5"/>
        <v>378659131.64051098</v>
      </c>
    </row>
    <row r="19" spans="1:12" ht="16.2" x14ac:dyDescent="0.3">
      <c r="A19" s="38" t="s">
        <v>45</v>
      </c>
      <c r="C19" s="17">
        <v>150000000</v>
      </c>
      <c r="D19" s="17">
        <f t="shared" si="5"/>
        <v>161024999.99999997</v>
      </c>
      <c r="E19" s="17">
        <f t="shared" si="5"/>
        <v>172860337.49999994</v>
      </c>
      <c r="F19" s="17">
        <f t="shared" si="5"/>
        <v>185565572.30624992</v>
      </c>
      <c r="G19" s="17">
        <f t="shared" si="5"/>
        <v>199204641.87075928</v>
      </c>
      <c r="H19" s="17">
        <f t="shared" si="5"/>
        <v>213846183.04826006</v>
      </c>
      <c r="I19" s="17">
        <f t="shared" si="5"/>
        <v>229563877.50230715</v>
      </c>
      <c r="J19" s="17">
        <f t="shared" si="5"/>
        <v>246436822.4987267</v>
      </c>
      <c r="K19" s="17">
        <f t="shared" si="5"/>
        <v>264549928.95238307</v>
      </c>
      <c r="L19" s="17">
        <f t="shared" si="5"/>
        <v>283994348.73038322</v>
      </c>
    </row>
    <row r="20" spans="1:12" ht="16.2" x14ac:dyDescent="0.3">
      <c r="A20" s="38" t="s">
        <v>46</v>
      </c>
      <c r="C20" s="17">
        <v>75000000</v>
      </c>
      <c r="D20" s="17">
        <f t="shared" si="5"/>
        <v>80512499.999999985</v>
      </c>
      <c r="E20" s="17">
        <f t="shared" si="5"/>
        <v>86430168.74999997</v>
      </c>
      <c r="F20" s="17">
        <f t="shared" si="5"/>
        <v>92782786.153124958</v>
      </c>
      <c r="G20" s="17">
        <f t="shared" si="5"/>
        <v>99602320.935379639</v>
      </c>
      <c r="H20" s="17">
        <f t="shared" si="5"/>
        <v>106923091.52413003</v>
      </c>
      <c r="I20" s="17">
        <f t="shared" si="5"/>
        <v>114781938.75115357</v>
      </c>
      <c r="J20" s="17">
        <f t="shared" si="5"/>
        <v>123218411.24936335</v>
      </c>
      <c r="K20" s="17">
        <f t="shared" si="5"/>
        <v>132274964.47619154</v>
      </c>
      <c r="L20" s="17">
        <f t="shared" si="5"/>
        <v>141997174.36519161</v>
      </c>
    </row>
    <row r="21" spans="1:12" ht="16.2" x14ac:dyDescent="0.3">
      <c r="A21" s="27" t="s">
        <v>30</v>
      </c>
      <c r="B21" s="28"/>
      <c r="C21" s="40">
        <f>SUM(C11,C15,C16)</f>
        <v>2100000000</v>
      </c>
      <c r="D21" s="40">
        <f t="shared" ref="D21:L21" si="6">SUM(D11,D15,D16)</f>
        <v>2221762500</v>
      </c>
      <c r="E21" s="40">
        <f t="shared" si="6"/>
        <v>2352951543.7499995</v>
      </c>
      <c r="F21" s="40">
        <f t="shared" si="6"/>
        <v>2494297903.7156243</v>
      </c>
      <c r="G21" s="40">
        <f t="shared" si="6"/>
        <v>2646589078.8979726</v>
      </c>
      <c r="H21" s="40">
        <f t="shared" si="6"/>
        <v>2810673703.9073334</v>
      </c>
      <c r="I21" s="40">
        <f t="shared" si="6"/>
        <v>2987466301.1578569</v>
      </c>
      <c r="J21" s="40">
        <f t="shared" si="6"/>
        <v>3177952402.9173527</v>
      </c>
      <c r="K21" s="40">
        <f t="shared" si="6"/>
        <v>3383194072.0318112</v>
      </c>
      <c r="L21" s="40">
        <f t="shared" si="6"/>
        <v>3604335852.3924351</v>
      </c>
    </row>
    <row r="22" spans="1:12" x14ac:dyDescent="0.3">
      <c r="A22" s="1" t="s">
        <v>10</v>
      </c>
      <c r="B22" s="20"/>
      <c r="C22" s="20">
        <f t="shared" ref="C22:L22" si="7">C10-C21</f>
        <v>800000000</v>
      </c>
      <c r="D22" s="20">
        <f t="shared" si="7"/>
        <v>885587499.99999952</v>
      </c>
      <c r="E22" s="20">
        <f t="shared" si="7"/>
        <v>976573981.24999952</v>
      </c>
      <c r="F22" s="20">
        <f t="shared" si="7"/>
        <v>1073288696.3218741</v>
      </c>
      <c r="G22" s="20">
        <f t="shared" si="7"/>
        <v>1176079963.0422068</v>
      </c>
      <c r="H22" s="20">
        <f t="shared" si="7"/>
        <v>1285316174.5315685</v>
      </c>
      <c r="I22" s="20">
        <f t="shared" si="7"/>
        <v>1401386853.589426</v>
      </c>
      <c r="J22" s="20">
        <f t="shared" si="7"/>
        <v>1524703752.3943605</v>
      </c>
      <c r="K22" s="20">
        <f t="shared" si="7"/>
        <v>1655701998.3846889</v>
      </c>
      <c r="L22" s="20">
        <f t="shared" si="7"/>
        <v>1794841287.0588446</v>
      </c>
    </row>
    <row r="23" spans="1:12" x14ac:dyDescent="0.3">
      <c r="A23" s="4" t="s">
        <v>11</v>
      </c>
      <c r="B23" s="20"/>
      <c r="C23" s="20">
        <f t="shared" ref="C23:L23" si="8">C22*$B$4</f>
        <v>240000000</v>
      </c>
      <c r="D23" s="20">
        <f t="shared" si="8"/>
        <v>265676249.99999985</v>
      </c>
      <c r="E23" s="20">
        <f t="shared" si="8"/>
        <v>292972194.37499982</v>
      </c>
      <c r="F23" s="20">
        <f t="shared" si="8"/>
        <v>321986608.89656222</v>
      </c>
      <c r="G23" s="20">
        <f t="shared" si="8"/>
        <v>352823988.91266203</v>
      </c>
      <c r="H23" s="20">
        <f t="shared" si="8"/>
        <v>385594852.35947055</v>
      </c>
      <c r="I23" s="20">
        <f t="shared" si="8"/>
        <v>420416056.07682782</v>
      </c>
      <c r="J23" s="20">
        <f t="shared" si="8"/>
        <v>457411125.71830815</v>
      </c>
      <c r="K23" s="20">
        <f t="shared" si="8"/>
        <v>496710599.51540661</v>
      </c>
      <c r="L23" s="20">
        <f t="shared" si="8"/>
        <v>538452386.11765337</v>
      </c>
    </row>
    <row r="24" spans="1:12" ht="16.2" x14ac:dyDescent="0.3">
      <c r="A24" s="1" t="s">
        <v>12</v>
      </c>
      <c r="B24" s="21">
        <f>-SUM(B7:B8)</f>
        <v>-5514000000</v>
      </c>
      <c r="C24" s="21"/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3">
      <c r="A25" s="1" t="s">
        <v>13</v>
      </c>
      <c r="B25" s="20"/>
      <c r="C25" s="20">
        <f>C22-C23</f>
        <v>560000000</v>
      </c>
      <c r="D25" s="20">
        <f t="shared" ref="D25:L25" si="9">D22-D23</f>
        <v>619911249.99999964</v>
      </c>
      <c r="E25" s="20">
        <f t="shared" si="9"/>
        <v>683601786.87499976</v>
      </c>
      <c r="F25" s="20">
        <f t="shared" si="9"/>
        <v>751302087.42531192</v>
      </c>
      <c r="G25" s="20">
        <f t="shared" si="9"/>
        <v>823255974.12954473</v>
      </c>
      <c r="H25" s="20">
        <f t="shared" si="9"/>
        <v>899721322.17209792</v>
      </c>
      <c r="I25" s="20">
        <f t="shared" si="9"/>
        <v>980970797.51259828</v>
      </c>
      <c r="J25" s="20">
        <f t="shared" si="9"/>
        <v>1067292626.6760523</v>
      </c>
      <c r="K25" s="20">
        <f t="shared" si="9"/>
        <v>1158991398.8692822</v>
      </c>
      <c r="L25" s="20">
        <f t="shared" si="9"/>
        <v>1256388900.9411912</v>
      </c>
    </row>
    <row r="26" spans="1:12" x14ac:dyDescent="0.3">
      <c r="A26" s="4" t="s">
        <v>14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>
        <f>L9*(1-B4)</f>
        <v>175000000</v>
      </c>
    </row>
    <row r="27" spans="1:12" x14ac:dyDescent="0.3">
      <c r="A27" s="7" t="s">
        <v>15</v>
      </c>
      <c r="B27" s="42">
        <f>SUM(B24:B26)</f>
        <v>-5514000000</v>
      </c>
      <c r="C27" s="42">
        <f t="shared" ref="C27:L27" si="10">SUM(C24:C26)</f>
        <v>560000000</v>
      </c>
      <c r="D27" s="42">
        <f t="shared" si="10"/>
        <v>619911249.99999964</v>
      </c>
      <c r="E27" s="42">
        <f t="shared" si="10"/>
        <v>683601786.87499976</v>
      </c>
      <c r="F27" s="42">
        <f t="shared" si="10"/>
        <v>751302087.42531192</v>
      </c>
      <c r="G27" s="42">
        <f t="shared" si="10"/>
        <v>823255974.12954473</v>
      </c>
      <c r="H27" s="42">
        <f t="shared" si="10"/>
        <v>899721322.17209792</v>
      </c>
      <c r="I27" s="42">
        <f t="shared" si="10"/>
        <v>980970797.51259828</v>
      </c>
      <c r="J27" s="42">
        <f t="shared" si="10"/>
        <v>1067292626.6760523</v>
      </c>
      <c r="K27" s="42">
        <f t="shared" si="10"/>
        <v>1158991398.8692822</v>
      </c>
      <c r="L27" s="42">
        <f t="shared" si="10"/>
        <v>1431388900.9411912</v>
      </c>
    </row>
    <row r="28" spans="1:12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3">
      <c r="A29" s="1" t="s">
        <v>17</v>
      </c>
      <c r="B29" s="43">
        <f t="shared" ref="B29:L29" si="11">B27/(1+$B$5)^B6</f>
        <v>-5514000000</v>
      </c>
      <c r="C29" s="43">
        <f t="shared" si="11"/>
        <v>546183455.2637955</v>
      </c>
      <c r="D29" s="43">
        <f t="shared" si="11"/>
        <v>589699208.67622161</v>
      </c>
      <c r="E29" s="43">
        <f t="shared" si="11"/>
        <v>634241608.53155494</v>
      </c>
      <c r="F29" s="43">
        <f t="shared" si="11"/>
        <v>679855553.79698753</v>
      </c>
      <c r="G29" s="43">
        <f t="shared" si="11"/>
        <v>726586724.67972958</v>
      </c>
      <c r="H29" s="43">
        <f t="shared" si="11"/>
        <v>774481581.74315882</v>
      </c>
      <c r="I29" s="43">
        <f t="shared" si="11"/>
        <v>823587362.37896585</v>
      </c>
      <c r="J29" s="43">
        <f t="shared" si="11"/>
        <v>873952074.39722145</v>
      </c>
      <c r="K29" s="43">
        <f t="shared" si="11"/>
        <v>925624486.47888148</v>
      </c>
      <c r="L29" s="43">
        <f t="shared" si="11"/>
        <v>1114968969.6655674</v>
      </c>
    </row>
    <row r="30" spans="1:12" x14ac:dyDescent="0.3">
      <c r="A30" s="1" t="s">
        <v>23</v>
      </c>
      <c r="B30" s="46">
        <f>SUM(B29:L29)</f>
        <v>2175181025.6120849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3">
      <c r="A31" s="1" t="s">
        <v>24</v>
      </c>
      <c r="B31" s="47">
        <f>IRR(B27:L27)</f>
        <v>8.5145359542187826E-2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x14ac:dyDescent="0.3">
      <c r="A33" s="1" t="s">
        <v>25</v>
      </c>
      <c r="B33" s="20">
        <f>B27</f>
        <v>-5514000000</v>
      </c>
      <c r="C33" s="20">
        <f>B33+C27</f>
        <v>-4954000000</v>
      </c>
      <c r="D33" s="20">
        <f t="shared" ref="D33:L33" si="12">C33+D27</f>
        <v>-4334088750</v>
      </c>
      <c r="E33" s="20">
        <f t="shared" si="12"/>
        <v>-3650486963.125</v>
      </c>
      <c r="F33" s="20">
        <f t="shared" si="12"/>
        <v>-2899184875.699688</v>
      </c>
      <c r="G33" s="20">
        <f t="shared" si="12"/>
        <v>-2075928901.5701432</v>
      </c>
      <c r="H33" s="20">
        <f t="shared" si="12"/>
        <v>-1176207579.3980453</v>
      </c>
      <c r="I33" s="20">
        <f t="shared" si="12"/>
        <v>-195236781.88544703</v>
      </c>
      <c r="J33" s="20">
        <f t="shared" si="12"/>
        <v>872055844.79060531</v>
      </c>
      <c r="K33" s="20">
        <f t="shared" si="12"/>
        <v>2031047243.6598876</v>
      </c>
      <c r="L33" s="20">
        <f t="shared" si="12"/>
        <v>3462436144.601079</v>
      </c>
    </row>
    <row r="34" spans="1:12" x14ac:dyDescent="0.3">
      <c r="A34" s="1" t="s">
        <v>26</v>
      </c>
      <c r="B34" s="20">
        <f>B29</f>
        <v>-5514000000</v>
      </c>
      <c r="C34" s="20">
        <f>B34+C29</f>
        <v>-4967816544.7362041</v>
      </c>
      <c r="D34" s="20">
        <f t="shared" ref="D34:L34" si="13">C34+D29</f>
        <v>-4378117336.0599823</v>
      </c>
      <c r="E34" s="20">
        <f t="shared" si="13"/>
        <v>-3743875727.5284271</v>
      </c>
      <c r="F34" s="20">
        <f t="shared" si="13"/>
        <v>-3064020173.7314396</v>
      </c>
      <c r="G34" s="20">
        <f t="shared" si="13"/>
        <v>-2337433449.0517101</v>
      </c>
      <c r="H34" s="20">
        <f t="shared" si="13"/>
        <v>-1562951867.3085513</v>
      </c>
      <c r="I34" s="20">
        <f t="shared" si="13"/>
        <v>-739364504.92958546</v>
      </c>
      <c r="J34" s="20">
        <f t="shared" si="13"/>
        <v>134587569.46763599</v>
      </c>
      <c r="K34" s="20">
        <f t="shared" si="13"/>
        <v>1060212055.9465175</v>
      </c>
      <c r="L34" s="20">
        <f t="shared" si="13"/>
        <v>2175181025.6120849</v>
      </c>
    </row>
    <row r="35" spans="1:12" x14ac:dyDescent="0.3">
      <c r="A35" s="1" t="s">
        <v>27</v>
      </c>
      <c r="B35" s="45">
        <f>7+ABS(I33/J27)</f>
        <v>7.1829271345136965</v>
      </c>
    </row>
    <row r="36" spans="1:12" x14ac:dyDescent="0.3">
      <c r="A36" s="1" t="s">
        <v>28</v>
      </c>
      <c r="B36" s="45">
        <f>7+ABS(I34/J29)</f>
        <v>7.8460012014269056</v>
      </c>
    </row>
    <row r="38" spans="1:12" ht="15" thickBot="1" x14ac:dyDescent="0.35">
      <c r="A38" s="24" t="s">
        <v>29</v>
      </c>
      <c r="B38" s="44">
        <f>SUM(C29:L29)/ABS(B29)</f>
        <v>1.3944833198425979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12" ht="15" thickTop="1" x14ac:dyDescent="0.3"/>
  </sheetData>
  <pageMargins left="0.7" right="0.7" top="0.75" bottom="0.75" header="0.3" footer="0.3"/>
  <ignoredErrors>
    <ignoredError sqref="B24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M13" sqref="M13"/>
    </sheetView>
  </sheetViews>
  <sheetFormatPr defaultRowHeight="14.4" x14ac:dyDescent="0.3"/>
  <cols>
    <col min="1" max="1" width="17.88671875" bestFit="1" customWidth="1"/>
    <col min="2" max="2" width="6.88671875" bestFit="1" customWidth="1"/>
    <col min="3" max="11" width="16.109375" bestFit="1" customWidth="1"/>
  </cols>
  <sheetData>
    <row r="1" spans="1:11" x14ac:dyDescent="0.3">
      <c r="C1" s="29" t="s">
        <v>38</v>
      </c>
      <c r="D1" s="29" t="s">
        <v>37</v>
      </c>
      <c r="E1" s="29" t="s">
        <v>36</v>
      </c>
      <c r="F1" s="30" t="s">
        <v>35</v>
      </c>
      <c r="G1" s="30" t="s">
        <v>39</v>
      </c>
      <c r="H1" s="30" t="s">
        <v>31</v>
      </c>
      <c r="I1" s="29" t="s">
        <v>32</v>
      </c>
      <c r="J1" s="29" t="s">
        <v>33</v>
      </c>
      <c r="K1" s="29" t="s">
        <v>34</v>
      </c>
    </row>
    <row r="2" spans="1:11" x14ac:dyDescent="0.3">
      <c r="A2" s="34" t="s">
        <v>1</v>
      </c>
      <c r="B2" s="36">
        <v>7.1499999999999994E-2</v>
      </c>
      <c r="C2" s="35">
        <f>$B$2*(1-0.2)</f>
        <v>5.7200000000000001E-2</v>
      </c>
      <c r="D2" s="35">
        <f>$B$2*(1-0.15)</f>
        <v>6.0774999999999996E-2</v>
      </c>
      <c r="E2" s="35">
        <f>$B$2*(1-0.1)</f>
        <v>6.4349999999999991E-2</v>
      </c>
      <c r="F2" s="35">
        <f>$B$2*(1-0.05)</f>
        <v>6.7924999999999985E-2</v>
      </c>
      <c r="G2" s="35">
        <v>7.1499999999999994E-2</v>
      </c>
      <c r="H2" s="35">
        <f>$B$2*(1+0.05)</f>
        <v>7.5075000000000003E-2</v>
      </c>
      <c r="I2" s="35">
        <f>$B$2*(1+0.1)</f>
        <v>7.8649999999999998E-2</v>
      </c>
      <c r="J2" s="35">
        <f>$B$2*(1+0.15)</f>
        <v>8.2224999999999993E-2</v>
      </c>
      <c r="K2" s="35">
        <f>$B$2*(1+0.2)</f>
        <v>8.5799999999999987E-2</v>
      </c>
    </row>
    <row r="3" spans="1:11" ht="15" thickBot="1" x14ac:dyDescent="0.35">
      <c r="A3" s="32" t="s">
        <v>23</v>
      </c>
      <c r="B3" s="37"/>
      <c r="C3" s="33">
        <v>652923305.29538572</v>
      </c>
      <c r="D3" s="33">
        <v>1022984154.7705286</v>
      </c>
      <c r="E3" s="33">
        <v>1399963270.1034374</v>
      </c>
      <c r="F3" s="33">
        <v>1783986315.6383028</v>
      </c>
      <c r="G3" s="33">
        <v>2175181025.6120849</v>
      </c>
      <c r="H3" s="33">
        <v>2573677233.5698428</v>
      </c>
      <c r="I3" s="33">
        <v>2979606902.1218538</v>
      </c>
      <c r="J3" s="33">
        <v>3393104153.0462675</v>
      </c>
      <c r="K3" s="33">
        <v>3814305297.7400246</v>
      </c>
    </row>
    <row r="4" spans="1:11" ht="15" thickTop="1" x14ac:dyDescent="0.3"/>
    <row r="5" spans="1:11" x14ac:dyDescent="0.3">
      <c r="A5" s="34" t="s">
        <v>2</v>
      </c>
      <c r="B5" s="36">
        <v>7.9500000000000001E-2</v>
      </c>
      <c r="C5" s="35">
        <f>$B$5*(1-0.2)</f>
        <v>6.3600000000000004E-2</v>
      </c>
      <c r="D5" s="35">
        <f>$B$5*(1-0.15)</f>
        <v>6.7574999999999996E-2</v>
      </c>
      <c r="E5" s="35">
        <f>$B$5*(1-0.1)</f>
        <v>7.1550000000000002E-2</v>
      </c>
      <c r="F5" s="35">
        <f>$B$5*(1-0.05)</f>
        <v>7.5524999999999995E-2</v>
      </c>
      <c r="G5" s="35">
        <f>B5</f>
        <v>7.9500000000000001E-2</v>
      </c>
      <c r="H5" s="35">
        <f>$B$5*(1+0.05)</f>
        <v>8.3475000000000008E-2</v>
      </c>
      <c r="I5" s="35">
        <f>$B$5*(1+0.1)</f>
        <v>8.7450000000000014E-2</v>
      </c>
      <c r="J5" s="35">
        <f>$B$5*(1+0.15)</f>
        <v>9.1424999999999992E-2</v>
      </c>
      <c r="K5" s="35">
        <f>$B$5*(1+0.2)</f>
        <v>9.5399999999999999E-2</v>
      </c>
    </row>
    <row r="6" spans="1:11" ht="15" thickBot="1" x14ac:dyDescent="0.35">
      <c r="A6" s="32" t="s">
        <v>23</v>
      </c>
      <c r="B6" s="37"/>
      <c r="C6" s="33">
        <v>2781019999.36514</v>
      </c>
      <c r="D6" s="33">
        <v>2634200021.83043</v>
      </c>
      <c r="E6" s="33">
        <v>2484328054.3917294</v>
      </c>
      <c r="F6" s="33">
        <v>2331342596.5858545</v>
      </c>
      <c r="G6" s="33">
        <v>2175181025.6120849</v>
      </c>
      <c r="H6" s="33">
        <v>2015779578.6773233</v>
      </c>
      <c r="I6" s="33">
        <v>1853073335.1141427</v>
      </c>
      <c r="J6" s="33">
        <v>1686996198.2692952</v>
      </c>
      <c r="K6" s="33">
        <v>1517480877.1606197</v>
      </c>
    </row>
    <row r="7" spans="1:11" ht="15" thickTop="1" x14ac:dyDescent="0.3"/>
  </sheetData>
  <sortState xmlns:xlrd2="http://schemas.microsoft.com/office/spreadsheetml/2017/richdata2" ref="A1:K3">
    <sortCondition ref="F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defaultRowHeight="14.4" x14ac:dyDescent="0.3"/>
  <cols>
    <col min="1" max="1" width="13.33203125" bestFit="1" customWidth="1"/>
    <col min="2" max="2" width="20" bestFit="1" customWidth="1"/>
    <col min="7" max="7" width="12.109375" bestFit="1" customWidth="1"/>
  </cols>
  <sheetData>
    <row r="1" spans="1:2" x14ac:dyDescent="0.3">
      <c r="A1" t="s">
        <v>18</v>
      </c>
      <c r="B1" s="8">
        <v>6.6699999999999995E-2</v>
      </c>
    </row>
    <row r="2" spans="1:2" x14ac:dyDescent="0.3">
      <c r="A2" t="s">
        <v>19</v>
      </c>
      <c r="B2" s="8">
        <v>1.38E-2</v>
      </c>
    </row>
    <row r="3" spans="1:2" x14ac:dyDescent="0.3">
      <c r="A3" t="s">
        <v>20</v>
      </c>
      <c r="B3" s="9">
        <v>442300000000</v>
      </c>
    </row>
    <row r="4" spans="1:2" x14ac:dyDescent="0.3">
      <c r="A4" t="s">
        <v>21</v>
      </c>
      <c r="B4" s="9">
        <v>167040000000</v>
      </c>
    </row>
    <row r="5" spans="1:2" x14ac:dyDescent="0.3">
      <c r="A5" t="s">
        <v>48</v>
      </c>
      <c r="B5" s="9">
        <f>SUM(B3:B4)</f>
        <v>609340000000</v>
      </c>
    </row>
    <row r="6" spans="1:2" x14ac:dyDescent="0.3">
      <c r="A6" t="s">
        <v>16</v>
      </c>
      <c r="B6" s="8">
        <v>0.3</v>
      </c>
    </row>
    <row r="7" spans="1:2" x14ac:dyDescent="0.3">
      <c r="A7" s="11" t="s">
        <v>22</v>
      </c>
      <c r="B7" s="10">
        <f>B4/B5*B1+B3/B5*B2*(1-B6)</f>
        <v>2.5296527390291135E-2</v>
      </c>
    </row>
  </sheetData>
  <pageMargins left="0.7" right="0.7" top="0.75" bottom="0.75" header="0.3" footer="0.3"/>
  <ignoredErrors>
    <ignoredError sqref="B5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Description</vt:lpstr>
      <vt:lpstr>Calculations</vt:lpstr>
      <vt:lpstr>Sensitivity Analysis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2023-06-20T17:47:08Z</dcterms:modified>
</cp:coreProperties>
</file>