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macbookair/Desktop/"/>
    </mc:Choice>
  </mc:AlternateContent>
  <xr:revisionPtr revIDLastSave="0" documentId="13_ncr:1_{74DCEDC1-91A1-E541-B6DB-1ED5DA01D81C}" xr6:coauthVersionLast="45" xr6:coauthVersionMax="45" xr10:uidLastSave="{00000000-0000-0000-0000-000000000000}"/>
  <bookViews>
    <workbookView xWindow="0" yWindow="0" windowWidth="28800" windowHeight="18000" xr2:uid="{C659575E-1CFE-2747-BE1B-5F05A0C51C48}"/>
  </bookViews>
  <sheets>
    <sheet name="Forecasted Statements" sheetId="1" r:id="rId1"/>
    <sheet name="Revenue&amp;Cost Forecast" sheetId="4" r:id="rId2"/>
    <sheet name="Other Forecasts" sheetId="3" r:id="rId3"/>
    <sheet name="Multiples" sheetId="5" r:id="rId4"/>
  </sheets>
  <definedNames>
    <definedName name="_xlchart.v2.0" hidden="1">'Revenue&amp;Cost Forecast'!$J$31</definedName>
    <definedName name="_xlchart.v2.1" hidden="1">'Revenue&amp;Cost Forecast'!$J$32</definedName>
    <definedName name="_xlchart.v2.10" hidden="1">'Revenue&amp;Cost Forecast'!$K$34:$O$34</definedName>
    <definedName name="_xlchart.v2.11" hidden="1">'Revenue&amp;Cost Forecast'!$K$35:$O$35</definedName>
    <definedName name="_xlchart.v2.12" hidden="1">'Revenue&amp;Cost Forecast'!$K$36:$O$36</definedName>
    <definedName name="_xlchart.v2.13" hidden="1">'Revenue&amp;Cost Forecast'!$J$32:$J$36</definedName>
    <definedName name="_xlchart.v2.14" hidden="1">'Revenue&amp;Cost Forecast'!$K$30:$K$31</definedName>
    <definedName name="_xlchart.v2.15" hidden="1">'Revenue&amp;Cost Forecast'!$K$32:$K$36</definedName>
    <definedName name="_xlchart.v2.16" hidden="1">'Revenue&amp;Cost Forecast'!$L$30:$L$31</definedName>
    <definedName name="_xlchart.v2.17" hidden="1">'Revenue&amp;Cost Forecast'!$L$32:$L$36</definedName>
    <definedName name="_xlchart.v2.18" hidden="1">'Revenue&amp;Cost Forecast'!$M$30:$M$31</definedName>
    <definedName name="_xlchart.v2.19" hidden="1">'Revenue&amp;Cost Forecast'!$M$32:$M$36</definedName>
    <definedName name="_xlchart.v2.2" hidden="1">'Revenue&amp;Cost Forecast'!$J$33</definedName>
    <definedName name="_xlchart.v2.20" hidden="1">'Revenue&amp;Cost Forecast'!$N$30:$N$31</definedName>
    <definedName name="_xlchart.v2.21" hidden="1">'Revenue&amp;Cost Forecast'!$N$32:$N$36</definedName>
    <definedName name="_xlchart.v2.22" hidden="1">'Revenue&amp;Cost Forecast'!$O$30:$O$31</definedName>
    <definedName name="_xlchart.v2.23" hidden="1">'Revenue&amp;Cost Forecast'!$O$32:$O$36</definedName>
    <definedName name="_xlchart.v2.3" hidden="1">'Revenue&amp;Cost Forecast'!$J$34</definedName>
    <definedName name="_xlchart.v2.4" hidden="1">'Revenue&amp;Cost Forecast'!$J$35</definedName>
    <definedName name="_xlchart.v2.5" hidden="1">'Revenue&amp;Cost Forecast'!$J$36</definedName>
    <definedName name="_xlchart.v2.6" hidden="1">'Revenue&amp;Cost Forecast'!$K$30:$O$30</definedName>
    <definedName name="_xlchart.v2.7" hidden="1">'Revenue&amp;Cost Forecast'!$K$31:$O$31</definedName>
    <definedName name="_xlchart.v2.8" hidden="1">'Revenue&amp;Cost Forecast'!$K$32:$O$32</definedName>
    <definedName name="_xlchart.v2.9" hidden="1">'Revenue&amp;Cost Forecast'!$K$33:$O$33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9" i="1" l="1"/>
  <c r="G39" i="1"/>
  <c r="H39" i="1"/>
  <c r="I39" i="1"/>
  <c r="E39" i="1"/>
  <c r="F38" i="1"/>
  <c r="G38" i="1"/>
  <c r="H38" i="1"/>
  <c r="I38" i="1"/>
  <c r="E38" i="1"/>
  <c r="G42" i="1"/>
  <c r="H42" i="1"/>
  <c r="I42" i="1"/>
  <c r="F42" i="1"/>
  <c r="E42" i="1"/>
  <c r="G37" i="1"/>
  <c r="H37" i="1"/>
  <c r="I37" i="1"/>
  <c r="F37" i="1"/>
  <c r="E37" i="1"/>
  <c r="F35" i="1"/>
  <c r="G35" i="1"/>
  <c r="H35" i="1"/>
  <c r="I35" i="1"/>
  <c r="E35" i="1"/>
  <c r="G33" i="1"/>
  <c r="H33" i="1" s="1"/>
  <c r="I33" i="1" s="1"/>
  <c r="F33" i="1"/>
  <c r="E33" i="1"/>
  <c r="E26" i="1"/>
  <c r="F26" i="1" s="1"/>
  <c r="G26" i="1" s="1"/>
  <c r="H26" i="1" s="1"/>
  <c r="I26" i="1" s="1"/>
  <c r="I24" i="3"/>
  <c r="H24" i="3"/>
  <c r="G24" i="3"/>
  <c r="H23" i="3"/>
  <c r="G23" i="3"/>
  <c r="I23" i="3" s="1"/>
  <c r="F10" i="1"/>
  <c r="G10" i="1"/>
  <c r="H10" i="1"/>
  <c r="I10" i="1"/>
  <c r="E10" i="1"/>
  <c r="E2" i="3"/>
  <c r="C2" i="3"/>
  <c r="E23" i="1" s="1"/>
  <c r="B2" i="3"/>
  <c r="B3" i="3" s="1"/>
  <c r="C44" i="1"/>
  <c r="B44" i="1"/>
  <c r="I4" i="1"/>
  <c r="F4" i="1"/>
  <c r="G4" i="1"/>
  <c r="H4" i="1"/>
  <c r="E4" i="1"/>
  <c r="F3" i="1"/>
  <c r="F5" i="1" s="1"/>
  <c r="G3" i="1"/>
  <c r="H3" i="1"/>
  <c r="H5" i="1" s="1"/>
  <c r="I3" i="1"/>
  <c r="I17" i="1" s="1"/>
  <c r="E3" i="1"/>
  <c r="E17" i="1" s="1"/>
  <c r="F17" i="1"/>
  <c r="C17" i="1"/>
  <c r="B17" i="1"/>
  <c r="C5" i="1"/>
  <c r="C7" i="1" s="1"/>
  <c r="C9" i="1" s="1"/>
  <c r="C11" i="1" s="1"/>
  <c r="C13" i="1" s="1"/>
  <c r="C15" i="1" s="1"/>
  <c r="B5" i="1"/>
  <c r="B7" i="1" s="1"/>
  <c r="B9" i="1" s="1"/>
  <c r="B11" i="1" s="1"/>
  <c r="B13" i="1" s="1"/>
  <c r="B27" i="3" s="1"/>
  <c r="H32" i="1" l="1"/>
  <c r="B29" i="3"/>
  <c r="C27" i="3"/>
  <c r="E27" i="1"/>
  <c r="F27" i="1" s="1"/>
  <c r="G27" i="1" s="1"/>
  <c r="H27" i="1" s="1"/>
  <c r="I27" i="1" s="1"/>
  <c r="I19" i="1"/>
  <c r="F19" i="1"/>
  <c r="E19" i="1"/>
  <c r="G19" i="1"/>
  <c r="I32" i="1"/>
  <c r="E6" i="1"/>
  <c r="E20" i="1"/>
  <c r="F20" i="1" s="1"/>
  <c r="G20" i="1" s="1"/>
  <c r="H20" i="1" s="1"/>
  <c r="I20" i="1" s="1"/>
  <c r="H17" i="1"/>
  <c r="G2" i="3"/>
  <c r="H19" i="1"/>
  <c r="G32" i="1"/>
  <c r="D2" i="3"/>
  <c r="F23" i="1" s="1"/>
  <c r="B15" i="1"/>
  <c r="G17" i="1"/>
  <c r="G5" i="1"/>
  <c r="F2" i="3"/>
  <c r="E32" i="1"/>
  <c r="F32" i="1"/>
  <c r="I5" i="1"/>
  <c r="E5" i="1"/>
  <c r="C46" i="1"/>
  <c r="B46" i="1"/>
  <c r="F21" i="1" l="1"/>
  <c r="I21" i="1"/>
  <c r="G23" i="1"/>
  <c r="E21" i="1"/>
  <c r="E7" i="1"/>
  <c r="E9" i="1" s="1"/>
  <c r="E11" i="1" s="1"/>
  <c r="E24" i="1"/>
  <c r="F6" i="1"/>
  <c r="F7" i="1" s="1"/>
  <c r="F9" i="1" s="1"/>
  <c r="F11" i="1" s="1"/>
  <c r="G21" i="1"/>
  <c r="H21" i="1"/>
  <c r="G6" i="1"/>
  <c r="F24" i="1" l="1"/>
  <c r="E25" i="1"/>
  <c r="E28" i="1" s="1"/>
  <c r="E30" i="1" s="1"/>
  <c r="H23" i="1"/>
  <c r="E12" i="1"/>
  <c r="E13" i="1" s="1"/>
  <c r="H6" i="1"/>
  <c r="G7" i="1"/>
  <c r="G9" i="1" s="1"/>
  <c r="G11" i="1" s="1"/>
  <c r="F12" i="1"/>
  <c r="F13" i="1" s="1"/>
  <c r="E14" i="1" l="1"/>
  <c r="E15" i="1" s="1"/>
  <c r="E41" i="1" s="1"/>
  <c r="E43" i="1" s="1"/>
  <c r="E44" i="1" s="1"/>
  <c r="E46" i="1" s="1"/>
  <c r="F14" i="1"/>
  <c r="F15" i="1" s="1"/>
  <c r="G24" i="1"/>
  <c r="F25" i="1"/>
  <c r="F28" i="1" s="1"/>
  <c r="F30" i="1" s="1"/>
  <c r="I23" i="1"/>
  <c r="G12" i="1"/>
  <c r="G13" i="1" s="1"/>
  <c r="I6" i="1"/>
  <c r="I7" i="1" s="1"/>
  <c r="I9" i="1" s="1"/>
  <c r="I11" i="1" s="1"/>
  <c r="H7" i="1"/>
  <c r="H9" i="1" s="1"/>
  <c r="H11" i="1" s="1"/>
  <c r="F41" i="1" l="1"/>
  <c r="F43" i="1" s="1"/>
  <c r="F44" i="1" s="1"/>
  <c r="F46" i="1" s="1"/>
  <c r="G14" i="1"/>
  <c r="G15" i="1" s="1"/>
  <c r="H24" i="1"/>
  <c r="G25" i="1"/>
  <c r="G28" i="1" s="1"/>
  <c r="G30" i="1" s="1"/>
  <c r="I12" i="1"/>
  <c r="I13" i="1" s="1"/>
  <c r="H12" i="1"/>
  <c r="H13" i="1" s="1"/>
  <c r="G41" i="1" l="1"/>
  <c r="G43" i="1" s="1"/>
  <c r="G44" i="1" s="1"/>
  <c r="G46" i="1" s="1"/>
  <c r="I14" i="1"/>
  <c r="I15" i="1" s="1"/>
  <c r="H14" i="1"/>
  <c r="H15" i="1" s="1"/>
  <c r="I24" i="1"/>
  <c r="I25" i="1" s="1"/>
  <c r="I28" i="1" s="1"/>
  <c r="I30" i="1" s="1"/>
  <c r="H25" i="1"/>
  <c r="H28" i="1" s="1"/>
  <c r="H30" i="1" s="1"/>
  <c r="H41" i="1" l="1"/>
  <c r="I41" i="1" l="1"/>
  <c r="I43" i="1" s="1"/>
  <c r="I44" i="1" s="1"/>
  <c r="I46" i="1" s="1"/>
  <c r="H43" i="1"/>
  <c r="H44" i="1" s="1"/>
  <c r="H46" i="1" s="1"/>
  <c r="D45" i="4" l="1"/>
  <c r="L35" i="4" s="1"/>
  <c r="C43" i="4"/>
  <c r="C44" i="4"/>
  <c r="C45" i="4"/>
  <c r="C42" i="4"/>
  <c r="B43" i="4"/>
  <c r="D43" i="4" s="1"/>
  <c r="N33" i="4" s="1"/>
  <c r="B44" i="4"/>
  <c r="D44" i="4" s="1"/>
  <c r="O34" i="4" s="1"/>
  <c r="B45" i="4"/>
  <c r="B42" i="4"/>
  <c r="D42" i="4" s="1"/>
  <c r="C37" i="4"/>
  <c r="B37" i="4"/>
  <c r="H26" i="4"/>
  <c r="I26" i="4"/>
  <c r="J26" i="4"/>
  <c r="K26" i="4"/>
  <c r="G26" i="4"/>
  <c r="I25" i="4"/>
  <c r="J25" i="4" s="1"/>
  <c r="K25" i="4" s="1"/>
  <c r="H25" i="4"/>
  <c r="I24" i="4"/>
  <c r="J24" i="4"/>
  <c r="K24" i="4" s="1"/>
  <c r="H24" i="4"/>
  <c r="G24" i="4"/>
  <c r="G25" i="4"/>
  <c r="I23" i="4"/>
  <c r="J23" i="4"/>
  <c r="K23" i="4" s="1"/>
  <c r="H23" i="4"/>
  <c r="G23" i="4"/>
  <c r="F25" i="4"/>
  <c r="E25" i="4"/>
  <c r="D25" i="4"/>
  <c r="C25" i="4"/>
  <c r="B25" i="4"/>
  <c r="F24" i="4"/>
  <c r="E24" i="4"/>
  <c r="D24" i="4"/>
  <c r="C24" i="4"/>
  <c r="B24" i="4"/>
  <c r="F23" i="4"/>
  <c r="E23" i="4"/>
  <c r="D23" i="4"/>
  <c r="C23" i="4"/>
  <c r="B23" i="4"/>
  <c r="E6" i="4"/>
  <c r="E5" i="4"/>
  <c r="E4" i="4"/>
  <c r="D5" i="4"/>
  <c r="D6" i="4"/>
  <c r="D7" i="4"/>
  <c r="D4" i="4"/>
  <c r="C7" i="4"/>
  <c r="B7" i="4"/>
  <c r="O35" i="4" l="1"/>
  <c r="N35" i="4"/>
  <c r="M35" i="4"/>
  <c r="K35" i="4"/>
  <c r="N34" i="4"/>
  <c r="M34" i="4"/>
  <c r="K34" i="4"/>
  <c r="L34" i="4"/>
  <c r="M33" i="4"/>
  <c r="L33" i="4"/>
  <c r="K33" i="4"/>
  <c r="O33" i="4"/>
  <c r="L32" i="4"/>
  <c r="K32" i="4"/>
  <c r="M32" i="4"/>
  <c r="N32" i="4"/>
  <c r="N36" i="4" s="1"/>
  <c r="O32" i="4"/>
  <c r="M36" i="4" l="1"/>
  <c r="L36" i="4"/>
  <c r="K36" i="4"/>
  <c r="O3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Lika</author>
  </authors>
  <commentList>
    <comment ref="A1" authorId="0" shapeId="0" xr:uid="{42557641-62D0-A248-9113-7579EB264659}">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b/>
            <i/>
            <u/>
            <sz val="10"/>
            <color rgb="FF000000"/>
            <rFont val="Calibri"/>
            <family val="2"/>
            <scheme val="minor"/>
          </rPr>
          <t xml:space="preserve">In millions, except per share data) </t>
        </r>
        <r>
          <rPr>
            <b/>
            <i/>
            <u/>
            <sz val="10"/>
            <color rgb="FF000000"/>
            <rFont val="Calibri"/>
            <family val="2"/>
            <scheme val="minor"/>
          </rPr>
          <t xml:space="preserve">
</t>
        </r>
      </text>
    </comment>
    <comment ref="A17" authorId="0" shapeId="0" xr:uid="{DAD60568-F852-1344-90D2-CBBE96A74B23}">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Tahoma"/>
            <family val="2"/>
          </rPr>
          <t xml:space="preserve">კომპანიის ქეში და ქეშ ეკვივალენტები შემოსავლების 9% ს შეადგენს
</t>
        </r>
        <r>
          <rPr>
            <sz val="10"/>
            <color rgb="FF000000"/>
            <rFont val="Tahoma"/>
            <family val="2"/>
          </rPr>
          <t xml:space="preserve">მიუხედავად იმისა რომ სტანდარტულად 4-5% -ია მისაღები
</t>
        </r>
        <r>
          <rPr>
            <sz val="10"/>
            <color rgb="FF000000"/>
            <rFont val="Tahoma"/>
            <family val="2"/>
          </rPr>
          <t>ვფიქრობ კომპანიის ბიზნეს მოდელიდან გამომდინარე 9% მისაღები მაჩვენებელი,რადგან რისკების დასაზღვევად კომპანიის სჭირდება ქეში .ამიტომ დანარჩენი წლების პროგნოზირებისთვისაც ავიღე 9%</t>
        </r>
      </text>
    </comment>
    <comment ref="E26" authorId="0" shapeId="0" xr:uid="{EA3B2FC3-6090-854B-8102-95BD441AB5A6}">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Tahoma"/>
            <family val="2"/>
          </rPr>
          <t>დავტოვე იგივე</t>
        </r>
      </text>
    </comment>
    <comment ref="E32" authorId="1" shapeId="0" xr:uid="{3655542F-0793-8442-B352-99E52DEE4D44}">
      <text>
        <t/>
      </text>
    </comment>
    <comment ref="E34" authorId="1" shapeId="0" xr:uid="{822DDAF8-8A00-9346-B98C-4E7317E29BCA}">
      <text>
        <r>
          <rPr>
            <sz val="9"/>
            <color rgb="FF000000"/>
            <rFont val="Tahoma"/>
            <family val="2"/>
            <charset val="204"/>
          </rPr>
          <t xml:space="preserve">მიმდინარე სესხის ნაწილს ვტოცევთ უცვლელს
</t>
        </r>
      </text>
    </comment>
    <comment ref="E36" authorId="1" shapeId="0" xr:uid="{FB9A51F4-DB3A-7048-8117-2A5D9825A300}">
      <text>
        <r>
          <rPr>
            <sz val="9"/>
            <color rgb="FF000000"/>
            <rFont val="Tahoma"/>
            <family val="2"/>
            <charset val="204"/>
          </rPr>
          <t>ვალდ+კაპ-აქტივები</t>
        </r>
      </text>
    </comment>
    <comment ref="E40" authorId="1" shapeId="0" xr:uid="{50CBA0A6-F6F8-DB4F-BCD2-931106A00A82}">
      <text>
        <r>
          <rPr>
            <sz val="9"/>
            <color rgb="FF000000"/>
            <rFont val="Tahoma"/>
            <family val="2"/>
            <charset val="204"/>
          </rPr>
          <t xml:space="preserve">common shares არ ვცვლით
</t>
        </r>
      </text>
    </comment>
  </commentList>
</comments>
</file>

<file path=xl/sharedStrings.xml><?xml version="1.0" encoding="utf-8"?>
<sst xmlns="http://schemas.openxmlformats.org/spreadsheetml/2006/main" count="94" uniqueCount="74">
  <si>
    <t>Revenue Segmentation</t>
  </si>
  <si>
    <t>Historical Data</t>
  </si>
  <si>
    <t>Brokerage</t>
  </si>
  <si>
    <t>Risk Management</t>
  </si>
  <si>
    <t>Corporate</t>
  </si>
  <si>
    <t>Growth Rate</t>
  </si>
  <si>
    <t>Industry Gr.rate</t>
  </si>
  <si>
    <t>Corelation</t>
  </si>
  <si>
    <t>Forecasted Industry Growth Rates</t>
  </si>
  <si>
    <t>Forecasted Growth Rates For Company Segments</t>
  </si>
  <si>
    <t>Forecasted Revenue For Company Segments</t>
  </si>
  <si>
    <t>Total Revenue</t>
  </si>
  <si>
    <t>Costs Segmentation</t>
  </si>
  <si>
    <t>Cogs</t>
  </si>
  <si>
    <t>SGA</t>
  </si>
  <si>
    <t>R&amp;D</t>
  </si>
  <si>
    <t>Other</t>
  </si>
  <si>
    <t>Total Costs</t>
  </si>
  <si>
    <t>% of Revenue</t>
  </si>
  <si>
    <t>Average</t>
  </si>
  <si>
    <t>Forecasted Costs For Company Segments</t>
  </si>
  <si>
    <t>EV/EBITDA</t>
  </si>
  <si>
    <t xml:space="preserve">P/E </t>
  </si>
  <si>
    <t>Artur J</t>
  </si>
  <si>
    <t>AON</t>
  </si>
  <si>
    <t>Brown&amp;Brown</t>
  </si>
  <si>
    <t>Marsh&amp;McLennan</t>
  </si>
  <si>
    <t>Willis Towers</t>
  </si>
  <si>
    <t>Industry Average</t>
  </si>
  <si>
    <t>Ratios</t>
  </si>
  <si>
    <t xml:space="preserve"> </t>
  </si>
  <si>
    <t>Years</t>
  </si>
  <si>
    <t>Revenues</t>
  </si>
  <si>
    <t>Cash variable costs</t>
  </si>
  <si>
    <t>Ebitda</t>
  </si>
  <si>
    <t>Depreciation</t>
  </si>
  <si>
    <t>Ebita</t>
  </si>
  <si>
    <t>Amortization</t>
  </si>
  <si>
    <t>Ebit</t>
  </si>
  <si>
    <t>Interest</t>
  </si>
  <si>
    <t>PBT</t>
  </si>
  <si>
    <t>Tax</t>
  </si>
  <si>
    <t>NI</t>
  </si>
  <si>
    <t>Common Dividend</t>
  </si>
  <si>
    <t>Annual Retained Earnings</t>
  </si>
  <si>
    <t>Excess cash</t>
  </si>
  <si>
    <t>Accounts Receviable</t>
  </si>
  <si>
    <t>Other current assets</t>
  </si>
  <si>
    <t>Total current assets</t>
  </si>
  <si>
    <t>PPE Gross</t>
  </si>
  <si>
    <t>Acc Depreciation</t>
  </si>
  <si>
    <t>PPE Net</t>
  </si>
  <si>
    <t>Intangible assets</t>
  </si>
  <si>
    <t>Total fixed assets</t>
  </si>
  <si>
    <t>Total assets</t>
  </si>
  <si>
    <t>Accounts Payable</t>
  </si>
  <si>
    <t>Other current liabs</t>
  </si>
  <si>
    <t>Current debt</t>
  </si>
  <si>
    <t>Total current liabs</t>
  </si>
  <si>
    <t>Long term debt</t>
  </si>
  <si>
    <t>Other long term liabs</t>
  </si>
  <si>
    <t>Total long-term liabs</t>
  </si>
  <si>
    <t>Total liabs</t>
  </si>
  <si>
    <t>Common stocks</t>
  </si>
  <si>
    <t>Retained Earnings</t>
  </si>
  <si>
    <t>Total stockholders' equity</t>
  </si>
  <si>
    <t>Liabilities and stockholders' equity</t>
  </si>
  <si>
    <t>Check</t>
  </si>
  <si>
    <t>Forecasted</t>
  </si>
  <si>
    <t>Other  fixed assets</t>
  </si>
  <si>
    <t>Operating cash (9% of revenue)</t>
  </si>
  <si>
    <t>Capex</t>
  </si>
  <si>
    <t>Capex/Last Year Revenue</t>
  </si>
  <si>
    <t>Dividend Payout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</si>
</sst>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8" formatCode="_(* #,##0.0_);_(* \(#,##0.0\);_(* &quot;-&quot;??_);_(@_)"/>
    <numFmt numFmtId="170" formatCode="0.0%"/>
    <numFmt numFmtId="171" formatCode="0.00000000000000%"/>
    <numFmt numFmtId="172" formatCode="_(* #,##0_);_(* \(#,##0\);_(* &quot;-&quot;??_);_(@_)"/>
    <numFmt numFmtId="175" formatCode="_-* #,##0\ _₾_-;\-* #,##0\ _₾_-;_-* &quot;-&quot;??\ _₾_-;_-@_-"/>
  </numFmts>
  <fonts count="24" x14ac:knownFonts="1">
    <font>
      <sz val="12"/>
      <color theme="1"/>
      <name val="Calibri"/>
      <family val="2"/>
      <scheme val="minor"/>
    </font>
    <font>
      <sz val="12"/>
      <color theme="1"/>
      <name val="Calibri"/>
      <family val="2"/>
      <scheme val="minor"/>
    </font>
    <font>
      <b/>
      <sz val="12"/>
      <color theme="1"/>
      <name val="Calibri"/>
      <family val="2"/>
      <scheme val="minor"/>
    </font>
    <font>
      <b/>
      <i/>
      <u/>
      <sz val="12"/>
      <color theme="1"/>
      <name val="Calibri"/>
      <family val="2"/>
      <scheme val="minor"/>
    </font>
    <font>
      <b/>
      <i/>
      <u/>
      <sz val="20"/>
      <color theme="1"/>
      <name val="Calibri"/>
      <family val="2"/>
      <scheme val="minor"/>
    </font>
    <font>
      <b/>
      <i/>
      <u/>
      <sz val="14"/>
      <color theme="1"/>
      <name val="Calibri"/>
      <family val="2"/>
      <scheme val="minor"/>
    </font>
    <font>
      <b/>
      <i/>
      <u val="singleAccounting"/>
      <sz val="12"/>
      <color theme="1"/>
      <name val="Calibri"/>
      <family val="2"/>
      <scheme val="minor"/>
    </font>
    <font>
      <b/>
      <i/>
      <u/>
      <sz val="16"/>
      <color theme="1"/>
      <name val="Calibri"/>
      <family val="2"/>
      <scheme val="minor"/>
    </font>
    <font>
      <b/>
      <sz val="14"/>
      <color theme="1"/>
      <name val="Calibri"/>
      <family val="2"/>
      <scheme val="minor"/>
    </font>
    <font>
      <b/>
      <i/>
      <u/>
      <sz val="16"/>
      <color theme="1"/>
      <name val="Calibri"/>
      <family val="2"/>
      <charset val="204"/>
      <scheme val="minor"/>
    </font>
    <font>
      <b/>
      <sz val="11"/>
      <color theme="1"/>
      <name val="Calibri"/>
      <family val="2"/>
      <charset val="204"/>
      <scheme val="minor"/>
    </font>
    <font>
      <b/>
      <i/>
      <u/>
      <sz val="11"/>
      <color theme="1"/>
      <name val="Calibri"/>
      <family val="2"/>
      <charset val="204"/>
      <scheme val="minor"/>
    </font>
    <font>
      <b/>
      <i/>
      <sz val="11"/>
      <color theme="1"/>
      <name val="Calibri"/>
      <family val="2"/>
      <charset val="204"/>
      <scheme val="minor"/>
    </font>
    <font>
      <b/>
      <i/>
      <u val="singleAccounting"/>
      <sz val="11"/>
      <color theme="1"/>
      <name val="Calibri"/>
      <family val="2"/>
      <charset val="204"/>
      <scheme val="minor"/>
    </font>
    <font>
      <b/>
      <i/>
      <u val="doubleAccounting"/>
      <sz val="11"/>
      <color theme="1"/>
      <name val="Calibri"/>
      <family val="2"/>
      <charset val="204"/>
      <scheme val="minor"/>
    </font>
    <font>
      <u val="singleAccounting"/>
      <sz val="12"/>
      <color theme="1"/>
      <name val="Calibri"/>
      <family val="2"/>
      <scheme val="minor"/>
    </font>
    <font>
      <b/>
      <i/>
      <u val="singleAccounting"/>
      <sz val="12"/>
      <color theme="1"/>
      <name val="Calibri"/>
      <family val="2"/>
      <charset val="204"/>
      <scheme val="minor"/>
    </font>
    <font>
      <b/>
      <i/>
      <u val="doubleAccounting"/>
      <sz val="12"/>
      <color theme="1"/>
      <name val="Calibri"/>
      <family val="2"/>
      <charset val="204"/>
      <scheme val="minor"/>
    </font>
    <font>
      <b/>
      <i/>
      <sz val="12"/>
      <color theme="1"/>
      <name val="Calibri"/>
      <family val="2"/>
      <charset val="204"/>
      <scheme val="minor"/>
    </font>
    <font>
      <sz val="9"/>
      <color rgb="FF000000"/>
      <name val="Tahoma"/>
      <family val="2"/>
      <charset val="204"/>
    </font>
    <font>
      <sz val="10"/>
      <color rgb="FF000000"/>
      <name val="Tahoma"/>
      <family val="2"/>
    </font>
    <font>
      <b/>
      <sz val="10"/>
      <color rgb="FF000000"/>
      <name val="Tahoma"/>
      <family val="2"/>
    </font>
    <font>
      <b/>
      <i/>
      <u/>
      <sz val="10"/>
      <color rgb="FF000000"/>
      <name val="Calibri"/>
      <family val="2"/>
      <scheme val="minor"/>
    </font>
    <font>
      <i/>
      <sz val="11"/>
      <color theme="1"/>
      <name val="Calibri"/>
      <family val="2"/>
      <charset val="204"/>
      <scheme val="minor"/>
    </font>
  </fonts>
  <fills count="4">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6">
    <xf numFmtId="0" fontId="0" fillId="0" borderId="0" xfId="0"/>
    <xf numFmtId="0" fontId="0" fillId="0" borderId="5" xfId="0" applyBorder="1"/>
    <xf numFmtId="0" fontId="0" fillId="0" borderId="7" xfId="0" applyBorder="1"/>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3" fillId="3" borderId="5" xfId="0" applyFont="1" applyFill="1" applyBorder="1" applyAlignment="1">
      <alignment horizontal="center"/>
    </xf>
    <xf numFmtId="0" fontId="3" fillId="3" borderId="1" xfId="0" applyFont="1" applyFill="1" applyBorder="1" applyAlignment="1">
      <alignment horizontal="center"/>
    </xf>
    <xf numFmtId="0" fontId="3" fillId="3" borderId="6" xfId="0" applyFont="1" applyFill="1" applyBorder="1" applyAlignment="1">
      <alignment horizontal="center"/>
    </xf>
    <xf numFmtId="0" fontId="3" fillId="0" borderId="1" xfId="0" applyFont="1" applyBorder="1" applyAlignment="1">
      <alignment horizontal="center" vertical="center"/>
    </xf>
    <xf numFmtId="0" fontId="3" fillId="0" borderId="6" xfId="0" applyFont="1" applyBorder="1" applyAlignment="1">
      <alignment horizontal="center" vertical="center"/>
    </xf>
    <xf numFmtId="43" fontId="0" fillId="0" borderId="1" xfId="1" applyFont="1" applyBorder="1"/>
    <xf numFmtId="168" fontId="0" fillId="0" borderId="1" xfId="1" applyNumberFormat="1" applyFont="1" applyBorder="1"/>
    <xf numFmtId="168" fontId="3" fillId="0" borderId="8" xfId="1" applyNumberFormat="1" applyFont="1" applyBorder="1"/>
    <xf numFmtId="43" fontId="0" fillId="0" borderId="6" xfId="0" applyNumberFormat="1" applyBorder="1"/>
    <xf numFmtId="170" fontId="0" fillId="0" borderId="9" xfId="2" applyNumberFormat="1" applyFont="1" applyBorder="1"/>
    <xf numFmtId="0" fontId="3" fillId="0" borderId="10" xfId="0" applyFont="1" applyBorder="1"/>
    <xf numFmtId="10" fontId="3" fillId="3" borderId="11" xfId="0" applyNumberFormat="1" applyFont="1" applyFill="1" applyBorder="1"/>
    <xf numFmtId="0" fontId="3" fillId="0" borderId="0" xfId="0" applyFont="1"/>
    <xf numFmtId="0" fontId="3" fillId="2" borderId="0" xfId="0" applyFont="1" applyFill="1"/>
    <xf numFmtId="171" fontId="0" fillId="0" borderId="0" xfId="0" applyNumberFormat="1"/>
    <xf numFmtId="43" fontId="0" fillId="0" borderId="0" xfId="1" applyFont="1"/>
    <xf numFmtId="0" fontId="3" fillId="0" borderId="12" xfId="0" applyFont="1" applyBorder="1" applyAlignment="1">
      <alignment horizontal="center" vertical="center"/>
    </xf>
    <xf numFmtId="170" fontId="0" fillId="0" borderId="12" xfId="2" applyNumberFormat="1" applyFont="1" applyBorder="1"/>
    <xf numFmtId="0" fontId="3" fillId="2" borderId="13" xfId="0" applyFont="1" applyFill="1" applyBorder="1"/>
    <xf numFmtId="168" fontId="0" fillId="0" borderId="14" xfId="1" applyNumberFormat="1" applyFont="1" applyBorder="1"/>
    <xf numFmtId="168" fontId="0" fillId="0" borderId="15" xfId="1" applyNumberFormat="1" applyFont="1" applyBorder="1"/>
    <xf numFmtId="0" fontId="5" fillId="2" borderId="2" xfId="0" applyFont="1" applyFill="1" applyBorder="1" applyAlignment="1">
      <alignment horizontal="center"/>
    </xf>
    <xf numFmtId="0" fontId="5" fillId="2" borderId="4" xfId="0" applyFont="1" applyFill="1" applyBorder="1" applyAlignment="1">
      <alignment horizontal="center"/>
    </xf>
    <xf numFmtId="10" fontId="0" fillId="0" borderId="6" xfId="0" applyNumberFormat="1" applyBorder="1"/>
    <xf numFmtId="10" fontId="0" fillId="0" borderId="9" xfId="0" applyNumberFormat="1" applyBorder="1"/>
    <xf numFmtId="9" fontId="0" fillId="0" borderId="0" xfId="2" applyFont="1"/>
    <xf numFmtId="172" fontId="6" fillId="0" borderId="1" xfId="1" applyNumberFormat="1" applyFont="1" applyFill="1" applyBorder="1" applyAlignment="1">
      <alignment horizontal="center" vertical="center"/>
    </xf>
    <xf numFmtId="0" fontId="6" fillId="0" borderId="1" xfId="0" applyFont="1" applyBorder="1" applyAlignment="1">
      <alignment horizontal="center" vertical="center"/>
    </xf>
    <xf numFmtId="170" fontId="0" fillId="0" borderId="1" xfId="2" applyNumberFormat="1" applyFont="1" applyBorder="1"/>
    <xf numFmtId="0" fontId="5" fillId="3" borderId="2" xfId="0" applyFont="1" applyFill="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xf>
    <xf numFmtId="172" fontId="6" fillId="0" borderId="6" xfId="1" applyNumberFormat="1" applyFont="1" applyFill="1" applyBorder="1" applyAlignment="1">
      <alignment horizontal="center" vertical="center"/>
    </xf>
    <xf numFmtId="170" fontId="0" fillId="0" borderId="8" xfId="2" applyNumberFormat="1" applyFont="1" applyBorder="1"/>
    <xf numFmtId="0" fontId="5" fillId="3" borderId="16" xfId="0" applyFont="1" applyFill="1" applyBorder="1" applyAlignment="1">
      <alignment horizontal="center"/>
    </xf>
    <xf numFmtId="172" fontId="6" fillId="0" borderId="12" xfId="1" applyNumberFormat="1" applyFont="1" applyFill="1" applyBorder="1" applyAlignment="1">
      <alignment horizontal="center" vertical="center"/>
    </xf>
    <xf numFmtId="43" fontId="0" fillId="0" borderId="1" xfId="0" applyNumberFormat="1" applyBorder="1"/>
    <xf numFmtId="0" fontId="5" fillId="2" borderId="3" xfId="0" applyFont="1" applyFill="1" applyBorder="1" applyAlignment="1">
      <alignment horizontal="center"/>
    </xf>
    <xf numFmtId="172" fontId="6" fillId="0" borderId="5" xfId="1" applyNumberFormat="1" applyFont="1" applyFill="1" applyBorder="1" applyAlignment="1">
      <alignment horizontal="center" vertical="center"/>
    </xf>
    <xf numFmtId="43" fontId="0" fillId="0" borderId="5" xfId="0" applyNumberFormat="1" applyBorder="1"/>
    <xf numFmtId="170" fontId="0" fillId="0" borderId="17" xfId="2" applyNumberFormat="1" applyFont="1" applyBorder="1"/>
    <xf numFmtId="43" fontId="0" fillId="0" borderId="18" xfId="0" applyNumberFormat="1" applyBorder="1"/>
    <xf numFmtId="43" fontId="0" fillId="0" borderId="19" xfId="0" applyNumberFormat="1" applyBorder="1"/>
    <xf numFmtId="43" fontId="0" fillId="0" borderId="20" xfId="0" applyNumberFormat="1" applyBorder="1"/>
    <xf numFmtId="43" fontId="6" fillId="0" borderId="22" xfId="0" applyNumberFormat="1" applyFont="1" applyBorder="1"/>
    <xf numFmtId="43" fontId="6" fillId="0" borderId="23" xfId="0" applyNumberFormat="1" applyFont="1" applyBorder="1"/>
    <xf numFmtId="0" fontId="0" fillId="0" borderId="0" xfId="0" applyAlignment="1"/>
    <xf numFmtId="0" fontId="3" fillId="0" borderId="0" xfId="0" applyFont="1" applyAlignment="1">
      <alignment horizontal="center" vertic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8" fillId="2" borderId="5" xfId="0" applyFont="1" applyFill="1" applyBorder="1" applyAlignment="1">
      <alignment horizontal="center"/>
    </xf>
    <xf numFmtId="0" fontId="8" fillId="2" borderId="1" xfId="0" applyFont="1" applyFill="1" applyBorder="1" applyAlignment="1">
      <alignment horizontal="center"/>
    </xf>
    <xf numFmtId="0" fontId="8" fillId="2" borderId="6" xfId="0" applyFont="1" applyFill="1" applyBorder="1" applyAlignment="1">
      <alignment horizontal="center"/>
    </xf>
    <xf numFmtId="43" fontId="6" fillId="0" borderId="8" xfId="0" applyNumberFormat="1" applyFont="1" applyBorder="1"/>
    <xf numFmtId="43" fontId="6" fillId="0" borderId="8" xfId="0" applyNumberFormat="1" applyFont="1" applyBorder="1" applyAlignment="1">
      <alignment horizontal="center" vertical="center"/>
    </xf>
    <xf numFmtId="0" fontId="3" fillId="0" borderId="7" xfId="0" applyFont="1" applyBorder="1"/>
    <xf numFmtId="43" fontId="6" fillId="0" borderId="9" xfId="0" applyNumberFormat="1" applyFont="1" applyBorder="1" applyAlignment="1">
      <alignment horizontal="center" vertical="center"/>
    </xf>
    <xf numFmtId="9" fontId="0" fillId="0" borderId="0" xfId="0" applyNumberFormat="1"/>
    <xf numFmtId="9" fontId="0" fillId="0" borderId="1" xfId="2" applyFont="1" applyBorder="1"/>
    <xf numFmtId="9" fontId="0" fillId="0" borderId="8" xfId="2" applyFont="1" applyBorder="1"/>
    <xf numFmtId="0" fontId="3" fillId="2" borderId="6" xfId="0" applyFont="1" applyFill="1" applyBorder="1"/>
    <xf numFmtId="9" fontId="3" fillId="2" borderId="6" xfId="0" applyNumberFormat="1" applyFont="1" applyFill="1" applyBorder="1"/>
    <xf numFmtId="9" fontId="3" fillId="2" borderId="9" xfId="0" applyNumberFormat="1" applyFont="1" applyFill="1" applyBorder="1"/>
    <xf numFmtId="0" fontId="0" fillId="0" borderId="24" xfId="0" applyBorder="1"/>
    <xf numFmtId="0" fontId="0" fillId="0" borderId="25" xfId="0" applyBorder="1"/>
    <xf numFmtId="43" fontId="6" fillId="0" borderId="9" xfId="0" applyNumberFormat="1" applyFont="1" applyBorder="1"/>
    <xf numFmtId="0" fontId="0" fillId="2" borderId="2" xfId="0" applyFill="1" applyBorder="1"/>
    <xf numFmtId="0" fontId="10" fillId="0" borderId="5" xfId="0" applyFont="1" applyBorder="1"/>
    <xf numFmtId="0" fontId="11" fillId="0" borderId="1" xfId="0" applyFont="1" applyBorder="1"/>
    <xf numFmtId="175" fontId="13" fillId="0" borderId="1" xfId="1" applyNumberFormat="1" applyFont="1" applyBorder="1"/>
    <xf numFmtId="175" fontId="13" fillId="0" borderId="6" xfId="1" applyNumberFormat="1" applyFont="1" applyBorder="1"/>
    <xf numFmtId="175" fontId="0" fillId="0" borderId="1" xfId="1" applyNumberFormat="1" applyFont="1" applyBorder="1"/>
    <xf numFmtId="175" fontId="0" fillId="0" borderId="6" xfId="1" applyNumberFormat="1" applyFont="1" applyBorder="1"/>
    <xf numFmtId="0" fontId="12" fillId="0" borderId="5" xfId="0" applyFont="1" applyBorder="1"/>
    <xf numFmtId="175" fontId="14" fillId="0" borderId="6" xfId="1" applyNumberFormat="1" applyFont="1" applyBorder="1"/>
    <xf numFmtId="175" fontId="14" fillId="0" borderId="1" xfId="1" applyNumberFormat="1" applyFont="1" applyBorder="1"/>
    <xf numFmtId="0" fontId="11" fillId="0" borderId="6" xfId="0" applyFont="1" applyBorder="1"/>
    <xf numFmtId="0" fontId="10" fillId="0" borderId="7" xfId="0" applyFont="1" applyBorder="1"/>
    <xf numFmtId="175" fontId="10" fillId="0" borderId="8" xfId="1" applyNumberFormat="1" applyFont="1" applyBorder="1"/>
    <xf numFmtId="175" fontId="10" fillId="0" borderId="9" xfId="1" applyNumberFormat="1" applyFont="1" applyBorder="1"/>
    <xf numFmtId="0" fontId="11" fillId="0" borderId="5" xfId="0" applyFont="1" applyBorder="1"/>
    <xf numFmtId="175" fontId="0" fillId="0" borderId="5" xfId="1" applyNumberFormat="1" applyFont="1" applyBorder="1"/>
    <xf numFmtId="175" fontId="16" fillId="0" borderId="5" xfId="1" applyNumberFormat="1" applyFont="1" applyBorder="1"/>
    <xf numFmtId="175" fontId="16" fillId="0" borderId="1" xfId="1" applyNumberFormat="1" applyFont="1" applyBorder="1"/>
    <xf numFmtId="175" fontId="17" fillId="0" borderId="5" xfId="1" applyNumberFormat="1" applyFont="1" applyBorder="1"/>
    <xf numFmtId="175" fontId="17" fillId="0" borderId="1" xfId="1" applyNumberFormat="1" applyFont="1" applyBorder="1"/>
    <xf numFmtId="0" fontId="9" fillId="0" borderId="0" xfId="0" applyFont="1" applyBorder="1" applyAlignment="1"/>
    <xf numFmtId="0" fontId="11" fillId="0" borderId="0" xfId="0" applyFont="1" applyBorder="1"/>
    <xf numFmtId="175" fontId="15" fillId="0" borderId="0" xfId="1" applyNumberFormat="1" applyFont="1" applyBorder="1"/>
    <xf numFmtId="175" fontId="0" fillId="0" borderId="0" xfId="1" applyNumberFormat="1" applyFont="1" applyBorder="1"/>
    <xf numFmtId="175" fontId="16" fillId="0" borderId="0" xfId="1" applyNumberFormat="1" applyFont="1" applyBorder="1"/>
    <xf numFmtId="175" fontId="17" fillId="0" borderId="0" xfId="1" applyNumberFormat="1" applyFont="1" applyBorder="1"/>
    <xf numFmtId="175" fontId="18" fillId="0" borderId="0" xfId="1" applyNumberFormat="1" applyFont="1" applyBorder="1"/>
    <xf numFmtId="0" fontId="0" fillId="0" borderId="0" xfId="0" applyBorder="1"/>
    <xf numFmtId="175" fontId="16" fillId="0" borderId="6" xfId="1" applyNumberFormat="1" applyFont="1" applyBorder="1"/>
    <xf numFmtId="175" fontId="17" fillId="0" borderId="6" xfId="1" applyNumberFormat="1" applyFont="1" applyBorder="1"/>
    <xf numFmtId="0" fontId="3" fillId="2" borderId="0" xfId="0" applyFont="1" applyFill="1" applyAlignment="1">
      <alignment horizontal="center" vertical="center"/>
    </xf>
    <xf numFmtId="0" fontId="9" fillId="3" borderId="2" xfId="0" applyFont="1" applyFill="1" applyBorder="1" applyAlignment="1">
      <alignment horizontal="center"/>
    </xf>
    <xf numFmtId="0" fontId="9" fillId="3" borderId="3" xfId="0" applyFont="1" applyFill="1" applyBorder="1" applyAlignment="1">
      <alignment horizontal="center"/>
    </xf>
    <xf numFmtId="0" fontId="9" fillId="3" borderId="4" xfId="0" applyFont="1" applyFill="1" applyBorder="1" applyAlignment="1">
      <alignment horizontal="center"/>
    </xf>
    <xf numFmtId="175" fontId="18" fillId="0" borderId="7" xfId="1" applyNumberFormat="1" applyFont="1" applyBorder="1"/>
    <xf numFmtId="175" fontId="18" fillId="0" borderId="8" xfId="1" applyNumberFormat="1" applyFont="1" applyBorder="1"/>
    <xf numFmtId="175" fontId="18" fillId="0" borderId="9" xfId="1" applyNumberFormat="1" applyFont="1" applyBorder="1"/>
    <xf numFmtId="0" fontId="9" fillId="2" borderId="2" xfId="0" applyFont="1" applyFill="1" applyBorder="1" applyAlignment="1">
      <alignment horizontal="center"/>
    </xf>
    <xf numFmtId="0" fontId="9" fillId="2" borderId="3" xfId="0" applyFont="1" applyFill="1" applyBorder="1" applyAlignment="1">
      <alignment horizontal="center"/>
    </xf>
    <xf numFmtId="0" fontId="9" fillId="2" borderId="4" xfId="0" applyFont="1" applyFill="1" applyBorder="1" applyAlignment="1">
      <alignment horizontal="center"/>
    </xf>
    <xf numFmtId="0" fontId="3" fillId="0" borderId="21" xfId="0" applyFont="1" applyFill="1" applyBorder="1"/>
    <xf numFmtId="0" fontId="23" fillId="0" borderId="25" xfId="0" applyFont="1" applyBorder="1"/>
    <xf numFmtId="9" fontId="17" fillId="0" borderId="0" xfId="2" applyFont="1" applyBorder="1"/>
    <xf numFmtId="0" fontId="3" fillId="0" borderId="29" xfId="0" applyFont="1" applyBorder="1"/>
    <xf numFmtId="0" fontId="3" fillId="0" borderId="30" xfId="0" applyFont="1" applyBorder="1"/>
    <xf numFmtId="0" fontId="2" fillId="0" borderId="25" xfId="0" applyFont="1" applyBorder="1"/>
    <xf numFmtId="9" fontId="0" fillId="0" borderId="0" xfId="2" applyFont="1" applyBorder="1"/>
    <xf numFmtId="9" fontId="0" fillId="0" borderId="26" xfId="2" applyFont="1" applyBorder="1"/>
    <xf numFmtId="0" fontId="0" fillId="0" borderId="26" xfId="0" applyBorder="1"/>
    <xf numFmtId="0" fontId="2" fillId="0" borderId="31" xfId="0" applyFont="1" applyBorder="1"/>
    <xf numFmtId="9" fontId="3" fillId="0" borderId="27" xfId="0" applyNumberFormat="1" applyFont="1" applyBorder="1"/>
    <xf numFmtId="0" fontId="0" fillId="0" borderId="28" xfId="0" applyBorder="1"/>
    <xf numFmtId="43" fontId="0" fillId="0" borderId="0" xfId="1" applyFont="1" applyAlignment="1">
      <alignment horizontal="center" vertical="center"/>
    </xf>
    <xf numFmtId="9" fontId="0" fillId="0" borderId="0" xfId="0" applyNumberFormat="1" applyAlignment="1">
      <alignment horizontal="center" vertical="center"/>
    </xf>
    <xf numFmtId="0" fontId="3" fillId="0" borderId="29" xfId="0" applyFont="1" applyBorder="1" applyAlignment="1">
      <alignment horizontal="center" vertical="center"/>
    </xf>
    <xf numFmtId="9" fontId="3" fillId="0" borderId="26" xfId="0" applyNumberFormat="1" applyFont="1" applyBorder="1"/>
    <xf numFmtId="0" fontId="0" fillId="0" borderId="31" xfId="0" applyBorder="1"/>
    <xf numFmtId="9" fontId="0" fillId="0" borderId="27" xfId="2" applyFont="1" applyBorder="1"/>
    <xf numFmtId="9" fontId="3" fillId="0" borderId="28" xfId="0" applyNumberFormat="1" applyFont="1" applyBorder="1"/>
    <xf numFmtId="175" fontId="6" fillId="0" borderId="5" xfId="1" applyNumberFormat="1" applyFont="1" applyBorder="1"/>
    <xf numFmtId="175" fontId="6" fillId="0" borderId="1" xfId="1" applyNumberFormat="1" applyFont="1" applyBorder="1"/>
    <xf numFmtId="175" fontId="6" fillId="0" borderId="6" xfId="1" applyNumberFormat="1" applyFont="1" applyBorder="1"/>
    <xf numFmtId="43" fontId="0" fillId="0" borderId="6" xfId="1" applyFont="1" applyBorder="1"/>
  </cellXfs>
  <cellStyles count="3">
    <cellStyle name="Comma" xfId="1" builtinId="3"/>
    <cellStyle name="Normal" xfId="0" builtinId="0"/>
    <cellStyle name="Percent" xfId="2" builtinId="5"/>
  </cellStyles>
  <dxfs count="1">
    <dxf>
      <font>
        <b/>
        <i/>
        <strike val="0"/>
        <condense val="0"/>
        <extend val="0"/>
        <outline val="0"/>
        <shadow val="0"/>
        <u/>
        <vertAlign val="baseline"/>
        <sz val="12"/>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a-GE"/>
              <a:t>Revenue</a:t>
            </a:r>
            <a:r>
              <a:rPr lang="ka-GE" baseline="0"/>
              <a:t> Segmentation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'Revenue&amp;Cost Forecast'!$B$3</c:f>
              <c:strCache>
                <c:ptCount val="1"/>
                <c:pt idx="0">
                  <c:v>2020</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'Revenue&amp;Cost Forecast'!$A$4:$A$6</c:f>
              <c:strCache>
                <c:ptCount val="3"/>
                <c:pt idx="0">
                  <c:v>Brokerage</c:v>
                </c:pt>
                <c:pt idx="1">
                  <c:v>Risk Management</c:v>
                </c:pt>
                <c:pt idx="2">
                  <c:v>Corporate</c:v>
                </c:pt>
              </c:strCache>
            </c:strRef>
          </c:cat>
          <c:val>
            <c:numRef>
              <c:f>'Revenue&amp;Cost Forecast'!$B$4:$B$6</c:f>
              <c:numCache>
                <c:formatCode>_(* #,##0.0_);_(* \(#,##0.0\);_(* "-"??_);_(@_)</c:formatCode>
                <c:ptCount val="3"/>
                <c:pt idx="0">
                  <c:v>4901.5</c:v>
                </c:pt>
                <c:pt idx="1">
                  <c:v>977.1</c:v>
                </c:pt>
                <c:pt idx="2">
                  <c:v>1316.4</c:v>
                </c:pt>
              </c:numCache>
            </c:numRef>
          </c:val>
          <c:extLst>
            <c:ext xmlns:c16="http://schemas.microsoft.com/office/drawing/2014/chart" uri="{C3380CC4-5D6E-409C-BE32-E72D297353CC}">
              <c16:uniqueId val="{00000000-A312-F047-B129-42E964320900}"/>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a-GE"/>
              <a:t>Costs Segmentation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'Revenue&amp;Cost Forecast'!$B$32</c:f>
              <c:strCache>
                <c:ptCount val="1"/>
                <c:pt idx="0">
                  <c:v>2020</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'Revenue&amp;Cost Forecast'!$A$33:$A$36</c:f>
              <c:strCache>
                <c:ptCount val="4"/>
                <c:pt idx="0">
                  <c:v>Cogs</c:v>
                </c:pt>
                <c:pt idx="1">
                  <c:v>SGA</c:v>
                </c:pt>
                <c:pt idx="2">
                  <c:v>R&amp;D</c:v>
                </c:pt>
                <c:pt idx="3">
                  <c:v>Other</c:v>
                </c:pt>
              </c:strCache>
            </c:strRef>
          </c:cat>
          <c:val>
            <c:numRef>
              <c:f>'Revenue&amp;Cost Forecast'!$B$33:$B$36</c:f>
              <c:numCache>
                <c:formatCode>_(* #,##0.00_);_(* \(#,##0.00\);_(* "-"??_);_(@_)</c:formatCode>
                <c:ptCount val="4"/>
                <c:pt idx="0">
                  <c:v>2374.35</c:v>
                </c:pt>
                <c:pt idx="1">
                  <c:v>1582.9</c:v>
                </c:pt>
                <c:pt idx="2">
                  <c:v>719.5</c:v>
                </c:pt>
                <c:pt idx="3">
                  <c:v>503.65000000000003</c:v>
                </c:pt>
              </c:numCache>
            </c:numRef>
          </c:val>
          <c:extLst>
            <c:ext xmlns:c16="http://schemas.microsoft.com/office/drawing/2014/chart" uri="{C3380CC4-5D6E-409C-BE32-E72D297353CC}">
              <c16:uniqueId val="{00000000-3E29-904A-A765-D35DC5F3A0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a-GE"/>
              <a:t>Forecasted Costs For Company Segments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'Revenue&amp;Cost Forecast'!$J$32</c:f>
              <c:strCache>
                <c:ptCount val="1"/>
                <c:pt idx="0">
                  <c:v>Cogs</c:v>
                </c:pt>
              </c:strCache>
            </c:strRef>
          </c:tx>
          <c:spPr>
            <a:solidFill>
              <a:schemeClr val="accent1"/>
            </a:solidFill>
            <a:ln>
              <a:noFill/>
            </a:ln>
            <a:effectLst/>
          </c:spPr>
          <c:invertIfNegative val="0"/>
          <c:cat>
            <c:strRef>
              <c:extLst>
                <c:ext xmlns:c15="http://schemas.microsoft.com/office/drawing/2012/chart" uri="{02D57815-91ED-43cb-92C2-25804820EDAC}">
                  <c15:fullRef>
                    <c15:sqref>'Revenue&amp;Cost Forecast'!$K$30:$O$31</c15:sqref>
                  </c15:fullRef>
                  <c15:levelRef>
                    <c15:sqref>'Revenue&amp;Cost Forecast'!$K$31:$O$31</c15:sqref>
                  </c15:levelRef>
                </c:ext>
              </c:extLst>
              <c:f>'Revenue&amp;Cost Forecast'!$K$31:$O$31</c:f>
              <c:strCache>
                <c:ptCount val="5"/>
                <c:pt idx="0">
                  <c:v> 2,022 </c:v>
                </c:pt>
                <c:pt idx="1">
                  <c:v>2023</c:v>
                </c:pt>
                <c:pt idx="2">
                  <c:v> 2,024 </c:v>
                </c:pt>
                <c:pt idx="3">
                  <c:v>2025</c:v>
                </c:pt>
                <c:pt idx="4">
                  <c:v> 2,026 </c:v>
                </c:pt>
              </c:strCache>
            </c:strRef>
          </c:cat>
          <c:val>
            <c:numRef>
              <c:f>'Revenue&amp;Cost Forecast'!$K$32:$O$32</c:f>
              <c:numCache>
                <c:formatCode>_(* #,##0.00_);_(* \(#,##0.00\);_(* "-"??_);_(@_)</c:formatCode>
                <c:ptCount val="5"/>
                <c:pt idx="0">
                  <c:v>2340.6405076481715</c:v>
                </c:pt>
                <c:pt idx="1">
                  <c:v>2360.8855408061809</c:v>
                </c:pt>
                <c:pt idx="2">
                  <c:v>2404.2637757447237</c:v>
                </c:pt>
                <c:pt idx="3">
                  <c:v>2471.6540038390476</c:v>
                </c:pt>
                <c:pt idx="4">
                  <c:v>2563.5871795106204</c:v>
                </c:pt>
              </c:numCache>
            </c:numRef>
          </c:val>
          <c:extLst>
            <c:ext xmlns:c16="http://schemas.microsoft.com/office/drawing/2014/chart" uri="{C3380CC4-5D6E-409C-BE32-E72D297353CC}">
              <c16:uniqueId val="{00000000-04CD-134E-9D7A-BDEF2C5FCDF5}"/>
            </c:ext>
          </c:extLst>
        </c:ser>
        <c:ser>
          <c:idx val="1"/>
          <c:order val="1"/>
          <c:tx>
            <c:strRef>
              <c:f>'Revenue&amp;Cost Forecast'!$J$33</c:f>
              <c:strCache>
                <c:ptCount val="1"/>
                <c:pt idx="0">
                  <c:v>SGA</c:v>
                </c:pt>
              </c:strCache>
            </c:strRef>
          </c:tx>
          <c:spPr>
            <a:solidFill>
              <a:schemeClr val="accent2"/>
            </a:solidFill>
            <a:ln>
              <a:noFill/>
            </a:ln>
            <a:effectLst/>
          </c:spPr>
          <c:invertIfNegative val="0"/>
          <c:cat>
            <c:strRef>
              <c:extLst>
                <c:ext xmlns:c15="http://schemas.microsoft.com/office/drawing/2012/chart" uri="{02D57815-91ED-43cb-92C2-25804820EDAC}">
                  <c15:fullRef>
                    <c15:sqref>'Revenue&amp;Cost Forecast'!$K$30:$O$31</c15:sqref>
                  </c15:fullRef>
                  <c15:levelRef>
                    <c15:sqref>'Revenue&amp;Cost Forecast'!$K$31:$O$31</c15:sqref>
                  </c15:levelRef>
                </c:ext>
              </c:extLst>
              <c:f>'Revenue&amp;Cost Forecast'!$K$31:$O$31</c:f>
              <c:strCache>
                <c:ptCount val="5"/>
                <c:pt idx="0">
                  <c:v> 2,022 </c:v>
                </c:pt>
                <c:pt idx="1">
                  <c:v>2023</c:v>
                </c:pt>
                <c:pt idx="2">
                  <c:v> 2,024 </c:v>
                </c:pt>
                <c:pt idx="3">
                  <c:v>2025</c:v>
                </c:pt>
                <c:pt idx="4">
                  <c:v> 2,026 </c:v>
                </c:pt>
              </c:strCache>
            </c:strRef>
          </c:cat>
          <c:val>
            <c:numRef>
              <c:f>'Revenue&amp;Cost Forecast'!$K$33:$O$33</c:f>
              <c:numCache>
                <c:formatCode>_(* #,##0.00_);_(* \(#,##0.00\);_(* "-"??_);_(@_)</c:formatCode>
                <c:ptCount val="5"/>
                <c:pt idx="0">
                  <c:v>1572.0719827487721</c:v>
                </c:pt>
                <c:pt idx="1">
                  <c:v>1585.6693930787785</c:v>
                </c:pt>
                <c:pt idx="2">
                  <c:v>1614.8040284852623</c:v>
                </c:pt>
                <c:pt idx="3">
                  <c:v>1660.0661219814499</c:v>
                </c:pt>
                <c:pt idx="4">
                  <c:v>1721.8122847459395</c:v>
                </c:pt>
              </c:numCache>
            </c:numRef>
          </c:val>
          <c:extLst>
            <c:ext xmlns:c16="http://schemas.microsoft.com/office/drawing/2014/chart" uri="{C3380CC4-5D6E-409C-BE32-E72D297353CC}">
              <c16:uniqueId val="{00000001-04CD-134E-9D7A-BDEF2C5FCDF5}"/>
            </c:ext>
          </c:extLst>
        </c:ser>
        <c:ser>
          <c:idx val="2"/>
          <c:order val="2"/>
          <c:tx>
            <c:strRef>
              <c:f>'Revenue&amp;Cost Forecast'!$J$34</c:f>
              <c:strCache>
                <c:ptCount val="1"/>
                <c:pt idx="0">
                  <c:v>R&amp;D</c:v>
                </c:pt>
              </c:strCache>
            </c:strRef>
          </c:tx>
          <c:spPr>
            <a:solidFill>
              <a:schemeClr val="accent3"/>
            </a:solidFill>
            <a:ln>
              <a:noFill/>
            </a:ln>
            <a:effectLst/>
          </c:spPr>
          <c:invertIfNegative val="0"/>
          <c:cat>
            <c:strRef>
              <c:extLst>
                <c:ext xmlns:c15="http://schemas.microsoft.com/office/drawing/2012/chart" uri="{02D57815-91ED-43cb-92C2-25804820EDAC}">
                  <c15:fullRef>
                    <c15:sqref>'Revenue&amp;Cost Forecast'!$K$30:$O$31</c15:sqref>
                  </c15:fullRef>
                  <c15:levelRef>
                    <c15:sqref>'Revenue&amp;Cost Forecast'!$K$31:$O$31</c15:sqref>
                  </c15:levelRef>
                </c:ext>
              </c:extLst>
              <c:f>'Revenue&amp;Cost Forecast'!$K$31:$O$31</c:f>
              <c:strCache>
                <c:ptCount val="5"/>
                <c:pt idx="0">
                  <c:v> 2,022 </c:v>
                </c:pt>
                <c:pt idx="1">
                  <c:v>2023</c:v>
                </c:pt>
                <c:pt idx="2">
                  <c:v> 2,024 </c:v>
                </c:pt>
                <c:pt idx="3">
                  <c:v>2025</c:v>
                </c:pt>
                <c:pt idx="4">
                  <c:v> 2,026 </c:v>
                </c:pt>
              </c:strCache>
            </c:strRef>
          </c:cat>
          <c:val>
            <c:numRef>
              <c:f>'Revenue&amp;Cost Forecast'!$K$34:$O$34</c:f>
              <c:numCache>
                <c:formatCode>_(* #,##0.00_);_(* \(#,##0.00\);_(* "-"??_);_(@_)</c:formatCode>
                <c:ptCount val="5"/>
                <c:pt idx="0">
                  <c:v>733.633591949427</c:v>
                </c:pt>
                <c:pt idx="1">
                  <c:v>739.97905010343004</c:v>
                </c:pt>
                <c:pt idx="2">
                  <c:v>753.57521329312249</c:v>
                </c:pt>
                <c:pt idx="3">
                  <c:v>774.69752359134338</c:v>
                </c:pt>
                <c:pt idx="4">
                  <c:v>803.51239954810512</c:v>
                </c:pt>
              </c:numCache>
            </c:numRef>
          </c:val>
          <c:extLst>
            <c:ext xmlns:c16="http://schemas.microsoft.com/office/drawing/2014/chart" uri="{C3380CC4-5D6E-409C-BE32-E72D297353CC}">
              <c16:uniqueId val="{00000002-04CD-134E-9D7A-BDEF2C5FCDF5}"/>
            </c:ext>
          </c:extLst>
        </c:ser>
        <c:ser>
          <c:idx val="3"/>
          <c:order val="3"/>
          <c:tx>
            <c:strRef>
              <c:f>'Revenue&amp;Cost Forecast'!$J$35</c:f>
              <c:strCache>
                <c:ptCount val="1"/>
                <c:pt idx="0">
                  <c:v>Other</c:v>
                </c:pt>
              </c:strCache>
            </c:strRef>
          </c:tx>
          <c:spPr>
            <a:solidFill>
              <a:schemeClr val="accent4"/>
            </a:solidFill>
            <a:ln>
              <a:noFill/>
            </a:ln>
            <a:effectLst/>
          </c:spPr>
          <c:invertIfNegative val="0"/>
          <c:cat>
            <c:strRef>
              <c:extLst>
                <c:ext xmlns:c15="http://schemas.microsoft.com/office/drawing/2012/chart" uri="{02D57815-91ED-43cb-92C2-25804820EDAC}">
                  <c15:fullRef>
                    <c15:sqref>'Revenue&amp;Cost Forecast'!$K$30:$O$31</c15:sqref>
                  </c15:fullRef>
                  <c15:levelRef>
                    <c15:sqref>'Revenue&amp;Cost Forecast'!$K$31:$O$31</c15:sqref>
                  </c15:levelRef>
                </c:ext>
              </c:extLst>
              <c:f>'Revenue&amp;Cost Forecast'!$K$31:$O$31</c:f>
              <c:strCache>
                <c:ptCount val="5"/>
                <c:pt idx="0">
                  <c:v> 2,022 </c:v>
                </c:pt>
                <c:pt idx="1">
                  <c:v>2023</c:v>
                </c:pt>
                <c:pt idx="2">
                  <c:v> 2,024 </c:v>
                </c:pt>
                <c:pt idx="3">
                  <c:v>2025</c:v>
                </c:pt>
                <c:pt idx="4">
                  <c:v> 2,026 </c:v>
                </c:pt>
              </c:strCache>
            </c:strRef>
          </c:cat>
          <c:val>
            <c:numRef>
              <c:f>'Revenue&amp;Cost Forecast'!$K$35:$O$35</c:f>
              <c:numCache>
                <c:formatCode>_(* #,##0.00_);_(* \(#,##0.00\);_(* "-"??_);_(@_)</c:formatCode>
                <c:ptCount val="5"/>
                <c:pt idx="0">
                  <c:v>524.02399424959071</c:v>
                </c:pt>
                <c:pt idx="1">
                  <c:v>528.55646435959284</c:v>
                </c:pt>
                <c:pt idx="2">
                  <c:v>538.26800949508754</c:v>
                </c:pt>
                <c:pt idx="3">
                  <c:v>553.35537399381678</c:v>
                </c:pt>
                <c:pt idx="4">
                  <c:v>573.9374282486466</c:v>
                </c:pt>
              </c:numCache>
            </c:numRef>
          </c:val>
          <c:extLst>
            <c:ext xmlns:c16="http://schemas.microsoft.com/office/drawing/2014/chart" uri="{C3380CC4-5D6E-409C-BE32-E72D297353CC}">
              <c16:uniqueId val="{00000003-04CD-134E-9D7A-BDEF2C5FCDF5}"/>
            </c:ext>
          </c:extLst>
        </c:ser>
        <c:dLbls>
          <c:showLegendKey val="0"/>
          <c:showVal val="0"/>
          <c:showCatName val="0"/>
          <c:showSerName val="0"/>
          <c:showPercent val="0"/>
          <c:showBubbleSize val="0"/>
        </c:dLbls>
        <c:gapWidth val="219"/>
        <c:overlap val="-27"/>
        <c:axId val="1728591631"/>
        <c:axId val="1694811487"/>
      </c:barChart>
      <c:lineChart>
        <c:grouping val="standard"/>
        <c:varyColors val="0"/>
        <c:ser>
          <c:idx val="4"/>
          <c:order val="4"/>
          <c:tx>
            <c:strRef>
              <c:f>'Revenue&amp;Cost Forecast'!$J$36</c:f>
              <c:strCache>
                <c:ptCount val="1"/>
                <c:pt idx="0">
                  <c:v>Total Costs</c:v>
                </c:pt>
              </c:strCache>
            </c:strRef>
          </c:tx>
          <c:spPr>
            <a:ln w="28575" cap="rnd">
              <a:solidFill>
                <a:schemeClr val="accent5"/>
              </a:solidFill>
              <a:round/>
            </a:ln>
            <a:effectLst/>
          </c:spPr>
          <c:marker>
            <c:symbol val="none"/>
          </c:marker>
          <c:cat>
            <c:strRef>
              <c:extLst>
                <c:ext xmlns:c15="http://schemas.microsoft.com/office/drawing/2012/chart" uri="{02D57815-91ED-43cb-92C2-25804820EDAC}">
                  <c15:fullRef>
                    <c15:sqref>'Revenue&amp;Cost Forecast'!$K$30:$O$31</c15:sqref>
                  </c15:fullRef>
                  <c15:levelRef>
                    <c15:sqref>'Revenue&amp;Cost Forecast'!$K$31:$O$31</c15:sqref>
                  </c15:levelRef>
                </c:ext>
              </c:extLst>
              <c:f>'Revenue&amp;Cost Forecast'!$K$31:$O$31</c:f>
              <c:strCache>
                <c:ptCount val="5"/>
                <c:pt idx="0">
                  <c:v> 2,022 </c:v>
                </c:pt>
                <c:pt idx="1">
                  <c:v>2023</c:v>
                </c:pt>
                <c:pt idx="2">
                  <c:v> 2,024 </c:v>
                </c:pt>
                <c:pt idx="3">
                  <c:v>2025</c:v>
                </c:pt>
                <c:pt idx="4">
                  <c:v> 2,026 </c:v>
                </c:pt>
              </c:strCache>
            </c:strRef>
          </c:cat>
          <c:val>
            <c:numRef>
              <c:f>'Revenue&amp;Cost Forecast'!$K$36:$O$36</c:f>
              <c:numCache>
                <c:formatCode>_(* #,##0.00_);_(* \(#,##0.00\);_(* "-"??_);_(@_)</c:formatCode>
                <c:ptCount val="5"/>
                <c:pt idx="0">
                  <c:v>5170.3700765959611</c:v>
                </c:pt>
                <c:pt idx="1">
                  <c:v>5215.0904483479826</c:v>
                </c:pt>
                <c:pt idx="2">
                  <c:v>5310.9110270181964</c:v>
                </c:pt>
                <c:pt idx="3">
                  <c:v>5459.773023405658</c:v>
                </c:pt>
                <c:pt idx="4">
                  <c:v>5662.8492920533117</c:v>
                </c:pt>
              </c:numCache>
            </c:numRef>
          </c:val>
          <c:smooth val="0"/>
          <c:extLst>
            <c:ext xmlns:c16="http://schemas.microsoft.com/office/drawing/2014/chart" uri="{C3380CC4-5D6E-409C-BE32-E72D297353CC}">
              <c16:uniqueId val="{00000004-04CD-134E-9D7A-BDEF2C5FCDF5}"/>
            </c:ext>
          </c:extLst>
        </c:ser>
        <c:dLbls>
          <c:showLegendKey val="0"/>
          <c:showVal val="0"/>
          <c:showCatName val="0"/>
          <c:showSerName val="0"/>
          <c:showPercent val="0"/>
          <c:showBubbleSize val="0"/>
        </c:dLbls>
        <c:marker val="1"/>
        <c:smooth val="0"/>
        <c:axId val="1728591631"/>
        <c:axId val="1694811487"/>
      </c:lineChart>
      <c:catAx>
        <c:axId val="172859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11487"/>
        <c:crosses val="autoZero"/>
        <c:auto val="1"/>
        <c:lblAlgn val="ctr"/>
        <c:lblOffset val="100"/>
        <c:noMultiLvlLbl val="0"/>
      </c:catAx>
      <c:valAx>
        <c:axId val="1694811487"/>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91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1104900</xdr:colOff>
      <xdr:row>2</xdr:row>
      <xdr:rowOff>12700</xdr:rowOff>
    </xdr:from>
    <xdr:to>
      <xdr:col>13</xdr:col>
      <xdr:colOff>997438</xdr:colOff>
      <xdr:row>10</xdr:row>
      <xdr:rowOff>89837</xdr:rowOff>
    </xdr:to>
    <xdr:pic>
      <xdr:nvPicPr>
        <xdr:cNvPr id="3" name="Picture 2">
          <a:extLst>
            <a:ext uri="{FF2B5EF4-FFF2-40B4-BE49-F238E27FC236}">
              <a16:creationId xmlns:a16="http://schemas.microsoft.com/office/drawing/2014/main" id="{8D24218A-6B5B-2B4A-BF56-8DE314B2CEA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2115" t="15915" r="6239" b="6770"/>
        <a:stretch/>
      </xdr:blipFill>
      <xdr:spPr>
        <a:xfrm>
          <a:off x="11595100" y="482600"/>
          <a:ext cx="4464538" cy="1740837"/>
        </a:xfrm>
        <a:prstGeom prst="rect">
          <a:avLst/>
        </a:prstGeom>
      </xdr:spPr>
    </xdr:pic>
    <xdr:clientData/>
  </xdr:twoCellAnchor>
  <xdr:oneCellAnchor>
    <xdr:from>
      <xdr:col>9</xdr:col>
      <xdr:colOff>520700</xdr:colOff>
      <xdr:row>13</xdr:row>
      <xdr:rowOff>127000</xdr:rowOff>
    </xdr:from>
    <xdr:ext cx="5943600" cy="2346412"/>
    <xdr:sp macro="" textlink="">
      <xdr:nvSpPr>
        <xdr:cNvPr id="4" name="TextBox 3">
          <a:extLst>
            <a:ext uri="{FF2B5EF4-FFF2-40B4-BE49-F238E27FC236}">
              <a16:creationId xmlns:a16="http://schemas.microsoft.com/office/drawing/2014/main" id="{FB6ABD38-4029-B84E-BCBB-382F2CE73796}"/>
            </a:ext>
          </a:extLst>
        </xdr:cNvPr>
        <xdr:cNvSpPr txBox="1"/>
      </xdr:nvSpPr>
      <xdr:spPr>
        <a:xfrm>
          <a:off x="11010900" y="2908300"/>
          <a:ext cx="5943600" cy="2346412"/>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b="0" i="0" u="none" strike="noStrike">
              <a:solidFill>
                <a:schemeClr val="tx1"/>
              </a:solidFill>
              <a:effectLst/>
              <a:latin typeface="+mn-lt"/>
              <a:ea typeface="+mn-ea"/>
              <a:cs typeface="+mn-cs"/>
            </a:rPr>
            <a:t>Gallagher &amp; Co. (AJG) is an </a:t>
          </a:r>
          <a:r>
            <a:rPr lang="en-US" sz="2400" b="1" i="0" u="none" strike="noStrike">
              <a:solidFill>
                <a:schemeClr val="tx1"/>
              </a:solidFill>
              <a:effectLst/>
              <a:latin typeface="+mn-lt"/>
              <a:ea typeface="+mn-ea"/>
              <a:cs typeface="+mn-cs"/>
            </a:rPr>
            <a:t>American global insurance brokerage and risk management services firm</a:t>
          </a:r>
          <a:r>
            <a:rPr lang="en-US" sz="2400" b="0" i="0" u="none" strike="noStrike">
              <a:solidFill>
                <a:schemeClr val="tx1"/>
              </a:solidFill>
              <a:effectLst/>
              <a:latin typeface="+mn-lt"/>
              <a:ea typeface="+mn-ea"/>
              <a:cs typeface="+mn-cs"/>
            </a:rPr>
            <a:t> headquartered in Rolling Meadows, Illinois (a suburb of Chicago). The firm was established in 1927 and is one of the largest insurance brokers in the world</a:t>
          </a:r>
          <a:endParaRPr lang="en-US" sz="24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342900</xdr:colOff>
      <xdr:row>0</xdr:row>
      <xdr:rowOff>88900</xdr:rowOff>
    </xdr:from>
    <xdr:ext cx="5308600" cy="3536866"/>
    <xdr:sp macro="" textlink="">
      <xdr:nvSpPr>
        <xdr:cNvPr id="2" name="TextBox 1">
          <a:extLst>
            <a:ext uri="{FF2B5EF4-FFF2-40B4-BE49-F238E27FC236}">
              <a16:creationId xmlns:a16="http://schemas.microsoft.com/office/drawing/2014/main" id="{334BE391-2FE9-9942-BD10-992044F64382}"/>
            </a:ext>
          </a:extLst>
        </xdr:cNvPr>
        <xdr:cNvSpPr txBox="1"/>
      </xdr:nvSpPr>
      <xdr:spPr>
        <a:xfrm>
          <a:off x="5905500" y="88900"/>
          <a:ext cx="5308600" cy="3536866"/>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ka-GE" sz="1100" b="1" i="1" u="sng"/>
            <a:t>კომპანია შემოსავლებს აგენერირებს სამი ძირითადი ბიზნეს სეგმენტიდან,</a:t>
          </a:r>
          <a:r>
            <a:rPr lang="ka-GE" sz="1100"/>
            <a:t>ამიტომ შემოსავლების სეგმენტაცია სწორედ ამ სამი სეგმენტის</a:t>
          </a:r>
          <a:r>
            <a:rPr lang="ka-GE" sz="1100" baseline="0"/>
            <a:t> მიხედვით გავაკეთე.</a:t>
          </a:r>
        </a:p>
        <a:p>
          <a:r>
            <a:rPr lang="ka-GE" sz="1100" baseline="0"/>
            <a:t>მოკლედ მიმოვიხილოთ თითოეული მათგანი</a:t>
          </a:r>
        </a:p>
        <a:p>
          <a:r>
            <a:rPr lang="ka-GE" sz="1100" b="1" i="1" u="sng" baseline="0"/>
            <a:t>Brokerage: </a:t>
          </a:r>
          <a:r>
            <a:rPr lang="ka-GE" sz="1100" baseline="0"/>
            <a:t>კომპანია  თავისი შემოსავლების 70%-ზე მეტს  სწორედ ამ სეგმენტიდან იღებს.ძირითადად ამ ნაწილში ისინი მომხმარებლებს სთავაზობენ სერვისებს გაყიდვების,მარკეტინგის,ანდერვრაითინგ და ინშურენს მიმართულებით,გარდა ამისა კონსულტაციას უწევენ მომხმარებლებს რისკების მართვისა და მათი დაზღვევის მიმართულებით.ამ სეგმენტზე ყველაზე დიდ გავლენას ახდენს მსოფლიოში და ბაზარზე არსებული ეკონომიკური მდგომარეობა და ასევე პარტნიორ ქვეყნებს შორის საბაზრო ურთიერთობა და ძირითადად შემოსავლს იღებენ მომსახურების საკომისიოების სახით</a:t>
          </a:r>
        </a:p>
        <a:p>
          <a:pPr marL="0" marR="0" lvl="0" indent="0" defTabSz="914400" eaLnBrk="1" fontAlgn="auto" latinLnBrk="0" hangingPunct="1">
            <a:lnSpc>
              <a:spcPct val="100000"/>
            </a:lnSpc>
            <a:spcBef>
              <a:spcPts val="0"/>
            </a:spcBef>
            <a:spcAft>
              <a:spcPts val="0"/>
            </a:spcAft>
            <a:buClrTx/>
            <a:buSzTx/>
            <a:buFontTx/>
            <a:buNone/>
            <a:tabLst/>
            <a:defRPr/>
          </a:pPr>
          <a:r>
            <a:rPr lang="en-US" sz="1100" b="1" i="1" u="sng" baseline="0"/>
            <a:t>Risk Management</a:t>
          </a:r>
          <a:r>
            <a:rPr lang="ka-GE" sz="1100" b="1" i="1" u="sng" baseline="0"/>
            <a:t> -</a:t>
          </a:r>
          <a:r>
            <a:rPr lang="ka-GE" sz="1100" b="0" i="0" u="none" baseline="0"/>
            <a:t>მოცემულ სეგმენტში კომპანია კლიენტებს საკონსულტაციო მომსახურებას უწევს რისკის ეფექტურად მართვის მიმართულებით,რადგან ამ ბაზარზე მნიშვნელოვანია სწორად განსაზღვრო და შემდგომ ეფექტურად დააზღვიო შენს ქონებასთან დაკავშირებული რისკები.აქაც კომპანია </a:t>
          </a:r>
          <a:r>
            <a:rPr lang="ka-GE" sz="1100" baseline="0"/>
            <a:t>ძირითადად შემოსავლს იღებს მომსახურების საკომისიოების სახით</a:t>
          </a:r>
        </a:p>
        <a:p>
          <a:pPr marL="0" marR="0" lvl="0" indent="0" defTabSz="914400" eaLnBrk="1" fontAlgn="auto" latinLnBrk="0" hangingPunct="1">
            <a:lnSpc>
              <a:spcPct val="100000"/>
            </a:lnSpc>
            <a:spcBef>
              <a:spcPts val="0"/>
            </a:spcBef>
            <a:spcAft>
              <a:spcPts val="0"/>
            </a:spcAft>
            <a:buClrTx/>
            <a:buSzTx/>
            <a:buFontTx/>
            <a:buNone/>
            <a:tabLst/>
            <a:defRPr/>
          </a:pPr>
          <a:r>
            <a:rPr lang="en-US" sz="1100" b="1" i="1" u="sng" baseline="0"/>
            <a:t>Corporate</a:t>
          </a:r>
          <a:r>
            <a:rPr lang="ka-GE" sz="1100" b="1" i="1" u="sng" baseline="0"/>
            <a:t>-  </a:t>
          </a:r>
          <a:r>
            <a:rPr lang="ka-GE" sz="1100" b="0" i="0" u="none" baseline="0"/>
            <a:t>მოცემულ სეგმენტში ხვდება სუფთა ენერგიიდან და სხვა ტიპის ინვესტიციებიდან მიღებული შემოსავალი,მათ შორის ექვიზიშენებიდან.</a:t>
          </a:r>
          <a:endParaRPr lang="ka-GE" sz="1100" b="1" i="1" u="sng" baseline="0"/>
        </a:p>
      </xdr:txBody>
    </xdr:sp>
    <xdr:clientData/>
  </xdr:oneCellAnchor>
  <xdr:oneCellAnchor>
    <xdr:from>
      <xdr:col>12</xdr:col>
      <xdr:colOff>368300</xdr:colOff>
      <xdr:row>0</xdr:row>
      <xdr:rowOff>241300</xdr:rowOff>
    </xdr:from>
    <xdr:ext cx="5105400" cy="2675732"/>
    <xdr:sp macro="" textlink="">
      <xdr:nvSpPr>
        <xdr:cNvPr id="3" name="TextBox 2">
          <a:extLst>
            <a:ext uri="{FF2B5EF4-FFF2-40B4-BE49-F238E27FC236}">
              <a16:creationId xmlns:a16="http://schemas.microsoft.com/office/drawing/2014/main" id="{96D0BEFC-E640-F945-AD83-92B55EE07886}"/>
            </a:ext>
          </a:extLst>
        </xdr:cNvPr>
        <xdr:cNvSpPr txBox="1"/>
      </xdr:nvSpPr>
      <xdr:spPr>
        <a:xfrm>
          <a:off x="11709400" y="241300"/>
          <a:ext cx="5105400" cy="2675732"/>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ka-GE" sz="1100" b="1" i="1" u="sng"/>
            <a:t>რაც შეეხება</a:t>
          </a:r>
          <a:r>
            <a:rPr lang="ka-GE" sz="1100" b="1" i="1" u="sng" baseline="0"/>
            <a:t>  კომპანიის შემოსავლების პროგნოზირებას,ეს გავაკეთე შემდეგი მიდგომით.</a:t>
          </a:r>
        </a:p>
        <a:p>
          <a:r>
            <a:rPr lang="ka-GE" sz="1100" baseline="0"/>
            <a:t>1.დავთვალე თითოეული სეგმენტის ისტორიული ზრდის ტემპი ისტორიული მონაცემების მიხედვით.</a:t>
          </a:r>
        </a:p>
        <a:p>
          <a:r>
            <a:rPr lang="ka-GE" sz="1100" baseline="0"/>
            <a:t>2.მოვიძიე შესაბამისი ინდუსტრიის ისტორიული ზრდის ტემპი</a:t>
          </a:r>
        </a:p>
        <a:p>
          <a:r>
            <a:rPr lang="ka-GE" sz="1100" baseline="0"/>
            <a:t>3.დავთვალე მათ შორის კორელაციის მაჩვენებელი</a:t>
          </a:r>
        </a:p>
        <a:p>
          <a:r>
            <a:rPr lang="ka-GE" sz="1100" baseline="0"/>
            <a:t>4.მოვიძიე ინდუსტრიის პროგნოზირებული ზრდის ტემპები შესაბამისი წლების მიხედვით</a:t>
          </a:r>
        </a:p>
        <a:p>
          <a:r>
            <a:rPr lang="ka-GE" sz="1100" baseline="0"/>
            <a:t>5.ამ მოძიებული პროგნოზირებული ინდუსტრიის ზრდის ტემპებითა და კორელაციის მაჩვენებლებით გავედი  თითოეული სეგმენტის პროგნოზირებულ ზრდის ტემპებზე</a:t>
          </a:r>
        </a:p>
        <a:p>
          <a:r>
            <a:rPr lang="ka-GE" sz="1100" baseline="0"/>
            <a:t>6.შემდეგ ეს ზრდის ტემპები უკვე გადავაქციე რიცხვებად და მივიღე თითოეული სეგმენტის პროგნოზირებული შემოსავლების წლების მიხედვით და შესაბამისად კომპანიის ჯამური პროგნოზირებული შემოსავალი წლების მიხედვით.</a:t>
          </a:r>
          <a:endParaRPr lang="en-US" sz="1100"/>
        </a:p>
      </xdr:txBody>
    </xdr:sp>
    <xdr:clientData/>
  </xdr:oneCellAnchor>
  <xdr:twoCellAnchor editAs="oneCell">
    <xdr:from>
      <xdr:col>12</xdr:col>
      <xdr:colOff>25400</xdr:colOff>
      <xdr:row>15</xdr:row>
      <xdr:rowOff>152400</xdr:rowOff>
    </xdr:from>
    <xdr:to>
      <xdr:col>18</xdr:col>
      <xdr:colOff>774700</xdr:colOff>
      <xdr:row>27</xdr:row>
      <xdr:rowOff>38100</xdr:rowOff>
    </xdr:to>
    <xdr:pic>
      <xdr:nvPicPr>
        <xdr:cNvPr id="5" name="Picture 4">
          <a:extLst>
            <a:ext uri="{FF2B5EF4-FFF2-40B4-BE49-F238E27FC236}">
              <a16:creationId xmlns:a16="http://schemas.microsoft.com/office/drawing/2014/main" id="{F64C5B73-F53F-EB40-AB27-23C5759BDD6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6374" t="4854" r="4183"/>
        <a:stretch/>
      </xdr:blipFill>
      <xdr:spPr>
        <a:xfrm>
          <a:off x="11518900" y="3441700"/>
          <a:ext cx="5702300" cy="2489200"/>
        </a:xfrm>
        <a:prstGeom prst="rect">
          <a:avLst/>
        </a:prstGeom>
      </xdr:spPr>
    </xdr:pic>
    <xdr:clientData/>
  </xdr:twoCellAnchor>
  <xdr:oneCellAnchor>
    <xdr:from>
      <xdr:col>5</xdr:col>
      <xdr:colOff>0</xdr:colOff>
      <xdr:row>37</xdr:row>
      <xdr:rowOff>63500</xdr:rowOff>
    </xdr:from>
    <xdr:ext cx="4305300" cy="1986826"/>
    <xdr:sp macro="" textlink="">
      <xdr:nvSpPr>
        <xdr:cNvPr id="6" name="TextBox 5">
          <a:extLst>
            <a:ext uri="{FF2B5EF4-FFF2-40B4-BE49-F238E27FC236}">
              <a16:creationId xmlns:a16="http://schemas.microsoft.com/office/drawing/2014/main" id="{2BC9EF3B-7E22-4B47-AB33-368C94EC2989}"/>
            </a:ext>
          </a:extLst>
        </xdr:cNvPr>
        <xdr:cNvSpPr txBox="1"/>
      </xdr:nvSpPr>
      <xdr:spPr>
        <a:xfrm>
          <a:off x="5562600" y="8204200"/>
          <a:ext cx="4305300" cy="1986826"/>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ka-GE" sz="1100" b="1" i="1" u="sng"/>
            <a:t>ხარჯების სეგმენტაცია გავაკეთე ხარჯის</a:t>
          </a:r>
          <a:r>
            <a:rPr lang="ka-GE" sz="1100" b="1" i="1" u="sng" baseline="0"/>
            <a:t> ბუნების მიხედვით და გამოვყავი 4 ძირითადი ხარჯის ტიპი</a:t>
          </a:r>
          <a:r>
            <a:rPr lang="ka-GE" sz="1100" baseline="0"/>
            <a:t>,როგორც ამას ხედავთ ცხრილში.</a:t>
          </a:r>
        </a:p>
        <a:p>
          <a:r>
            <a:rPr lang="ka-GE" sz="1100" baseline="0"/>
            <a:t>ხოლო რაც შეეხება  ხარჯების პროგნოზს,ის გავაკეთე შემდეგი მიდგომით:</a:t>
          </a:r>
        </a:p>
        <a:p>
          <a:r>
            <a:rPr lang="ka-GE" sz="1100" baseline="0"/>
            <a:t>დავთვალე თითოეული ხარჯის ტიპი შესაბამისი წლის შემოსავლის რა პროცენტულ წილს შეადგენდა და ამის გასაშუალოებული მაჩვენებელი გამოვიყენე შემდეგი წლების პროგნოზისთვის+კომპანია განსაკუთრებულ არაფერს გეგმავდა ყოველ შემთხვევაში არ დაუანონსებია ხარჯების მართვის კუთხით.</a:t>
          </a:r>
          <a:endParaRPr lang="en-US" sz="1100"/>
        </a:p>
      </xdr:txBody>
    </xdr:sp>
    <xdr:clientData/>
  </xdr:oneCellAnchor>
  <xdr:twoCellAnchor>
    <xdr:from>
      <xdr:col>2</xdr:col>
      <xdr:colOff>317500</xdr:colOff>
      <xdr:row>9</xdr:row>
      <xdr:rowOff>101600</xdr:rowOff>
    </xdr:from>
    <xdr:to>
      <xdr:col>5</xdr:col>
      <xdr:colOff>184150</xdr:colOff>
      <xdr:row>18</xdr:row>
      <xdr:rowOff>63500</xdr:rowOff>
    </xdr:to>
    <xdr:graphicFrame macro="">
      <xdr:nvGraphicFramePr>
        <xdr:cNvPr id="7" name="Chart 6">
          <a:extLst>
            <a:ext uri="{FF2B5EF4-FFF2-40B4-BE49-F238E27FC236}">
              <a16:creationId xmlns:a16="http://schemas.microsoft.com/office/drawing/2014/main" id="{AA34A6F8-D50F-7542-AFE6-BE107F555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685800</xdr:colOff>
      <xdr:row>26</xdr:row>
      <xdr:rowOff>114300</xdr:rowOff>
    </xdr:from>
    <xdr:to>
      <xdr:col>7</xdr:col>
      <xdr:colOff>533400</xdr:colOff>
      <xdr:row>36</xdr:row>
      <xdr:rowOff>25400</xdr:rowOff>
    </xdr:to>
    <xdr:graphicFrame macro="">
      <xdr:nvGraphicFramePr>
        <xdr:cNvPr id="8" name="Chart 7">
          <a:extLst>
            <a:ext uri="{FF2B5EF4-FFF2-40B4-BE49-F238E27FC236}">
              <a16:creationId xmlns:a16="http://schemas.microsoft.com/office/drawing/2014/main" id="{AE15F537-7A33-7046-96D2-C49093EFD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260350</xdr:colOff>
      <xdr:row>37</xdr:row>
      <xdr:rowOff>12700</xdr:rowOff>
    </xdr:from>
    <xdr:to>
      <xdr:col>16</xdr:col>
      <xdr:colOff>704850</xdr:colOff>
      <xdr:row>50</xdr:row>
      <xdr:rowOff>50800</xdr:rowOff>
    </xdr:to>
    <xdr:graphicFrame macro="">
      <xdr:nvGraphicFramePr>
        <xdr:cNvPr id="9" name="Chart 8">
          <a:extLst>
            <a:ext uri="{FF2B5EF4-FFF2-40B4-BE49-F238E27FC236}">
              <a16:creationId xmlns:a16="http://schemas.microsoft.com/office/drawing/2014/main" id="{0B179AED-2169-9340-BAE7-FED5D94EA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7</xdr:col>
      <xdr:colOff>444500</xdr:colOff>
      <xdr:row>0</xdr:row>
      <xdr:rowOff>63500</xdr:rowOff>
    </xdr:from>
    <xdr:ext cx="4572000" cy="1490285"/>
    <xdr:sp macro="" textlink="">
      <xdr:nvSpPr>
        <xdr:cNvPr id="2" name="TextBox 1">
          <a:extLst>
            <a:ext uri="{FF2B5EF4-FFF2-40B4-BE49-F238E27FC236}">
              <a16:creationId xmlns:a16="http://schemas.microsoft.com/office/drawing/2014/main" id="{1F7CD5FE-52A2-FD40-8F9C-07A2141E55B3}"/>
            </a:ext>
          </a:extLst>
        </xdr:cNvPr>
        <xdr:cNvSpPr txBox="1"/>
      </xdr:nvSpPr>
      <xdr:spPr>
        <a:xfrm>
          <a:off x="6985000" y="63500"/>
          <a:ext cx="4572000" cy="1490285"/>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rtl="0">
            <a:defRPr sz="1000"/>
          </a:pPr>
          <a:endParaRPr lang="ka-GE" sz="1100" b="0" i="0" u="none" strike="noStrike" baseline="0">
            <a:solidFill>
              <a:srgbClr val="000000"/>
            </a:solidFill>
            <a:latin typeface="Tahoma" pitchFamily="2" charset="0"/>
            <a:ea typeface="Tahoma" pitchFamily="2" charset="0"/>
            <a:cs typeface="Tahoma" pitchFamily="2" charset="0"/>
          </a:endParaRPr>
        </a:p>
        <a:p>
          <a:pPr algn="l" rtl="0">
            <a:defRPr sz="1000"/>
          </a:pPr>
          <a:r>
            <a:rPr lang="ka-GE" sz="1100" b="1" i="1" u="sng" strike="noStrike" baseline="0">
              <a:solidFill>
                <a:srgbClr val="000000"/>
              </a:solidFill>
              <a:latin typeface="Tahoma" pitchFamily="2" charset="0"/>
              <a:ea typeface="Tahoma" pitchFamily="2" charset="0"/>
              <a:cs typeface="Tahoma" pitchFamily="2" charset="0"/>
            </a:rPr>
            <a:t>კომპანიის ქეში და ქეშ ეკვივალენტები </a:t>
          </a:r>
          <a:r>
            <a:rPr lang="ka-GE" sz="1100" b="0" i="0" u="none" strike="noStrike" baseline="0">
              <a:solidFill>
                <a:srgbClr val="000000"/>
              </a:solidFill>
              <a:latin typeface="Tahoma" pitchFamily="2" charset="0"/>
              <a:ea typeface="Tahoma" pitchFamily="2" charset="0"/>
              <a:cs typeface="Tahoma" pitchFamily="2" charset="0"/>
            </a:rPr>
            <a:t>შემოსავლების 9% ს შეადგენს</a:t>
          </a:r>
        </a:p>
        <a:p>
          <a:pPr algn="l" rtl="0">
            <a:defRPr sz="1000"/>
          </a:pPr>
          <a:r>
            <a:rPr lang="ka-GE" sz="1100" b="0" i="0" u="none" strike="noStrike" baseline="0">
              <a:solidFill>
                <a:srgbClr val="000000"/>
              </a:solidFill>
              <a:latin typeface="Tahoma" pitchFamily="2" charset="0"/>
              <a:ea typeface="Tahoma" pitchFamily="2" charset="0"/>
              <a:cs typeface="Tahoma" pitchFamily="2" charset="0"/>
            </a:rPr>
            <a:t>მიუხედავად იმისა რომ სტანდარტულად 4-5% -ია მისაღები</a:t>
          </a:r>
        </a:p>
        <a:p>
          <a:pPr algn="l" rtl="0">
            <a:defRPr sz="1000"/>
          </a:pPr>
          <a:r>
            <a:rPr lang="ka-GE" sz="1100" b="0" i="0" u="none" strike="noStrike" baseline="0">
              <a:solidFill>
                <a:srgbClr val="000000"/>
              </a:solidFill>
              <a:latin typeface="Tahoma" pitchFamily="2" charset="0"/>
              <a:ea typeface="Tahoma" pitchFamily="2" charset="0"/>
              <a:cs typeface="Tahoma" pitchFamily="2" charset="0"/>
            </a:rPr>
            <a:t>ვფიქრობ კომპანიის ბიზნეს მოდელიდან გამომდინარე 9% მისაღები მაჩვენებელი,რადგან რისკების დასაზღვევად კომპანიის სჭირდება ქეში .ამიტომ დანარჩენი წლების პროგნოზირებისთვისაც ავიღე 9%</a:t>
          </a:r>
          <a:endParaRPr lang="en-US" sz="1100" b="0" i="0" u="none" strike="noStrike" baseline="0">
            <a:solidFill>
              <a:srgbClr val="000000"/>
            </a:solidFill>
            <a:latin typeface="Tahoma" pitchFamily="2" charset="0"/>
            <a:ea typeface="Tahoma" pitchFamily="2" charset="0"/>
            <a:cs typeface="Tahoma" pitchFamily="2" charset="0"/>
          </a:endParaRPr>
        </a:p>
      </xdr:txBody>
    </xdr:sp>
    <xdr:clientData/>
  </xdr:oneCellAnchor>
  <xdr:oneCellAnchor>
    <xdr:from>
      <xdr:col>0</xdr:col>
      <xdr:colOff>0</xdr:colOff>
      <xdr:row>4</xdr:row>
      <xdr:rowOff>0</xdr:rowOff>
    </xdr:from>
    <xdr:ext cx="5657850" cy="1125693"/>
    <xdr:sp macro="" textlink="">
      <xdr:nvSpPr>
        <xdr:cNvPr id="3" name="TextBox 2">
          <a:extLst>
            <a:ext uri="{FF2B5EF4-FFF2-40B4-BE49-F238E27FC236}">
              <a16:creationId xmlns:a16="http://schemas.microsoft.com/office/drawing/2014/main" id="{BC93B844-5AB7-8347-9384-FCBFA2179C48}"/>
            </a:ext>
          </a:extLst>
        </xdr:cNvPr>
        <xdr:cNvSpPr txBox="1"/>
      </xdr:nvSpPr>
      <xdr:spPr>
        <a:xfrm>
          <a:off x="0" y="812800"/>
          <a:ext cx="5657850" cy="1125693"/>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1" u="sng"/>
            <a:t>capex </a:t>
          </a:r>
          <a:r>
            <a:rPr lang="ka-GE" sz="1100" b="1" i="1" u="sng"/>
            <a:t>ის პროგნოზი გავაკეთეთ</a:t>
          </a:r>
          <a:r>
            <a:rPr lang="ka-GE" sz="1100" b="1" i="1" u="sng" baseline="0"/>
            <a:t> წინა წლების %ების მიხედვით.ანუ </a:t>
          </a:r>
          <a:r>
            <a:rPr lang="ka-GE" sz="1100" baseline="0"/>
            <a:t>ვნახე წლების მიხედვით რამდენი იყო კაპიტალური დანახარჯების წილი და ავიღე მათი საშუალო მითუმეტეს რომ </a:t>
          </a:r>
          <a:r>
            <a:rPr lang="ka-GE" sz="1100" b="1" i="1" u="sng" baseline="0"/>
            <a:t>წლების განმავლოაბში ეს რიცხვი სტაბილურად </a:t>
          </a:r>
          <a:r>
            <a:rPr lang="en-US" sz="1100" b="1" i="1" u="sng" baseline="0"/>
            <a:t>1-2%</a:t>
          </a:r>
          <a:r>
            <a:rPr lang="ka-GE" sz="1100" baseline="0"/>
            <a:t>იყო</a:t>
          </a:r>
          <a:r>
            <a:rPr lang="en-US" sz="1100" baseline="0"/>
            <a:t> </a:t>
          </a:r>
          <a:r>
            <a:rPr lang="ka-GE" sz="1100" baseline="0">
              <a:solidFill>
                <a:schemeClr val="tx1"/>
              </a:solidFill>
              <a:effectLst/>
              <a:latin typeface="+mn-lt"/>
              <a:ea typeface="+mn-ea"/>
              <a:cs typeface="+mn-cs"/>
            </a:rPr>
            <a:t>და არც რაიმე განსაკუთრებულს გეგმავს ამ კუთხით კომპანია ამიტომ ჩავთვალეთ რომ შემდეგი 5 წლის განმავლობაშიც იმავე გზას წავყოლოდით</a:t>
          </a:r>
          <a:r>
            <a:rPr lang="en-US" sz="1100" baseline="0">
              <a:solidFill>
                <a:schemeClr val="tx1"/>
              </a:solidFill>
              <a:effectLst/>
              <a:latin typeface="+mn-lt"/>
              <a:ea typeface="+mn-ea"/>
              <a:cs typeface="+mn-cs"/>
            </a:rPr>
            <a:t>, </a:t>
          </a:r>
          <a:r>
            <a:rPr lang="ka-GE" sz="1100" baseline="0">
              <a:solidFill>
                <a:schemeClr val="tx1"/>
              </a:solidFill>
              <a:effectLst/>
              <a:latin typeface="+mn-lt"/>
              <a:ea typeface="+mn-ea"/>
              <a:cs typeface="+mn-cs"/>
            </a:rPr>
            <a:t>ამიტომ ავიღეთ 2%</a:t>
          </a:r>
          <a:endParaRPr lang="en-US" sz="1100"/>
        </a:p>
      </xdr:txBody>
    </xdr:sp>
    <xdr:clientData/>
  </xdr:oneCellAnchor>
  <xdr:oneCellAnchor>
    <xdr:from>
      <xdr:col>0</xdr:col>
      <xdr:colOff>0</xdr:colOff>
      <xdr:row>11</xdr:row>
      <xdr:rowOff>0</xdr:rowOff>
    </xdr:from>
    <xdr:ext cx="3971925" cy="649601"/>
    <xdr:sp macro="" textlink="">
      <xdr:nvSpPr>
        <xdr:cNvPr id="4" name="TextBox 3">
          <a:extLst>
            <a:ext uri="{FF2B5EF4-FFF2-40B4-BE49-F238E27FC236}">
              <a16:creationId xmlns:a16="http://schemas.microsoft.com/office/drawing/2014/main" id="{A1C98968-70EE-DB4C-8923-E3F856FF989C}"/>
            </a:ext>
          </a:extLst>
        </xdr:cNvPr>
        <xdr:cNvSpPr txBox="1"/>
      </xdr:nvSpPr>
      <xdr:spPr>
        <a:xfrm>
          <a:off x="0" y="2235200"/>
          <a:ext cx="3971925" cy="649601"/>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ka-GE" sz="1100"/>
            <a:t>რაც შეეხება </a:t>
          </a:r>
          <a:r>
            <a:rPr lang="ka-GE" sz="1100" b="1" i="1" u="sng"/>
            <a:t>ცვეთას</a:t>
          </a:r>
          <a:r>
            <a:rPr lang="ka-GE" sz="1100" b="1" i="1" u="sng" baseline="0"/>
            <a:t> </a:t>
          </a:r>
          <a:r>
            <a:rPr lang="ka-GE" sz="1100" baseline="0"/>
            <a:t>იქიდან გამომდინარე რომ კომპანიის გრძელვადიანი აქტივების საშუალო სიცოცხლის ხანგრძლივობა იყო 10 წელი </a:t>
          </a:r>
          <a:r>
            <a:rPr lang="ka-GE" sz="1100" b="1" i="1" u="sng" baseline="0"/>
            <a:t>ავიღეთ 10%</a:t>
          </a:r>
          <a:endParaRPr lang="en-US" sz="1100" b="1" i="1" u="sng"/>
        </a:p>
      </xdr:txBody>
    </xdr:sp>
    <xdr:clientData/>
  </xdr:oneCellAnchor>
  <xdr:oneCellAnchor>
    <xdr:from>
      <xdr:col>0</xdr:col>
      <xdr:colOff>0</xdr:colOff>
      <xdr:row>17</xdr:row>
      <xdr:rowOff>0</xdr:rowOff>
    </xdr:from>
    <xdr:ext cx="3971925" cy="608885"/>
    <xdr:sp macro="" textlink="">
      <xdr:nvSpPr>
        <xdr:cNvPr id="5" name="TextBox 4">
          <a:extLst>
            <a:ext uri="{FF2B5EF4-FFF2-40B4-BE49-F238E27FC236}">
              <a16:creationId xmlns:a16="http://schemas.microsoft.com/office/drawing/2014/main" id="{FD17E153-5BBF-854E-B613-C594847C6878}"/>
            </a:ext>
          </a:extLst>
        </xdr:cNvPr>
        <xdr:cNvSpPr txBox="1"/>
      </xdr:nvSpPr>
      <xdr:spPr>
        <a:xfrm>
          <a:off x="0" y="3454400"/>
          <a:ext cx="3971925" cy="60888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ka-GE" sz="1100"/>
            <a:t>რაც შეეხება ამორტიზაციას</a:t>
          </a:r>
          <a:r>
            <a:rPr lang="ka-GE" sz="1100" baseline="0"/>
            <a:t> ის ბოლო წლებში 334 იყო და რადგან არც რაიმე განსაკუთრებული იგეგმებოდა </a:t>
          </a:r>
          <a:r>
            <a:rPr lang="ka-GE" sz="1100" b="1" i="1" u="sng" baseline="0"/>
            <a:t>იგივე დავტოვეთ</a:t>
          </a:r>
          <a:endParaRPr lang="en-US" sz="1100" b="1" i="1" u="sng"/>
        </a:p>
      </xdr:txBody>
    </xdr:sp>
    <xdr:clientData/>
  </xdr:oneCellAnchor>
  <xdr:oneCellAnchor>
    <xdr:from>
      <xdr:col>4</xdr:col>
      <xdr:colOff>215900</xdr:colOff>
      <xdr:row>12</xdr:row>
      <xdr:rowOff>25400</xdr:rowOff>
    </xdr:from>
    <xdr:ext cx="3609975" cy="835357"/>
    <xdr:sp macro="" textlink="">
      <xdr:nvSpPr>
        <xdr:cNvPr id="6" name="TextBox 5">
          <a:extLst>
            <a:ext uri="{FF2B5EF4-FFF2-40B4-BE49-F238E27FC236}">
              <a16:creationId xmlns:a16="http://schemas.microsoft.com/office/drawing/2014/main" id="{9FDB88E3-6D00-E840-9EF9-9DBDF0E54ED8}"/>
            </a:ext>
          </a:extLst>
        </xdr:cNvPr>
        <xdr:cNvSpPr txBox="1"/>
      </xdr:nvSpPr>
      <xdr:spPr>
        <a:xfrm>
          <a:off x="4279900" y="2463800"/>
          <a:ext cx="3609975" cy="835357"/>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ka-GE" sz="1100" b="1" i="1" u="sng" baseline="0"/>
            <a:t> ახლო მომავალში არ იგეგმება საგადასახადო პოლიტიკის ცვლილება ამიტომ 21% </a:t>
          </a:r>
          <a:r>
            <a:rPr lang="ka-GE" sz="1100" baseline="0"/>
            <a:t>გამოვიყენე შემდეგი წლების პროგნოზისთვისაც</a:t>
          </a:r>
          <a:r>
            <a:rPr lang="en-US" sz="1100" baseline="0"/>
            <a:t> </a:t>
          </a:r>
          <a:r>
            <a:rPr lang="ka-GE" sz="1100" baseline="0"/>
            <a:t>და ისედაც 21% არ არის მაღალი %</a:t>
          </a:r>
          <a:endParaRPr lang="en-US" sz="1100"/>
        </a:p>
      </xdr:txBody>
    </xdr:sp>
    <xdr:clientData/>
  </xdr:oneCellAnchor>
  <xdr:oneCellAnchor>
    <xdr:from>
      <xdr:col>8</xdr:col>
      <xdr:colOff>635000</xdr:colOff>
      <xdr:row>10</xdr:row>
      <xdr:rowOff>76200</xdr:rowOff>
    </xdr:from>
    <xdr:ext cx="4124325" cy="1007584"/>
    <xdr:sp macro="" textlink="">
      <xdr:nvSpPr>
        <xdr:cNvPr id="7" name="TextBox 6">
          <a:extLst>
            <a:ext uri="{FF2B5EF4-FFF2-40B4-BE49-F238E27FC236}">
              <a16:creationId xmlns:a16="http://schemas.microsoft.com/office/drawing/2014/main" id="{9AAD3918-17D5-B543-B735-7545A049B852}"/>
            </a:ext>
          </a:extLst>
        </xdr:cNvPr>
        <xdr:cNvSpPr txBox="1"/>
      </xdr:nvSpPr>
      <xdr:spPr>
        <a:xfrm>
          <a:off x="8001000" y="2108200"/>
          <a:ext cx="4124325" cy="1007584"/>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ka-GE" sz="1100">
              <a:solidFill>
                <a:schemeClr val="tx1"/>
              </a:solidFill>
              <a:effectLst/>
              <a:latin typeface="+mn-lt"/>
              <a:ea typeface="+mn-ea"/>
              <a:cs typeface="+mn-cs"/>
            </a:rPr>
            <a:t>ყველა </a:t>
          </a:r>
          <a:r>
            <a:rPr lang="en-US" sz="1100" b="1" i="1" u="sng">
              <a:solidFill>
                <a:schemeClr val="tx1"/>
              </a:solidFill>
              <a:effectLst/>
              <a:latin typeface="+mn-lt"/>
              <a:ea typeface="+mn-ea"/>
              <a:cs typeface="+mn-cs"/>
            </a:rPr>
            <a:t>other</a:t>
          </a:r>
          <a:r>
            <a:rPr lang="ka-GE" sz="1100" b="1" i="1" u="sng" baseline="0">
              <a:solidFill>
                <a:schemeClr val="tx1"/>
              </a:solidFill>
              <a:effectLst/>
              <a:latin typeface="+mn-lt"/>
              <a:ea typeface="+mn-ea"/>
              <a:cs typeface="+mn-cs"/>
            </a:rPr>
            <a:t> კლასის  </a:t>
          </a:r>
          <a:r>
            <a:rPr lang="ka-GE" sz="1100" baseline="0">
              <a:solidFill>
                <a:schemeClr val="tx1"/>
              </a:solidFill>
              <a:effectLst/>
              <a:latin typeface="+mn-lt"/>
              <a:ea typeface="+mn-ea"/>
              <a:cs typeface="+mn-cs"/>
            </a:rPr>
            <a:t>აქტივი იქნებოდა ეს თუ ვალდეულება დავაპროგნოზირე ერთი ლოგიკით-</a:t>
          </a:r>
          <a:r>
            <a:rPr lang="ka-GE" sz="1100" b="1" i="1" u="sng" baseline="0">
              <a:solidFill>
                <a:schemeClr val="tx1"/>
              </a:solidFill>
              <a:effectLst/>
              <a:latin typeface="+mn-lt"/>
              <a:ea typeface="+mn-ea"/>
              <a:cs typeface="+mn-cs"/>
            </a:rPr>
            <a:t> შემოსავლების პროპორციულად  </a:t>
          </a:r>
          <a:r>
            <a:rPr lang="ka-GE" sz="1100" baseline="0">
              <a:solidFill>
                <a:schemeClr val="tx1"/>
              </a:solidFill>
              <a:effectLst/>
              <a:latin typeface="+mn-lt"/>
              <a:ea typeface="+mn-ea"/>
              <a:cs typeface="+mn-cs"/>
            </a:rPr>
            <a:t>წინა წლის ეს მაჩვენებელი *შემდეგი წლის შემოსავალი/წინა წლის შემოსავალი</a:t>
          </a:r>
          <a:endParaRPr lang="en-US">
            <a:effectLst/>
          </a:endParaRPr>
        </a:p>
        <a:p>
          <a:endParaRPr lang="en-US" sz="1100"/>
        </a:p>
      </xdr:txBody>
    </xdr:sp>
    <xdr:clientData/>
  </xdr:oneCellAnchor>
  <xdr:oneCellAnchor>
    <xdr:from>
      <xdr:col>0</xdr:col>
      <xdr:colOff>88900</xdr:colOff>
      <xdr:row>22</xdr:row>
      <xdr:rowOff>127000</xdr:rowOff>
    </xdr:from>
    <xdr:ext cx="3609975" cy="264560"/>
    <xdr:sp macro="" textlink="">
      <xdr:nvSpPr>
        <xdr:cNvPr id="8" name="TextBox 7">
          <a:extLst>
            <a:ext uri="{FF2B5EF4-FFF2-40B4-BE49-F238E27FC236}">
              <a16:creationId xmlns:a16="http://schemas.microsoft.com/office/drawing/2014/main" id="{5DBADFAC-01A9-274A-98D5-29448F9AE106}"/>
            </a:ext>
          </a:extLst>
        </xdr:cNvPr>
        <xdr:cNvSpPr txBox="1"/>
      </xdr:nvSpPr>
      <xdr:spPr>
        <a:xfrm>
          <a:off x="88900" y="4597400"/>
          <a:ext cx="3609975" cy="264560"/>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ka-GE" sz="1100" b="1" i="1" u="sng" baseline="0"/>
            <a:t>საპროცენტო განაკვეთად ავიღე 12%</a:t>
          </a:r>
          <a:endParaRPr lang="en-US" sz="1100"/>
        </a:p>
      </xdr:txBody>
    </xdr:sp>
    <xdr:clientData/>
  </xdr:oneCellAnchor>
  <xdr:oneCellAnchor>
    <xdr:from>
      <xdr:col>5</xdr:col>
      <xdr:colOff>190500</xdr:colOff>
      <xdr:row>25</xdr:row>
      <xdr:rowOff>63500</xdr:rowOff>
    </xdr:from>
    <xdr:ext cx="3289300" cy="609013"/>
    <xdr:sp macro="" textlink="">
      <xdr:nvSpPr>
        <xdr:cNvPr id="9" name="TextBox 8">
          <a:extLst>
            <a:ext uri="{FF2B5EF4-FFF2-40B4-BE49-F238E27FC236}">
              <a16:creationId xmlns:a16="http://schemas.microsoft.com/office/drawing/2014/main" id="{098F448B-20D4-5A46-98A9-074DCD672BD9}"/>
            </a:ext>
          </a:extLst>
        </xdr:cNvPr>
        <xdr:cNvSpPr txBox="1"/>
      </xdr:nvSpPr>
      <xdr:spPr>
        <a:xfrm>
          <a:off x="5080000" y="5181600"/>
          <a:ext cx="3289300" cy="609013"/>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ka-GE" sz="1100"/>
            <a:t>მოცემული</a:t>
          </a:r>
          <a:r>
            <a:rPr lang="ka-GE" sz="1100" baseline="0"/>
            <a:t> კლასის აქტვები/ვალდებულებები კომპანიის ბიზნეს მოდელიდან გამომდინარე აქვთ საკმაოდ დიდი მოცულობის</a:t>
          </a:r>
        </a:p>
      </xdr:txBody>
    </xdr:sp>
    <xdr:clientData/>
  </xdr:oneCellAnchor>
  <xdr:twoCellAnchor editAs="oneCell">
    <xdr:from>
      <xdr:col>9</xdr:col>
      <xdr:colOff>577273</xdr:colOff>
      <xdr:row>16</xdr:row>
      <xdr:rowOff>150090</xdr:rowOff>
    </xdr:from>
    <xdr:to>
      <xdr:col>15</xdr:col>
      <xdr:colOff>41614</xdr:colOff>
      <xdr:row>24</xdr:row>
      <xdr:rowOff>160631</xdr:rowOff>
    </xdr:to>
    <xdr:pic>
      <xdr:nvPicPr>
        <xdr:cNvPr id="10" name="Picture 9">
          <a:extLst>
            <a:ext uri="{FF2B5EF4-FFF2-40B4-BE49-F238E27FC236}">
              <a16:creationId xmlns:a16="http://schemas.microsoft.com/office/drawing/2014/main" id="{F0CB43A6-47DD-674E-BC57-85DD940E525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2115" t="15915" r="6239" b="6770"/>
        <a:stretch/>
      </xdr:blipFill>
      <xdr:spPr>
        <a:xfrm>
          <a:off x="9363364" y="3475181"/>
          <a:ext cx="4451977" cy="169617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312616</xdr:colOff>
      <xdr:row>6</xdr:row>
      <xdr:rowOff>39076</xdr:rowOff>
    </xdr:from>
    <xdr:to>
      <xdr:col>9</xdr:col>
      <xdr:colOff>664307</xdr:colOff>
      <xdr:row>14</xdr:row>
      <xdr:rowOff>138682</xdr:rowOff>
    </xdr:to>
    <xdr:pic>
      <xdr:nvPicPr>
        <xdr:cNvPr id="2" name="Picture 1">
          <a:extLst>
            <a:ext uri="{FF2B5EF4-FFF2-40B4-BE49-F238E27FC236}">
              <a16:creationId xmlns:a16="http://schemas.microsoft.com/office/drawing/2014/main" id="{7E8321D4-C3C1-6441-97D5-D4CB96AFF2F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2115" t="15915" r="6239" b="6770"/>
        <a:stretch/>
      </xdr:blipFill>
      <xdr:spPr>
        <a:xfrm>
          <a:off x="5412154" y="1269999"/>
          <a:ext cx="4464538" cy="1740837"/>
        </a:xfrm>
        <a:prstGeom prst="rect">
          <a:avLst/>
        </a:prstGeom>
      </xdr:spPr>
    </xdr:pic>
    <xdr:clientData/>
  </xdr:twoCellAnchor>
  <xdr:oneCellAnchor>
    <xdr:from>
      <xdr:col>0</xdr:col>
      <xdr:colOff>332154</xdr:colOff>
      <xdr:row>7</xdr:row>
      <xdr:rowOff>0</xdr:rowOff>
    </xdr:from>
    <xdr:ext cx="4318000" cy="3019929"/>
    <xdr:sp macro="" textlink="">
      <xdr:nvSpPr>
        <xdr:cNvPr id="3" name="TextBox 2">
          <a:extLst>
            <a:ext uri="{FF2B5EF4-FFF2-40B4-BE49-F238E27FC236}">
              <a16:creationId xmlns:a16="http://schemas.microsoft.com/office/drawing/2014/main" id="{F7500962-8320-1847-BDD9-D8D99A8E23FF}"/>
            </a:ext>
          </a:extLst>
        </xdr:cNvPr>
        <xdr:cNvSpPr txBox="1"/>
      </xdr:nvSpPr>
      <xdr:spPr>
        <a:xfrm>
          <a:off x="332154" y="1436077"/>
          <a:ext cx="4318000" cy="3019929"/>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ka-GE" sz="1100"/>
            <a:t>კომპანია ოპერირებს </a:t>
          </a:r>
          <a:r>
            <a:rPr lang="en-US" sz="1100" b="1" i="0" u="none" strike="noStrike">
              <a:solidFill>
                <a:schemeClr val="tx1"/>
              </a:solidFill>
              <a:effectLst/>
              <a:latin typeface="+mn-lt"/>
              <a:ea typeface="+mn-ea"/>
              <a:cs typeface="+mn-cs"/>
            </a:rPr>
            <a:t>insurance brokerage and risk management </a:t>
          </a:r>
          <a:r>
            <a:rPr lang="ka-GE" sz="1100" b="1" i="0" u="none" strike="noStrike">
              <a:solidFill>
                <a:schemeClr val="tx1"/>
              </a:solidFill>
              <a:effectLst/>
              <a:latin typeface="+mn-lt"/>
              <a:ea typeface="+mn-ea"/>
              <a:cs typeface="+mn-cs"/>
            </a:rPr>
            <a:t>-</a:t>
          </a:r>
          <a:r>
            <a:rPr lang="ka-GE" sz="1100" b="0" i="0" u="none" strike="noStrike">
              <a:solidFill>
                <a:schemeClr val="tx1"/>
              </a:solidFill>
              <a:effectLst/>
              <a:latin typeface="+mn-lt"/>
              <a:ea typeface="+mn-ea"/>
              <a:cs typeface="+mn-cs"/>
            </a:rPr>
            <a:t>ინდუსტრიაში,რომელიც</a:t>
          </a:r>
          <a:r>
            <a:rPr lang="ka-GE" sz="1100" b="0" i="0" u="none" strike="noStrike" baseline="0">
              <a:solidFill>
                <a:schemeClr val="tx1"/>
              </a:solidFill>
              <a:effectLst/>
              <a:latin typeface="+mn-lt"/>
              <a:ea typeface="+mn-ea"/>
              <a:cs typeface="+mn-cs"/>
            </a:rPr>
            <a:t> საკმაოდ მრავალფეროვანი და გაჯერებულია ბევრი სხვადასხვა ბიზნეს მოდელის მქონე კომპანიით.</a:t>
          </a:r>
        </a:p>
        <a:p>
          <a:r>
            <a:rPr lang="ka-GE" sz="1100" b="0" i="0" u="none" strike="noStrike" baseline="0">
              <a:solidFill>
                <a:schemeClr val="tx1"/>
              </a:solidFill>
              <a:effectLst/>
              <a:latin typeface="+mn-lt"/>
              <a:ea typeface="+mn-ea"/>
              <a:cs typeface="+mn-cs"/>
            </a:rPr>
            <a:t>ამიტომ </a:t>
          </a:r>
          <a:r>
            <a:rPr lang="ka-GE" sz="1100" b="1" i="1" u="sng" strike="noStrike" baseline="0">
              <a:solidFill>
                <a:schemeClr val="tx1"/>
              </a:solidFill>
              <a:effectLst/>
              <a:latin typeface="+mn-lt"/>
              <a:ea typeface="+mn-ea"/>
              <a:cs typeface="+mn-cs"/>
            </a:rPr>
            <a:t>უკეთესი ანალიზისთვის ორივე მაჩვენებლის ჭრილში მოვიძიე ინდუსტრიის საშუალო მაჩვენებელი,რომ დამენახა უფრო მართო სურათი.</a:t>
          </a:r>
        </a:p>
        <a:p>
          <a:r>
            <a:rPr lang="ka-GE" sz="1100" b="1" i="1" u="sng" strike="noStrike" baseline="0">
              <a:solidFill>
                <a:schemeClr val="tx1"/>
              </a:solidFill>
              <a:effectLst/>
              <a:latin typeface="+mn-lt"/>
              <a:ea typeface="+mn-ea"/>
              <a:cs typeface="+mn-cs"/>
            </a:rPr>
            <a:t>როგორც ხედავთ ორივე მაჩვენებლის ჭრილში კომპანია ზედმეტად არის შეფასებული-რაც ნიშნავს ,რომ დღესდღეობიტ ინვესტორებს უღირთ ცოტა მეტი გადაიხადონ კომპანიის აქციაში,რადგან სჯერათ რომ მომავალში ეს მოუტანთ მეტ მოგებას,ინვესტორებს სხვა კონკურენტებთან შედარებით უფრო მეტად სჯერათ ამ კომპანიის განვითარებისა და პოტენციალის,ეს გამოწვეულია იმით,რომ მოცემული კომპანია წლების განმავლობაში წარმოადგენს ბაზრის ლიდერს და მის მიმართ არის პოზიტიური მოლოდინები.</a:t>
          </a:r>
          <a:endParaRPr lang="en-US" sz="1100" b="1" i="1" u="sng"/>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E04F4F-D615-8443-BACD-DF8CC533D991}" name="Table1" displayName="Table1" ref="A1:H4" totalsRowShown="0" headerRowDxfId="0">
  <autoFilter ref="A1:H4" xr:uid="{3817D970-A159-5342-B017-367B3D28C667}"/>
  <tableColumns count="8">
    <tableColumn id="1" xr3:uid="{A65386F6-DB59-684D-BD60-9CD2655B435B}" name="Ratios"/>
    <tableColumn id="2" xr3:uid="{2F1ABC84-557A-3345-B4C7-3E261353E69B}" name="Artur J"/>
    <tableColumn id="3" xr3:uid="{223C05E4-A652-F74D-85AC-5141C319121D}" name="AON"/>
    <tableColumn id="4" xr3:uid="{EDE2E17E-844F-1F41-9AF5-2C9588D0BE0D}" name="Brown&amp;Brown"/>
    <tableColumn id="5" xr3:uid="{1E41DB34-D812-7046-B956-2207E6DB5648}" name="Marsh&amp;McLennan"/>
    <tableColumn id="6" xr3:uid="{6ABC1DEC-F16A-6149-B571-1DA2AB2A433D}" name="Willis Towers"/>
    <tableColumn id="7" xr3:uid="{9B6780B2-32C0-B44F-A323-25D4159E02CD}" name=" "/>
    <tableColumn id="8" xr3:uid="{049CB9F6-7CFE-6449-A906-8568F089CA62}" name="Industry Averag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7CD06-7B87-9448-91CD-A64D48016776}">
  <dimension ref="A1:P179"/>
  <sheetViews>
    <sheetView tabSelected="1" zoomScaleNormal="100" workbookViewId="0">
      <selection activeCell="K28" sqref="K28"/>
    </sheetView>
  </sheetViews>
  <sheetFormatPr baseColWidth="10" defaultRowHeight="16" x14ac:dyDescent="0.2"/>
  <cols>
    <col min="1" max="1" width="29.6640625" bestFit="1" customWidth="1"/>
    <col min="2" max="4" width="11"/>
    <col min="5" max="15" width="15" bestFit="1" customWidth="1"/>
  </cols>
  <sheetData>
    <row r="1" spans="1:16" ht="21" x14ac:dyDescent="0.25">
      <c r="A1" s="110" t="s">
        <v>1</v>
      </c>
      <c r="B1" s="111"/>
      <c r="C1" s="112"/>
      <c r="E1" s="104" t="s">
        <v>68</v>
      </c>
      <c r="F1" s="105"/>
      <c r="G1" s="105"/>
      <c r="H1" s="105"/>
      <c r="I1" s="106"/>
      <c r="J1" s="93"/>
      <c r="K1" s="93"/>
      <c r="L1" s="93"/>
      <c r="M1" s="93"/>
      <c r="N1" s="93"/>
      <c r="O1" s="93"/>
      <c r="P1" s="100"/>
    </row>
    <row r="2" spans="1:16" x14ac:dyDescent="0.2">
      <c r="A2" s="74" t="s">
        <v>31</v>
      </c>
      <c r="B2" s="75">
        <v>2020</v>
      </c>
      <c r="C2" s="83">
        <v>2021</v>
      </c>
      <c r="E2" s="87">
        <v>2022</v>
      </c>
      <c r="F2" s="75">
        <v>2023</v>
      </c>
      <c r="G2" s="75">
        <v>2024</v>
      </c>
      <c r="H2" s="75">
        <v>2025</v>
      </c>
      <c r="I2" s="83">
        <v>2026</v>
      </c>
      <c r="J2" s="94"/>
      <c r="K2" s="94"/>
      <c r="L2" s="94"/>
      <c r="M2" s="94"/>
      <c r="N2" s="94"/>
      <c r="O2" s="94"/>
      <c r="P2" s="100"/>
    </row>
    <row r="3" spans="1:16" ht="19" x14ac:dyDescent="0.35">
      <c r="A3" s="80" t="s">
        <v>32</v>
      </c>
      <c r="B3" s="76">
        <v>7195</v>
      </c>
      <c r="C3" s="77">
        <v>7003.6</v>
      </c>
      <c r="E3" s="132">
        <f>'Revenue&amp;Cost Forecast'!G26</f>
        <v>6986.9865899945426</v>
      </c>
      <c r="F3" s="133">
        <f>'Revenue&amp;Cost Forecast'!H26</f>
        <v>7047.4195247945709</v>
      </c>
      <c r="G3" s="133">
        <f>'Revenue&amp;Cost Forecast'!I26</f>
        <v>7176.9067932678327</v>
      </c>
      <c r="H3" s="133">
        <f>'Revenue&amp;Cost Forecast'!J26</f>
        <v>7378.0716532508886</v>
      </c>
      <c r="I3" s="134">
        <f>'Revenue&amp;Cost Forecast'!K26</f>
        <v>7652.4990433152861</v>
      </c>
      <c r="J3" s="95"/>
      <c r="K3" s="95"/>
      <c r="L3" s="95"/>
      <c r="M3" s="95"/>
      <c r="N3" s="95"/>
      <c r="O3" s="95"/>
      <c r="P3" s="100"/>
    </row>
    <row r="4" spans="1:16" x14ac:dyDescent="0.2">
      <c r="A4" s="74" t="s">
        <v>33</v>
      </c>
      <c r="B4" s="78">
        <v>5180.3999999999996</v>
      </c>
      <c r="C4" s="79">
        <v>5322.7360000000008</v>
      </c>
      <c r="E4" s="88">
        <f>'Revenue&amp;Cost Forecast'!K36</f>
        <v>5170.3700765959611</v>
      </c>
      <c r="F4" s="78">
        <f>'Revenue&amp;Cost Forecast'!L36</f>
        <v>5215.0904483479826</v>
      </c>
      <c r="G4" s="78">
        <f>'Revenue&amp;Cost Forecast'!M36</f>
        <v>5310.9110270181964</v>
      </c>
      <c r="H4" s="78">
        <f>'Revenue&amp;Cost Forecast'!N36</f>
        <v>5459.773023405658</v>
      </c>
      <c r="I4" s="79">
        <f>'Revenue&amp;Cost Forecast'!O36</f>
        <v>5662.8492920533117</v>
      </c>
      <c r="J4" s="96"/>
      <c r="K4" s="96"/>
      <c r="L4" s="96"/>
      <c r="M4" s="96"/>
      <c r="N4" s="96"/>
      <c r="O4" s="96"/>
      <c r="P4" s="100"/>
    </row>
    <row r="5" spans="1:16" x14ac:dyDescent="0.2">
      <c r="A5" s="74" t="s">
        <v>34</v>
      </c>
      <c r="B5" s="78">
        <f>B3-B4</f>
        <v>2014.6000000000004</v>
      </c>
      <c r="C5" s="79">
        <f>C3-C4</f>
        <v>1680.8639999999996</v>
      </c>
      <c r="E5" s="88">
        <f>E3-E4</f>
        <v>1816.6165133985814</v>
      </c>
      <c r="F5" s="78">
        <f t="shared" ref="F5:I5" si="0">F3-F4</f>
        <v>1832.3290764465883</v>
      </c>
      <c r="G5" s="78">
        <f t="shared" si="0"/>
        <v>1865.9957662496363</v>
      </c>
      <c r="H5" s="78">
        <f t="shared" si="0"/>
        <v>1918.2986298452306</v>
      </c>
      <c r="I5" s="79">
        <f t="shared" si="0"/>
        <v>1989.6497512619744</v>
      </c>
      <c r="J5" s="96"/>
      <c r="K5" s="96"/>
      <c r="L5" s="96"/>
      <c r="M5" s="96"/>
      <c r="N5" s="96"/>
      <c r="O5" s="96"/>
      <c r="P5" s="100"/>
    </row>
    <row r="6" spans="1:16" x14ac:dyDescent="0.2">
      <c r="A6" s="74" t="s">
        <v>35</v>
      </c>
      <c r="B6" s="78">
        <v>140.4</v>
      </c>
      <c r="C6" s="79">
        <v>145.1</v>
      </c>
      <c r="E6" s="88">
        <f>C6+10%*'Other Forecasts'!C2/2</f>
        <v>152.1036</v>
      </c>
      <c r="F6" s="78">
        <f>E6+10%*'Other Forecasts'!D2/2</f>
        <v>159.09058658999453</v>
      </c>
      <c r="G6" s="78">
        <f>F6+10%*'Other Forecasts'!E2/2</f>
        <v>166.13800611478911</v>
      </c>
      <c r="H6" s="78">
        <f>G6+10%*'Other Forecasts'!F2/2</f>
        <v>173.31491290805695</v>
      </c>
      <c r="I6" s="79">
        <f>H6+10%*'Other Forecasts'!G2/2</f>
        <v>180.69298456130784</v>
      </c>
      <c r="J6" s="96"/>
      <c r="K6" s="96"/>
      <c r="L6" s="96"/>
      <c r="M6" s="96"/>
      <c r="N6" s="96"/>
      <c r="O6" s="96"/>
      <c r="P6" s="100"/>
    </row>
    <row r="7" spans="1:16" x14ac:dyDescent="0.2">
      <c r="A7" s="74" t="s">
        <v>36</v>
      </c>
      <c r="B7" s="78">
        <f>B5-B6</f>
        <v>1874.2000000000003</v>
      </c>
      <c r="C7" s="79">
        <f>C5-C6</f>
        <v>1535.7639999999997</v>
      </c>
      <c r="E7" s="88">
        <f>E5-E6</f>
        <v>1664.5129133985815</v>
      </c>
      <c r="F7" s="78">
        <f t="shared" ref="F7:I7" si="1">F5-F6</f>
        <v>1673.2384898565938</v>
      </c>
      <c r="G7" s="78">
        <f t="shared" si="1"/>
        <v>1699.8577601348472</v>
      </c>
      <c r="H7" s="78">
        <f t="shared" si="1"/>
        <v>1744.9837169371735</v>
      </c>
      <c r="I7" s="79">
        <f t="shared" si="1"/>
        <v>1808.9567667006665</v>
      </c>
      <c r="J7" s="96"/>
      <c r="K7" s="96"/>
      <c r="L7" s="96"/>
      <c r="M7" s="96"/>
      <c r="N7" s="96"/>
      <c r="O7" s="96"/>
      <c r="P7" s="100"/>
    </row>
    <row r="8" spans="1:16" x14ac:dyDescent="0.2">
      <c r="A8" s="74" t="s">
        <v>37</v>
      </c>
      <c r="B8" s="78">
        <v>334</v>
      </c>
      <c r="C8" s="79">
        <v>334</v>
      </c>
      <c r="E8" s="88">
        <v>334</v>
      </c>
      <c r="F8" s="78">
        <v>334</v>
      </c>
      <c r="G8" s="78">
        <v>334</v>
      </c>
      <c r="H8" s="78">
        <v>334</v>
      </c>
      <c r="I8" s="79">
        <v>334</v>
      </c>
      <c r="J8" s="96"/>
      <c r="K8" s="96"/>
      <c r="L8" s="96"/>
      <c r="M8" s="96"/>
      <c r="N8" s="96"/>
      <c r="O8" s="96"/>
      <c r="P8" s="100"/>
    </row>
    <row r="9" spans="1:16" x14ac:dyDescent="0.2">
      <c r="A9" s="74" t="s">
        <v>38</v>
      </c>
      <c r="B9" s="78">
        <f>B7-B8</f>
        <v>1540.2000000000003</v>
      </c>
      <c r="C9" s="79">
        <f>C7-C8</f>
        <v>1201.7639999999997</v>
      </c>
      <c r="E9" s="88">
        <f>E7-E8</f>
        <v>1330.5129133985815</v>
      </c>
      <c r="F9" s="78">
        <f t="shared" ref="F9:I9" si="2">F7-F8</f>
        <v>1339.2384898565938</v>
      </c>
      <c r="G9" s="78">
        <f t="shared" si="2"/>
        <v>1365.8577601348472</v>
      </c>
      <c r="H9" s="78">
        <f t="shared" si="2"/>
        <v>1410.9837169371735</v>
      </c>
      <c r="I9" s="79">
        <f t="shared" si="2"/>
        <v>1474.9567667006665</v>
      </c>
      <c r="J9" s="96"/>
      <c r="K9" s="96"/>
      <c r="L9" s="96"/>
      <c r="M9" s="96"/>
      <c r="N9" s="96"/>
      <c r="O9" s="96"/>
      <c r="P9" s="100"/>
    </row>
    <row r="10" spans="1:16" x14ac:dyDescent="0.2">
      <c r="A10" s="74" t="s">
        <v>39</v>
      </c>
      <c r="B10" s="78">
        <v>179.8</v>
      </c>
      <c r="C10" s="79">
        <v>196.4</v>
      </c>
      <c r="E10" s="88">
        <f>(E34+E36)*12%</f>
        <v>495.78302835578347</v>
      </c>
      <c r="F10" s="78">
        <f t="shared" ref="F10:I10" si="3">(F34+F36)*12%</f>
        <v>436.78228742565221</v>
      </c>
      <c r="G10" s="78">
        <f t="shared" si="3"/>
        <v>372.04187435811195</v>
      </c>
      <c r="H10" s="78">
        <f t="shared" si="3"/>
        <v>299.9331129661856</v>
      </c>
      <c r="I10" s="79">
        <f t="shared" si="3"/>
        <v>218.66930138396086</v>
      </c>
      <c r="J10" s="96"/>
      <c r="K10" s="96"/>
      <c r="L10" s="96"/>
      <c r="M10" s="96"/>
      <c r="N10" s="96"/>
      <c r="O10" s="96"/>
      <c r="P10" s="100"/>
    </row>
    <row r="11" spans="1:16" x14ac:dyDescent="0.2">
      <c r="A11" s="74" t="s">
        <v>40</v>
      </c>
      <c r="B11" s="78">
        <f>B9-B10</f>
        <v>1360.4000000000003</v>
      </c>
      <c r="C11" s="79">
        <f>C9-C10</f>
        <v>1005.3639999999997</v>
      </c>
      <c r="E11" s="88">
        <f>E9-E10</f>
        <v>834.72988504279806</v>
      </c>
      <c r="F11" s="78">
        <f t="shared" ref="F11:I11" si="4">F9-F10</f>
        <v>902.45620243094163</v>
      </c>
      <c r="G11" s="78">
        <f t="shared" si="4"/>
        <v>993.81588577673529</v>
      </c>
      <c r="H11" s="78">
        <f t="shared" si="4"/>
        <v>1111.050603970988</v>
      </c>
      <c r="I11" s="79">
        <f t="shared" si="4"/>
        <v>1256.2874653167057</v>
      </c>
      <c r="J11" s="96"/>
      <c r="K11" s="96"/>
      <c r="L11" s="96"/>
      <c r="M11" s="96"/>
      <c r="N11" s="96"/>
      <c r="O11" s="96"/>
      <c r="P11" s="100"/>
    </row>
    <row r="12" spans="1:16" x14ac:dyDescent="0.2">
      <c r="A12" s="74" t="s">
        <v>41</v>
      </c>
      <c r="B12" s="78">
        <v>201</v>
      </c>
      <c r="C12" s="79">
        <v>89</v>
      </c>
      <c r="E12" s="88">
        <f>E11*21%</f>
        <v>175.29327585898758</v>
      </c>
      <c r="F12" s="78">
        <f t="shared" ref="F12:I12" si="5">F11*21%</f>
        <v>189.51580251049774</v>
      </c>
      <c r="G12" s="78">
        <f t="shared" si="5"/>
        <v>208.7013360131144</v>
      </c>
      <c r="H12" s="78">
        <f t="shared" si="5"/>
        <v>233.32062683390748</v>
      </c>
      <c r="I12" s="79">
        <f t="shared" si="5"/>
        <v>263.8203677165082</v>
      </c>
      <c r="J12" s="96"/>
      <c r="K12" s="96"/>
      <c r="L12" s="96"/>
      <c r="M12" s="96"/>
      <c r="N12" s="96"/>
      <c r="O12" s="96"/>
      <c r="P12" s="100"/>
    </row>
    <row r="13" spans="1:16" ht="19" x14ac:dyDescent="0.35">
      <c r="A13" s="80" t="s">
        <v>42</v>
      </c>
      <c r="B13" s="76">
        <f>B11-B12</f>
        <v>1159.4000000000003</v>
      </c>
      <c r="C13" s="77">
        <f>C11-C12</f>
        <v>916.36399999999969</v>
      </c>
      <c r="E13" s="89">
        <f>E11-E12</f>
        <v>659.43660918381045</v>
      </c>
      <c r="F13" s="90">
        <f t="shared" ref="F13:I13" si="6">F11-F12</f>
        <v>712.94039992044395</v>
      </c>
      <c r="G13" s="90">
        <f t="shared" si="6"/>
        <v>785.11454976362086</v>
      </c>
      <c r="H13" s="90">
        <f t="shared" si="6"/>
        <v>877.7299771370806</v>
      </c>
      <c r="I13" s="101">
        <f t="shared" si="6"/>
        <v>992.46709760019758</v>
      </c>
      <c r="J13" s="97"/>
      <c r="K13" s="97"/>
      <c r="L13" s="97"/>
      <c r="M13" s="97"/>
      <c r="N13" s="97"/>
      <c r="O13" s="97"/>
      <c r="P13" s="100"/>
    </row>
    <row r="14" spans="1:16" x14ac:dyDescent="0.2">
      <c r="A14" s="74" t="s">
        <v>43</v>
      </c>
      <c r="B14" s="78">
        <v>321.10000000000002</v>
      </c>
      <c r="C14" s="79">
        <v>347.4</v>
      </c>
      <c r="E14" s="88">
        <f>E13*'Other Forecasts'!$B$29</f>
        <v>216.31518514953169</v>
      </c>
      <c r="F14" s="78">
        <f>F13*'Other Forecasts'!$B$29</f>
        <v>233.86604938456634</v>
      </c>
      <c r="G14" s="78">
        <f>G13*'Other Forecasts'!$B$29</f>
        <v>257.54135701672891</v>
      </c>
      <c r="H14" s="78">
        <f>H13*'Other Forecasts'!$B$29</f>
        <v>287.92202293818769</v>
      </c>
      <c r="I14" s="79">
        <f>I13*'Other Forecasts'!$B$29</f>
        <v>325.55927435985569</v>
      </c>
      <c r="J14" s="96"/>
      <c r="K14" s="96"/>
      <c r="L14" s="96"/>
      <c r="M14" s="96"/>
      <c r="N14" s="96"/>
      <c r="O14" s="96"/>
      <c r="P14" s="100"/>
    </row>
    <row r="15" spans="1:16" ht="19" x14ac:dyDescent="0.35">
      <c r="A15" s="80" t="s">
        <v>44</v>
      </c>
      <c r="B15" s="76">
        <f>B13-B14</f>
        <v>838.3000000000003</v>
      </c>
      <c r="C15" s="77">
        <f>C13-C14</f>
        <v>568.96399999999971</v>
      </c>
      <c r="E15" s="89">
        <f>E13-E14</f>
        <v>443.12142403427879</v>
      </c>
      <c r="F15" s="90">
        <f t="shared" ref="F15:I15" si="7">F13-F14</f>
        <v>479.07435053587761</v>
      </c>
      <c r="G15" s="90">
        <f t="shared" si="7"/>
        <v>527.57319274689189</v>
      </c>
      <c r="H15" s="90">
        <f t="shared" si="7"/>
        <v>589.80795419889296</v>
      </c>
      <c r="I15" s="101">
        <f t="shared" si="7"/>
        <v>666.90782324034194</v>
      </c>
      <c r="J15" s="97"/>
      <c r="K15" s="97"/>
      <c r="L15" s="97"/>
      <c r="M15" s="97"/>
      <c r="N15" s="97"/>
      <c r="O15" s="97"/>
      <c r="P15" s="100"/>
    </row>
    <row r="16" spans="1:16" x14ac:dyDescent="0.2">
      <c r="A16" s="1"/>
      <c r="B16" s="78"/>
      <c r="C16" s="79"/>
      <c r="E16" s="88"/>
      <c r="F16" s="78"/>
      <c r="G16" s="78"/>
      <c r="H16" s="78"/>
      <c r="I16" s="79"/>
      <c r="J16" s="96"/>
      <c r="K16" s="96"/>
      <c r="L16" s="96"/>
      <c r="M16" s="96"/>
      <c r="N16" s="96"/>
      <c r="O16" s="96"/>
      <c r="P16" s="100"/>
    </row>
    <row r="17" spans="1:16" x14ac:dyDescent="0.2">
      <c r="A17" s="74" t="s">
        <v>70</v>
      </c>
      <c r="B17" s="78">
        <f>664.6</f>
        <v>664.6</v>
      </c>
      <c r="C17" s="79">
        <f>604.8</f>
        <v>604.79999999999995</v>
      </c>
      <c r="E17" s="88">
        <f>E3*9%</f>
        <v>628.82879309950886</v>
      </c>
      <c r="F17" s="78">
        <f t="shared" ref="F17:I17" si="8">F3*9%</f>
        <v>634.26775723151138</v>
      </c>
      <c r="G17" s="78">
        <f t="shared" si="8"/>
        <v>645.92161139410496</v>
      </c>
      <c r="H17" s="78">
        <f t="shared" si="8"/>
        <v>664.02644879257991</v>
      </c>
      <c r="I17" s="79">
        <f t="shared" si="8"/>
        <v>688.72491389837569</v>
      </c>
      <c r="J17" s="96"/>
      <c r="K17" s="96"/>
      <c r="L17" s="96"/>
      <c r="M17" s="96"/>
      <c r="N17" s="96"/>
      <c r="O17" s="96"/>
      <c r="P17" s="100"/>
    </row>
    <row r="18" spans="1:16" x14ac:dyDescent="0.2">
      <c r="A18" s="74" t="s">
        <v>45</v>
      </c>
      <c r="B18" s="11">
        <v>0</v>
      </c>
      <c r="C18" s="135">
        <v>0</v>
      </c>
      <c r="E18" s="88">
        <v>0</v>
      </c>
      <c r="F18" s="78">
        <v>0</v>
      </c>
      <c r="G18" s="78">
        <v>0</v>
      </c>
      <c r="H18" s="78">
        <v>0</v>
      </c>
      <c r="I18" s="79">
        <v>0</v>
      </c>
      <c r="J18" s="96"/>
      <c r="K18" s="96"/>
      <c r="L18" s="96"/>
      <c r="M18" s="96"/>
      <c r="N18" s="96"/>
      <c r="O18" s="96"/>
      <c r="P18" s="100"/>
    </row>
    <row r="19" spans="1:16" x14ac:dyDescent="0.2">
      <c r="A19" s="74" t="s">
        <v>46</v>
      </c>
      <c r="B19" s="78">
        <v>5419.2</v>
      </c>
      <c r="C19" s="79">
        <v>6436</v>
      </c>
      <c r="E19" s="88">
        <f>E3*'Other Forecasts'!$I$23</f>
        <v>5841.6297233766581</v>
      </c>
      <c r="F19" s="78">
        <f>F3*'Other Forecasts'!$I$23</f>
        <v>5892.15605882208</v>
      </c>
      <c r="G19" s="78">
        <f>G3*'Other Forecasts'!$I$23</f>
        <v>6000.4168471561325</v>
      </c>
      <c r="H19" s="78">
        <f>H3*'Other Forecasts'!$I$23</f>
        <v>6168.6053230090456</v>
      </c>
      <c r="I19" s="79">
        <f>I3*'Other Forecasts'!$I$23</f>
        <v>6398.0466104740208</v>
      </c>
      <c r="J19" s="96"/>
      <c r="K19" s="96"/>
      <c r="L19" s="96"/>
      <c r="M19" s="96"/>
      <c r="N19" s="96"/>
      <c r="O19" s="96"/>
      <c r="P19" s="100"/>
    </row>
    <row r="20" spans="1:16" x14ac:dyDescent="0.2">
      <c r="A20" s="74" t="s">
        <v>47</v>
      </c>
      <c r="B20" s="78">
        <v>3033.7000000000003</v>
      </c>
      <c r="C20" s="79">
        <v>4083.4000000000005</v>
      </c>
      <c r="E20" s="88">
        <f>C20*E3/C3</f>
        <v>4073.7136674829685</v>
      </c>
      <c r="F20" s="78">
        <f>E20*F3/E3</f>
        <v>4108.9486674776044</v>
      </c>
      <c r="G20" s="78">
        <f t="shared" ref="G20:I20" si="9">F20*G3/F3</f>
        <v>4184.445313785749</v>
      </c>
      <c r="H20" s="78">
        <f t="shared" si="9"/>
        <v>4301.7330785431323</v>
      </c>
      <c r="I20" s="79">
        <f t="shared" si="9"/>
        <v>4461.7360490995552</v>
      </c>
      <c r="J20" s="96"/>
      <c r="K20" s="96"/>
      <c r="L20" s="96"/>
      <c r="M20" s="96"/>
      <c r="N20" s="96"/>
      <c r="O20" s="96"/>
      <c r="P20" s="100"/>
    </row>
    <row r="21" spans="1:16" ht="19" x14ac:dyDescent="0.35">
      <c r="A21" s="80" t="s">
        <v>48</v>
      </c>
      <c r="B21" s="76">
        <v>9117.5</v>
      </c>
      <c r="C21" s="77">
        <v>11124.2</v>
      </c>
      <c r="E21" s="89">
        <f>SUM(E17:E20)</f>
        <v>10544.172183959136</v>
      </c>
      <c r="F21" s="90">
        <f t="shared" ref="F21:I21" si="10">SUM(F17:F20)</f>
        <v>10635.372483531195</v>
      </c>
      <c r="G21" s="90">
        <f t="shared" si="10"/>
        <v>10830.783772335986</v>
      </c>
      <c r="H21" s="90">
        <f t="shared" si="10"/>
        <v>11134.364850344758</v>
      </c>
      <c r="I21" s="101">
        <f t="shared" si="10"/>
        <v>11548.50757347195</v>
      </c>
      <c r="J21" s="97"/>
      <c r="K21" s="97"/>
      <c r="L21" s="97"/>
      <c r="M21" s="97"/>
      <c r="N21" s="97"/>
      <c r="O21" s="97"/>
      <c r="P21" s="100"/>
    </row>
    <row r="22" spans="1:16" x14ac:dyDescent="0.2">
      <c r="A22" s="1"/>
      <c r="B22" s="78"/>
      <c r="C22" s="79"/>
      <c r="E22" s="88"/>
      <c r="F22" s="78"/>
      <c r="G22" s="78"/>
      <c r="H22" s="78"/>
      <c r="I22" s="79"/>
      <c r="J22" s="96"/>
      <c r="K22" s="96"/>
      <c r="L22" s="96"/>
      <c r="M22" s="96"/>
      <c r="N22" s="96"/>
      <c r="O22" s="96"/>
      <c r="P22" s="100"/>
    </row>
    <row r="23" spans="1:16" x14ac:dyDescent="0.2">
      <c r="A23" s="74" t="s">
        <v>49</v>
      </c>
      <c r="B23" s="78">
        <v>1176.4000000000001</v>
      </c>
      <c r="C23" s="79">
        <v>1304.8</v>
      </c>
      <c r="E23" s="88">
        <f>C23+'Other Forecasts'!$C$2</f>
        <v>1444.8719999999998</v>
      </c>
      <c r="F23" s="78">
        <f>E23+'Other Forecasts'!$D$2</f>
        <v>1584.6117317998908</v>
      </c>
      <c r="G23" s="78">
        <f>F23+'Other Forecasts'!$D$2</f>
        <v>1724.3514635997817</v>
      </c>
      <c r="H23" s="78">
        <f>G23+'Other Forecasts'!$D$2</f>
        <v>1864.0911953996726</v>
      </c>
      <c r="I23" s="79">
        <f>H23+'Other Forecasts'!$D$2</f>
        <v>2003.8309271995636</v>
      </c>
      <c r="J23" s="96"/>
      <c r="K23" s="96"/>
      <c r="L23" s="96"/>
      <c r="M23" s="96"/>
      <c r="N23" s="96"/>
      <c r="O23" s="96"/>
      <c r="P23" s="100"/>
    </row>
    <row r="24" spans="1:16" x14ac:dyDescent="0.2">
      <c r="A24" s="74" t="s">
        <v>50</v>
      </c>
      <c r="B24" s="78">
        <v>709</v>
      </c>
      <c r="C24" s="79">
        <v>854.1</v>
      </c>
      <c r="E24" s="88">
        <f>C24+E6</f>
        <v>1006.2036000000001</v>
      </c>
      <c r="F24" s="78">
        <f>E24+F6</f>
        <v>1165.2941865899945</v>
      </c>
      <c r="G24" s="78">
        <f t="shared" ref="G24:I24" si="11">F24+G6</f>
        <v>1331.4321927047836</v>
      </c>
      <c r="H24" s="78">
        <f t="shared" si="11"/>
        <v>1504.7471056128406</v>
      </c>
      <c r="I24" s="79">
        <f t="shared" si="11"/>
        <v>1685.4400901741485</v>
      </c>
      <c r="J24" s="96"/>
      <c r="K24" s="96"/>
      <c r="L24" s="96"/>
      <c r="M24" s="96"/>
      <c r="N24" s="96"/>
      <c r="O24" s="96"/>
      <c r="P24" s="100"/>
    </row>
    <row r="25" spans="1:16" x14ac:dyDescent="0.2">
      <c r="A25" s="74" t="s">
        <v>51</v>
      </c>
      <c r="B25" s="78">
        <v>467.4</v>
      </c>
      <c r="C25" s="79">
        <v>450.7</v>
      </c>
      <c r="E25" s="88">
        <f>E23-E24</f>
        <v>438.66839999999979</v>
      </c>
      <c r="F25" s="78">
        <f t="shared" ref="F25:I25" si="12">F23-F24</f>
        <v>419.31754520989625</v>
      </c>
      <c r="G25" s="78">
        <f t="shared" si="12"/>
        <v>392.91927089499814</v>
      </c>
      <c r="H25" s="78">
        <f t="shared" si="12"/>
        <v>359.344089786832</v>
      </c>
      <c r="I25" s="79">
        <f t="shared" si="12"/>
        <v>318.39083702541507</v>
      </c>
      <c r="J25" s="96"/>
      <c r="K25" s="96"/>
      <c r="L25" s="96"/>
      <c r="M25" s="96"/>
      <c r="N25" s="96"/>
      <c r="O25" s="96"/>
      <c r="P25" s="100"/>
    </row>
    <row r="26" spans="1:16" x14ac:dyDescent="0.2">
      <c r="A26" s="74" t="s">
        <v>52</v>
      </c>
      <c r="B26" s="78">
        <v>5618.5</v>
      </c>
      <c r="C26" s="79">
        <v>6127</v>
      </c>
      <c r="E26" s="88">
        <f>C26</f>
        <v>6127</v>
      </c>
      <c r="F26" s="78">
        <f>E26</f>
        <v>6127</v>
      </c>
      <c r="G26" s="78">
        <f t="shared" ref="G26:H26" si="13">F26</f>
        <v>6127</v>
      </c>
      <c r="H26" s="78">
        <f t="shared" si="13"/>
        <v>6127</v>
      </c>
      <c r="I26" s="79">
        <f>H26</f>
        <v>6127</v>
      </c>
      <c r="J26" s="96"/>
      <c r="K26" s="96"/>
      <c r="L26" s="96"/>
      <c r="M26" s="96"/>
      <c r="N26" s="96"/>
      <c r="O26" s="96"/>
      <c r="P26" s="100"/>
    </row>
    <row r="27" spans="1:16" x14ac:dyDescent="0.2">
      <c r="A27" s="74" t="s">
        <v>69</v>
      </c>
      <c r="B27" s="78">
        <v>4431.3999999999996</v>
      </c>
      <c r="C27" s="79">
        <v>4629.5000000000009</v>
      </c>
      <c r="E27" s="88">
        <f>C27*E3/C3</f>
        <v>4618.5182503826236</v>
      </c>
      <c r="F27" s="78">
        <f>E27*F3/E3</f>
        <v>4658.4654591976232</v>
      </c>
      <c r="G27" s="78">
        <f t="shared" ref="G27:I27" si="14">F27*G3/F3</f>
        <v>4744.0587696946486</v>
      </c>
      <c r="H27" s="78">
        <f t="shared" si="14"/>
        <v>4877.0322004005084</v>
      </c>
      <c r="I27" s="79">
        <f t="shared" si="14"/>
        <v>5058.4334229579263</v>
      </c>
      <c r="J27" s="96"/>
      <c r="K27" s="96"/>
      <c r="L27" s="96"/>
      <c r="M27" s="96"/>
      <c r="N27" s="96"/>
      <c r="O27" s="96"/>
      <c r="P27" s="100"/>
    </row>
    <row r="28" spans="1:16" ht="19" x14ac:dyDescent="0.35">
      <c r="A28" s="80" t="s">
        <v>53</v>
      </c>
      <c r="B28" s="76">
        <v>10517.3</v>
      </c>
      <c r="C28" s="77">
        <v>11207.2</v>
      </c>
      <c r="E28" s="89">
        <f>E25+E26+E27</f>
        <v>11184.186650382624</v>
      </c>
      <c r="F28" s="90">
        <f t="shared" ref="F28:I28" si="15">F25+F26+F27</f>
        <v>11204.78300440752</v>
      </c>
      <c r="G28" s="90">
        <f t="shared" si="15"/>
        <v>11263.978040589645</v>
      </c>
      <c r="H28" s="90">
        <f t="shared" si="15"/>
        <v>11363.376290187342</v>
      </c>
      <c r="I28" s="101">
        <f t="shared" si="15"/>
        <v>11503.824259983341</v>
      </c>
      <c r="J28" s="97"/>
      <c r="K28" s="97"/>
      <c r="L28" s="97"/>
      <c r="M28" s="97"/>
      <c r="N28" s="97"/>
      <c r="O28" s="97"/>
      <c r="P28" s="100"/>
    </row>
    <row r="29" spans="1:16" x14ac:dyDescent="0.2">
      <c r="A29" s="1"/>
      <c r="B29" s="78"/>
      <c r="C29" s="79"/>
      <c r="E29" s="88"/>
      <c r="F29" s="78"/>
      <c r="G29" s="78"/>
      <c r="H29" s="78"/>
      <c r="I29" s="79"/>
      <c r="J29" s="96"/>
      <c r="K29" s="96"/>
      <c r="L29" s="96"/>
      <c r="M29" s="96"/>
      <c r="N29" s="96"/>
      <c r="O29" s="96"/>
      <c r="P29" s="100"/>
    </row>
    <row r="30" spans="1:16" ht="19" x14ac:dyDescent="0.35">
      <c r="A30" s="80" t="s">
        <v>54</v>
      </c>
      <c r="B30" s="82">
        <v>19634.8</v>
      </c>
      <c r="C30" s="81">
        <v>22331.4</v>
      </c>
      <c r="E30" s="91">
        <f>E21+E28</f>
        <v>21728.358834341758</v>
      </c>
      <c r="F30" s="92">
        <f t="shared" ref="F30:I30" si="16">F21+F28</f>
        <v>21840.155487938715</v>
      </c>
      <c r="G30" s="92">
        <f t="shared" si="16"/>
        <v>22094.76181292563</v>
      </c>
      <c r="H30" s="92">
        <f t="shared" si="16"/>
        <v>22497.7411405321</v>
      </c>
      <c r="I30" s="102">
        <f t="shared" si="16"/>
        <v>23052.33183345529</v>
      </c>
      <c r="J30" s="98"/>
      <c r="K30" s="115"/>
      <c r="L30" s="98"/>
      <c r="M30" s="98"/>
      <c r="N30" s="98"/>
      <c r="O30" s="98"/>
      <c r="P30" s="100"/>
    </row>
    <row r="31" spans="1:16" x14ac:dyDescent="0.2">
      <c r="A31" s="1"/>
      <c r="B31" s="78"/>
      <c r="C31" s="79"/>
      <c r="E31" s="88"/>
      <c r="F31" s="78"/>
      <c r="G31" s="78"/>
      <c r="H31" s="78"/>
      <c r="I31" s="79"/>
      <c r="J31" s="96"/>
      <c r="K31" s="96"/>
      <c r="L31" s="96"/>
      <c r="M31" s="96"/>
      <c r="N31" s="96"/>
      <c r="O31" s="96"/>
      <c r="P31" s="100"/>
    </row>
    <row r="32" spans="1:16" x14ac:dyDescent="0.2">
      <c r="A32" s="74" t="s">
        <v>55</v>
      </c>
      <c r="B32" s="78">
        <v>6348.5</v>
      </c>
      <c r="C32" s="79">
        <v>7784.6</v>
      </c>
      <c r="E32" s="88">
        <f>E3*'Other Forecasts'!$I$24</f>
        <v>6965.5467835417467</v>
      </c>
      <c r="F32" s="78">
        <f>F3*'Other Forecasts'!$I$24</f>
        <v>7025.7942778219176</v>
      </c>
      <c r="G32" s="78">
        <f>G3*'Other Forecasts'!$I$24</f>
        <v>7154.8842101992232</v>
      </c>
      <c r="H32" s="78">
        <f>H3*'Other Forecasts'!$I$24</f>
        <v>7355.4317889541571</v>
      </c>
      <c r="I32" s="79">
        <f>I3*'Other Forecasts'!$I$24</f>
        <v>7629.0170892202505</v>
      </c>
      <c r="J32" s="96"/>
      <c r="K32" s="96"/>
      <c r="L32" s="96"/>
      <c r="M32" s="96"/>
      <c r="N32" s="96"/>
      <c r="O32" s="96"/>
      <c r="P32" s="100"/>
    </row>
    <row r="33" spans="1:16" x14ac:dyDescent="0.2">
      <c r="A33" s="74" t="s">
        <v>56</v>
      </c>
      <c r="B33" s="78">
        <v>1952.5</v>
      </c>
      <c r="C33" s="79">
        <v>2275.3999999999996</v>
      </c>
      <c r="E33" s="88">
        <f>C33*E3/C3</f>
        <v>2270.0024682839653</v>
      </c>
      <c r="F33" s="78">
        <f>E33*F3/E3</f>
        <v>2289.6365278881667</v>
      </c>
      <c r="G33" s="78">
        <f t="shared" ref="G33:I33" si="17">F33*G3/F3</f>
        <v>2331.705653863959</v>
      </c>
      <c r="H33" s="78">
        <f t="shared" si="17"/>
        <v>2397.0621165981879</v>
      </c>
      <c r="I33" s="79">
        <f t="shared" si="17"/>
        <v>2486.2208468729796</v>
      </c>
      <c r="J33" s="96"/>
      <c r="K33" s="96"/>
      <c r="L33" s="96"/>
      <c r="M33" s="96"/>
      <c r="N33" s="96"/>
      <c r="O33" s="96"/>
      <c r="P33" s="100"/>
    </row>
    <row r="34" spans="1:16" x14ac:dyDescent="0.2">
      <c r="A34" s="74" t="s">
        <v>57</v>
      </c>
      <c r="B34" s="78">
        <v>620</v>
      </c>
      <c r="C34" s="79">
        <v>75</v>
      </c>
      <c r="E34" s="88">
        <v>75</v>
      </c>
      <c r="F34" s="78">
        <v>75</v>
      </c>
      <c r="G34" s="78">
        <v>75</v>
      </c>
      <c r="H34" s="78">
        <v>75</v>
      </c>
      <c r="I34" s="79">
        <v>75</v>
      </c>
      <c r="J34" s="96"/>
      <c r="K34" s="96"/>
      <c r="L34" s="96"/>
      <c r="M34" s="96"/>
      <c r="N34" s="96"/>
      <c r="O34" s="96"/>
      <c r="P34" s="100"/>
    </row>
    <row r="35" spans="1:16" ht="19" x14ac:dyDescent="0.35">
      <c r="A35" s="74" t="s">
        <v>58</v>
      </c>
      <c r="B35" s="76">
        <v>8921</v>
      </c>
      <c r="C35" s="77">
        <v>10135</v>
      </c>
      <c r="E35" s="89">
        <f>E32+E33+E34</f>
        <v>9310.5492518257124</v>
      </c>
      <c r="F35" s="90">
        <f t="shared" ref="F35:I35" si="18">F32+F33+F34</f>
        <v>9390.4308057100843</v>
      </c>
      <c r="G35" s="90">
        <f t="shared" si="18"/>
        <v>9561.5898640631822</v>
      </c>
      <c r="H35" s="90">
        <f t="shared" si="18"/>
        <v>9827.4939055523446</v>
      </c>
      <c r="I35" s="101">
        <f t="shared" si="18"/>
        <v>10190.23793609323</v>
      </c>
      <c r="J35" s="97"/>
      <c r="K35" s="97"/>
      <c r="L35" s="97"/>
      <c r="M35" s="97"/>
      <c r="N35" s="97"/>
      <c r="O35" s="97"/>
      <c r="P35" s="100"/>
    </row>
    <row r="36" spans="1:16" x14ac:dyDescent="0.2">
      <c r="A36" s="74" t="s">
        <v>59</v>
      </c>
      <c r="B36" s="78">
        <v>3816.1</v>
      </c>
      <c r="C36" s="79">
        <v>4266</v>
      </c>
      <c r="E36" s="88">
        <v>4056.525236298196</v>
      </c>
      <c r="F36" s="78">
        <v>3564.8523952137684</v>
      </c>
      <c r="G36" s="78">
        <v>3025.3489529842664</v>
      </c>
      <c r="H36" s="78">
        <v>2424.4426080515468</v>
      </c>
      <c r="I36" s="79">
        <v>1747.2441781996738</v>
      </c>
      <c r="J36" s="96"/>
      <c r="K36" s="96"/>
      <c r="L36" s="96"/>
      <c r="M36" s="96"/>
      <c r="N36" s="96"/>
      <c r="O36" s="96"/>
      <c r="P36" s="100"/>
    </row>
    <row r="37" spans="1:16" x14ac:dyDescent="0.2">
      <c r="A37" s="74" t="s">
        <v>60</v>
      </c>
      <c r="B37" s="78">
        <v>1682.1999999999994</v>
      </c>
      <c r="C37" s="79">
        <v>1697.7000000000007</v>
      </c>
      <c r="E37" s="88">
        <f>C37*E3/C3</f>
        <v>1693.6728445133558</v>
      </c>
      <c r="F37" s="78">
        <f>E37*F3/E3</f>
        <v>1708.3220239939099</v>
      </c>
      <c r="G37" s="78">
        <f t="shared" ref="G37:I37" si="19">F37*G3/F3</f>
        <v>1739.710243721915</v>
      </c>
      <c r="H37" s="78">
        <f t="shared" si="19"/>
        <v>1788.473391644874</v>
      </c>
      <c r="I37" s="79">
        <f t="shared" si="19"/>
        <v>1854.9956630641909</v>
      </c>
      <c r="J37" s="96"/>
      <c r="K37" s="96"/>
      <c r="L37" s="96"/>
      <c r="M37" s="96"/>
      <c r="N37" s="96"/>
      <c r="O37" s="96"/>
      <c r="P37" s="100"/>
    </row>
    <row r="38" spans="1:16" ht="19" x14ac:dyDescent="0.35">
      <c r="A38" s="74" t="s">
        <v>61</v>
      </c>
      <c r="B38" s="76">
        <v>5498.2999999999993</v>
      </c>
      <c r="C38" s="77">
        <v>5963.7000000000007</v>
      </c>
      <c r="E38" s="89">
        <f>E36+E37</f>
        <v>5750.1980808115513</v>
      </c>
      <c r="F38" s="90">
        <f t="shared" ref="F38:I38" si="20">F36+F37</f>
        <v>5273.1744192076785</v>
      </c>
      <c r="G38" s="90">
        <f t="shared" si="20"/>
        <v>4765.059196706181</v>
      </c>
      <c r="H38" s="90">
        <f t="shared" si="20"/>
        <v>4212.9159996964208</v>
      </c>
      <c r="I38" s="101">
        <f t="shared" si="20"/>
        <v>3602.2398412638649</v>
      </c>
      <c r="J38" s="97"/>
      <c r="K38" s="97"/>
      <c r="L38" s="97"/>
      <c r="M38" s="97"/>
      <c r="N38" s="97"/>
      <c r="O38" s="97"/>
      <c r="P38" s="100"/>
    </row>
    <row r="39" spans="1:16" ht="19" x14ac:dyDescent="0.35">
      <c r="A39" s="74" t="s">
        <v>62</v>
      </c>
      <c r="B39" s="76">
        <v>14419.3</v>
      </c>
      <c r="C39" s="77">
        <v>16098.7</v>
      </c>
      <c r="E39" s="91">
        <f>E35+E36+E37</f>
        <v>15060.747332637264</v>
      </c>
      <c r="F39" s="92">
        <f t="shared" ref="F39:I39" si="21">F35+F36+F37</f>
        <v>14663.605224917761</v>
      </c>
      <c r="G39" s="92">
        <f t="shared" si="21"/>
        <v>14326.649060769363</v>
      </c>
      <c r="H39" s="92">
        <f t="shared" si="21"/>
        <v>14040.409905248765</v>
      </c>
      <c r="I39" s="102">
        <f t="shared" si="21"/>
        <v>13792.477777357093</v>
      </c>
      <c r="J39" s="98"/>
      <c r="K39" s="98"/>
      <c r="L39" s="98"/>
      <c r="M39" s="98"/>
      <c r="N39" s="98"/>
      <c r="O39" s="98"/>
      <c r="P39" s="100"/>
    </row>
    <row r="40" spans="1:16" x14ac:dyDescent="0.2">
      <c r="A40" s="74" t="s">
        <v>63</v>
      </c>
      <c r="B40" s="78">
        <v>400</v>
      </c>
      <c r="C40" s="79">
        <v>400</v>
      </c>
      <c r="E40" s="88">
        <v>400</v>
      </c>
      <c r="F40" s="78">
        <v>400</v>
      </c>
      <c r="G40" s="78">
        <v>400</v>
      </c>
      <c r="H40" s="78">
        <v>400</v>
      </c>
      <c r="I40" s="79">
        <v>400</v>
      </c>
      <c r="J40" s="96"/>
      <c r="K40" s="96"/>
      <c r="L40" s="96"/>
      <c r="M40" s="96"/>
      <c r="N40" s="96"/>
      <c r="O40" s="96"/>
      <c r="P40" s="100"/>
    </row>
    <row r="41" spans="1:16" x14ac:dyDescent="0.2">
      <c r="A41" s="74" t="s">
        <v>64</v>
      </c>
      <c r="B41" s="78">
        <v>1901.3</v>
      </c>
      <c r="C41" s="79">
        <v>2371.6999999999998</v>
      </c>
      <c r="E41" s="88">
        <f>C41+E15</f>
        <v>2814.8214240342786</v>
      </c>
      <c r="F41" s="78">
        <f>E41+F15</f>
        <v>3293.8957745701564</v>
      </c>
      <c r="G41" s="78">
        <f>F41+G15</f>
        <v>3821.4689673170483</v>
      </c>
      <c r="H41" s="78">
        <f>G41+H15</f>
        <v>4411.2769215159415</v>
      </c>
      <c r="I41" s="79">
        <f>H41+I15</f>
        <v>5078.1847447562832</v>
      </c>
      <c r="J41" s="96"/>
      <c r="K41" s="96"/>
      <c r="L41" s="96"/>
      <c r="M41" s="96"/>
      <c r="N41" s="96"/>
      <c r="O41" s="96"/>
      <c r="P41" s="100"/>
    </row>
    <row r="42" spans="1:16" x14ac:dyDescent="0.2">
      <c r="A42" s="74" t="s">
        <v>16</v>
      </c>
      <c r="B42" s="78">
        <v>2914.2</v>
      </c>
      <c r="C42" s="79">
        <v>3461</v>
      </c>
      <c r="E42" s="88">
        <f>C42*E3/C3</f>
        <v>3452.790077670214</v>
      </c>
      <c r="F42" s="78">
        <f>E42*F3/E3</f>
        <v>3482.6544884507985</v>
      </c>
      <c r="G42" s="78">
        <f t="shared" ref="G42:I42" si="22">F42*G3/F3</f>
        <v>3546.6437848392216</v>
      </c>
      <c r="H42" s="78">
        <f t="shared" si="22"/>
        <v>3646.0543137673949</v>
      </c>
      <c r="I42" s="79">
        <f t="shared" si="22"/>
        <v>3781.669311341911</v>
      </c>
      <c r="J42" s="96"/>
      <c r="K42" s="96"/>
      <c r="L42" s="96"/>
      <c r="M42" s="96"/>
      <c r="N42" s="96"/>
      <c r="O42" s="96"/>
      <c r="P42" s="100"/>
    </row>
    <row r="43" spans="1:16" ht="19" x14ac:dyDescent="0.35">
      <c r="A43" s="74" t="s">
        <v>65</v>
      </c>
      <c r="B43" s="76">
        <v>5215.5</v>
      </c>
      <c r="C43" s="77">
        <v>6232.7</v>
      </c>
      <c r="E43" s="89">
        <f>E40+E41+E42</f>
        <v>6667.6115017044922</v>
      </c>
      <c r="F43" s="90">
        <f t="shared" ref="F43:I43" si="23">F40+F41+F42</f>
        <v>7176.5502630209548</v>
      </c>
      <c r="G43" s="90">
        <f t="shared" si="23"/>
        <v>7768.1127521562703</v>
      </c>
      <c r="H43" s="90">
        <f t="shared" si="23"/>
        <v>8457.3312352833364</v>
      </c>
      <c r="I43" s="101">
        <f t="shared" si="23"/>
        <v>9259.8540560981946</v>
      </c>
      <c r="J43" s="97"/>
      <c r="K43" s="97"/>
      <c r="L43" s="97"/>
      <c r="M43" s="97"/>
      <c r="N43" s="97"/>
      <c r="O43" s="97"/>
      <c r="P43" s="100"/>
    </row>
    <row r="44" spans="1:16" ht="19" x14ac:dyDescent="0.35">
      <c r="A44" s="74" t="s">
        <v>66</v>
      </c>
      <c r="B44" s="76">
        <f>B39+B43</f>
        <v>19634.8</v>
      </c>
      <c r="C44" s="77">
        <f>C39+C43</f>
        <v>22331.4</v>
      </c>
      <c r="E44" s="91">
        <f>E39+E43</f>
        <v>21728.358834341758</v>
      </c>
      <c r="F44" s="92">
        <f t="shared" ref="F44:I44" si="24">F39+F43</f>
        <v>21840.155487938715</v>
      </c>
      <c r="G44" s="92">
        <f t="shared" si="24"/>
        <v>22094.761812925633</v>
      </c>
      <c r="H44" s="92">
        <f t="shared" si="24"/>
        <v>22497.741140532104</v>
      </c>
      <c r="I44" s="102">
        <f t="shared" si="24"/>
        <v>23052.33183345529</v>
      </c>
      <c r="J44" s="98"/>
      <c r="K44" s="98"/>
      <c r="L44" s="98"/>
      <c r="M44" s="98"/>
      <c r="N44" s="98"/>
      <c r="O44" s="98"/>
      <c r="P44" s="100"/>
    </row>
    <row r="45" spans="1:16" x14ac:dyDescent="0.2">
      <c r="A45" s="1"/>
      <c r="B45" s="78"/>
      <c r="C45" s="79"/>
      <c r="E45" s="88"/>
      <c r="F45" s="78"/>
      <c r="G45" s="78"/>
      <c r="H45" s="78"/>
      <c r="I45" s="79"/>
      <c r="J45" s="96"/>
      <c r="K45" s="96"/>
      <c r="L45" s="96"/>
      <c r="M45" s="96"/>
      <c r="N45" s="96"/>
      <c r="O45" s="96"/>
      <c r="P45" s="100"/>
    </row>
    <row r="46" spans="1:16" ht="17" thickBot="1" x14ac:dyDescent="0.25">
      <c r="A46" s="84" t="s">
        <v>67</v>
      </c>
      <c r="B46" s="85">
        <f>B30-B44</f>
        <v>0</v>
      </c>
      <c r="C46" s="86">
        <f>C30-C44</f>
        <v>0</v>
      </c>
      <c r="E46" s="107">
        <f>E30-E44</f>
        <v>0</v>
      </c>
      <c r="F46" s="108">
        <f>F30-F44</f>
        <v>0</v>
      </c>
      <c r="G46" s="108">
        <f>G30-G44</f>
        <v>0</v>
      </c>
      <c r="H46" s="108">
        <f>H30-H44</f>
        <v>0</v>
      </c>
      <c r="I46" s="109">
        <f>I30-I44</f>
        <v>0</v>
      </c>
      <c r="J46" s="99"/>
      <c r="K46" s="99"/>
      <c r="L46" s="99"/>
      <c r="M46" s="99"/>
      <c r="N46" s="99"/>
      <c r="O46" s="99"/>
      <c r="P46" s="100"/>
    </row>
    <row r="47" spans="1:16" x14ac:dyDescent="0.2">
      <c r="J47" s="100"/>
      <c r="K47" s="100"/>
      <c r="L47" s="100"/>
      <c r="M47" s="100"/>
      <c r="N47" s="100"/>
      <c r="O47" s="100"/>
      <c r="P47" s="100"/>
    </row>
    <row r="48" spans="1:16" x14ac:dyDescent="0.2">
      <c r="J48" s="100"/>
      <c r="K48" s="100"/>
      <c r="L48" s="100"/>
      <c r="M48" s="100"/>
      <c r="N48" s="100"/>
      <c r="O48" s="100"/>
      <c r="P48" s="100"/>
    </row>
    <row r="49" spans="10:16" x14ac:dyDescent="0.2">
      <c r="J49" s="100"/>
      <c r="K49" s="100"/>
      <c r="L49" s="100"/>
      <c r="M49" s="100"/>
      <c r="N49" s="100"/>
      <c r="O49" s="100"/>
      <c r="P49" s="100"/>
    </row>
    <row r="50" spans="10:16" x14ac:dyDescent="0.2">
      <c r="J50" s="100"/>
      <c r="K50" s="100"/>
      <c r="L50" s="100"/>
      <c r="M50" s="100"/>
      <c r="N50" s="100"/>
      <c r="O50" s="100"/>
      <c r="P50" s="100"/>
    </row>
    <row r="51" spans="10:16" x14ac:dyDescent="0.2">
      <c r="J51" s="100"/>
      <c r="K51" s="100"/>
      <c r="L51" s="100"/>
      <c r="M51" s="100"/>
      <c r="N51" s="100"/>
      <c r="O51" s="100"/>
      <c r="P51" s="100"/>
    </row>
    <row r="52" spans="10:16" x14ac:dyDescent="0.2">
      <c r="J52" s="100"/>
      <c r="K52" s="100"/>
      <c r="L52" s="100"/>
      <c r="M52" s="100"/>
      <c r="N52" s="100"/>
      <c r="O52" s="100"/>
      <c r="P52" s="100"/>
    </row>
    <row r="53" spans="10:16" x14ac:dyDescent="0.2">
      <c r="J53" s="100"/>
      <c r="K53" s="100"/>
      <c r="L53" s="100"/>
      <c r="M53" s="100"/>
      <c r="N53" s="100"/>
      <c r="O53" s="100"/>
      <c r="P53" s="100"/>
    </row>
    <row r="54" spans="10:16" x14ac:dyDescent="0.2">
      <c r="J54" s="100"/>
      <c r="K54" s="100"/>
      <c r="L54" s="100"/>
      <c r="M54" s="100"/>
      <c r="N54" s="100"/>
      <c r="O54" s="100"/>
      <c r="P54" s="100"/>
    </row>
    <row r="55" spans="10:16" x14ac:dyDescent="0.2">
      <c r="J55" s="100"/>
      <c r="K55" s="100"/>
      <c r="L55" s="100"/>
      <c r="M55" s="100"/>
      <c r="N55" s="100"/>
      <c r="O55" s="100"/>
      <c r="P55" s="100"/>
    </row>
    <row r="56" spans="10:16" x14ac:dyDescent="0.2">
      <c r="J56" s="100"/>
      <c r="K56" s="100"/>
      <c r="L56" s="100"/>
      <c r="M56" s="100"/>
      <c r="N56" s="100"/>
      <c r="O56" s="100"/>
      <c r="P56" s="100"/>
    </row>
    <row r="57" spans="10:16" x14ac:dyDescent="0.2">
      <c r="J57" s="100"/>
      <c r="K57" s="100"/>
      <c r="L57" s="100"/>
      <c r="M57" s="100"/>
      <c r="N57" s="100"/>
      <c r="O57" s="100"/>
      <c r="P57" s="100"/>
    </row>
    <row r="58" spans="10:16" x14ac:dyDescent="0.2">
      <c r="J58" s="100"/>
      <c r="K58" s="100"/>
      <c r="L58" s="100"/>
      <c r="M58" s="100"/>
      <c r="N58" s="100"/>
      <c r="O58" s="100"/>
      <c r="P58" s="100"/>
    </row>
    <row r="59" spans="10:16" x14ac:dyDescent="0.2">
      <c r="J59" s="100"/>
      <c r="K59" s="100"/>
      <c r="L59" s="100"/>
      <c r="M59" s="100"/>
      <c r="N59" s="100"/>
      <c r="O59" s="100"/>
      <c r="P59" s="100"/>
    </row>
    <row r="60" spans="10:16" x14ac:dyDescent="0.2">
      <c r="J60" s="100"/>
      <c r="K60" s="100"/>
      <c r="L60" s="100"/>
      <c r="M60" s="100"/>
      <c r="N60" s="100"/>
      <c r="O60" s="100"/>
      <c r="P60" s="100"/>
    </row>
    <row r="61" spans="10:16" x14ac:dyDescent="0.2">
      <c r="J61" s="100"/>
      <c r="K61" s="100"/>
      <c r="L61" s="100"/>
      <c r="M61" s="100"/>
      <c r="N61" s="100"/>
      <c r="O61" s="100"/>
      <c r="P61" s="100"/>
    </row>
    <row r="62" spans="10:16" x14ac:dyDescent="0.2">
      <c r="J62" s="100"/>
      <c r="K62" s="100"/>
      <c r="L62" s="100"/>
      <c r="M62" s="100"/>
      <c r="N62" s="100"/>
      <c r="O62" s="100"/>
      <c r="P62" s="100"/>
    </row>
    <row r="63" spans="10:16" x14ac:dyDescent="0.2">
      <c r="J63" s="100"/>
      <c r="K63" s="100"/>
      <c r="L63" s="100"/>
      <c r="M63" s="100"/>
      <c r="N63" s="100"/>
      <c r="O63" s="100"/>
      <c r="P63" s="100"/>
    </row>
    <row r="64" spans="10:16" x14ac:dyDescent="0.2">
      <c r="J64" s="100"/>
      <c r="K64" s="100"/>
      <c r="L64" s="100"/>
      <c r="M64" s="100"/>
      <c r="N64" s="100"/>
      <c r="O64" s="100"/>
      <c r="P64" s="100"/>
    </row>
    <row r="65" spans="10:16" x14ac:dyDescent="0.2">
      <c r="J65" s="100"/>
      <c r="K65" s="100"/>
      <c r="L65" s="100"/>
      <c r="M65" s="100"/>
      <c r="N65" s="100"/>
      <c r="O65" s="100"/>
      <c r="P65" s="100"/>
    </row>
    <row r="66" spans="10:16" x14ac:dyDescent="0.2">
      <c r="J66" s="100"/>
      <c r="K66" s="100"/>
      <c r="L66" s="100"/>
      <c r="M66" s="100"/>
      <c r="N66" s="100"/>
      <c r="O66" s="100"/>
      <c r="P66" s="100"/>
    </row>
    <row r="67" spans="10:16" x14ac:dyDescent="0.2">
      <c r="J67" s="100"/>
      <c r="K67" s="100"/>
      <c r="L67" s="100"/>
      <c r="M67" s="100"/>
      <c r="N67" s="100"/>
      <c r="O67" s="100"/>
      <c r="P67" s="100"/>
    </row>
    <row r="68" spans="10:16" x14ac:dyDescent="0.2">
      <c r="J68" s="100"/>
      <c r="K68" s="100"/>
      <c r="L68" s="100"/>
      <c r="M68" s="100"/>
      <c r="N68" s="100"/>
      <c r="O68" s="100"/>
      <c r="P68" s="100"/>
    </row>
    <row r="69" spans="10:16" x14ac:dyDescent="0.2">
      <c r="J69" s="100"/>
      <c r="K69" s="100"/>
      <c r="L69" s="100"/>
      <c r="M69" s="100"/>
      <c r="N69" s="100"/>
      <c r="O69" s="100"/>
      <c r="P69" s="100"/>
    </row>
    <row r="70" spans="10:16" x14ac:dyDescent="0.2">
      <c r="J70" s="100"/>
      <c r="K70" s="100"/>
      <c r="L70" s="100"/>
      <c r="M70" s="100"/>
      <c r="N70" s="100"/>
      <c r="O70" s="100"/>
      <c r="P70" s="100"/>
    </row>
    <row r="71" spans="10:16" x14ac:dyDescent="0.2">
      <c r="J71" s="100"/>
      <c r="K71" s="100"/>
      <c r="L71" s="100"/>
      <c r="M71" s="100"/>
      <c r="N71" s="100"/>
      <c r="O71" s="100"/>
      <c r="P71" s="100"/>
    </row>
    <row r="72" spans="10:16" x14ac:dyDescent="0.2">
      <c r="J72" s="100"/>
      <c r="K72" s="100"/>
      <c r="L72" s="100"/>
      <c r="M72" s="100"/>
      <c r="N72" s="100"/>
      <c r="O72" s="100"/>
      <c r="P72" s="100"/>
    </row>
    <row r="73" spans="10:16" x14ac:dyDescent="0.2">
      <c r="J73" s="100"/>
      <c r="K73" s="100"/>
      <c r="L73" s="100"/>
      <c r="M73" s="100"/>
      <c r="N73" s="100"/>
      <c r="O73" s="100"/>
      <c r="P73" s="100"/>
    </row>
    <row r="74" spans="10:16" x14ac:dyDescent="0.2">
      <c r="J74" s="100"/>
      <c r="K74" s="100"/>
      <c r="L74" s="100"/>
      <c r="M74" s="100"/>
      <c r="N74" s="100"/>
      <c r="O74" s="100"/>
      <c r="P74" s="100"/>
    </row>
    <row r="75" spans="10:16" x14ac:dyDescent="0.2">
      <c r="J75" s="100"/>
      <c r="K75" s="100"/>
      <c r="L75" s="100"/>
      <c r="M75" s="100"/>
      <c r="N75" s="100"/>
      <c r="O75" s="100"/>
      <c r="P75" s="100"/>
    </row>
    <row r="76" spans="10:16" x14ac:dyDescent="0.2">
      <c r="J76" s="100"/>
      <c r="K76" s="100"/>
      <c r="L76" s="100"/>
      <c r="M76" s="100"/>
      <c r="N76" s="100"/>
      <c r="O76" s="100"/>
      <c r="P76" s="100"/>
    </row>
    <row r="77" spans="10:16" x14ac:dyDescent="0.2">
      <c r="J77" s="100"/>
      <c r="K77" s="100"/>
      <c r="L77" s="100"/>
      <c r="M77" s="100"/>
      <c r="N77" s="100"/>
      <c r="O77" s="100"/>
      <c r="P77" s="100"/>
    </row>
    <row r="78" spans="10:16" x14ac:dyDescent="0.2">
      <c r="J78" s="100"/>
      <c r="K78" s="100"/>
      <c r="L78" s="100"/>
      <c r="M78" s="100"/>
      <c r="N78" s="100"/>
      <c r="O78" s="100"/>
      <c r="P78" s="100"/>
    </row>
    <row r="79" spans="10:16" x14ac:dyDescent="0.2">
      <c r="J79" s="100"/>
      <c r="K79" s="100"/>
      <c r="L79" s="100"/>
      <c r="M79" s="100"/>
      <c r="N79" s="100"/>
      <c r="O79" s="100"/>
      <c r="P79" s="100"/>
    </row>
    <row r="80" spans="10:16" x14ac:dyDescent="0.2">
      <c r="J80" s="100"/>
      <c r="K80" s="100"/>
      <c r="L80" s="100"/>
      <c r="M80" s="100"/>
      <c r="N80" s="100"/>
      <c r="O80" s="100"/>
      <c r="P80" s="100"/>
    </row>
    <row r="81" spans="10:16" x14ac:dyDescent="0.2">
      <c r="J81" s="100"/>
      <c r="K81" s="100"/>
      <c r="L81" s="100"/>
      <c r="M81" s="100"/>
      <c r="N81" s="100"/>
      <c r="O81" s="100"/>
      <c r="P81" s="100"/>
    </row>
    <row r="82" spans="10:16" x14ac:dyDescent="0.2">
      <c r="J82" s="100"/>
      <c r="K82" s="100"/>
      <c r="L82" s="100"/>
      <c r="M82" s="100"/>
      <c r="N82" s="100"/>
      <c r="O82" s="100"/>
      <c r="P82" s="100"/>
    </row>
    <row r="83" spans="10:16" x14ac:dyDescent="0.2">
      <c r="J83" s="100"/>
      <c r="K83" s="100"/>
      <c r="L83" s="100"/>
      <c r="M83" s="100"/>
      <c r="N83" s="100"/>
      <c r="O83" s="100"/>
      <c r="P83" s="100"/>
    </row>
    <row r="84" spans="10:16" x14ac:dyDescent="0.2">
      <c r="J84" s="100"/>
      <c r="K84" s="100"/>
      <c r="L84" s="100"/>
      <c r="M84" s="100"/>
      <c r="N84" s="100"/>
      <c r="O84" s="100"/>
      <c r="P84" s="100"/>
    </row>
    <row r="85" spans="10:16" x14ac:dyDescent="0.2">
      <c r="J85" s="100"/>
      <c r="K85" s="100"/>
      <c r="L85" s="100"/>
      <c r="M85" s="100"/>
      <c r="N85" s="100"/>
      <c r="O85" s="100"/>
      <c r="P85" s="100"/>
    </row>
    <row r="86" spans="10:16" x14ac:dyDescent="0.2">
      <c r="J86" s="100"/>
      <c r="K86" s="100"/>
      <c r="L86" s="100"/>
      <c r="M86" s="100"/>
      <c r="N86" s="100"/>
      <c r="O86" s="100"/>
      <c r="P86" s="100"/>
    </row>
    <row r="87" spans="10:16" x14ac:dyDescent="0.2">
      <c r="J87" s="100"/>
      <c r="K87" s="100"/>
      <c r="L87" s="100"/>
      <c r="M87" s="100"/>
      <c r="N87" s="100"/>
      <c r="O87" s="100"/>
      <c r="P87" s="100"/>
    </row>
    <row r="88" spans="10:16" x14ac:dyDescent="0.2">
      <c r="J88" s="100"/>
      <c r="K88" s="100"/>
      <c r="L88" s="100"/>
      <c r="M88" s="100"/>
      <c r="N88" s="100"/>
      <c r="O88" s="100"/>
      <c r="P88" s="100"/>
    </row>
    <row r="89" spans="10:16" x14ac:dyDescent="0.2">
      <c r="J89" s="100"/>
      <c r="K89" s="100"/>
      <c r="L89" s="100"/>
      <c r="M89" s="100"/>
      <c r="N89" s="100"/>
      <c r="O89" s="100"/>
      <c r="P89" s="100"/>
    </row>
    <row r="90" spans="10:16" x14ac:dyDescent="0.2">
      <c r="J90" s="100"/>
      <c r="K90" s="100"/>
      <c r="L90" s="100"/>
      <c r="M90" s="100"/>
      <c r="N90" s="100"/>
      <c r="O90" s="100"/>
      <c r="P90" s="100"/>
    </row>
    <row r="91" spans="10:16" x14ac:dyDescent="0.2">
      <c r="J91" s="100"/>
      <c r="K91" s="100"/>
      <c r="L91" s="100"/>
      <c r="M91" s="100"/>
      <c r="N91" s="100"/>
      <c r="O91" s="100"/>
      <c r="P91" s="100"/>
    </row>
    <row r="92" spans="10:16" x14ac:dyDescent="0.2">
      <c r="J92" s="100"/>
      <c r="K92" s="100"/>
      <c r="L92" s="100"/>
      <c r="M92" s="100"/>
      <c r="N92" s="100"/>
      <c r="O92" s="100"/>
      <c r="P92" s="100"/>
    </row>
    <row r="93" spans="10:16" x14ac:dyDescent="0.2">
      <c r="J93" s="100"/>
      <c r="K93" s="100"/>
      <c r="L93" s="100"/>
      <c r="M93" s="100"/>
      <c r="N93" s="100"/>
      <c r="O93" s="100"/>
      <c r="P93" s="100"/>
    </row>
    <row r="94" spans="10:16" x14ac:dyDescent="0.2">
      <c r="J94" s="100"/>
      <c r="K94" s="100"/>
      <c r="L94" s="100"/>
      <c r="M94" s="100"/>
      <c r="N94" s="100"/>
      <c r="O94" s="100"/>
      <c r="P94" s="100"/>
    </row>
    <row r="95" spans="10:16" x14ac:dyDescent="0.2">
      <c r="J95" s="100"/>
      <c r="K95" s="100"/>
      <c r="L95" s="100"/>
      <c r="M95" s="100"/>
      <c r="N95" s="100"/>
      <c r="O95" s="100"/>
      <c r="P95" s="100"/>
    </row>
    <row r="96" spans="10:16" x14ac:dyDescent="0.2">
      <c r="J96" s="100"/>
      <c r="K96" s="100"/>
      <c r="L96" s="100"/>
      <c r="M96" s="100"/>
      <c r="N96" s="100"/>
      <c r="O96" s="100"/>
      <c r="P96" s="100"/>
    </row>
    <row r="97" spans="10:16" x14ac:dyDescent="0.2">
      <c r="J97" s="100"/>
      <c r="K97" s="100"/>
      <c r="L97" s="100"/>
      <c r="M97" s="100"/>
      <c r="N97" s="100"/>
      <c r="O97" s="100"/>
      <c r="P97" s="100"/>
    </row>
    <row r="98" spans="10:16" x14ac:dyDescent="0.2">
      <c r="J98" s="100"/>
      <c r="K98" s="100"/>
      <c r="L98" s="100"/>
      <c r="M98" s="100"/>
      <c r="N98" s="100"/>
      <c r="O98" s="100"/>
      <c r="P98" s="100"/>
    </row>
    <row r="99" spans="10:16" x14ac:dyDescent="0.2">
      <c r="J99" s="100"/>
      <c r="K99" s="100"/>
      <c r="L99" s="100"/>
      <c r="M99" s="100"/>
      <c r="N99" s="100"/>
      <c r="O99" s="100"/>
      <c r="P99" s="100"/>
    </row>
    <row r="100" spans="10:16" x14ac:dyDescent="0.2">
      <c r="J100" s="100"/>
      <c r="K100" s="100"/>
      <c r="L100" s="100"/>
      <c r="M100" s="100"/>
      <c r="N100" s="100"/>
      <c r="O100" s="100"/>
      <c r="P100" s="100"/>
    </row>
    <row r="101" spans="10:16" x14ac:dyDescent="0.2">
      <c r="J101" s="100"/>
      <c r="K101" s="100"/>
      <c r="L101" s="100"/>
      <c r="M101" s="100"/>
      <c r="N101" s="100"/>
      <c r="O101" s="100"/>
      <c r="P101" s="100"/>
    </row>
    <row r="102" spans="10:16" x14ac:dyDescent="0.2">
      <c r="J102" s="100"/>
      <c r="K102" s="100"/>
      <c r="L102" s="100"/>
      <c r="M102" s="100"/>
      <c r="N102" s="100"/>
      <c r="O102" s="100"/>
      <c r="P102" s="100"/>
    </row>
    <row r="103" spans="10:16" x14ac:dyDescent="0.2">
      <c r="J103" s="100"/>
      <c r="K103" s="100"/>
      <c r="L103" s="100"/>
      <c r="M103" s="100"/>
      <c r="N103" s="100"/>
      <c r="O103" s="100"/>
      <c r="P103" s="100"/>
    </row>
    <row r="104" spans="10:16" x14ac:dyDescent="0.2">
      <c r="J104" s="100"/>
      <c r="K104" s="100"/>
      <c r="L104" s="100"/>
      <c r="M104" s="100"/>
      <c r="N104" s="100"/>
      <c r="O104" s="100"/>
      <c r="P104" s="100"/>
    </row>
    <row r="105" spans="10:16" x14ac:dyDescent="0.2">
      <c r="J105" s="100"/>
      <c r="K105" s="100"/>
      <c r="L105" s="100"/>
      <c r="M105" s="100"/>
      <c r="N105" s="100"/>
      <c r="O105" s="100"/>
      <c r="P105" s="100"/>
    </row>
    <row r="106" spans="10:16" x14ac:dyDescent="0.2">
      <c r="J106" s="100"/>
      <c r="K106" s="100"/>
      <c r="L106" s="100"/>
      <c r="M106" s="100"/>
      <c r="N106" s="100"/>
      <c r="O106" s="100"/>
      <c r="P106" s="100"/>
    </row>
    <row r="107" spans="10:16" x14ac:dyDescent="0.2">
      <c r="J107" s="100"/>
      <c r="K107" s="100"/>
      <c r="L107" s="100"/>
      <c r="M107" s="100"/>
      <c r="N107" s="100"/>
      <c r="O107" s="100"/>
      <c r="P107" s="100"/>
    </row>
    <row r="108" spans="10:16" x14ac:dyDescent="0.2">
      <c r="J108" s="100"/>
      <c r="K108" s="100"/>
      <c r="L108" s="100"/>
      <c r="M108" s="100"/>
      <c r="N108" s="100"/>
      <c r="O108" s="100"/>
      <c r="P108" s="100"/>
    </row>
    <row r="109" spans="10:16" x14ac:dyDescent="0.2">
      <c r="J109" s="100"/>
      <c r="K109" s="100"/>
      <c r="L109" s="100"/>
      <c r="M109" s="100"/>
      <c r="N109" s="100"/>
      <c r="O109" s="100"/>
      <c r="P109" s="100"/>
    </row>
    <row r="110" spans="10:16" x14ac:dyDescent="0.2">
      <c r="J110" s="100"/>
      <c r="K110" s="100"/>
      <c r="L110" s="100"/>
      <c r="M110" s="100"/>
      <c r="N110" s="100"/>
      <c r="O110" s="100"/>
      <c r="P110" s="100"/>
    </row>
    <row r="111" spans="10:16" x14ac:dyDescent="0.2">
      <c r="J111" s="100"/>
      <c r="K111" s="100"/>
      <c r="L111" s="100"/>
      <c r="M111" s="100"/>
      <c r="N111" s="100"/>
      <c r="O111" s="100"/>
      <c r="P111" s="100"/>
    </row>
    <row r="112" spans="10:16" x14ac:dyDescent="0.2">
      <c r="J112" s="100"/>
      <c r="K112" s="100"/>
      <c r="L112" s="100"/>
      <c r="M112" s="100"/>
      <c r="N112" s="100"/>
      <c r="O112" s="100"/>
      <c r="P112" s="100"/>
    </row>
    <row r="113" spans="10:16" x14ac:dyDescent="0.2">
      <c r="J113" s="100"/>
      <c r="K113" s="100"/>
      <c r="L113" s="100"/>
      <c r="M113" s="100"/>
      <c r="N113" s="100"/>
      <c r="O113" s="100"/>
      <c r="P113" s="100"/>
    </row>
    <row r="114" spans="10:16" x14ac:dyDescent="0.2">
      <c r="J114" s="100"/>
      <c r="K114" s="100"/>
      <c r="L114" s="100"/>
      <c r="M114" s="100"/>
      <c r="N114" s="100"/>
      <c r="O114" s="100"/>
      <c r="P114" s="100"/>
    </row>
    <row r="115" spans="10:16" x14ac:dyDescent="0.2">
      <c r="J115" s="100"/>
      <c r="K115" s="100"/>
      <c r="L115" s="100"/>
      <c r="M115" s="100"/>
      <c r="N115" s="100"/>
      <c r="O115" s="100"/>
      <c r="P115" s="100"/>
    </row>
    <row r="116" spans="10:16" x14ac:dyDescent="0.2">
      <c r="J116" s="100"/>
      <c r="K116" s="100"/>
      <c r="L116" s="100"/>
      <c r="M116" s="100"/>
      <c r="N116" s="100"/>
      <c r="O116" s="100"/>
      <c r="P116" s="100"/>
    </row>
    <row r="117" spans="10:16" x14ac:dyDescent="0.2">
      <c r="J117" s="100"/>
      <c r="K117" s="100"/>
      <c r="L117" s="100"/>
      <c r="M117" s="100"/>
      <c r="N117" s="100"/>
      <c r="O117" s="100"/>
      <c r="P117" s="100"/>
    </row>
    <row r="118" spans="10:16" x14ac:dyDescent="0.2">
      <c r="J118" s="100"/>
      <c r="K118" s="100"/>
      <c r="L118" s="100"/>
      <c r="M118" s="100"/>
      <c r="N118" s="100"/>
      <c r="O118" s="100"/>
      <c r="P118" s="100"/>
    </row>
    <row r="119" spans="10:16" x14ac:dyDescent="0.2">
      <c r="J119" s="100"/>
      <c r="K119" s="100"/>
      <c r="L119" s="100"/>
      <c r="M119" s="100"/>
      <c r="N119" s="100"/>
      <c r="O119" s="100"/>
      <c r="P119" s="100"/>
    </row>
    <row r="120" spans="10:16" x14ac:dyDescent="0.2">
      <c r="O120" s="100"/>
      <c r="P120" s="100"/>
    </row>
    <row r="121" spans="10:16" x14ac:dyDescent="0.2">
      <c r="O121" s="100"/>
      <c r="P121" s="100"/>
    </row>
    <row r="122" spans="10:16" x14ac:dyDescent="0.2">
      <c r="O122" s="100"/>
      <c r="P122" s="100"/>
    </row>
    <row r="123" spans="10:16" x14ac:dyDescent="0.2">
      <c r="O123" s="100"/>
      <c r="P123" s="100"/>
    </row>
    <row r="124" spans="10:16" x14ac:dyDescent="0.2">
      <c r="O124" s="100"/>
      <c r="P124" s="100"/>
    </row>
    <row r="125" spans="10:16" x14ac:dyDescent="0.2">
      <c r="O125" s="100"/>
      <c r="P125" s="100"/>
    </row>
    <row r="126" spans="10:16" x14ac:dyDescent="0.2">
      <c r="O126" s="100"/>
      <c r="P126" s="100"/>
    </row>
    <row r="127" spans="10:16" x14ac:dyDescent="0.2">
      <c r="O127" s="100"/>
      <c r="P127" s="100"/>
    </row>
    <row r="128" spans="10:16" x14ac:dyDescent="0.2">
      <c r="O128" s="100"/>
      <c r="P128" s="100"/>
    </row>
    <row r="129" spans="15:16" x14ac:dyDescent="0.2">
      <c r="O129" s="100"/>
      <c r="P129" s="100"/>
    </row>
    <row r="130" spans="15:16" x14ac:dyDescent="0.2">
      <c r="O130" s="100"/>
      <c r="P130" s="100"/>
    </row>
    <row r="131" spans="15:16" x14ac:dyDescent="0.2">
      <c r="O131" s="100"/>
      <c r="P131" s="100"/>
    </row>
    <row r="132" spans="15:16" x14ac:dyDescent="0.2">
      <c r="O132" s="100"/>
      <c r="P132" s="100"/>
    </row>
    <row r="133" spans="15:16" x14ac:dyDescent="0.2">
      <c r="O133" s="100"/>
      <c r="P133" s="100"/>
    </row>
    <row r="134" spans="15:16" x14ac:dyDescent="0.2">
      <c r="O134" s="100"/>
      <c r="P134" s="100"/>
    </row>
    <row r="135" spans="15:16" x14ac:dyDescent="0.2">
      <c r="O135" s="100"/>
      <c r="P135" s="100"/>
    </row>
    <row r="136" spans="15:16" x14ac:dyDescent="0.2">
      <c r="O136" s="100"/>
      <c r="P136" s="100"/>
    </row>
    <row r="137" spans="15:16" x14ac:dyDescent="0.2">
      <c r="O137" s="100"/>
      <c r="P137" s="100"/>
    </row>
    <row r="138" spans="15:16" x14ac:dyDescent="0.2">
      <c r="O138" s="100"/>
      <c r="P138" s="100"/>
    </row>
    <row r="139" spans="15:16" x14ac:dyDescent="0.2">
      <c r="O139" s="100"/>
      <c r="P139" s="100"/>
    </row>
    <row r="140" spans="15:16" x14ac:dyDescent="0.2">
      <c r="O140" s="100"/>
      <c r="P140" s="100"/>
    </row>
    <row r="141" spans="15:16" x14ac:dyDescent="0.2">
      <c r="O141" s="100"/>
      <c r="P141" s="100"/>
    </row>
    <row r="142" spans="15:16" x14ac:dyDescent="0.2">
      <c r="O142" s="100"/>
      <c r="P142" s="100"/>
    </row>
    <row r="143" spans="15:16" x14ac:dyDescent="0.2">
      <c r="O143" s="100"/>
      <c r="P143" s="100"/>
    </row>
    <row r="144" spans="15:16" x14ac:dyDescent="0.2">
      <c r="O144" s="100"/>
      <c r="P144" s="100"/>
    </row>
    <row r="145" spans="15:16" x14ac:dyDescent="0.2">
      <c r="O145" s="100"/>
      <c r="P145" s="100"/>
    </row>
    <row r="146" spans="15:16" x14ac:dyDescent="0.2">
      <c r="O146" s="100"/>
      <c r="P146" s="100"/>
    </row>
    <row r="147" spans="15:16" x14ac:dyDescent="0.2">
      <c r="O147" s="100"/>
      <c r="P147" s="100"/>
    </row>
    <row r="148" spans="15:16" x14ac:dyDescent="0.2">
      <c r="O148" s="100"/>
      <c r="P148" s="100"/>
    </row>
    <row r="149" spans="15:16" x14ac:dyDescent="0.2">
      <c r="O149" s="100"/>
      <c r="P149" s="100"/>
    </row>
    <row r="150" spans="15:16" x14ac:dyDescent="0.2">
      <c r="O150" s="100"/>
      <c r="P150" s="100"/>
    </row>
    <row r="151" spans="15:16" x14ac:dyDescent="0.2">
      <c r="O151" s="100"/>
      <c r="P151" s="100"/>
    </row>
    <row r="152" spans="15:16" x14ac:dyDescent="0.2">
      <c r="O152" s="100"/>
      <c r="P152" s="100"/>
    </row>
    <row r="153" spans="15:16" x14ac:dyDescent="0.2">
      <c r="O153" s="100"/>
      <c r="P153" s="100"/>
    </row>
    <row r="154" spans="15:16" x14ac:dyDescent="0.2">
      <c r="O154" s="100"/>
      <c r="P154" s="100"/>
    </row>
    <row r="155" spans="15:16" x14ac:dyDescent="0.2">
      <c r="O155" s="100"/>
      <c r="P155" s="100"/>
    </row>
    <row r="156" spans="15:16" x14ac:dyDescent="0.2">
      <c r="O156" s="100"/>
      <c r="P156" s="100"/>
    </row>
    <row r="157" spans="15:16" x14ac:dyDescent="0.2">
      <c r="O157" s="100"/>
      <c r="P157" s="100"/>
    </row>
    <row r="158" spans="15:16" x14ac:dyDescent="0.2">
      <c r="O158" s="100"/>
      <c r="P158" s="100"/>
    </row>
    <row r="159" spans="15:16" x14ac:dyDescent="0.2">
      <c r="O159" s="100"/>
      <c r="P159" s="100"/>
    </row>
    <row r="160" spans="15:16" x14ac:dyDescent="0.2">
      <c r="O160" s="100"/>
      <c r="P160" s="100"/>
    </row>
    <row r="161" spans="15:16" x14ac:dyDescent="0.2">
      <c r="O161" s="100"/>
      <c r="P161" s="100"/>
    </row>
    <row r="162" spans="15:16" x14ac:dyDescent="0.2">
      <c r="O162" s="100"/>
      <c r="P162" s="100"/>
    </row>
    <row r="163" spans="15:16" x14ac:dyDescent="0.2">
      <c r="O163" s="100"/>
      <c r="P163" s="100"/>
    </row>
    <row r="164" spans="15:16" x14ac:dyDescent="0.2">
      <c r="O164" s="100"/>
      <c r="P164" s="100"/>
    </row>
    <row r="165" spans="15:16" x14ac:dyDescent="0.2">
      <c r="O165" s="100"/>
      <c r="P165" s="100"/>
    </row>
    <row r="166" spans="15:16" x14ac:dyDescent="0.2">
      <c r="O166" s="100"/>
      <c r="P166" s="100"/>
    </row>
    <row r="167" spans="15:16" x14ac:dyDescent="0.2">
      <c r="O167" s="100"/>
      <c r="P167" s="100"/>
    </row>
    <row r="168" spans="15:16" x14ac:dyDescent="0.2">
      <c r="O168" s="100"/>
      <c r="P168" s="100"/>
    </row>
    <row r="169" spans="15:16" x14ac:dyDescent="0.2">
      <c r="O169" s="100"/>
      <c r="P169" s="100"/>
    </row>
    <row r="170" spans="15:16" x14ac:dyDescent="0.2">
      <c r="O170" s="100"/>
      <c r="P170" s="100"/>
    </row>
    <row r="171" spans="15:16" x14ac:dyDescent="0.2">
      <c r="O171" s="100"/>
      <c r="P171" s="100"/>
    </row>
    <row r="172" spans="15:16" x14ac:dyDescent="0.2">
      <c r="O172" s="100"/>
      <c r="P172" s="100"/>
    </row>
    <row r="173" spans="15:16" x14ac:dyDescent="0.2">
      <c r="O173" s="100"/>
      <c r="P173" s="100"/>
    </row>
    <row r="174" spans="15:16" x14ac:dyDescent="0.2">
      <c r="O174" s="100"/>
      <c r="P174" s="100"/>
    </row>
    <row r="175" spans="15:16" x14ac:dyDescent="0.2">
      <c r="O175" s="100"/>
      <c r="P175" s="100"/>
    </row>
    <row r="176" spans="15:16" x14ac:dyDescent="0.2">
      <c r="O176" s="100"/>
      <c r="P176" s="100"/>
    </row>
    <row r="177" spans="15:16" x14ac:dyDescent="0.2">
      <c r="O177" s="100"/>
      <c r="P177" s="100"/>
    </row>
    <row r="178" spans="15:16" x14ac:dyDescent="0.2">
      <c r="O178" s="100"/>
      <c r="P178" s="100"/>
    </row>
    <row r="179" spans="15:16" x14ac:dyDescent="0.2">
      <c r="O179" s="100"/>
      <c r="P179" s="100"/>
    </row>
  </sheetData>
  <mergeCells count="2">
    <mergeCell ref="A1:C1"/>
    <mergeCell ref="E1:I1"/>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07CA6-B7AF-EB4C-B815-3CB5667702E5}">
  <dimension ref="A1:O45"/>
  <sheetViews>
    <sheetView workbookViewId="0">
      <selection activeCell="Q31" sqref="Q31"/>
    </sheetView>
  </sheetViews>
  <sheetFormatPr baseColWidth="10" defaultRowHeight="16" x14ac:dyDescent="0.2"/>
  <cols>
    <col min="1" max="1" width="16" bestFit="1" customWidth="1"/>
    <col min="2" max="2" width="20.6640625" customWidth="1"/>
    <col min="4" max="4" width="11.6640625" bestFit="1" customWidth="1"/>
    <col min="5" max="5" width="13.83203125" customWidth="1"/>
    <col min="6" max="6" width="12.83203125" bestFit="1" customWidth="1"/>
  </cols>
  <sheetData>
    <row r="1" spans="1:5" ht="26" x14ac:dyDescent="0.3">
      <c r="A1" s="3" t="s">
        <v>0</v>
      </c>
      <c r="B1" s="4"/>
      <c r="C1" s="4"/>
      <c r="D1" s="5"/>
    </row>
    <row r="2" spans="1:5" ht="17" thickBot="1" x14ac:dyDescent="0.25">
      <c r="A2" s="6" t="s">
        <v>1</v>
      </c>
      <c r="B2" s="7"/>
      <c r="C2" s="7"/>
      <c r="D2" s="8"/>
    </row>
    <row r="3" spans="1:5" x14ac:dyDescent="0.2">
      <c r="A3" s="1"/>
      <c r="B3" s="9">
        <v>2020</v>
      </c>
      <c r="C3" s="9">
        <v>2021</v>
      </c>
      <c r="D3" s="22" t="s">
        <v>5</v>
      </c>
      <c r="E3" s="24" t="s">
        <v>7</v>
      </c>
    </row>
    <row r="4" spans="1:5" x14ac:dyDescent="0.2">
      <c r="A4" s="1" t="s">
        <v>2</v>
      </c>
      <c r="B4" s="12">
        <v>4901.5</v>
      </c>
      <c r="C4" s="12">
        <v>5167.1000000000004</v>
      </c>
      <c r="D4" s="23">
        <f>(C4-B4)/B4</f>
        <v>5.418749362440077E-2</v>
      </c>
      <c r="E4" s="25">
        <f>D4/$B10</f>
        <v>1.3894229134461735</v>
      </c>
    </row>
    <row r="5" spans="1:5" x14ac:dyDescent="0.2">
      <c r="A5" s="1" t="s">
        <v>3</v>
      </c>
      <c r="B5" s="12">
        <v>977.1</v>
      </c>
      <c r="C5" s="12">
        <v>973.4</v>
      </c>
      <c r="D5" s="23">
        <f t="shared" ref="D5:D7" si="0">(C5-B5)/B5</f>
        <v>-3.7867157916283345E-3</v>
      </c>
      <c r="E5" s="25">
        <f>D5/$B10</f>
        <v>-9.7095276708418832E-2</v>
      </c>
    </row>
    <row r="6" spans="1:5" ht="17" thickBot="1" x14ac:dyDescent="0.25">
      <c r="A6" s="1" t="s">
        <v>4</v>
      </c>
      <c r="B6" s="12">
        <v>1316.4</v>
      </c>
      <c r="C6" s="12">
        <v>863.1</v>
      </c>
      <c r="D6" s="23">
        <f t="shared" si="0"/>
        <v>-0.3443482224247949</v>
      </c>
      <c r="E6" s="26">
        <f>D6/$B10</f>
        <v>-8.8294416006357661</v>
      </c>
    </row>
    <row r="7" spans="1:5" ht="17" thickBot="1" x14ac:dyDescent="0.25">
      <c r="A7" s="62" t="s">
        <v>11</v>
      </c>
      <c r="B7" s="13">
        <f>B4+B5+B6</f>
        <v>7195</v>
      </c>
      <c r="C7" s="13">
        <f>C4+C5+C6</f>
        <v>7003.6</v>
      </c>
      <c r="D7" s="15">
        <f t="shared" si="0"/>
        <v>-2.6601806810284869E-2</v>
      </c>
      <c r="E7" s="20"/>
    </row>
    <row r="9" spans="1:5" ht="17" thickBot="1" x14ac:dyDescent="0.25"/>
    <row r="10" spans="1:5" ht="17" thickBot="1" x14ac:dyDescent="0.25">
      <c r="A10" s="16" t="s">
        <v>6</v>
      </c>
      <c r="B10" s="17">
        <v>3.9E-2</v>
      </c>
    </row>
    <row r="12" spans="1:5" ht="17" thickBot="1" x14ac:dyDescent="0.25"/>
    <row r="13" spans="1:5" ht="19" x14ac:dyDescent="0.25">
      <c r="A13" s="27" t="s">
        <v>8</v>
      </c>
      <c r="B13" s="28"/>
    </row>
    <row r="14" spans="1:5" x14ac:dyDescent="0.2">
      <c r="A14" s="1">
        <v>2022</v>
      </c>
      <c r="B14" s="29">
        <v>3.1E-2</v>
      </c>
    </row>
    <row r="15" spans="1:5" x14ac:dyDescent="0.2">
      <c r="A15" s="1">
        <v>2023</v>
      </c>
      <c r="B15" s="29">
        <v>3.2500000000000001E-2</v>
      </c>
    </row>
    <row r="16" spans="1:5" x14ac:dyDescent="0.2">
      <c r="A16" s="1">
        <v>2024</v>
      </c>
      <c r="B16" s="29">
        <v>3.4200000000000001E-2</v>
      </c>
    </row>
    <row r="17" spans="1:15" x14ac:dyDescent="0.2">
      <c r="A17" s="1">
        <v>2025</v>
      </c>
      <c r="B17" s="29">
        <v>3.7600000000000001E-2</v>
      </c>
    </row>
    <row r="18" spans="1:15" ht="17" thickBot="1" x14ac:dyDescent="0.25">
      <c r="A18" s="2">
        <v>2026</v>
      </c>
      <c r="B18" s="30">
        <v>4.1000000000000002E-2</v>
      </c>
    </row>
    <row r="20" spans="1:15" ht="17" thickBot="1" x14ac:dyDescent="0.25"/>
    <row r="21" spans="1:15" ht="19" x14ac:dyDescent="0.25">
      <c r="A21" s="35" t="s">
        <v>9</v>
      </c>
      <c r="B21" s="36"/>
      <c r="C21" s="36"/>
      <c r="D21" s="36"/>
      <c r="E21" s="36"/>
      <c r="F21" s="40"/>
      <c r="G21" s="27" t="s">
        <v>10</v>
      </c>
      <c r="H21" s="43"/>
      <c r="I21" s="43"/>
      <c r="J21" s="43"/>
      <c r="K21" s="28"/>
    </row>
    <row r="22" spans="1:15" ht="19" x14ac:dyDescent="0.2">
      <c r="A22" s="1"/>
      <c r="B22" s="32">
        <v>2022</v>
      </c>
      <c r="C22" s="33">
        <v>2023</v>
      </c>
      <c r="D22" s="32">
        <v>2024</v>
      </c>
      <c r="E22" s="33">
        <v>2025</v>
      </c>
      <c r="F22" s="41">
        <v>2026</v>
      </c>
      <c r="G22" s="44">
        <v>2022</v>
      </c>
      <c r="H22" s="33">
        <v>2023</v>
      </c>
      <c r="I22" s="32">
        <v>2024</v>
      </c>
      <c r="J22" s="33">
        <v>2025</v>
      </c>
      <c r="K22" s="38">
        <v>2026</v>
      </c>
    </row>
    <row r="23" spans="1:15" x14ac:dyDescent="0.2">
      <c r="A23" s="1" t="s">
        <v>2</v>
      </c>
      <c r="B23" s="34">
        <f>E4*B14</f>
        <v>4.3072110316831377E-2</v>
      </c>
      <c r="C23" s="34">
        <f>E4*B15</f>
        <v>4.5156244687000642E-2</v>
      </c>
      <c r="D23" s="34">
        <f>$E4*B16</f>
        <v>4.7518263639859136E-2</v>
      </c>
      <c r="E23" s="34">
        <f>$E4*B17</f>
        <v>5.2242301545576124E-2</v>
      </c>
      <c r="F23" s="23">
        <f>$E4*B18</f>
        <v>5.6966339451293119E-2</v>
      </c>
      <c r="G23" s="45">
        <f>C4*(1+B23)</f>
        <v>5389.6579012181001</v>
      </c>
      <c r="H23" s="42">
        <f>G23*(1+C23)</f>
        <v>5633.0346121847306</v>
      </c>
      <c r="I23" s="42">
        <f>H23*(1+D23)</f>
        <v>5900.7066359789769</v>
      </c>
      <c r="J23" s="42">
        <f t="shared" ref="I23:K23" si="1">I23*(1+E23)</f>
        <v>6208.9731313877728</v>
      </c>
      <c r="K23" s="14">
        <f t="shared" si="1"/>
        <v>6562.6756024343676</v>
      </c>
    </row>
    <row r="24" spans="1:15" x14ac:dyDescent="0.2">
      <c r="A24" s="1" t="s">
        <v>3</v>
      </c>
      <c r="B24" s="34">
        <f>$E5*B14</f>
        <v>-3.0099535779609839E-3</v>
      </c>
      <c r="C24" s="34">
        <f>$E5*B15</f>
        <v>-3.155596493023612E-3</v>
      </c>
      <c r="D24" s="34">
        <f>$E5*B16</f>
        <v>-3.3206584634279243E-3</v>
      </c>
      <c r="E24" s="34">
        <f>$E5*B17</f>
        <v>-3.6507824042365483E-3</v>
      </c>
      <c r="F24" s="23">
        <f>$E5*B18</f>
        <v>-3.9809063450451723E-3</v>
      </c>
      <c r="G24" s="45">
        <f>C5*(1+B24)</f>
        <v>970.47011118721275</v>
      </c>
      <c r="H24" s="42">
        <f>G24*(1+C24)</f>
        <v>967.40769910776612</v>
      </c>
      <c r="I24" s="42">
        <f>H24*(1+D24)</f>
        <v>964.19526854413857</v>
      </c>
      <c r="J24" s="42">
        <f t="shared" ref="I24:K24" si="2">I24*(1+E24)</f>
        <v>960.67520142348951</v>
      </c>
      <c r="K24" s="14">
        <f t="shared" si="2"/>
        <v>956.85084341861511</v>
      </c>
    </row>
    <row r="25" spans="1:15" ht="17" thickBot="1" x14ac:dyDescent="0.25">
      <c r="A25" s="2" t="s">
        <v>4</v>
      </c>
      <c r="B25" s="39">
        <f>$E6*B14</f>
        <v>-0.27371268961970874</v>
      </c>
      <c r="C25" s="39">
        <f>$E6*B15</f>
        <v>-0.2869568520206624</v>
      </c>
      <c r="D25" s="39">
        <f>$E6*B16</f>
        <v>-0.3019669027417432</v>
      </c>
      <c r="E25" s="39">
        <f>$E6*B17</f>
        <v>-0.33198700418390481</v>
      </c>
      <c r="F25" s="46">
        <f>$E6*B18</f>
        <v>-0.36200710562606642</v>
      </c>
      <c r="G25" s="47">
        <f t="shared" ref="G24:G25" si="3">C6*(1+B25)</f>
        <v>626.85857758922941</v>
      </c>
      <c r="H25" s="48">
        <f>G25*(1+C25)</f>
        <v>446.97721350207394</v>
      </c>
      <c r="I25" s="48">
        <f t="shared" ref="I25:K25" si="4">H25*(1+D25)</f>
        <v>312.00488874471779</v>
      </c>
      <c r="J25" s="48">
        <f t="shared" si="4"/>
        <v>208.42332043962642</v>
      </c>
      <c r="K25" s="49">
        <f t="shared" si="4"/>
        <v>132.9725974623031</v>
      </c>
    </row>
    <row r="26" spans="1:15" ht="20" thickBot="1" x14ac:dyDescent="0.4">
      <c r="F26" s="113" t="s">
        <v>11</v>
      </c>
      <c r="G26" s="50">
        <f>G23+G24+G25</f>
        <v>6986.9865899945426</v>
      </c>
      <c r="H26" s="50">
        <f t="shared" ref="H26:K26" si="5">H23+H24+H25</f>
        <v>7047.4195247945709</v>
      </c>
      <c r="I26" s="50">
        <f t="shared" si="5"/>
        <v>7176.9067932678327</v>
      </c>
      <c r="J26" s="50">
        <f t="shared" si="5"/>
        <v>7378.0716532508886</v>
      </c>
      <c r="K26" s="51">
        <f t="shared" si="5"/>
        <v>7652.4990433152861</v>
      </c>
    </row>
    <row r="29" spans="1:15" ht="17" thickBot="1" x14ac:dyDescent="0.25"/>
    <row r="30" spans="1:15" ht="21" x14ac:dyDescent="0.25">
      <c r="A30" s="54" t="s">
        <v>12</v>
      </c>
      <c r="B30" s="55"/>
      <c r="C30" s="56"/>
      <c r="D30" s="52"/>
      <c r="J30" s="73"/>
      <c r="K30" s="43" t="s">
        <v>20</v>
      </c>
      <c r="L30" s="43"/>
      <c r="M30" s="43"/>
      <c r="N30" s="43"/>
      <c r="O30" s="28"/>
    </row>
    <row r="31" spans="1:15" ht="19" x14ac:dyDescent="0.25">
      <c r="A31" s="57" t="s">
        <v>1</v>
      </c>
      <c r="B31" s="58"/>
      <c r="C31" s="59"/>
      <c r="J31" s="1"/>
      <c r="K31" s="32">
        <v>2022</v>
      </c>
      <c r="L31" s="33">
        <v>2023</v>
      </c>
      <c r="M31" s="32">
        <v>2024</v>
      </c>
      <c r="N31" s="33">
        <v>2025</v>
      </c>
      <c r="O31" s="38">
        <v>2026</v>
      </c>
    </row>
    <row r="32" spans="1:15" x14ac:dyDescent="0.2">
      <c r="A32" s="1"/>
      <c r="B32" s="9">
        <v>2020</v>
      </c>
      <c r="C32" s="10">
        <v>2021</v>
      </c>
      <c r="J32" s="1" t="s">
        <v>13</v>
      </c>
      <c r="K32" s="42">
        <f>G26*$D$42</f>
        <v>2340.6405076481715</v>
      </c>
      <c r="L32" s="42">
        <f>H26*$D$42</f>
        <v>2360.8855408061809</v>
      </c>
      <c r="M32" s="42">
        <f t="shared" ref="L32:O32" si="6">I26*$D$42</f>
        <v>2404.2637757447237</v>
      </c>
      <c r="N32" s="42">
        <f t="shared" si="6"/>
        <v>2471.6540038390476</v>
      </c>
      <c r="O32" s="14">
        <f t="shared" si="6"/>
        <v>2563.5871795106204</v>
      </c>
    </row>
    <row r="33" spans="1:15" x14ac:dyDescent="0.2">
      <c r="A33" s="1" t="s">
        <v>13</v>
      </c>
      <c r="B33" s="42">
        <v>2374.35</v>
      </c>
      <c r="C33" s="14">
        <v>2381.2240000000002</v>
      </c>
      <c r="J33" s="1" t="s">
        <v>14</v>
      </c>
      <c r="K33" s="42">
        <f>G26*$D$43</f>
        <v>1572.0719827487721</v>
      </c>
      <c r="L33" s="42">
        <f t="shared" ref="L33:O33" si="7">H26*$D$43</f>
        <v>1585.6693930787785</v>
      </c>
      <c r="M33" s="42">
        <f t="shared" si="7"/>
        <v>1614.8040284852623</v>
      </c>
      <c r="N33" s="42">
        <f t="shared" si="7"/>
        <v>1660.0661219814499</v>
      </c>
      <c r="O33" s="14">
        <f t="shared" si="7"/>
        <v>1721.8122847459395</v>
      </c>
    </row>
    <row r="34" spans="1:15" x14ac:dyDescent="0.2">
      <c r="A34" s="1" t="s">
        <v>14</v>
      </c>
      <c r="B34" s="42">
        <v>1582.9</v>
      </c>
      <c r="C34" s="14">
        <v>1610.8280000000002</v>
      </c>
      <c r="J34" s="1" t="s">
        <v>15</v>
      </c>
      <c r="K34" s="42">
        <f>G26*$D$44</f>
        <v>733.633591949427</v>
      </c>
      <c r="L34" s="42">
        <f t="shared" ref="L34:O34" si="8">H26*$D$44</f>
        <v>739.97905010343004</v>
      </c>
      <c r="M34" s="42">
        <f t="shared" si="8"/>
        <v>753.57521329312249</v>
      </c>
      <c r="N34" s="42">
        <f t="shared" si="8"/>
        <v>774.69752359134338</v>
      </c>
      <c r="O34" s="14">
        <f t="shared" si="8"/>
        <v>803.51239954810512</v>
      </c>
    </row>
    <row r="35" spans="1:15" x14ac:dyDescent="0.2">
      <c r="A35" s="1" t="s">
        <v>15</v>
      </c>
      <c r="B35" s="42">
        <v>719.5</v>
      </c>
      <c r="C35" s="14">
        <v>770.39600000000007</v>
      </c>
      <c r="J35" s="1" t="s">
        <v>16</v>
      </c>
      <c r="K35" s="42">
        <f>G26*$D$45</f>
        <v>524.02399424959071</v>
      </c>
      <c r="L35" s="42">
        <f t="shared" ref="L35:O35" si="9">H26*$D$45</f>
        <v>528.55646435959284</v>
      </c>
      <c r="M35" s="42">
        <f t="shared" si="9"/>
        <v>538.26800949508754</v>
      </c>
      <c r="N35" s="42">
        <f t="shared" si="9"/>
        <v>553.35537399381678</v>
      </c>
      <c r="O35" s="14">
        <f t="shared" si="9"/>
        <v>573.9374282486466</v>
      </c>
    </row>
    <row r="36" spans="1:15" ht="20" thickBot="1" x14ac:dyDescent="0.4">
      <c r="A36" s="1" t="s">
        <v>16</v>
      </c>
      <c r="B36" s="42">
        <v>503.65000000000003</v>
      </c>
      <c r="C36" s="14">
        <v>560.28800000000001</v>
      </c>
      <c r="J36" s="62" t="s">
        <v>17</v>
      </c>
      <c r="K36" s="60">
        <f>SUM(K32:K35)</f>
        <v>5170.3700765959611</v>
      </c>
      <c r="L36" s="60">
        <f t="shared" ref="L36:O36" si="10">SUM(L32:L35)</f>
        <v>5215.0904483479826</v>
      </c>
      <c r="M36" s="60">
        <f t="shared" si="10"/>
        <v>5310.9110270181964</v>
      </c>
      <c r="N36" s="60">
        <f t="shared" si="10"/>
        <v>5459.773023405658</v>
      </c>
      <c r="O36" s="72">
        <f t="shared" si="10"/>
        <v>5662.8492920533117</v>
      </c>
    </row>
    <row r="37" spans="1:15" ht="20" thickBot="1" x14ac:dyDescent="0.25">
      <c r="A37" s="62" t="s">
        <v>17</v>
      </c>
      <c r="B37" s="61">
        <f>B33+B34+B35+B36</f>
        <v>5180.3999999999996</v>
      </c>
      <c r="C37" s="63">
        <f>C33+C34+C35+C36</f>
        <v>5322.7360000000008</v>
      </c>
    </row>
    <row r="39" spans="1:15" ht="17" thickBot="1" x14ac:dyDescent="0.25"/>
    <row r="40" spans="1:15" ht="19" x14ac:dyDescent="0.25">
      <c r="A40" s="35" t="s">
        <v>18</v>
      </c>
      <c r="B40" s="36"/>
      <c r="C40" s="36"/>
      <c r="D40" s="37"/>
    </row>
    <row r="41" spans="1:15" x14ac:dyDescent="0.2">
      <c r="A41" s="1"/>
      <c r="B41" s="9">
        <v>2020</v>
      </c>
      <c r="C41" s="9">
        <v>2021</v>
      </c>
      <c r="D41" s="67" t="s">
        <v>19</v>
      </c>
    </row>
    <row r="42" spans="1:15" x14ac:dyDescent="0.2">
      <c r="A42" s="1" t="s">
        <v>13</v>
      </c>
      <c r="B42" s="65">
        <f>B33/$B$7</f>
        <v>0.32999999999999996</v>
      </c>
      <c r="C42" s="65">
        <f>C33/$C$7</f>
        <v>0.34</v>
      </c>
      <c r="D42" s="68">
        <f>AVERAGE(B42:C42)</f>
        <v>0.33499999999999996</v>
      </c>
    </row>
    <row r="43" spans="1:15" x14ac:dyDescent="0.2">
      <c r="A43" s="1" t="s">
        <v>14</v>
      </c>
      <c r="B43" s="65">
        <f t="shared" ref="B43:C45" si="11">B34/$B$7</f>
        <v>0.22</v>
      </c>
      <c r="C43" s="65">
        <f t="shared" ref="C43:C45" si="12">C34/$C$7</f>
        <v>0.23</v>
      </c>
      <c r="D43" s="68">
        <f t="shared" ref="D43:D45" si="13">AVERAGE(B43:C43)</f>
        <v>0.22500000000000001</v>
      </c>
    </row>
    <row r="44" spans="1:15" x14ac:dyDescent="0.2">
      <c r="A44" s="1" t="s">
        <v>15</v>
      </c>
      <c r="B44" s="65">
        <f t="shared" si="11"/>
        <v>0.1</v>
      </c>
      <c r="C44" s="65">
        <f t="shared" si="12"/>
        <v>0.11</v>
      </c>
      <c r="D44" s="68">
        <f t="shared" si="13"/>
        <v>0.10500000000000001</v>
      </c>
    </row>
    <row r="45" spans="1:15" ht="17" thickBot="1" x14ac:dyDescent="0.25">
      <c r="A45" s="2" t="s">
        <v>16</v>
      </c>
      <c r="B45" s="66">
        <f t="shared" si="11"/>
        <v>7.0000000000000007E-2</v>
      </c>
      <c r="C45" s="66">
        <f t="shared" si="12"/>
        <v>0.08</v>
      </c>
      <c r="D45" s="69">
        <f t="shared" si="13"/>
        <v>7.5000000000000011E-2</v>
      </c>
    </row>
  </sheetData>
  <mergeCells count="9">
    <mergeCell ref="A30:C30"/>
    <mergeCell ref="A31:C31"/>
    <mergeCell ref="A40:D40"/>
    <mergeCell ref="K30:O30"/>
    <mergeCell ref="A1:D1"/>
    <mergeCell ref="A2:D2"/>
    <mergeCell ref="A13:B13"/>
    <mergeCell ref="A21:F21"/>
    <mergeCell ref="G21:K2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18EA6-836E-6D40-ABFD-2C16415612BB}">
  <dimension ref="A1:I29"/>
  <sheetViews>
    <sheetView zoomScale="110" zoomScaleNormal="110" workbookViewId="0">
      <selection activeCell="L31" sqref="L31"/>
    </sheetView>
  </sheetViews>
  <sheetFormatPr baseColWidth="10" defaultRowHeight="16" x14ac:dyDescent="0.2"/>
  <cols>
    <col min="1" max="1" width="20.83203125" bestFit="1" customWidth="1"/>
    <col min="6" max="6" width="18" bestFit="1" customWidth="1"/>
  </cols>
  <sheetData>
    <row r="1" spans="1:7" x14ac:dyDescent="0.2">
      <c r="A1" s="70"/>
      <c r="B1" s="18">
        <v>2021</v>
      </c>
      <c r="C1" s="18">
        <v>2022</v>
      </c>
      <c r="D1" s="18">
        <v>2023</v>
      </c>
      <c r="E1" s="18">
        <v>2024</v>
      </c>
      <c r="F1" s="53">
        <v>2025</v>
      </c>
      <c r="G1" s="18">
        <v>2026</v>
      </c>
    </row>
    <row r="2" spans="1:7" x14ac:dyDescent="0.2">
      <c r="A2" s="114" t="s">
        <v>71</v>
      </c>
      <c r="B2" s="21">
        <f>'Forecasted Statements'!C23-'Forecasted Statements'!B23</f>
        <v>128.39999999999986</v>
      </c>
      <c r="C2" s="21">
        <f>C3*'Forecasted Statements'!C3</f>
        <v>140.072</v>
      </c>
      <c r="D2" s="21">
        <f>D3*'Forecasted Statements'!E3</f>
        <v>139.73973179989085</v>
      </c>
      <c r="E2" s="21">
        <f>E3*'Forecasted Statements'!F3</f>
        <v>140.94839049589143</v>
      </c>
      <c r="F2" s="125">
        <f>F3*'Forecasted Statements'!G3</f>
        <v>143.53813586535665</v>
      </c>
      <c r="G2" s="21">
        <f>G3*'Forecasted Statements'!H3</f>
        <v>147.56143306501778</v>
      </c>
    </row>
    <row r="3" spans="1:7" x14ac:dyDescent="0.2">
      <c r="A3" s="114" t="s">
        <v>72</v>
      </c>
      <c r="B3" s="31">
        <f>B2/'Forecasted Statements'!B3</f>
        <v>1.7845726198749114E-2</v>
      </c>
      <c r="C3" s="64">
        <v>0.02</v>
      </c>
      <c r="D3" s="64">
        <v>0.02</v>
      </c>
      <c r="E3" s="64">
        <v>0.02</v>
      </c>
      <c r="F3" s="126">
        <v>0.02</v>
      </c>
      <c r="G3" s="64">
        <v>0.02</v>
      </c>
    </row>
    <row r="21" spans="1:9" ht="17" thickBot="1" x14ac:dyDescent="0.25"/>
    <row r="22" spans="1:9" x14ac:dyDescent="0.2">
      <c r="F22" s="70"/>
      <c r="G22" s="127">
        <v>2020</v>
      </c>
      <c r="H22" s="127">
        <v>2021</v>
      </c>
      <c r="I22" s="117" t="s">
        <v>19</v>
      </c>
    </row>
    <row r="23" spans="1:9" x14ac:dyDescent="0.2">
      <c r="F23" s="71" t="s">
        <v>46</v>
      </c>
      <c r="G23" s="119">
        <f>'Forecasted Statements'!B19/'Forecasted Statements'!B3</f>
        <v>0.75318971507991661</v>
      </c>
      <c r="H23" s="119">
        <f>'Forecasted Statements'!C19/'Forecasted Statements'!C3</f>
        <v>0.91895596550345526</v>
      </c>
      <c r="I23" s="128">
        <f>AVERAGE(G23:H23)</f>
        <v>0.83607284029168594</v>
      </c>
    </row>
    <row r="24" spans="1:9" ht="17" thickBot="1" x14ac:dyDescent="0.25">
      <c r="F24" s="129" t="s">
        <v>55</v>
      </c>
      <c r="G24" s="130">
        <f>'Forecasted Statements'!B32/'Forecasted Statements'!B3</f>
        <v>0.88234885337039615</v>
      </c>
      <c r="H24" s="130">
        <f>'Forecasted Statements'!C32/'Forecasted Statements'!C3</f>
        <v>1.1115140784739277</v>
      </c>
      <c r="I24" s="131">
        <f>AVERAGE(G24:H24)</f>
        <v>0.99693146592216197</v>
      </c>
    </row>
    <row r="25" spans="1:9" ht="17" thickBot="1" x14ac:dyDescent="0.25"/>
    <row r="26" spans="1:9" x14ac:dyDescent="0.2">
      <c r="A26" s="70"/>
      <c r="B26" s="116">
        <v>2020</v>
      </c>
      <c r="C26" s="117">
        <v>2021</v>
      </c>
    </row>
    <row r="27" spans="1:9" x14ac:dyDescent="0.2">
      <c r="A27" s="118" t="s">
        <v>73</v>
      </c>
      <c r="B27" s="119">
        <f>'Forecasted Statements'!B14/'Forecasted Statements'!B13</f>
        <v>0.27695359668794201</v>
      </c>
      <c r="C27" s="120">
        <f>'Forecasted Statements'!C14/'Forecasted Statements'!C13</f>
        <v>0.37910699241786028</v>
      </c>
    </row>
    <row r="28" spans="1:9" x14ac:dyDescent="0.2">
      <c r="A28" s="71"/>
      <c r="B28" s="100"/>
      <c r="C28" s="121"/>
    </row>
    <row r="29" spans="1:9" ht="17" thickBot="1" x14ac:dyDescent="0.25">
      <c r="A29" s="122" t="s">
        <v>19</v>
      </c>
      <c r="B29" s="123">
        <f>AVERAGE(B27:C27)</f>
        <v>0.32803029455290111</v>
      </c>
      <c r="C29" s="12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A9BA8-0D34-3942-B6EF-55B36730F352}">
  <dimension ref="A1:H4"/>
  <sheetViews>
    <sheetView zoomScale="140" zoomScaleNormal="140" workbookViewId="0">
      <selection activeCell="E27" sqref="E27"/>
    </sheetView>
  </sheetViews>
  <sheetFormatPr baseColWidth="10" defaultRowHeight="16" x14ac:dyDescent="0.2"/>
  <cols>
    <col min="4" max="4" width="15.5" customWidth="1"/>
    <col min="5" max="5" width="18.6640625" customWidth="1"/>
    <col min="6" max="6" width="14.5" customWidth="1"/>
    <col min="8" max="8" width="17.6640625" customWidth="1"/>
  </cols>
  <sheetData>
    <row r="1" spans="1:8" x14ac:dyDescent="0.2">
      <c r="A1" t="s">
        <v>29</v>
      </c>
      <c r="B1" s="53" t="s">
        <v>23</v>
      </c>
      <c r="C1" s="53" t="s">
        <v>24</v>
      </c>
      <c r="D1" s="53" t="s">
        <v>25</v>
      </c>
      <c r="E1" s="53" t="s">
        <v>26</v>
      </c>
      <c r="F1" s="53" t="s">
        <v>27</v>
      </c>
      <c r="G1" t="s">
        <v>30</v>
      </c>
      <c r="H1" s="19" t="s">
        <v>28</v>
      </c>
    </row>
    <row r="3" spans="1:8" x14ac:dyDescent="0.2">
      <c r="A3" s="18" t="s">
        <v>21</v>
      </c>
      <c r="B3" s="53">
        <v>14.9</v>
      </c>
      <c r="C3" s="53">
        <v>10.3</v>
      </c>
      <c r="D3" s="53">
        <v>13.6</v>
      </c>
      <c r="E3" s="53">
        <v>19</v>
      </c>
      <c r="F3" s="53">
        <v>10.8</v>
      </c>
      <c r="G3" s="18"/>
      <c r="H3" s="103">
        <v>13.4</v>
      </c>
    </row>
    <row r="4" spans="1:8" x14ac:dyDescent="0.2">
      <c r="A4" s="18" t="s">
        <v>22</v>
      </c>
      <c r="B4" s="53">
        <v>36.299999999999997</v>
      </c>
      <c r="C4" s="53">
        <v>42.9</v>
      </c>
      <c r="D4" s="53">
        <v>28.3</v>
      </c>
      <c r="E4" s="53">
        <v>23.8</v>
      </c>
      <c r="F4" s="53">
        <v>12</v>
      </c>
      <c r="H4" s="103">
        <v>27</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Forecasted Statements</vt:lpstr>
      <vt:lpstr>Revenue&amp;Cost Forecast</vt:lpstr>
      <vt:lpstr>Other Forecasts</vt:lpstr>
      <vt:lpstr>Multiples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2022-07-20T05:27:02Z</dcterms:created>
  <dcterms:modified xsi:type="dcterms:W3CDTF">2022-07-20T12:33:31Z</dcterms:modified>
</cp:coreProperties>
</file>