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809580558eacc7e2/Personal Projects/Pokemon TerraWave CelestialStorm/"/>
    </mc:Choice>
  </mc:AlternateContent>
  <xr:revisionPtr revIDLastSave="1424" documentId="8_{BFAC3F86-854E-4206-A406-31A5CD100DA6}" xr6:coauthVersionLast="47" xr6:coauthVersionMax="47" xr10:uidLastSave="{FE5B591A-EA57-488F-9133-80EC6F49C94D}"/>
  <bookViews>
    <workbookView xWindow="-96" yWindow="0" windowWidth="15552" windowHeight="16656" xr2:uid="{0BB119D2-CF1F-457B-A28D-DBB202DB0754}"/>
  </bookViews>
  <sheets>
    <sheet name="Pokedex" sheetId="1" r:id="rId1"/>
    <sheet name="Sheet2" sheetId="13" r:id="rId2"/>
    <sheet name="Sheet1" sheetId="12" r:id="rId3"/>
    <sheet name="CAP analysis" sheetId="4" r:id="rId4"/>
    <sheet name="MovePool" sheetId="10" r:id="rId5"/>
    <sheet name="Speed Factor" sheetId="5" r:id="rId6"/>
    <sheet name="MoveList" sheetId="8" r:id="rId7"/>
    <sheet name="Detailed Sheet" sheetId="11" r:id="rId8"/>
    <sheet name="Sheet5" sheetId="7" state="hidden" r:id="rId9"/>
  </sheets>
  <definedNames>
    <definedName name="ExternalData_1" localSheetId="4" hidden="1">MovePool!$A$1:$C$125</definedName>
    <definedName name="ExternalData_2" localSheetId="3" hidden="1">'CAP analysis'!$A$1:$J$138</definedName>
    <definedName name="ImageLookup">INDEX(Pokedex[Image link],MATCH('Detailed Sheet'!A1048574,Pokedex[Name],0),0)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38" i="4" l="1"/>
  <c r="K137" i="4"/>
  <c r="K136" i="4"/>
  <c r="K135" i="4"/>
  <c r="K134" i="4"/>
  <c r="K133" i="4"/>
  <c r="K132" i="4"/>
  <c r="K131" i="4"/>
  <c r="K130" i="4"/>
  <c r="K129" i="4"/>
  <c r="K128" i="4"/>
  <c r="K127" i="4"/>
  <c r="K126" i="4"/>
  <c r="S126" i="4" s="1"/>
  <c r="W126" i="4" s="1"/>
  <c r="K125" i="4"/>
  <c r="S125" i="4" s="1"/>
  <c r="W125" i="4" s="1"/>
  <c r="K124" i="4"/>
  <c r="R124" i="4" s="1"/>
  <c r="V124" i="4" s="1"/>
  <c r="K123" i="4"/>
  <c r="R123" i="4" s="1"/>
  <c r="V123" i="4" s="1"/>
  <c r="K122" i="4"/>
  <c r="S122" i="4" s="1"/>
  <c r="W122" i="4" s="1"/>
  <c r="K121" i="4"/>
  <c r="R121" i="4" s="1"/>
  <c r="V121" i="4" s="1"/>
  <c r="K120" i="4"/>
  <c r="K119" i="4"/>
  <c r="S119" i="4" s="1"/>
  <c r="W119" i="4" s="1"/>
  <c r="K118" i="4"/>
  <c r="K117" i="4"/>
  <c r="K116" i="4"/>
  <c r="K115" i="4"/>
  <c r="K114" i="4"/>
  <c r="K113" i="4"/>
  <c r="K112" i="4"/>
  <c r="K111" i="4"/>
  <c r="K110" i="4"/>
  <c r="K109" i="4"/>
  <c r="K108" i="4"/>
  <c r="K107" i="4"/>
  <c r="K106" i="4"/>
  <c r="K105" i="4"/>
  <c r="R105" i="4" s="1"/>
  <c r="V105" i="4" s="1"/>
  <c r="K104" i="4"/>
  <c r="S104" i="4" s="1"/>
  <c r="W104" i="4" s="1"/>
  <c r="K103" i="4"/>
  <c r="S103" i="4" s="1"/>
  <c r="W103" i="4" s="1"/>
  <c r="K102" i="4"/>
  <c r="S102" i="4" s="1"/>
  <c r="W102" i="4" s="1"/>
  <c r="K101" i="4"/>
  <c r="S101" i="4" s="1"/>
  <c r="W101" i="4" s="1"/>
  <c r="K100" i="4"/>
  <c r="K99" i="4"/>
  <c r="S99" i="4" s="1"/>
  <c r="W99" i="4" s="1"/>
  <c r="K98" i="4"/>
  <c r="K97" i="4"/>
  <c r="K96" i="4"/>
  <c r="K95" i="4"/>
  <c r="K94" i="4"/>
  <c r="K93" i="4"/>
  <c r="K92" i="4"/>
  <c r="K91" i="4"/>
  <c r="K90" i="4"/>
  <c r="K89" i="4"/>
  <c r="K88" i="4"/>
  <c r="K87" i="4"/>
  <c r="K86" i="4"/>
  <c r="S86" i="4" s="1"/>
  <c r="W86" i="4" s="1"/>
  <c r="K85" i="4"/>
  <c r="S85" i="4" s="1"/>
  <c r="W85" i="4" s="1"/>
  <c r="K84" i="4"/>
  <c r="R84" i="4" s="1"/>
  <c r="V84" i="4" s="1"/>
  <c r="K83" i="4"/>
  <c r="R83" i="4" s="1"/>
  <c r="V83" i="4" s="1"/>
  <c r="K82" i="4"/>
  <c r="S82" i="4" s="1"/>
  <c r="W82" i="4" s="1"/>
  <c r="K81" i="4"/>
  <c r="S81" i="4" s="1"/>
  <c r="W81" i="4" s="1"/>
  <c r="K80" i="4"/>
  <c r="K79" i="4"/>
  <c r="S79" i="4" s="1"/>
  <c r="W79" i="4" s="1"/>
  <c r="K78" i="4"/>
  <c r="K77" i="4"/>
  <c r="K76" i="4"/>
  <c r="K75" i="4"/>
  <c r="K74" i="4"/>
  <c r="K73" i="4"/>
  <c r="K72" i="4"/>
  <c r="K71" i="4"/>
  <c r="K70" i="4"/>
  <c r="K69" i="4"/>
  <c r="K68" i="4"/>
  <c r="K67" i="4"/>
  <c r="K66" i="4"/>
  <c r="R66" i="4" s="1"/>
  <c r="V66" i="4" s="1"/>
  <c r="K65" i="4"/>
  <c r="R65" i="4" s="1"/>
  <c r="V65" i="4" s="1"/>
  <c r="K64" i="4"/>
  <c r="R64" i="4" s="1"/>
  <c r="V64" i="4" s="1"/>
  <c r="K63" i="4"/>
  <c r="R63" i="4" s="1"/>
  <c r="V63" i="4" s="1"/>
  <c r="K62" i="4"/>
  <c r="R62" i="4" s="1"/>
  <c r="V62" i="4" s="1"/>
  <c r="K61" i="4"/>
  <c r="R61" i="4" s="1"/>
  <c r="V61" i="4" s="1"/>
  <c r="K60" i="4"/>
  <c r="K59" i="4"/>
  <c r="S59" i="4" s="1"/>
  <c r="W59" i="4" s="1"/>
  <c r="K58" i="4"/>
  <c r="K57" i="4"/>
  <c r="K56" i="4"/>
  <c r="K55" i="4"/>
  <c r="K54" i="4"/>
  <c r="K53" i="4"/>
  <c r="K52" i="4"/>
  <c r="K51" i="4"/>
  <c r="K50" i="4"/>
  <c r="K49" i="4"/>
  <c r="K48" i="4"/>
  <c r="K47" i="4"/>
  <c r="K46" i="4"/>
  <c r="K45" i="4"/>
  <c r="S45" i="4" s="1"/>
  <c r="W45" i="4" s="1"/>
  <c r="K44" i="4"/>
  <c r="K43" i="4"/>
  <c r="S43" i="4" s="1"/>
  <c r="W43" i="4" s="1"/>
  <c r="K42" i="4"/>
  <c r="S42" i="4" s="1"/>
  <c r="W42" i="4" s="1"/>
  <c r="K41" i="4"/>
  <c r="S41" i="4" s="1"/>
  <c r="W41" i="4" s="1"/>
  <c r="K40" i="4"/>
  <c r="K39" i="4"/>
  <c r="S39" i="4" s="1"/>
  <c r="W39" i="4" s="1"/>
  <c r="K38" i="4"/>
  <c r="K37" i="4"/>
  <c r="K36" i="4"/>
  <c r="K35" i="4"/>
  <c r="K34" i="4"/>
  <c r="K33" i="4"/>
  <c r="K32" i="4"/>
  <c r="K31" i="4"/>
  <c r="K30" i="4"/>
  <c r="K29" i="4"/>
  <c r="K28" i="4"/>
  <c r="K27" i="4"/>
  <c r="R27" i="4" s="1"/>
  <c r="V27" i="4" s="1"/>
  <c r="K26" i="4"/>
  <c r="R26" i="4" s="1"/>
  <c r="V26" i="4" s="1"/>
  <c r="K25" i="4"/>
  <c r="R25" i="4" s="1"/>
  <c r="V25" i="4" s="1"/>
  <c r="K24" i="4"/>
  <c r="R24" i="4" s="1"/>
  <c r="V24" i="4" s="1"/>
  <c r="K23" i="4"/>
  <c r="R23" i="4" s="1"/>
  <c r="V23" i="4" s="1"/>
  <c r="K22" i="4"/>
  <c r="R22" i="4" s="1"/>
  <c r="V22" i="4" s="1"/>
  <c r="K21" i="4"/>
  <c r="S21" i="4" s="1"/>
  <c r="W21" i="4" s="1"/>
  <c r="K20" i="4"/>
  <c r="K19" i="4"/>
  <c r="S19" i="4" s="1"/>
  <c r="W19" i="4" s="1"/>
  <c r="K18" i="4"/>
  <c r="K17" i="4"/>
  <c r="K16" i="4"/>
  <c r="K15" i="4"/>
  <c r="K14" i="4"/>
  <c r="K13" i="4"/>
  <c r="K12" i="4"/>
  <c r="K11" i="4"/>
  <c r="K10" i="4"/>
  <c r="K9" i="4"/>
  <c r="K8" i="4"/>
  <c r="K7" i="4"/>
  <c r="K6" i="4"/>
  <c r="K5" i="4"/>
  <c r="K4" i="4"/>
  <c r="R4" i="4" s="1"/>
  <c r="V4" i="4" s="1"/>
  <c r="K3" i="4"/>
  <c r="R3" i="4" s="1"/>
  <c r="V3" i="4" s="1"/>
  <c r="K2" i="4"/>
  <c r="R2" i="4" s="1"/>
  <c r="V2" i="4" s="1"/>
  <c r="L138" i="4"/>
  <c r="L137" i="4"/>
  <c r="L136" i="4"/>
  <c r="T136" i="4" s="1"/>
  <c r="X136" i="4" s="1"/>
  <c r="L135" i="4"/>
  <c r="L134" i="4"/>
  <c r="L133" i="4"/>
  <c r="L132" i="4"/>
  <c r="L131" i="4"/>
  <c r="L130" i="4"/>
  <c r="L129" i="4"/>
  <c r="L128" i="4"/>
  <c r="L127" i="4"/>
  <c r="L126" i="4"/>
  <c r="L125" i="4"/>
  <c r="L124" i="4"/>
  <c r="L123" i="4"/>
  <c r="L122" i="4"/>
  <c r="L121" i="4"/>
  <c r="L120" i="4"/>
  <c r="L119" i="4"/>
  <c r="L118" i="4"/>
  <c r="L117" i="4"/>
  <c r="L116" i="4"/>
  <c r="T116" i="4" s="1"/>
  <c r="X116" i="4" s="1"/>
  <c r="Z116" i="4" s="1"/>
  <c r="L115" i="4"/>
  <c r="L114" i="4"/>
  <c r="L113" i="4"/>
  <c r="L112" i="4"/>
  <c r="L111" i="4"/>
  <c r="L110" i="4"/>
  <c r="L109" i="4"/>
  <c r="L108" i="4"/>
  <c r="L107" i="4"/>
  <c r="L106" i="4"/>
  <c r="L105" i="4"/>
  <c r="L104" i="4"/>
  <c r="L103" i="4"/>
  <c r="L102" i="4"/>
  <c r="L101" i="4"/>
  <c r="L100" i="4"/>
  <c r="L99" i="4"/>
  <c r="L98" i="4"/>
  <c r="L97" i="4"/>
  <c r="L96" i="4"/>
  <c r="T96" i="4" s="1"/>
  <c r="X96" i="4" s="1"/>
  <c r="Z96" i="4" s="1"/>
  <c r="L95" i="4"/>
  <c r="L94" i="4"/>
  <c r="L93" i="4"/>
  <c r="L92" i="4"/>
  <c r="L91" i="4"/>
  <c r="L90" i="4"/>
  <c r="L89" i="4"/>
  <c r="L88" i="4"/>
  <c r="L87" i="4"/>
  <c r="L86" i="4"/>
  <c r="L85" i="4"/>
  <c r="L84" i="4"/>
  <c r="L83" i="4"/>
  <c r="L82" i="4"/>
  <c r="L81" i="4"/>
  <c r="L80" i="4"/>
  <c r="L79" i="4"/>
  <c r="T79" i="4" s="1"/>
  <c r="X79" i="4" s="1"/>
  <c r="L78" i="4"/>
  <c r="L77" i="4"/>
  <c r="L76" i="4"/>
  <c r="T76" i="4" s="1"/>
  <c r="X76" i="4" s="1"/>
  <c r="L75" i="4"/>
  <c r="L74" i="4"/>
  <c r="L73" i="4"/>
  <c r="L72" i="4"/>
  <c r="L71" i="4"/>
  <c r="L70" i="4"/>
  <c r="L69" i="4"/>
  <c r="L68" i="4"/>
  <c r="L67" i="4"/>
  <c r="L66" i="4"/>
  <c r="L65" i="4"/>
  <c r="L64" i="4"/>
  <c r="L63" i="4"/>
  <c r="L62" i="4"/>
  <c r="L61" i="4"/>
  <c r="L60" i="4"/>
  <c r="L59" i="4"/>
  <c r="L58" i="4"/>
  <c r="L57" i="4"/>
  <c r="L56" i="4"/>
  <c r="T56" i="4" s="1"/>
  <c r="X56" i="4" s="1"/>
  <c r="Z56" i="4" s="1"/>
  <c r="L55" i="4"/>
  <c r="L54" i="4"/>
  <c r="L53" i="4"/>
  <c r="L52" i="4"/>
  <c r="L51" i="4"/>
  <c r="L50" i="4"/>
  <c r="L49" i="4"/>
  <c r="L48" i="4"/>
  <c r="L47" i="4"/>
  <c r="L46" i="4"/>
  <c r="L45" i="4"/>
  <c r="L44" i="4"/>
  <c r="L43" i="4"/>
  <c r="L42" i="4"/>
  <c r="L41" i="4"/>
  <c r="L40" i="4"/>
  <c r="L39" i="4"/>
  <c r="L38" i="4"/>
  <c r="L37" i="4"/>
  <c r="L36" i="4"/>
  <c r="T36" i="4" s="1"/>
  <c r="X36" i="4" s="1"/>
  <c r="L35" i="4"/>
  <c r="L34" i="4"/>
  <c r="L33" i="4"/>
  <c r="L32" i="4"/>
  <c r="L31" i="4"/>
  <c r="L30" i="4"/>
  <c r="L29" i="4"/>
  <c r="L28" i="4"/>
  <c r="L27" i="4"/>
  <c r="L26" i="4"/>
  <c r="L25" i="4"/>
  <c r="L24" i="4"/>
  <c r="L23" i="4"/>
  <c r="L22" i="4"/>
  <c r="L21" i="4"/>
  <c r="L20" i="4"/>
  <c r="L19" i="4"/>
  <c r="L18" i="4"/>
  <c r="L17" i="4"/>
  <c r="L16" i="4"/>
  <c r="T16" i="4" s="1"/>
  <c r="X16" i="4" s="1"/>
  <c r="L15" i="4"/>
  <c r="L14" i="4"/>
  <c r="L13" i="4"/>
  <c r="L12" i="4"/>
  <c r="L11" i="4"/>
  <c r="L10" i="4"/>
  <c r="L9" i="4"/>
  <c r="L8" i="4"/>
  <c r="L7" i="4"/>
  <c r="L6" i="4"/>
  <c r="L5" i="4"/>
  <c r="L4" i="4"/>
  <c r="L3" i="4"/>
  <c r="L2" i="4"/>
  <c r="M138" i="4"/>
  <c r="R138" i="4" s="1"/>
  <c r="V138" i="4" s="1"/>
  <c r="M137" i="4"/>
  <c r="R137" i="4" s="1"/>
  <c r="V137" i="4" s="1"/>
  <c r="M136" i="4"/>
  <c r="R136" i="4" s="1"/>
  <c r="V136" i="4" s="1"/>
  <c r="M135" i="4"/>
  <c r="R135" i="4" s="1"/>
  <c r="V135" i="4" s="1"/>
  <c r="M134" i="4"/>
  <c r="M133" i="4"/>
  <c r="R133" i="4" s="1"/>
  <c r="V133" i="4" s="1"/>
  <c r="M132" i="4"/>
  <c r="M131" i="4"/>
  <c r="M130" i="4"/>
  <c r="M129" i="4"/>
  <c r="M128" i="4"/>
  <c r="M127" i="4"/>
  <c r="M126" i="4"/>
  <c r="M125" i="4"/>
  <c r="M124" i="4"/>
  <c r="M123" i="4"/>
  <c r="M122" i="4"/>
  <c r="M121" i="4"/>
  <c r="M120" i="4"/>
  <c r="M119" i="4"/>
  <c r="M118" i="4"/>
  <c r="R118" i="4" s="1"/>
  <c r="V118" i="4" s="1"/>
  <c r="M117" i="4"/>
  <c r="R117" i="4" s="1"/>
  <c r="V117" i="4" s="1"/>
  <c r="M116" i="4"/>
  <c r="R116" i="4" s="1"/>
  <c r="V116" i="4" s="1"/>
  <c r="M115" i="4"/>
  <c r="R115" i="4" s="1"/>
  <c r="V115" i="4" s="1"/>
  <c r="M114" i="4"/>
  <c r="M113" i="4"/>
  <c r="R113" i="4" s="1"/>
  <c r="V113" i="4" s="1"/>
  <c r="M112" i="4"/>
  <c r="M111" i="4"/>
  <c r="M110" i="4"/>
  <c r="M109" i="4"/>
  <c r="M108" i="4"/>
  <c r="M107" i="4"/>
  <c r="M106" i="4"/>
  <c r="M105" i="4"/>
  <c r="M104" i="4"/>
  <c r="M103" i="4"/>
  <c r="M102" i="4"/>
  <c r="M101" i="4"/>
  <c r="M100" i="4"/>
  <c r="M99" i="4"/>
  <c r="M98" i="4"/>
  <c r="R98" i="4" s="1"/>
  <c r="V98" i="4" s="1"/>
  <c r="M97" i="4"/>
  <c r="R97" i="4" s="1"/>
  <c r="V97" i="4" s="1"/>
  <c r="M96" i="4"/>
  <c r="R96" i="4" s="1"/>
  <c r="V96" i="4" s="1"/>
  <c r="M95" i="4"/>
  <c r="R95" i="4" s="1"/>
  <c r="V95" i="4" s="1"/>
  <c r="M94" i="4"/>
  <c r="M93" i="4"/>
  <c r="R93" i="4" s="1"/>
  <c r="V93" i="4" s="1"/>
  <c r="M92" i="4"/>
  <c r="M91" i="4"/>
  <c r="M90" i="4"/>
  <c r="M89" i="4"/>
  <c r="M88" i="4"/>
  <c r="M87" i="4"/>
  <c r="M86" i="4"/>
  <c r="M85" i="4"/>
  <c r="M84" i="4"/>
  <c r="M83" i="4"/>
  <c r="M82" i="4"/>
  <c r="M81" i="4"/>
  <c r="M80" i="4"/>
  <c r="M79" i="4"/>
  <c r="M78" i="4"/>
  <c r="M77" i="4"/>
  <c r="R77" i="4" s="1"/>
  <c r="V77" i="4" s="1"/>
  <c r="M76" i="4"/>
  <c r="R76" i="4" s="1"/>
  <c r="V76" i="4" s="1"/>
  <c r="M75" i="4"/>
  <c r="R75" i="4" s="1"/>
  <c r="V75" i="4" s="1"/>
  <c r="M74" i="4"/>
  <c r="M73" i="4"/>
  <c r="R73" i="4" s="1"/>
  <c r="V73" i="4" s="1"/>
  <c r="M72" i="4"/>
  <c r="M71" i="4"/>
  <c r="M70" i="4"/>
  <c r="M69" i="4"/>
  <c r="M68" i="4"/>
  <c r="M67" i="4"/>
  <c r="M66" i="4"/>
  <c r="M65" i="4"/>
  <c r="M64" i="4"/>
  <c r="M63" i="4"/>
  <c r="M62" i="4"/>
  <c r="M61" i="4"/>
  <c r="M60" i="4"/>
  <c r="M59" i="4"/>
  <c r="M58" i="4"/>
  <c r="R58" i="4" s="1"/>
  <c r="V58" i="4" s="1"/>
  <c r="M57" i="4"/>
  <c r="R57" i="4" s="1"/>
  <c r="V57" i="4" s="1"/>
  <c r="M56" i="4"/>
  <c r="R56" i="4" s="1"/>
  <c r="V56" i="4" s="1"/>
  <c r="M55" i="4"/>
  <c r="R55" i="4" s="1"/>
  <c r="V55" i="4" s="1"/>
  <c r="M54" i="4"/>
  <c r="M53" i="4"/>
  <c r="R53" i="4" s="1"/>
  <c r="V53" i="4" s="1"/>
  <c r="M52" i="4"/>
  <c r="M51" i="4"/>
  <c r="M50" i="4"/>
  <c r="M49" i="4"/>
  <c r="M48" i="4"/>
  <c r="M47" i="4"/>
  <c r="M46" i="4"/>
  <c r="M45" i="4"/>
  <c r="M44" i="4"/>
  <c r="M43" i="4"/>
  <c r="M42" i="4"/>
  <c r="M41" i="4"/>
  <c r="M40" i="4"/>
  <c r="M39" i="4"/>
  <c r="M38" i="4"/>
  <c r="M37" i="4"/>
  <c r="R37" i="4" s="1"/>
  <c r="V37" i="4" s="1"/>
  <c r="M36" i="4"/>
  <c r="M35" i="4"/>
  <c r="M34" i="4"/>
  <c r="M33" i="4"/>
  <c r="R33" i="4" s="1"/>
  <c r="V33" i="4" s="1"/>
  <c r="M32" i="4"/>
  <c r="M31" i="4"/>
  <c r="M30" i="4"/>
  <c r="M29" i="4"/>
  <c r="M28" i="4"/>
  <c r="M27" i="4"/>
  <c r="M26" i="4"/>
  <c r="M25" i="4"/>
  <c r="M24" i="4"/>
  <c r="M23" i="4"/>
  <c r="M22" i="4"/>
  <c r="M21" i="4"/>
  <c r="M20" i="4"/>
  <c r="M19" i="4"/>
  <c r="M18" i="4"/>
  <c r="R18" i="4" s="1"/>
  <c r="V18" i="4" s="1"/>
  <c r="M17" i="4"/>
  <c r="R17" i="4" s="1"/>
  <c r="V17" i="4" s="1"/>
  <c r="M16" i="4"/>
  <c r="R16" i="4" s="1"/>
  <c r="V16" i="4" s="1"/>
  <c r="M15" i="4"/>
  <c r="R15" i="4" s="1"/>
  <c r="V15" i="4" s="1"/>
  <c r="M14" i="4"/>
  <c r="M13" i="4"/>
  <c r="R13" i="4" s="1"/>
  <c r="V13" i="4" s="1"/>
  <c r="M12" i="4"/>
  <c r="M11" i="4"/>
  <c r="M10" i="4"/>
  <c r="M9" i="4"/>
  <c r="M8" i="4"/>
  <c r="M7" i="4"/>
  <c r="M6" i="4"/>
  <c r="M5" i="4"/>
  <c r="M4" i="4"/>
  <c r="M3" i="4"/>
  <c r="M2" i="4"/>
  <c r="N138" i="4"/>
  <c r="N137" i="4"/>
  <c r="N136" i="4"/>
  <c r="N135" i="4"/>
  <c r="N134" i="4"/>
  <c r="N133" i="4"/>
  <c r="U133" i="4" s="1"/>
  <c r="Y133" i="4" s="1"/>
  <c r="N132" i="4"/>
  <c r="N131" i="4"/>
  <c r="N130" i="4"/>
  <c r="U130" i="4" s="1"/>
  <c r="Y130" i="4" s="1"/>
  <c r="N129" i="4"/>
  <c r="N128" i="4"/>
  <c r="N127" i="4"/>
  <c r="N126" i="4"/>
  <c r="N125" i="4"/>
  <c r="N124" i="4"/>
  <c r="N123" i="4"/>
  <c r="N122" i="4"/>
  <c r="N121" i="4"/>
  <c r="N120" i="4"/>
  <c r="N119" i="4"/>
  <c r="N118" i="4"/>
  <c r="N117" i="4"/>
  <c r="N116" i="4"/>
  <c r="N115" i="4"/>
  <c r="N114" i="4"/>
  <c r="N113" i="4"/>
  <c r="N112" i="4"/>
  <c r="N111" i="4"/>
  <c r="N110" i="4"/>
  <c r="U110" i="4" s="1"/>
  <c r="Y110" i="4" s="1"/>
  <c r="N109" i="4"/>
  <c r="N108" i="4"/>
  <c r="N107" i="4"/>
  <c r="N106" i="4"/>
  <c r="N105" i="4"/>
  <c r="N104" i="4"/>
  <c r="N103" i="4"/>
  <c r="N102" i="4"/>
  <c r="N101" i="4"/>
  <c r="N100" i="4"/>
  <c r="N99" i="4"/>
  <c r="N98" i="4"/>
  <c r="N97" i="4"/>
  <c r="N96" i="4"/>
  <c r="N95" i="4"/>
  <c r="N94" i="4"/>
  <c r="N93" i="4"/>
  <c r="N92" i="4"/>
  <c r="N91" i="4"/>
  <c r="N90" i="4"/>
  <c r="U90" i="4" s="1"/>
  <c r="Y90" i="4" s="1"/>
  <c r="N89" i="4"/>
  <c r="N88" i="4"/>
  <c r="N87" i="4"/>
  <c r="N86" i="4"/>
  <c r="N85" i="4"/>
  <c r="N84" i="4"/>
  <c r="N83" i="4"/>
  <c r="N82" i="4"/>
  <c r="N81" i="4"/>
  <c r="N80" i="4"/>
  <c r="N79" i="4"/>
  <c r="N78" i="4"/>
  <c r="N77" i="4"/>
  <c r="N76" i="4"/>
  <c r="N75" i="4"/>
  <c r="N74" i="4"/>
  <c r="N73" i="4"/>
  <c r="U73" i="4" s="1"/>
  <c r="Y73" i="4" s="1"/>
  <c r="N72" i="4"/>
  <c r="N71" i="4"/>
  <c r="N70" i="4"/>
  <c r="U70" i="4" s="1"/>
  <c r="Y70" i="4" s="1"/>
  <c r="N69" i="4"/>
  <c r="N68" i="4"/>
  <c r="N67" i="4"/>
  <c r="N66" i="4"/>
  <c r="N65" i="4"/>
  <c r="N64" i="4"/>
  <c r="N63" i="4"/>
  <c r="N62" i="4"/>
  <c r="N61" i="4"/>
  <c r="N60" i="4"/>
  <c r="N59" i="4"/>
  <c r="U59" i="4" s="1"/>
  <c r="Y59" i="4" s="1"/>
  <c r="N58" i="4"/>
  <c r="N57" i="4"/>
  <c r="N56" i="4"/>
  <c r="N55" i="4"/>
  <c r="N54" i="4"/>
  <c r="N53" i="4"/>
  <c r="N52" i="4"/>
  <c r="N51" i="4"/>
  <c r="N50" i="4"/>
  <c r="U50" i="4" s="1"/>
  <c r="Y50" i="4" s="1"/>
  <c r="N49" i="4"/>
  <c r="N48" i="4"/>
  <c r="N47" i="4"/>
  <c r="N46" i="4"/>
  <c r="N45" i="4"/>
  <c r="N44" i="4"/>
  <c r="N43" i="4"/>
  <c r="N42" i="4"/>
  <c r="N41" i="4"/>
  <c r="N40" i="4"/>
  <c r="N39" i="4"/>
  <c r="N38" i="4"/>
  <c r="N37" i="4"/>
  <c r="N36" i="4"/>
  <c r="N35" i="4"/>
  <c r="N34" i="4"/>
  <c r="N33" i="4"/>
  <c r="U33" i="4" s="1"/>
  <c r="Y33" i="4" s="1"/>
  <c r="N32" i="4"/>
  <c r="N31" i="4"/>
  <c r="N30" i="4"/>
  <c r="U30" i="4" s="1"/>
  <c r="Y30" i="4" s="1"/>
  <c r="N29" i="4"/>
  <c r="N28" i="4"/>
  <c r="N27" i="4"/>
  <c r="N26" i="4"/>
  <c r="N25" i="4"/>
  <c r="N24" i="4"/>
  <c r="N23" i="4"/>
  <c r="N22" i="4"/>
  <c r="N21" i="4"/>
  <c r="N20" i="4"/>
  <c r="N19" i="4"/>
  <c r="N18" i="4"/>
  <c r="N17" i="4"/>
  <c r="N16" i="4"/>
  <c r="N15" i="4"/>
  <c r="N14" i="4"/>
  <c r="N13" i="4"/>
  <c r="U13" i="4" s="1"/>
  <c r="Y13" i="4" s="1"/>
  <c r="N12" i="4"/>
  <c r="N11" i="4"/>
  <c r="N10" i="4"/>
  <c r="U10" i="4" s="1"/>
  <c r="Y10" i="4" s="1"/>
  <c r="N9" i="4"/>
  <c r="N8" i="4"/>
  <c r="N7" i="4"/>
  <c r="N6" i="4"/>
  <c r="N5" i="4"/>
  <c r="N4" i="4"/>
  <c r="N3" i="4"/>
  <c r="N2" i="4"/>
  <c r="O138" i="4"/>
  <c r="O137" i="4"/>
  <c r="O136" i="4"/>
  <c r="O135" i="4"/>
  <c r="S135" i="4" s="1"/>
  <c r="W135" i="4" s="1"/>
  <c r="O134" i="4"/>
  <c r="O133" i="4"/>
  <c r="O132" i="4"/>
  <c r="S132" i="4" s="1"/>
  <c r="W132" i="4" s="1"/>
  <c r="O131" i="4"/>
  <c r="S131" i="4" s="1"/>
  <c r="W131" i="4" s="1"/>
  <c r="O130" i="4"/>
  <c r="S130" i="4" s="1"/>
  <c r="W130" i="4" s="1"/>
  <c r="O129" i="4"/>
  <c r="S129" i="4" s="1"/>
  <c r="W129" i="4" s="1"/>
  <c r="O128" i="4"/>
  <c r="S128" i="4" s="1"/>
  <c r="W128" i="4" s="1"/>
  <c r="O127" i="4"/>
  <c r="S127" i="4" s="1"/>
  <c r="W127" i="4" s="1"/>
  <c r="O126" i="4"/>
  <c r="O125" i="4"/>
  <c r="O124" i="4"/>
  <c r="O123" i="4"/>
  <c r="O122" i="4"/>
  <c r="O121" i="4"/>
  <c r="O120" i="4"/>
  <c r="O119" i="4"/>
  <c r="O118" i="4"/>
  <c r="O117" i="4"/>
  <c r="O116" i="4"/>
  <c r="O115" i="4"/>
  <c r="O114" i="4"/>
  <c r="S114" i="4" s="1"/>
  <c r="W114" i="4" s="1"/>
  <c r="O113" i="4"/>
  <c r="S113" i="4" s="1"/>
  <c r="W113" i="4" s="1"/>
  <c r="O112" i="4"/>
  <c r="S112" i="4" s="1"/>
  <c r="W112" i="4" s="1"/>
  <c r="O111" i="4"/>
  <c r="S111" i="4" s="1"/>
  <c r="W111" i="4" s="1"/>
  <c r="O110" i="4"/>
  <c r="S110" i="4" s="1"/>
  <c r="W110" i="4" s="1"/>
  <c r="O109" i="4"/>
  <c r="S109" i="4" s="1"/>
  <c r="W109" i="4" s="1"/>
  <c r="O108" i="4"/>
  <c r="S108" i="4" s="1"/>
  <c r="W108" i="4" s="1"/>
  <c r="O107" i="4"/>
  <c r="S107" i="4" s="1"/>
  <c r="W107" i="4" s="1"/>
  <c r="O106" i="4"/>
  <c r="O105" i="4"/>
  <c r="O104" i="4"/>
  <c r="O103" i="4"/>
  <c r="O102" i="4"/>
  <c r="O101" i="4"/>
  <c r="O100" i="4"/>
  <c r="O99" i="4"/>
  <c r="O98" i="4"/>
  <c r="O97" i="4"/>
  <c r="O96" i="4"/>
  <c r="O95" i="4"/>
  <c r="O94" i="4"/>
  <c r="O93" i="4"/>
  <c r="O92" i="4"/>
  <c r="S92" i="4" s="1"/>
  <c r="W92" i="4" s="1"/>
  <c r="O91" i="4"/>
  <c r="S91" i="4" s="1"/>
  <c r="W91" i="4" s="1"/>
  <c r="O90" i="4"/>
  <c r="S90" i="4" s="1"/>
  <c r="W90" i="4" s="1"/>
  <c r="O89" i="4"/>
  <c r="S89" i="4" s="1"/>
  <c r="W89" i="4" s="1"/>
  <c r="O88" i="4"/>
  <c r="S88" i="4" s="1"/>
  <c r="W88" i="4" s="1"/>
  <c r="O87" i="4"/>
  <c r="S87" i="4" s="1"/>
  <c r="W87" i="4" s="1"/>
  <c r="O86" i="4"/>
  <c r="O85" i="4"/>
  <c r="O84" i="4"/>
  <c r="O83" i="4"/>
  <c r="O82" i="4"/>
  <c r="O81" i="4"/>
  <c r="O80" i="4"/>
  <c r="O79" i="4"/>
  <c r="O78" i="4"/>
  <c r="O77" i="4"/>
  <c r="O76" i="4"/>
  <c r="O75" i="4"/>
  <c r="S75" i="4" s="1"/>
  <c r="W75" i="4" s="1"/>
  <c r="O74" i="4"/>
  <c r="S74" i="4" s="1"/>
  <c r="W74" i="4" s="1"/>
  <c r="O73" i="4"/>
  <c r="S73" i="4" s="1"/>
  <c r="W73" i="4" s="1"/>
  <c r="O72" i="4"/>
  <c r="S72" i="4" s="1"/>
  <c r="W72" i="4" s="1"/>
  <c r="O71" i="4"/>
  <c r="S71" i="4" s="1"/>
  <c r="W71" i="4" s="1"/>
  <c r="O70" i="4"/>
  <c r="S70" i="4" s="1"/>
  <c r="W70" i="4" s="1"/>
  <c r="O69" i="4"/>
  <c r="S69" i="4" s="1"/>
  <c r="W69" i="4" s="1"/>
  <c r="O68" i="4"/>
  <c r="S68" i="4" s="1"/>
  <c r="W68" i="4" s="1"/>
  <c r="O67" i="4"/>
  <c r="S67" i="4" s="1"/>
  <c r="W67" i="4" s="1"/>
  <c r="O66" i="4"/>
  <c r="O65" i="4"/>
  <c r="O64" i="4"/>
  <c r="O63" i="4"/>
  <c r="O62" i="4"/>
  <c r="O61" i="4"/>
  <c r="O60" i="4"/>
  <c r="O59" i="4"/>
  <c r="O58" i="4"/>
  <c r="O57" i="4"/>
  <c r="O56" i="4"/>
  <c r="O55" i="4"/>
  <c r="O54" i="4"/>
  <c r="O53" i="4"/>
  <c r="S53" i="4" s="1"/>
  <c r="W53" i="4" s="1"/>
  <c r="O52" i="4"/>
  <c r="S52" i="4" s="1"/>
  <c r="W52" i="4" s="1"/>
  <c r="O51" i="4"/>
  <c r="S51" i="4" s="1"/>
  <c r="W51" i="4" s="1"/>
  <c r="O50" i="4"/>
  <c r="S50" i="4" s="1"/>
  <c r="W50" i="4" s="1"/>
  <c r="O49" i="4"/>
  <c r="S49" i="4" s="1"/>
  <c r="W49" i="4" s="1"/>
  <c r="O48" i="4"/>
  <c r="S48" i="4" s="1"/>
  <c r="W48" i="4" s="1"/>
  <c r="O47" i="4"/>
  <c r="S47" i="4" s="1"/>
  <c r="W47" i="4" s="1"/>
  <c r="O46" i="4"/>
  <c r="O45" i="4"/>
  <c r="O44" i="4"/>
  <c r="O43" i="4"/>
  <c r="O42" i="4"/>
  <c r="O41" i="4"/>
  <c r="O40" i="4"/>
  <c r="O39" i="4"/>
  <c r="O38" i="4"/>
  <c r="O37" i="4"/>
  <c r="S37" i="4" s="1"/>
  <c r="W37" i="4" s="1"/>
  <c r="O36" i="4"/>
  <c r="S36" i="4" s="1"/>
  <c r="W36" i="4" s="1"/>
  <c r="O35" i="4"/>
  <c r="S35" i="4" s="1"/>
  <c r="W35" i="4" s="1"/>
  <c r="O34" i="4"/>
  <c r="S34" i="4" s="1"/>
  <c r="W34" i="4" s="1"/>
  <c r="O33" i="4"/>
  <c r="S33" i="4" s="1"/>
  <c r="W33" i="4" s="1"/>
  <c r="O32" i="4"/>
  <c r="S32" i="4" s="1"/>
  <c r="W32" i="4" s="1"/>
  <c r="O31" i="4"/>
  <c r="S31" i="4" s="1"/>
  <c r="W31" i="4" s="1"/>
  <c r="O30" i="4"/>
  <c r="S30" i="4" s="1"/>
  <c r="W30" i="4" s="1"/>
  <c r="O29" i="4"/>
  <c r="S29" i="4" s="1"/>
  <c r="W29" i="4" s="1"/>
  <c r="O28" i="4"/>
  <c r="S28" i="4" s="1"/>
  <c r="W28" i="4" s="1"/>
  <c r="O27" i="4"/>
  <c r="S27" i="4" s="1"/>
  <c r="W27" i="4" s="1"/>
  <c r="O26" i="4"/>
  <c r="O25" i="4"/>
  <c r="O24" i="4"/>
  <c r="O23" i="4"/>
  <c r="O22" i="4"/>
  <c r="O21" i="4"/>
  <c r="O20" i="4"/>
  <c r="O19" i="4"/>
  <c r="O18" i="4"/>
  <c r="O17" i="4"/>
  <c r="O16" i="4"/>
  <c r="S16" i="4" s="1"/>
  <c r="W16" i="4" s="1"/>
  <c r="O15" i="4"/>
  <c r="S15" i="4" s="1"/>
  <c r="W15" i="4" s="1"/>
  <c r="O14" i="4"/>
  <c r="S14" i="4" s="1"/>
  <c r="W14" i="4" s="1"/>
  <c r="O13" i="4"/>
  <c r="S13" i="4" s="1"/>
  <c r="W13" i="4" s="1"/>
  <c r="O12" i="4"/>
  <c r="S12" i="4" s="1"/>
  <c r="W12" i="4" s="1"/>
  <c r="O11" i="4"/>
  <c r="S11" i="4" s="1"/>
  <c r="W11" i="4" s="1"/>
  <c r="O10" i="4"/>
  <c r="S10" i="4" s="1"/>
  <c r="W10" i="4" s="1"/>
  <c r="O9" i="4"/>
  <c r="S9" i="4" s="1"/>
  <c r="W9" i="4" s="1"/>
  <c r="O8" i="4"/>
  <c r="S8" i="4" s="1"/>
  <c r="W8" i="4" s="1"/>
  <c r="O7" i="4"/>
  <c r="S7" i="4" s="1"/>
  <c r="W7" i="4" s="1"/>
  <c r="O6" i="4"/>
  <c r="O5" i="4"/>
  <c r="O4" i="4"/>
  <c r="O3" i="4"/>
  <c r="O2" i="4"/>
  <c r="P127" i="4"/>
  <c r="P125" i="4"/>
  <c r="P124" i="4"/>
  <c r="P107" i="4"/>
  <c r="T107" i="4" s="1"/>
  <c r="X107" i="4" s="1"/>
  <c r="P105" i="4"/>
  <c r="P104" i="4"/>
  <c r="P73" i="4"/>
  <c r="T73" i="4" s="1"/>
  <c r="X73" i="4" s="1"/>
  <c r="P65" i="4"/>
  <c r="P53" i="4"/>
  <c r="T53" i="4" s="1"/>
  <c r="X53" i="4" s="1"/>
  <c r="P4" i="4"/>
  <c r="Q138" i="4"/>
  <c r="P138" i="4" s="1"/>
  <c r="Q137" i="4"/>
  <c r="P137" i="4" s="1"/>
  <c r="U137" i="4" s="1"/>
  <c r="Q136" i="4"/>
  <c r="P136" i="4" s="1"/>
  <c r="U136" i="4" s="1"/>
  <c r="Y136" i="4" s="1"/>
  <c r="Q135" i="4"/>
  <c r="P135" i="4" s="1"/>
  <c r="Q134" i="4"/>
  <c r="P134" i="4" s="1"/>
  <c r="Q133" i="4"/>
  <c r="P133" i="4" s="1"/>
  <c r="T133" i="4" s="1"/>
  <c r="X133" i="4" s="1"/>
  <c r="Q132" i="4"/>
  <c r="P132" i="4" s="1"/>
  <c r="T132" i="4" s="1"/>
  <c r="X132" i="4" s="1"/>
  <c r="Q131" i="4"/>
  <c r="P131" i="4" s="1"/>
  <c r="T131" i="4" s="1"/>
  <c r="X131" i="4" s="1"/>
  <c r="Q130" i="4"/>
  <c r="P130" i="4" s="1"/>
  <c r="T130" i="4" s="1"/>
  <c r="X130" i="4" s="1"/>
  <c r="Q129" i="4"/>
  <c r="P129" i="4" s="1"/>
  <c r="Q128" i="4"/>
  <c r="P128" i="4" s="1"/>
  <c r="Q127" i="4"/>
  <c r="Q126" i="4"/>
  <c r="P126" i="4" s="1"/>
  <c r="Q125" i="4"/>
  <c r="Q124" i="4"/>
  <c r="Q123" i="4"/>
  <c r="P123" i="4" s="1"/>
  <c r="Q122" i="4"/>
  <c r="P122" i="4" s="1"/>
  <c r="Q121" i="4"/>
  <c r="P121" i="4" s="1"/>
  <c r="Q120" i="4"/>
  <c r="P120" i="4" s="1"/>
  <c r="Q119" i="4"/>
  <c r="P119" i="4" s="1"/>
  <c r="Q118" i="4"/>
  <c r="P118" i="4" s="1"/>
  <c r="Q117" i="4"/>
  <c r="P117" i="4" s="1"/>
  <c r="U117" i="4" s="1"/>
  <c r="Y117" i="4" s="1"/>
  <c r="Q116" i="4"/>
  <c r="P116" i="4" s="1"/>
  <c r="U116" i="4" s="1"/>
  <c r="Y116" i="4" s="1"/>
  <c r="Q115" i="4"/>
  <c r="P115" i="4" s="1"/>
  <c r="Q114" i="4"/>
  <c r="P114" i="4" s="1"/>
  <c r="Q113" i="4"/>
  <c r="P113" i="4" s="1"/>
  <c r="Q112" i="4"/>
  <c r="P112" i="4" s="1"/>
  <c r="T112" i="4" s="1"/>
  <c r="X112" i="4" s="1"/>
  <c r="Q111" i="4"/>
  <c r="P111" i="4" s="1"/>
  <c r="T111" i="4" s="1"/>
  <c r="X111" i="4" s="1"/>
  <c r="Q110" i="4"/>
  <c r="P110" i="4" s="1"/>
  <c r="T110" i="4" s="1"/>
  <c r="X110" i="4" s="1"/>
  <c r="Q109" i="4"/>
  <c r="P109" i="4" s="1"/>
  <c r="Q108" i="4"/>
  <c r="P108" i="4" s="1"/>
  <c r="Q107" i="4"/>
  <c r="Q106" i="4"/>
  <c r="P106" i="4" s="1"/>
  <c r="Q105" i="4"/>
  <c r="Q104" i="4"/>
  <c r="Q103" i="4"/>
  <c r="P103" i="4" s="1"/>
  <c r="Q102" i="4"/>
  <c r="P102" i="4" s="1"/>
  <c r="Q101" i="4"/>
  <c r="P101" i="4" s="1"/>
  <c r="Q100" i="4"/>
  <c r="P100" i="4" s="1"/>
  <c r="Q99" i="4"/>
  <c r="P99" i="4" s="1"/>
  <c r="Q98" i="4"/>
  <c r="P98" i="4" s="1"/>
  <c r="Q97" i="4"/>
  <c r="P97" i="4" s="1"/>
  <c r="U97" i="4" s="1"/>
  <c r="Y97" i="4" s="1"/>
  <c r="Q96" i="4"/>
  <c r="P96" i="4" s="1"/>
  <c r="U96" i="4" s="1"/>
  <c r="Y96" i="4" s="1"/>
  <c r="Q95" i="4"/>
  <c r="P95" i="4" s="1"/>
  <c r="Q94" i="4"/>
  <c r="P94" i="4" s="1"/>
  <c r="Q93" i="4"/>
  <c r="P93" i="4" s="1"/>
  <c r="Q92" i="4"/>
  <c r="P92" i="4" s="1"/>
  <c r="T92" i="4" s="1"/>
  <c r="X92" i="4" s="1"/>
  <c r="Q91" i="4"/>
  <c r="P91" i="4" s="1"/>
  <c r="T91" i="4" s="1"/>
  <c r="X91" i="4" s="1"/>
  <c r="Q90" i="4"/>
  <c r="P90" i="4" s="1"/>
  <c r="T90" i="4" s="1"/>
  <c r="X90" i="4" s="1"/>
  <c r="Q89" i="4"/>
  <c r="P89" i="4" s="1"/>
  <c r="Q88" i="4"/>
  <c r="P88" i="4" s="1"/>
  <c r="Q87" i="4"/>
  <c r="P87" i="4" s="1"/>
  <c r="Q86" i="4"/>
  <c r="P86" i="4" s="1"/>
  <c r="Q85" i="4"/>
  <c r="P85" i="4" s="1"/>
  <c r="Q84" i="4"/>
  <c r="P84" i="4" s="1"/>
  <c r="Q83" i="4"/>
  <c r="P83" i="4" s="1"/>
  <c r="Q82" i="4"/>
  <c r="P82" i="4" s="1"/>
  <c r="Q81" i="4"/>
  <c r="P81" i="4" s="1"/>
  <c r="Q80" i="4"/>
  <c r="P80" i="4" s="1"/>
  <c r="Q79" i="4"/>
  <c r="P79" i="4" s="1"/>
  <c r="Q78" i="4"/>
  <c r="P78" i="4" s="1"/>
  <c r="Q77" i="4"/>
  <c r="P77" i="4" s="1"/>
  <c r="U77" i="4" s="1"/>
  <c r="Y77" i="4" s="1"/>
  <c r="Q76" i="4"/>
  <c r="P76" i="4" s="1"/>
  <c r="U76" i="4" s="1"/>
  <c r="Y76" i="4" s="1"/>
  <c r="Q75" i="4"/>
  <c r="P75" i="4" s="1"/>
  <c r="Q74" i="4"/>
  <c r="P74" i="4" s="1"/>
  <c r="Q73" i="4"/>
  <c r="Q72" i="4"/>
  <c r="P72" i="4" s="1"/>
  <c r="T72" i="4" s="1"/>
  <c r="X72" i="4" s="1"/>
  <c r="Q71" i="4"/>
  <c r="P71" i="4" s="1"/>
  <c r="T71" i="4" s="1"/>
  <c r="X71" i="4" s="1"/>
  <c r="Q70" i="4"/>
  <c r="P70" i="4" s="1"/>
  <c r="T70" i="4" s="1"/>
  <c r="X70" i="4" s="1"/>
  <c r="Q69" i="4"/>
  <c r="P69" i="4" s="1"/>
  <c r="Q68" i="4"/>
  <c r="P68" i="4" s="1"/>
  <c r="T68" i="4" s="1"/>
  <c r="X68" i="4" s="1"/>
  <c r="Q67" i="4"/>
  <c r="P67" i="4" s="1"/>
  <c r="Q66" i="4"/>
  <c r="P66" i="4" s="1"/>
  <c r="Q65" i="4"/>
  <c r="Q64" i="4"/>
  <c r="P64" i="4" s="1"/>
  <c r="Q63" i="4"/>
  <c r="P63" i="4" s="1"/>
  <c r="Q62" i="4"/>
  <c r="P62" i="4" s="1"/>
  <c r="Q61" i="4"/>
  <c r="P61" i="4" s="1"/>
  <c r="Q60" i="4"/>
  <c r="P60" i="4" s="1"/>
  <c r="Q59" i="4"/>
  <c r="P59" i="4" s="1"/>
  <c r="Q58" i="4"/>
  <c r="P58" i="4" s="1"/>
  <c r="Q57" i="4"/>
  <c r="P57" i="4" s="1"/>
  <c r="U57" i="4" s="1"/>
  <c r="Y57" i="4" s="1"/>
  <c r="Q56" i="4"/>
  <c r="P56" i="4" s="1"/>
  <c r="U56" i="4" s="1"/>
  <c r="Y56" i="4" s="1"/>
  <c r="Q55" i="4"/>
  <c r="P55" i="4" s="1"/>
  <c r="Q54" i="4"/>
  <c r="P54" i="4" s="1"/>
  <c r="Q53" i="4"/>
  <c r="Q52" i="4"/>
  <c r="P52" i="4" s="1"/>
  <c r="T52" i="4" s="1"/>
  <c r="X52" i="4" s="1"/>
  <c r="Q51" i="4"/>
  <c r="P51" i="4" s="1"/>
  <c r="T51" i="4" s="1"/>
  <c r="X51" i="4" s="1"/>
  <c r="Q50" i="4"/>
  <c r="P50" i="4" s="1"/>
  <c r="T50" i="4" s="1"/>
  <c r="X50" i="4" s="1"/>
  <c r="Q49" i="4"/>
  <c r="P49" i="4" s="1"/>
  <c r="Q48" i="4"/>
  <c r="P48" i="4" s="1"/>
  <c r="T48" i="4" s="1"/>
  <c r="X48" i="4" s="1"/>
  <c r="Q47" i="4"/>
  <c r="P47" i="4" s="1"/>
  <c r="Q46" i="4"/>
  <c r="P46" i="4" s="1"/>
  <c r="Q45" i="4"/>
  <c r="P45" i="4" s="1"/>
  <c r="Q44" i="4"/>
  <c r="P44" i="4" s="1"/>
  <c r="Q43" i="4"/>
  <c r="P43" i="4" s="1"/>
  <c r="Q42" i="4"/>
  <c r="P42" i="4" s="1"/>
  <c r="Q41" i="4"/>
  <c r="P41" i="4" s="1"/>
  <c r="Q40" i="4"/>
  <c r="P40" i="4" s="1"/>
  <c r="Q39" i="4"/>
  <c r="P39" i="4" s="1"/>
  <c r="Q38" i="4"/>
  <c r="P38" i="4" s="1"/>
  <c r="Q37" i="4"/>
  <c r="P37" i="4" s="1"/>
  <c r="U37" i="4" s="1"/>
  <c r="Y37" i="4" s="1"/>
  <c r="Q36" i="4"/>
  <c r="P36" i="4" s="1"/>
  <c r="U36" i="4" s="1"/>
  <c r="Y36" i="4" s="1"/>
  <c r="Q35" i="4"/>
  <c r="P35" i="4" s="1"/>
  <c r="Q34" i="4"/>
  <c r="P34" i="4" s="1"/>
  <c r="Q33" i="4"/>
  <c r="P33" i="4" s="1"/>
  <c r="T33" i="4" s="1"/>
  <c r="X33" i="4" s="1"/>
  <c r="Q32" i="4"/>
  <c r="P32" i="4" s="1"/>
  <c r="T32" i="4" s="1"/>
  <c r="X32" i="4" s="1"/>
  <c r="Q31" i="4"/>
  <c r="P31" i="4" s="1"/>
  <c r="T31" i="4" s="1"/>
  <c r="X31" i="4" s="1"/>
  <c r="Q30" i="4"/>
  <c r="P30" i="4" s="1"/>
  <c r="T30" i="4" s="1"/>
  <c r="X30" i="4" s="1"/>
  <c r="Q29" i="4"/>
  <c r="P29" i="4" s="1"/>
  <c r="Q28" i="4"/>
  <c r="P28" i="4" s="1"/>
  <c r="Q27" i="4"/>
  <c r="P27" i="4" s="1"/>
  <c r="Q26" i="4"/>
  <c r="P26" i="4" s="1"/>
  <c r="Q25" i="4"/>
  <c r="P25" i="4" s="1"/>
  <c r="Q24" i="4"/>
  <c r="P24" i="4" s="1"/>
  <c r="Q23" i="4"/>
  <c r="P23" i="4" s="1"/>
  <c r="Q22" i="4"/>
  <c r="P22" i="4" s="1"/>
  <c r="Q21" i="4"/>
  <c r="P21" i="4" s="1"/>
  <c r="Q20" i="4"/>
  <c r="P20" i="4" s="1"/>
  <c r="Q19" i="4"/>
  <c r="P19" i="4" s="1"/>
  <c r="Q18" i="4"/>
  <c r="P18" i="4" s="1"/>
  <c r="Q17" i="4"/>
  <c r="P17" i="4" s="1"/>
  <c r="U17" i="4" s="1"/>
  <c r="Y17" i="4" s="1"/>
  <c r="Q16" i="4"/>
  <c r="P16" i="4" s="1"/>
  <c r="U16" i="4" s="1"/>
  <c r="Y16" i="4" s="1"/>
  <c r="Q15" i="4"/>
  <c r="P15" i="4" s="1"/>
  <c r="Q14" i="4"/>
  <c r="P14" i="4" s="1"/>
  <c r="Q13" i="4"/>
  <c r="P13" i="4" s="1"/>
  <c r="T13" i="4" s="1"/>
  <c r="X13" i="4" s="1"/>
  <c r="Q12" i="4"/>
  <c r="P12" i="4" s="1"/>
  <c r="T12" i="4" s="1"/>
  <c r="X12" i="4" s="1"/>
  <c r="Q11" i="4"/>
  <c r="P11" i="4" s="1"/>
  <c r="T11" i="4" s="1"/>
  <c r="X11" i="4" s="1"/>
  <c r="Q10" i="4"/>
  <c r="P10" i="4" s="1"/>
  <c r="T10" i="4" s="1"/>
  <c r="X10" i="4" s="1"/>
  <c r="Q9" i="4"/>
  <c r="P9" i="4" s="1"/>
  <c r="Q8" i="4"/>
  <c r="P8" i="4" s="1"/>
  <c r="Q7" i="4"/>
  <c r="P7" i="4" s="1"/>
  <c r="Q6" i="4"/>
  <c r="P6" i="4" s="1"/>
  <c r="Q5" i="4"/>
  <c r="P5" i="4" s="1"/>
  <c r="Q4" i="4"/>
  <c r="Q3" i="4"/>
  <c r="P3" i="4" s="1"/>
  <c r="Q2" i="4"/>
  <c r="P2" i="4" s="1"/>
  <c r="R132" i="4"/>
  <c r="R131" i="4"/>
  <c r="R130" i="4"/>
  <c r="R129" i="4"/>
  <c r="V129" i="4" s="1"/>
  <c r="R127" i="4"/>
  <c r="V127" i="4" s="1"/>
  <c r="R126" i="4"/>
  <c r="V126" i="4" s="1"/>
  <c r="R125" i="4"/>
  <c r="V125" i="4" s="1"/>
  <c r="R112" i="4"/>
  <c r="V112" i="4" s="1"/>
  <c r="R111" i="4"/>
  <c r="V111" i="4" s="1"/>
  <c r="R109" i="4"/>
  <c r="V109" i="4" s="1"/>
  <c r="R107" i="4"/>
  <c r="V107" i="4" s="1"/>
  <c r="R106" i="4"/>
  <c r="V106" i="4" s="1"/>
  <c r="R92" i="4"/>
  <c r="V92" i="4" s="1"/>
  <c r="R91" i="4"/>
  <c r="V91" i="4" s="1"/>
  <c r="R89" i="4"/>
  <c r="R87" i="4"/>
  <c r="V87" i="4" s="1"/>
  <c r="R86" i="4"/>
  <c r="R85" i="4"/>
  <c r="R78" i="4"/>
  <c r="V78" i="4" s="1"/>
  <c r="R72" i="4"/>
  <c r="V72" i="4" s="1"/>
  <c r="R71" i="4"/>
  <c r="V71" i="4" s="1"/>
  <c r="R70" i="4"/>
  <c r="V70" i="4" s="1"/>
  <c r="R69" i="4"/>
  <c r="V69" i="4" s="1"/>
  <c r="R67" i="4"/>
  <c r="V67" i="4" s="1"/>
  <c r="R52" i="4"/>
  <c r="R51" i="4"/>
  <c r="V51" i="4" s="1"/>
  <c r="R49" i="4"/>
  <c r="V49" i="4" s="1"/>
  <c r="R47" i="4"/>
  <c r="V47" i="4" s="1"/>
  <c r="R46" i="4"/>
  <c r="V46" i="4" s="1"/>
  <c r="R45" i="4"/>
  <c r="V45" i="4" s="1"/>
  <c r="R44" i="4"/>
  <c r="V44" i="4" s="1"/>
  <c r="R43" i="4"/>
  <c r="V43" i="4" s="1"/>
  <c r="R38" i="4"/>
  <c r="V38" i="4" s="1"/>
  <c r="R36" i="4"/>
  <c r="V36" i="4" s="1"/>
  <c r="R35" i="4"/>
  <c r="V35" i="4" s="1"/>
  <c r="R32" i="4"/>
  <c r="V32" i="4" s="1"/>
  <c r="R31" i="4"/>
  <c r="V31" i="4" s="1"/>
  <c r="R29" i="4"/>
  <c r="R12" i="4"/>
  <c r="R11" i="4"/>
  <c r="R10" i="4"/>
  <c r="V10" i="4" s="1"/>
  <c r="R9" i="4"/>
  <c r="V9" i="4" s="1"/>
  <c r="R7" i="4"/>
  <c r="V7" i="4" s="1"/>
  <c r="R6" i="4"/>
  <c r="V6" i="4" s="1"/>
  <c r="R5" i="4"/>
  <c r="V5" i="4" s="1"/>
  <c r="S138" i="4"/>
  <c r="W138" i="4" s="1"/>
  <c r="S137" i="4"/>
  <c r="W137" i="4" s="1"/>
  <c r="S134" i="4"/>
  <c r="W134" i="4" s="1"/>
  <c r="S133" i="4"/>
  <c r="W133" i="4" s="1"/>
  <c r="S118" i="4"/>
  <c r="W118" i="4" s="1"/>
  <c r="S117" i="4"/>
  <c r="W117" i="4" s="1"/>
  <c r="S116" i="4"/>
  <c r="W116" i="4" s="1"/>
  <c r="S115" i="4"/>
  <c r="W115" i="4" s="1"/>
  <c r="S106" i="4"/>
  <c r="W106" i="4" s="1"/>
  <c r="S105" i="4"/>
  <c r="W105" i="4" s="1"/>
  <c r="S98" i="4"/>
  <c r="W98" i="4" s="1"/>
  <c r="S97" i="4"/>
  <c r="W97" i="4" s="1"/>
  <c r="S96" i="4"/>
  <c r="W96" i="4" s="1"/>
  <c r="S95" i="4"/>
  <c r="W95" i="4" s="1"/>
  <c r="S94" i="4"/>
  <c r="W94" i="4" s="1"/>
  <c r="S93" i="4"/>
  <c r="W93" i="4" s="1"/>
  <c r="S78" i="4"/>
  <c r="W78" i="4" s="1"/>
  <c r="S77" i="4"/>
  <c r="W77" i="4" s="1"/>
  <c r="S66" i="4"/>
  <c r="W66" i="4" s="1"/>
  <c r="S65" i="4"/>
  <c r="W65" i="4" s="1"/>
  <c r="S64" i="4"/>
  <c r="W64" i="4" s="1"/>
  <c r="S63" i="4"/>
  <c r="W63" i="4" s="1"/>
  <c r="S58" i="4"/>
  <c r="W58" i="4" s="1"/>
  <c r="S57" i="4"/>
  <c r="W57" i="4" s="1"/>
  <c r="S56" i="4"/>
  <c r="W56" i="4" s="1"/>
  <c r="S55" i="4"/>
  <c r="W55" i="4" s="1"/>
  <c r="S54" i="4"/>
  <c r="W54" i="4" s="1"/>
  <c r="S46" i="4"/>
  <c r="W46" i="4" s="1"/>
  <c r="S38" i="4"/>
  <c r="S26" i="4"/>
  <c r="W26" i="4" s="1"/>
  <c r="S25" i="4"/>
  <c r="W25" i="4" s="1"/>
  <c r="S24" i="4"/>
  <c r="W24" i="4" s="1"/>
  <c r="S23" i="4"/>
  <c r="W23" i="4" s="1"/>
  <c r="S18" i="4"/>
  <c r="W18" i="4" s="1"/>
  <c r="S17" i="4"/>
  <c r="W17" i="4" s="1"/>
  <c r="S6" i="4"/>
  <c r="W6" i="4" s="1"/>
  <c r="S5" i="4"/>
  <c r="W5" i="4" s="1"/>
  <c r="S4" i="4"/>
  <c r="W4" i="4" s="1"/>
  <c r="S3" i="4"/>
  <c r="W3" i="4" s="1"/>
  <c r="S2" i="4"/>
  <c r="W2" i="4" s="1"/>
  <c r="T127" i="4"/>
  <c r="U127" i="4"/>
  <c r="V132" i="4"/>
  <c r="V131" i="4"/>
  <c r="V130" i="4"/>
  <c r="V89" i="4"/>
  <c r="V86" i="4"/>
  <c r="V85" i="4"/>
  <c r="V52" i="4"/>
  <c r="V29" i="4"/>
  <c r="V12" i="4"/>
  <c r="V11" i="4"/>
  <c r="W38" i="4"/>
  <c r="X127" i="4"/>
  <c r="Y137" i="4"/>
  <c r="Y127" i="4"/>
  <c r="K138" i="1"/>
  <c r="K7" i="1"/>
  <c r="K129" i="1"/>
  <c r="K75" i="1"/>
  <c r="K137" i="1"/>
  <c r="K86" i="1"/>
  <c r="K3" i="1"/>
  <c r="K15" i="1"/>
  <c r="K41" i="1"/>
  <c r="W138" i="1"/>
  <c r="W7" i="1"/>
  <c r="W129" i="1"/>
  <c r="W75" i="1"/>
  <c r="W137" i="1"/>
  <c r="W86" i="1"/>
  <c r="W3" i="1"/>
  <c r="W15" i="1"/>
  <c r="W41" i="1"/>
  <c r="K57" i="1"/>
  <c r="W57" i="1"/>
  <c r="K37" i="1"/>
  <c r="W37" i="1"/>
  <c r="K40" i="1"/>
  <c r="W40" i="1"/>
  <c r="K47" i="1"/>
  <c r="W47" i="1"/>
  <c r="D2" i="10"/>
  <c r="D3" i="10"/>
  <c r="D4" i="10"/>
  <c r="D5" i="10"/>
  <c r="D6" i="10"/>
  <c r="D7" i="10"/>
  <c r="D8" i="10"/>
  <c r="D9" i="10"/>
  <c r="D10" i="10"/>
  <c r="D11" i="10"/>
  <c r="D12" i="10"/>
  <c r="D13" i="10"/>
  <c r="D14" i="10"/>
  <c r="D15" i="10"/>
  <c r="D16" i="10"/>
  <c r="D17" i="10"/>
  <c r="D18" i="10"/>
  <c r="D19" i="10"/>
  <c r="D20" i="10"/>
  <c r="D21" i="10"/>
  <c r="D22" i="10"/>
  <c r="D23" i="10"/>
  <c r="D24" i="10"/>
  <c r="D25" i="10"/>
  <c r="D26" i="10"/>
  <c r="D27" i="10"/>
  <c r="D28" i="10"/>
  <c r="D29" i="10"/>
  <c r="D30" i="10"/>
  <c r="D31" i="10"/>
  <c r="D32" i="10"/>
  <c r="D33" i="10"/>
  <c r="D34" i="10"/>
  <c r="D35" i="10"/>
  <c r="D36" i="10"/>
  <c r="D37" i="10"/>
  <c r="D38" i="10"/>
  <c r="D39" i="10"/>
  <c r="D40" i="10"/>
  <c r="D41" i="10"/>
  <c r="D42" i="10"/>
  <c r="D43" i="10"/>
  <c r="D44" i="10"/>
  <c r="D45" i="10"/>
  <c r="D46" i="10"/>
  <c r="D47" i="10"/>
  <c r="D48" i="10"/>
  <c r="D49" i="10"/>
  <c r="D50" i="10"/>
  <c r="D51" i="10"/>
  <c r="D52" i="10"/>
  <c r="D53" i="10"/>
  <c r="D54" i="10"/>
  <c r="D55" i="10"/>
  <c r="D56" i="10"/>
  <c r="D57" i="10"/>
  <c r="D58" i="10"/>
  <c r="D59" i="10"/>
  <c r="D60" i="10"/>
  <c r="D61" i="10"/>
  <c r="D62" i="10"/>
  <c r="D63" i="10"/>
  <c r="D64" i="10"/>
  <c r="D65" i="10"/>
  <c r="D66" i="10"/>
  <c r="D67" i="10"/>
  <c r="D68" i="10"/>
  <c r="D69" i="10"/>
  <c r="D70" i="10"/>
  <c r="D71" i="10"/>
  <c r="D72" i="10"/>
  <c r="D73" i="10"/>
  <c r="D74" i="10"/>
  <c r="D75" i="10"/>
  <c r="D76" i="10"/>
  <c r="D77" i="10"/>
  <c r="D78" i="10"/>
  <c r="D79" i="10"/>
  <c r="D80" i="10"/>
  <c r="D81" i="10"/>
  <c r="D82" i="10"/>
  <c r="D83" i="10"/>
  <c r="D84" i="10"/>
  <c r="D85" i="10"/>
  <c r="D86" i="10"/>
  <c r="D87" i="10"/>
  <c r="D88" i="10"/>
  <c r="D89" i="10"/>
  <c r="D90" i="10"/>
  <c r="D91" i="10"/>
  <c r="D92" i="10"/>
  <c r="D93" i="10"/>
  <c r="D94" i="10"/>
  <c r="D95" i="10"/>
  <c r="D96" i="10"/>
  <c r="D97" i="10"/>
  <c r="D98" i="10"/>
  <c r="D99" i="10"/>
  <c r="D100" i="10"/>
  <c r="D101" i="10"/>
  <c r="D102" i="10"/>
  <c r="D103" i="10"/>
  <c r="D104" i="10"/>
  <c r="D105" i="10"/>
  <c r="D106" i="10"/>
  <c r="D107" i="10"/>
  <c r="D108" i="10"/>
  <c r="D109" i="10"/>
  <c r="D110" i="10"/>
  <c r="D111" i="10"/>
  <c r="D112" i="10"/>
  <c r="D113" i="10"/>
  <c r="D114" i="10"/>
  <c r="D115" i="10"/>
  <c r="D116" i="10"/>
  <c r="D117" i="10"/>
  <c r="D118" i="10"/>
  <c r="D119" i="10"/>
  <c r="D120" i="10"/>
  <c r="D121" i="10"/>
  <c r="D122" i="10"/>
  <c r="D123" i="10"/>
  <c r="D124" i="10"/>
  <c r="D125" i="10"/>
  <c r="K46" i="1"/>
  <c r="W46" i="1"/>
  <c r="T128" i="4" l="1"/>
  <c r="X128" i="4" s="1"/>
  <c r="U128" i="4"/>
  <c r="Y128" i="4" s="1"/>
  <c r="T108" i="4"/>
  <c r="X108" i="4" s="1"/>
  <c r="U108" i="4"/>
  <c r="Y108" i="4" s="1"/>
  <c r="T9" i="4"/>
  <c r="X9" i="4" s="1"/>
  <c r="AA9" i="4" s="1"/>
  <c r="U9" i="4"/>
  <c r="Y9" i="4" s="1"/>
  <c r="U49" i="4"/>
  <c r="Y49" i="4" s="1"/>
  <c r="T49" i="4"/>
  <c r="X49" i="4" s="1"/>
  <c r="U69" i="4"/>
  <c r="Y69" i="4" s="1"/>
  <c r="T69" i="4"/>
  <c r="X69" i="4" s="1"/>
  <c r="Z69" i="4" s="1"/>
  <c r="T109" i="4"/>
  <c r="X109" i="4" s="1"/>
  <c r="AB109" i="4" s="1"/>
  <c r="U109" i="4"/>
  <c r="Y109" i="4" s="1"/>
  <c r="T8" i="4"/>
  <c r="X8" i="4" s="1"/>
  <c r="U8" i="4"/>
  <c r="Y8" i="4" s="1"/>
  <c r="T113" i="4"/>
  <c r="X113" i="4" s="1"/>
  <c r="AA113" i="4" s="1"/>
  <c r="U113" i="4"/>
  <c r="Y113" i="4" s="1"/>
  <c r="R122" i="4"/>
  <c r="V122" i="4" s="1"/>
  <c r="S61" i="4"/>
  <c r="W61" i="4" s="1"/>
  <c r="U51" i="4"/>
  <c r="Y51" i="4" s="1"/>
  <c r="AA51" i="4" s="1"/>
  <c r="R81" i="4"/>
  <c r="V81" i="4" s="1"/>
  <c r="AA73" i="4"/>
  <c r="U53" i="4"/>
  <c r="Y53" i="4" s="1"/>
  <c r="S62" i="4"/>
  <c r="W62" i="4" s="1"/>
  <c r="T59" i="4"/>
  <c r="X59" i="4" s="1"/>
  <c r="U79" i="4"/>
  <c r="Y79" i="4" s="1"/>
  <c r="S22" i="4"/>
  <c r="W22" i="4" s="1"/>
  <c r="S121" i="4"/>
  <c r="W121" i="4" s="1"/>
  <c r="S83" i="4"/>
  <c r="W83" i="4" s="1"/>
  <c r="R21" i="4"/>
  <c r="V21" i="4" s="1"/>
  <c r="R101" i="4"/>
  <c r="V101" i="4" s="1"/>
  <c r="AB9" i="4"/>
  <c r="AD9" i="4" s="1"/>
  <c r="S84" i="4"/>
  <c r="W84" i="4" s="1"/>
  <c r="S123" i="4"/>
  <c r="W123" i="4" s="1"/>
  <c r="R102" i="4"/>
  <c r="V102" i="4" s="1"/>
  <c r="S124" i="4"/>
  <c r="W124" i="4" s="1"/>
  <c r="R103" i="4"/>
  <c r="V103" i="4" s="1"/>
  <c r="S44" i="4"/>
  <c r="W44" i="4" s="1"/>
  <c r="R30" i="4"/>
  <c r="V30" i="4" s="1"/>
  <c r="Z30" i="4" s="1"/>
  <c r="R50" i="4"/>
  <c r="V50" i="4" s="1"/>
  <c r="AB50" i="4" s="1"/>
  <c r="R90" i="4"/>
  <c r="V90" i="4" s="1"/>
  <c r="Z90" i="4" s="1"/>
  <c r="R110" i="4"/>
  <c r="V110" i="4" s="1"/>
  <c r="S76" i="4"/>
  <c r="W76" i="4" s="1"/>
  <c r="S136" i="4"/>
  <c r="W136" i="4" s="1"/>
  <c r="AB110" i="4"/>
  <c r="R41" i="4"/>
  <c r="V41" i="4" s="1"/>
  <c r="R104" i="4"/>
  <c r="V104" i="4" s="1"/>
  <c r="AB33" i="4"/>
  <c r="R42" i="4"/>
  <c r="V42" i="4" s="1"/>
  <c r="U107" i="4"/>
  <c r="Y107" i="4" s="1"/>
  <c r="T29" i="4"/>
  <c r="X29" i="4" s="1"/>
  <c r="U29" i="4"/>
  <c r="Y29" i="4" s="1"/>
  <c r="AA29" i="4" s="1"/>
  <c r="U89" i="4"/>
  <c r="Y89" i="4" s="1"/>
  <c r="T89" i="4"/>
  <c r="X89" i="4" s="1"/>
  <c r="AA89" i="4" s="1"/>
  <c r="T129" i="4"/>
  <c r="X129" i="4" s="1"/>
  <c r="AB129" i="4" s="1"/>
  <c r="U129" i="4"/>
  <c r="Y129" i="4" s="1"/>
  <c r="T88" i="4"/>
  <c r="X88" i="4" s="1"/>
  <c r="U88" i="4"/>
  <c r="Y88" i="4" s="1"/>
  <c r="T99" i="4"/>
  <c r="X99" i="4" s="1"/>
  <c r="U99" i="4"/>
  <c r="Y99" i="4" s="1"/>
  <c r="U119" i="4"/>
  <c r="Y119" i="4" s="1"/>
  <c r="T119" i="4"/>
  <c r="X119" i="4" s="1"/>
  <c r="T93" i="4"/>
  <c r="X93" i="4" s="1"/>
  <c r="U93" i="4"/>
  <c r="Y93" i="4" s="1"/>
  <c r="T19" i="4"/>
  <c r="X19" i="4" s="1"/>
  <c r="U19" i="4"/>
  <c r="Y19" i="4" s="1"/>
  <c r="Z49" i="4"/>
  <c r="T28" i="4"/>
  <c r="X28" i="4" s="1"/>
  <c r="U28" i="4"/>
  <c r="Y28" i="4" s="1"/>
  <c r="AB89" i="4"/>
  <c r="AD89" i="4" s="1"/>
  <c r="U39" i="4"/>
  <c r="Y39" i="4" s="1"/>
  <c r="T39" i="4"/>
  <c r="X39" i="4" s="1"/>
  <c r="AA110" i="4"/>
  <c r="AB49" i="4"/>
  <c r="AD49" i="4" s="1"/>
  <c r="AB30" i="4"/>
  <c r="AD30" i="4" s="1"/>
  <c r="Z48" i="4"/>
  <c r="AB130" i="4"/>
  <c r="AC130" i="4" s="1"/>
  <c r="R39" i="4"/>
  <c r="V39" i="4" s="1"/>
  <c r="Z36" i="4"/>
  <c r="U131" i="4"/>
  <c r="Y131" i="4" s="1"/>
  <c r="AB131" i="4" s="1"/>
  <c r="AB32" i="4"/>
  <c r="AC32" i="4" s="1"/>
  <c r="Z16" i="4"/>
  <c r="U71" i="4"/>
  <c r="Y71" i="4" s="1"/>
  <c r="Z71" i="4" s="1"/>
  <c r="AA53" i="4"/>
  <c r="AB133" i="4"/>
  <c r="AC133" i="4" s="1"/>
  <c r="Z136" i="4"/>
  <c r="R82" i="4"/>
  <c r="V82" i="4" s="1"/>
  <c r="Z76" i="4"/>
  <c r="U91" i="4"/>
  <c r="Y91" i="4" s="1"/>
  <c r="Z91" i="4" s="1"/>
  <c r="U48" i="4"/>
  <c r="Y48" i="4" s="1"/>
  <c r="AA13" i="4"/>
  <c r="U111" i="4"/>
  <c r="Y111" i="4" s="1"/>
  <c r="Z111" i="4" s="1"/>
  <c r="AB70" i="4"/>
  <c r="AC70" i="4" s="1"/>
  <c r="U68" i="4"/>
  <c r="Y68" i="4" s="1"/>
  <c r="Z68" i="4" s="1"/>
  <c r="R8" i="4"/>
  <c r="V8" i="4" s="1"/>
  <c r="R28" i="4"/>
  <c r="V28" i="4" s="1"/>
  <c r="R48" i="4"/>
  <c r="V48" i="4" s="1"/>
  <c r="R68" i="4"/>
  <c r="V68" i="4" s="1"/>
  <c r="R88" i="4"/>
  <c r="V88" i="4" s="1"/>
  <c r="R108" i="4"/>
  <c r="V108" i="4" s="1"/>
  <c r="AB108" i="4" s="1"/>
  <c r="AC108" i="4" s="1"/>
  <c r="R128" i="4"/>
  <c r="V128" i="4" s="1"/>
  <c r="AA128" i="4" s="1"/>
  <c r="R74" i="4"/>
  <c r="V74" i="4" s="1"/>
  <c r="U11" i="4"/>
  <c r="Y11" i="4" s="1"/>
  <c r="Z11" i="4" s="1"/>
  <c r="AA96" i="4"/>
  <c r="AB10" i="4"/>
  <c r="AC10" i="4" s="1"/>
  <c r="U12" i="4"/>
  <c r="Y12" i="4" s="1"/>
  <c r="AB12" i="4" s="1"/>
  <c r="U32" i="4"/>
  <c r="Y32" i="4" s="1"/>
  <c r="AA32" i="4" s="1"/>
  <c r="U52" i="4"/>
  <c r="Y52" i="4" s="1"/>
  <c r="Z52" i="4" s="1"/>
  <c r="U72" i="4"/>
  <c r="Y72" i="4" s="1"/>
  <c r="AA72" i="4" s="1"/>
  <c r="U92" i="4"/>
  <c r="Y92" i="4" s="1"/>
  <c r="AA92" i="4" s="1"/>
  <c r="U112" i="4"/>
  <c r="Y112" i="4" s="1"/>
  <c r="AB112" i="4" s="1"/>
  <c r="U132" i="4"/>
  <c r="Y132" i="4" s="1"/>
  <c r="AA132" i="4" s="1"/>
  <c r="U31" i="4"/>
  <c r="Y31" i="4" s="1"/>
  <c r="Z31" i="4" s="1"/>
  <c r="AD130" i="4"/>
  <c r="AC33" i="4"/>
  <c r="AD33" i="4"/>
  <c r="AD70" i="4"/>
  <c r="AD110" i="4"/>
  <c r="AC110" i="4"/>
  <c r="Z133" i="4"/>
  <c r="U115" i="4"/>
  <c r="Y115" i="4" s="1"/>
  <c r="T115" i="4"/>
  <c r="X115" i="4" s="1"/>
  <c r="T17" i="4"/>
  <c r="X17" i="4" s="1"/>
  <c r="Z17" i="4" s="1"/>
  <c r="T37" i="4"/>
  <c r="X37" i="4" s="1"/>
  <c r="AA37" i="4" s="1"/>
  <c r="T57" i="4"/>
  <c r="X57" i="4" s="1"/>
  <c r="Z57" i="4" s="1"/>
  <c r="T77" i="4"/>
  <c r="X77" i="4" s="1"/>
  <c r="AA77" i="4" s="1"/>
  <c r="T97" i="4"/>
  <c r="X97" i="4" s="1"/>
  <c r="Z97" i="4" s="1"/>
  <c r="T117" i="4"/>
  <c r="X117" i="4" s="1"/>
  <c r="AA117" i="4" s="1"/>
  <c r="T137" i="4"/>
  <c r="X137" i="4" s="1"/>
  <c r="Z137" i="4" s="1"/>
  <c r="S20" i="4"/>
  <c r="W20" i="4" s="1"/>
  <c r="R20" i="4"/>
  <c r="V20" i="4" s="1"/>
  <c r="S40" i="4"/>
  <c r="W40" i="4" s="1"/>
  <c r="R40" i="4"/>
  <c r="V40" i="4" s="1"/>
  <c r="S60" i="4"/>
  <c r="W60" i="4" s="1"/>
  <c r="R60" i="4"/>
  <c r="V60" i="4" s="1"/>
  <c r="S80" i="4"/>
  <c r="W80" i="4" s="1"/>
  <c r="R80" i="4"/>
  <c r="V80" i="4" s="1"/>
  <c r="S100" i="4"/>
  <c r="W100" i="4" s="1"/>
  <c r="R100" i="4"/>
  <c r="V100" i="4" s="1"/>
  <c r="S120" i="4"/>
  <c r="W120" i="4" s="1"/>
  <c r="R120" i="4"/>
  <c r="V120" i="4" s="1"/>
  <c r="U34" i="4"/>
  <c r="Y34" i="4" s="1"/>
  <c r="T34" i="4"/>
  <c r="X34" i="4" s="1"/>
  <c r="U45" i="4"/>
  <c r="Y45" i="4" s="1"/>
  <c r="T45" i="4"/>
  <c r="X45" i="4" s="1"/>
  <c r="AA76" i="4"/>
  <c r="R99" i="4"/>
  <c r="V99" i="4" s="1"/>
  <c r="AA49" i="4"/>
  <c r="AA69" i="4"/>
  <c r="AA109" i="4"/>
  <c r="AA129" i="4"/>
  <c r="U114" i="4"/>
  <c r="Y114" i="4" s="1"/>
  <c r="T114" i="4"/>
  <c r="X114" i="4" s="1"/>
  <c r="Z53" i="4"/>
  <c r="AA33" i="4"/>
  <c r="Z108" i="4"/>
  <c r="AB56" i="4"/>
  <c r="AB76" i="4"/>
  <c r="AB96" i="4"/>
  <c r="AB116" i="4"/>
  <c r="AB136" i="4"/>
  <c r="U74" i="4"/>
  <c r="Y74" i="4" s="1"/>
  <c r="T74" i="4"/>
  <c r="X74" i="4" s="1"/>
  <c r="AB36" i="4"/>
  <c r="U18" i="4"/>
  <c r="Y18" i="4" s="1"/>
  <c r="T18" i="4"/>
  <c r="X18" i="4" s="1"/>
  <c r="U38" i="4"/>
  <c r="Y38" i="4" s="1"/>
  <c r="T38" i="4"/>
  <c r="X38" i="4" s="1"/>
  <c r="U58" i="4"/>
  <c r="Y58" i="4" s="1"/>
  <c r="T58" i="4"/>
  <c r="X58" i="4" s="1"/>
  <c r="U78" i="4"/>
  <c r="Y78" i="4" s="1"/>
  <c r="T78" i="4"/>
  <c r="X78" i="4" s="1"/>
  <c r="U98" i="4"/>
  <c r="Y98" i="4" s="1"/>
  <c r="T98" i="4"/>
  <c r="X98" i="4" s="1"/>
  <c r="Z98" i="4" s="1"/>
  <c r="U118" i="4"/>
  <c r="Y118" i="4" s="1"/>
  <c r="T118" i="4"/>
  <c r="X118" i="4" s="1"/>
  <c r="U138" i="4"/>
  <c r="Y138" i="4" s="1"/>
  <c r="T138" i="4"/>
  <c r="X138" i="4" s="1"/>
  <c r="Z138" i="4" s="1"/>
  <c r="U134" i="4"/>
  <c r="Y134" i="4" s="1"/>
  <c r="T134" i="4"/>
  <c r="X134" i="4" s="1"/>
  <c r="U15" i="4"/>
  <c r="Y15" i="4" s="1"/>
  <c r="T15" i="4"/>
  <c r="X15" i="4" s="1"/>
  <c r="Z72" i="4"/>
  <c r="R19" i="4"/>
  <c r="V19" i="4" s="1"/>
  <c r="AA103" i="4"/>
  <c r="U4" i="4"/>
  <c r="Y4" i="4" s="1"/>
  <c r="T4" i="4"/>
  <c r="X4" i="4" s="1"/>
  <c r="U35" i="4"/>
  <c r="Y35" i="4" s="1"/>
  <c r="T35" i="4"/>
  <c r="X35" i="4" s="1"/>
  <c r="U20" i="4"/>
  <c r="Y20" i="4" s="1"/>
  <c r="T20" i="4"/>
  <c r="X20" i="4" s="1"/>
  <c r="U64" i="4"/>
  <c r="Y64" i="4" s="1"/>
  <c r="T64" i="4"/>
  <c r="X64" i="4" s="1"/>
  <c r="AB64" i="4" s="1"/>
  <c r="AB127" i="4"/>
  <c r="AA127" i="4"/>
  <c r="AB138" i="4"/>
  <c r="U21" i="4"/>
  <c r="Y21" i="4" s="1"/>
  <c r="T21" i="4"/>
  <c r="X21" i="4" s="1"/>
  <c r="U41" i="4"/>
  <c r="Y41" i="4" s="1"/>
  <c r="T41" i="4"/>
  <c r="X41" i="4" s="1"/>
  <c r="U61" i="4"/>
  <c r="Y61" i="4" s="1"/>
  <c r="T61" i="4"/>
  <c r="X61" i="4" s="1"/>
  <c r="U81" i="4"/>
  <c r="Y81" i="4" s="1"/>
  <c r="T81" i="4"/>
  <c r="X81" i="4" s="1"/>
  <c r="U101" i="4"/>
  <c r="Y101" i="4" s="1"/>
  <c r="T101" i="4"/>
  <c r="X101" i="4" s="1"/>
  <c r="U121" i="4"/>
  <c r="Y121" i="4" s="1"/>
  <c r="T121" i="4"/>
  <c r="X121" i="4" s="1"/>
  <c r="Z121" i="4" s="1"/>
  <c r="U65" i="4"/>
  <c r="Y65" i="4" s="1"/>
  <c r="T65" i="4"/>
  <c r="X65" i="4" s="1"/>
  <c r="U94" i="4"/>
  <c r="Y94" i="4" s="1"/>
  <c r="T94" i="4"/>
  <c r="X94" i="4" s="1"/>
  <c r="U105" i="4"/>
  <c r="Y105" i="4" s="1"/>
  <c r="T105" i="4"/>
  <c r="X105" i="4" s="1"/>
  <c r="Z73" i="4"/>
  <c r="U5" i="4"/>
  <c r="Y5" i="4" s="1"/>
  <c r="T5" i="4"/>
  <c r="X5" i="4" s="1"/>
  <c r="AB52" i="4"/>
  <c r="AA10" i="4"/>
  <c r="R79" i="4"/>
  <c r="V79" i="4" s="1"/>
  <c r="U2" i="4"/>
  <c r="Y2" i="4" s="1"/>
  <c r="AB2" i="4" s="1"/>
  <c r="T2" i="4"/>
  <c r="X2" i="4" s="1"/>
  <c r="U22" i="4"/>
  <c r="Y22" i="4" s="1"/>
  <c r="T22" i="4"/>
  <c r="X22" i="4" s="1"/>
  <c r="Z22" i="4" s="1"/>
  <c r="U42" i="4"/>
  <c r="Y42" i="4" s="1"/>
  <c r="T42" i="4"/>
  <c r="X42" i="4" s="1"/>
  <c r="U62" i="4"/>
  <c r="Y62" i="4" s="1"/>
  <c r="T62" i="4"/>
  <c r="X62" i="4" s="1"/>
  <c r="Z62" i="4" s="1"/>
  <c r="U82" i="4"/>
  <c r="Y82" i="4" s="1"/>
  <c r="T82" i="4"/>
  <c r="X82" i="4" s="1"/>
  <c r="U102" i="4"/>
  <c r="Y102" i="4" s="1"/>
  <c r="T102" i="4"/>
  <c r="X102" i="4" s="1"/>
  <c r="Z102" i="4" s="1"/>
  <c r="U122" i="4"/>
  <c r="Y122" i="4" s="1"/>
  <c r="T122" i="4"/>
  <c r="X122" i="4" s="1"/>
  <c r="U124" i="4"/>
  <c r="Y124" i="4" s="1"/>
  <c r="T124" i="4"/>
  <c r="X124" i="4" s="1"/>
  <c r="U104" i="4"/>
  <c r="Y104" i="4" s="1"/>
  <c r="T104" i="4"/>
  <c r="X104" i="4" s="1"/>
  <c r="Z104" i="4" s="1"/>
  <c r="U95" i="4"/>
  <c r="Y95" i="4" s="1"/>
  <c r="T95" i="4"/>
  <c r="X95" i="4" s="1"/>
  <c r="Z95" i="4" s="1"/>
  <c r="Z107" i="4"/>
  <c r="U80" i="4"/>
  <c r="Y80" i="4" s="1"/>
  <c r="T80" i="4"/>
  <c r="X80" i="4" s="1"/>
  <c r="AA130" i="4"/>
  <c r="U3" i="4"/>
  <c r="Y3" i="4" s="1"/>
  <c r="T3" i="4"/>
  <c r="X3" i="4" s="1"/>
  <c r="U23" i="4"/>
  <c r="Y23" i="4" s="1"/>
  <c r="T23" i="4"/>
  <c r="X23" i="4" s="1"/>
  <c r="U43" i="4"/>
  <c r="Y43" i="4" s="1"/>
  <c r="T43" i="4"/>
  <c r="X43" i="4" s="1"/>
  <c r="AA43" i="4" s="1"/>
  <c r="U63" i="4"/>
  <c r="Y63" i="4" s="1"/>
  <c r="AA63" i="4" s="1"/>
  <c r="T63" i="4"/>
  <c r="X63" i="4" s="1"/>
  <c r="U83" i="4"/>
  <c r="Y83" i="4" s="1"/>
  <c r="T83" i="4"/>
  <c r="X83" i="4" s="1"/>
  <c r="U103" i="4"/>
  <c r="Y103" i="4" s="1"/>
  <c r="T103" i="4"/>
  <c r="X103" i="4" s="1"/>
  <c r="Z103" i="4" s="1"/>
  <c r="U123" i="4"/>
  <c r="Y123" i="4" s="1"/>
  <c r="T123" i="4"/>
  <c r="X123" i="4" s="1"/>
  <c r="U125" i="4"/>
  <c r="Y125" i="4" s="1"/>
  <c r="T125" i="4"/>
  <c r="X125" i="4" s="1"/>
  <c r="U14" i="4"/>
  <c r="Y14" i="4" s="1"/>
  <c r="T14" i="4"/>
  <c r="X14" i="4" s="1"/>
  <c r="Z14" i="4" s="1"/>
  <c r="AA36" i="4"/>
  <c r="U120" i="4"/>
  <c r="Y120" i="4" s="1"/>
  <c r="T120" i="4"/>
  <c r="X120" i="4" s="1"/>
  <c r="AA52" i="4"/>
  <c r="Z92" i="4"/>
  <c r="U54" i="4"/>
  <c r="Y54" i="4" s="1"/>
  <c r="T54" i="4"/>
  <c r="X54" i="4" s="1"/>
  <c r="Z54" i="4" s="1"/>
  <c r="U75" i="4"/>
  <c r="Y75" i="4" s="1"/>
  <c r="T75" i="4"/>
  <c r="X75" i="4" s="1"/>
  <c r="U60" i="4"/>
  <c r="Y60" i="4" s="1"/>
  <c r="T60" i="4"/>
  <c r="X60" i="4" s="1"/>
  <c r="AB13" i="4"/>
  <c r="AB17" i="4"/>
  <c r="Z13" i="4"/>
  <c r="AB16" i="4"/>
  <c r="Z128" i="4"/>
  <c r="U40" i="4"/>
  <c r="Y40" i="4" s="1"/>
  <c r="T40" i="4"/>
  <c r="X40" i="4" s="1"/>
  <c r="AB53" i="4"/>
  <c r="AC49" i="4"/>
  <c r="AB103" i="4"/>
  <c r="AA111" i="4"/>
  <c r="Z29" i="4"/>
  <c r="Z127" i="4"/>
  <c r="U6" i="4"/>
  <c r="Y6" i="4" s="1"/>
  <c r="T6" i="4"/>
  <c r="X6" i="4" s="1"/>
  <c r="U26" i="4"/>
  <c r="Y26" i="4" s="1"/>
  <c r="T26" i="4"/>
  <c r="X26" i="4" s="1"/>
  <c r="U46" i="4"/>
  <c r="Y46" i="4" s="1"/>
  <c r="T46" i="4"/>
  <c r="X46" i="4" s="1"/>
  <c r="U66" i="4"/>
  <c r="Y66" i="4" s="1"/>
  <c r="T66" i="4"/>
  <c r="X66" i="4" s="1"/>
  <c r="AB66" i="4" s="1"/>
  <c r="U86" i="4"/>
  <c r="Y86" i="4" s="1"/>
  <c r="T86" i="4"/>
  <c r="X86" i="4" s="1"/>
  <c r="U106" i="4"/>
  <c r="Y106" i="4" s="1"/>
  <c r="T106" i="4"/>
  <c r="X106" i="4" s="1"/>
  <c r="AB106" i="4" s="1"/>
  <c r="U126" i="4"/>
  <c r="Y126" i="4" s="1"/>
  <c r="T126" i="4"/>
  <c r="X126" i="4" s="1"/>
  <c r="Z126" i="4" s="1"/>
  <c r="U24" i="4"/>
  <c r="Y24" i="4" s="1"/>
  <c r="T24" i="4"/>
  <c r="X24" i="4" s="1"/>
  <c r="AA112" i="4"/>
  <c r="Z89" i="4"/>
  <c r="AB58" i="4"/>
  <c r="U7" i="4"/>
  <c r="Y7" i="4" s="1"/>
  <c r="T7" i="4"/>
  <c r="X7" i="4" s="1"/>
  <c r="Z7" i="4" s="1"/>
  <c r="U27" i="4"/>
  <c r="Y27" i="4" s="1"/>
  <c r="T27" i="4"/>
  <c r="X27" i="4" s="1"/>
  <c r="Z27" i="4" s="1"/>
  <c r="U47" i="4"/>
  <c r="Y47" i="4" s="1"/>
  <c r="T47" i="4"/>
  <c r="X47" i="4" s="1"/>
  <c r="U67" i="4"/>
  <c r="Y67" i="4" s="1"/>
  <c r="T67" i="4"/>
  <c r="X67" i="4" s="1"/>
  <c r="U87" i="4"/>
  <c r="Y87" i="4" s="1"/>
  <c r="T87" i="4"/>
  <c r="X87" i="4" s="1"/>
  <c r="AA87" i="4" s="1"/>
  <c r="U25" i="4"/>
  <c r="Y25" i="4" s="1"/>
  <c r="T25" i="4"/>
  <c r="X25" i="4" s="1"/>
  <c r="U84" i="4"/>
  <c r="Y84" i="4" s="1"/>
  <c r="AA84" i="4" s="1"/>
  <c r="T84" i="4"/>
  <c r="X84" i="4" s="1"/>
  <c r="AA133" i="4"/>
  <c r="U55" i="4"/>
  <c r="Y55" i="4" s="1"/>
  <c r="T55" i="4"/>
  <c r="X55" i="4" s="1"/>
  <c r="U100" i="4"/>
  <c r="Y100" i="4" s="1"/>
  <c r="T100" i="4"/>
  <c r="X100" i="4" s="1"/>
  <c r="AB132" i="4"/>
  <c r="AB97" i="4"/>
  <c r="AB29" i="4"/>
  <c r="AB69" i="4"/>
  <c r="AA56" i="4"/>
  <c r="R59" i="4"/>
  <c r="V59" i="4" s="1"/>
  <c r="Z28" i="4"/>
  <c r="U85" i="4"/>
  <c r="Y85" i="4" s="1"/>
  <c r="T85" i="4"/>
  <c r="X85" i="4" s="1"/>
  <c r="AA85" i="4" s="1"/>
  <c r="Z112" i="4"/>
  <c r="AA68" i="4"/>
  <c r="R54" i="4"/>
  <c r="V54" i="4" s="1"/>
  <c r="AA136" i="4"/>
  <c r="AB126" i="4"/>
  <c r="AC9" i="4"/>
  <c r="Z32" i="4"/>
  <c r="R119" i="4"/>
  <c r="V119" i="4" s="1"/>
  <c r="AA48" i="4"/>
  <c r="AB124" i="4"/>
  <c r="AA124" i="4"/>
  <c r="Z113" i="4"/>
  <c r="AA62" i="4"/>
  <c r="Z10" i="4"/>
  <c r="Z70" i="4"/>
  <c r="Z110" i="4"/>
  <c r="Z130" i="4"/>
  <c r="AA70" i="4"/>
  <c r="U135" i="4"/>
  <c r="Y135" i="4" s="1"/>
  <c r="T135" i="4"/>
  <c r="X135" i="4" s="1"/>
  <c r="Z88" i="4"/>
  <c r="AA28" i="4"/>
  <c r="AA108" i="4"/>
  <c r="R114" i="4"/>
  <c r="V114" i="4" s="1"/>
  <c r="AC89" i="4"/>
  <c r="AB72" i="4"/>
  <c r="AA16" i="4"/>
  <c r="AA71" i="4"/>
  <c r="AA116" i="4"/>
  <c r="R14" i="4"/>
  <c r="V14" i="4" s="1"/>
  <c r="R134" i="4"/>
  <c r="V134" i="4" s="1"/>
  <c r="AB73" i="4"/>
  <c r="Z39" i="4"/>
  <c r="AB107" i="4"/>
  <c r="AA107" i="4"/>
  <c r="AA123" i="4"/>
  <c r="R34" i="4"/>
  <c r="V34" i="4" s="1"/>
  <c r="R94" i="4"/>
  <c r="V94" i="4" s="1"/>
  <c r="Z33" i="4"/>
  <c r="AA18" i="4"/>
  <c r="U44" i="4"/>
  <c r="Y44" i="4" s="1"/>
  <c r="T44" i="4"/>
  <c r="X44" i="4" s="1"/>
  <c r="Z44" i="4" s="1"/>
  <c r="AA121" i="4"/>
  <c r="K68" i="1"/>
  <c r="W68" i="1"/>
  <c r="K73" i="1"/>
  <c r="W73" i="1"/>
  <c r="K49" i="1"/>
  <c r="W49" i="1"/>
  <c r="K18" i="1"/>
  <c r="W18" i="1"/>
  <c r="K74" i="1"/>
  <c r="W74" i="1"/>
  <c r="K48" i="1"/>
  <c r="W48" i="1"/>
  <c r="W83" i="1"/>
  <c r="K70" i="1"/>
  <c r="W70" i="1"/>
  <c r="K64" i="1"/>
  <c r="W64" i="1"/>
  <c r="K83" i="1"/>
  <c r="W2" i="1"/>
  <c r="W4" i="1"/>
  <c r="W5" i="1"/>
  <c r="W6" i="1"/>
  <c r="W8" i="1"/>
  <c r="W9" i="1"/>
  <c r="W10" i="1"/>
  <c r="W11" i="1"/>
  <c r="W12" i="1"/>
  <c r="W13" i="1"/>
  <c r="W14" i="1"/>
  <c r="W16" i="1"/>
  <c r="W17" i="1"/>
  <c r="W19" i="1"/>
  <c r="W20" i="1"/>
  <c r="W21" i="1"/>
  <c r="W22" i="1"/>
  <c r="W23" i="1"/>
  <c r="W24" i="1"/>
  <c r="W25" i="1"/>
  <c r="W26" i="1"/>
  <c r="W27" i="1"/>
  <c r="W28" i="1"/>
  <c r="W29" i="1"/>
  <c r="W30" i="1"/>
  <c r="W31" i="1"/>
  <c r="W32" i="1"/>
  <c r="W33" i="1"/>
  <c r="W34" i="1"/>
  <c r="W35" i="1"/>
  <c r="W36" i="1"/>
  <c r="W38" i="1"/>
  <c r="W39" i="1"/>
  <c r="W42" i="1"/>
  <c r="W43" i="1"/>
  <c r="W44" i="1"/>
  <c r="W45" i="1"/>
  <c r="W50" i="1"/>
  <c r="W51" i="1"/>
  <c r="W52" i="1"/>
  <c r="W53" i="1"/>
  <c r="W54" i="1"/>
  <c r="W55" i="1"/>
  <c r="W56" i="1"/>
  <c r="W58" i="1"/>
  <c r="W59" i="1"/>
  <c r="W60" i="1"/>
  <c r="W61" i="1"/>
  <c r="W62" i="1"/>
  <c r="W63" i="1"/>
  <c r="W65" i="1"/>
  <c r="W66" i="1"/>
  <c r="W67" i="1"/>
  <c r="W69" i="1"/>
  <c r="W71" i="1"/>
  <c r="W72" i="1"/>
  <c r="W76" i="1"/>
  <c r="W77" i="1"/>
  <c r="W78" i="1"/>
  <c r="W79" i="1"/>
  <c r="W80" i="1"/>
  <c r="W81" i="1"/>
  <c r="W82" i="1"/>
  <c r="W84" i="1"/>
  <c r="W85"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30" i="1"/>
  <c r="W131" i="1"/>
  <c r="W132" i="1"/>
  <c r="W133" i="1"/>
  <c r="W134" i="1"/>
  <c r="W135" i="1"/>
  <c r="W136" i="1"/>
  <c r="K115" i="1"/>
  <c r="K45" i="1"/>
  <c r="K110" i="1"/>
  <c r="K39" i="1"/>
  <c r="K105" i="1"/>
  <c r="K27" i="1"/>
  <c r="K106" i="1"/>
  <c r="K28" i="1"/>
  <c r="K107" i="1"/>
  <c r="K20" i="1"/>
  <c r="K60" i="1"/>
  <c r="K112" i="1"/>
  <c r="K35" i="1"/>
  <c r="K95" i="1"/>
  <c r="K8" i="1"/>
  <c r="K84" i="1"/>
  <c r="K123" i="1"/>
  <c r="K63" i="1"/>
  <c r="K120" i="1"/>
  <c r="K59" i="1"/>
  <c r="K89" i="1"/>
  <c r="K42" i="1"/>
  <c r="K100" i="1"/>
  <c r="K16" i="1"/>
  <c r="K116" i="1"/>
  <c r="K85" i="1"/>
  <c r="K9" i="1"/>
  <c r="K99" i="1"/>
  <c r="K87" i="1"/>
  <c r="K61" i="1"/>
  <c r="K98" i="1"/>
  <c r="K19" i="1"/>
  <c r="K119" i="1"/>
  <c r="K82" i="1"/>
  <c r="K134" i="1"/>
  <c r="K101" i="1"/>
  <c r="K30" i="1"/>
  <c r="K113" i="1"/>
  <c r="K72" i="1"/>
  <c r="K114" i="1"/>
  <c r="K36" i="1"/>
  <c r="K78" i="1"/>
  <c r="K81" i="1"/>
  <c r="K56" i="1"/>
  <c r="K79" i="1"/>
  <c r="K77" i="1"/>
  <c r="K136" i="1"/>
  <c r="K102" i="1"/>
  <c r="K13" i="1"/>
  <c r="K14" i="1"/>
  <c r="K29" i="1"/>
  <c r="K11" i="1"/>
  <c r="K25" i="1"/>
  <c r="K31" i="1"/>
  <c r="AD129" i="4" l="1"/>
  <c r="AC129" i="4"/>
  <c r="AD50" i="4"/>
  <c r="AC50" i="4"/>
  <c r="AA90" i="4"/>
  <c r="Z23" i="4"/>
  <c r="Z51" i="4"/>
  <c r="AB51" i="4"/>
  <c r="Z42" i="4"/>
  <c r="AD10" i="4"/>
  <c r="AB90" i="4"/>
  <c r="AA30" i="4"/>
  <c r="Z80" i="4"/>
  <c r="AB38" i="4"/>
  <c r="AD38" i="4" s="1"/>
  <c r="AA50" i="4"/>
  <c r="AA81" i="4"/>
  <c r="AB71" i="4"/>
  <c r="AB24" i="4"/>
  <c r="AD24" i="4" s="1"/>
  <c r="AA125" i="4"/>
  <c r="Z8" i="4"/>
  <c r="AA11" i="4"/>
  <c r="Z109" i="4"/>
  <c r="AB39" i="4"/>
  <c r="AB135" i="4"/>
  <c r="Z93" i="4"/>
  <c r="AA126" i="4"/>
  <c r="AA137" i="4"/>
  <c r="AB113" i="4"/>
  <c r="Z50" i="4"/>
  <c r="AB67" i="4"/>
  <c r="AC67" i="4" s="1"/>
  <c r="AA83" i="4"/>
  <c r="AA138" i="4"/>
  <c r="AB137" i="4"/>
  <c r="AA39" i="4"/>
  <c r="AB48" i="4"/>
  <c r="AD48" i="4" s="1"/>
  <c r="Z9" i="4"/>
  <c r="AA122" i="4"/>
  <c r="AD108" i="4"/>
  <c r="AB91" i="4"/>
  <c r="AD91" i="4" s="1"/>
  <c r="AB122" i="4"/>
  <c r="AC122" i="4" s="1"/>
  <c r="AC30" i="4"/>
  <c r="AD112" i="4"/>
  <c r="AC112" i="4"/>
  <c r="AC12" i="4"/>
  <c r="AD12" i="4"/>
  <c r="AC131" i="4"/>
  <c r="AD131" i="4"/>
  <c r="Z6" i="4"/>
  <c r="Z61" i="4"/>
  <c r="AA12" i="4"/>
  <c r="AB93" i="4"/>
  <c r="Z60" i="4"/>
  <c r="AA2" i="4"/>
  <c r="AB81" i="4"/>
  <c r="AD32" i="4"/>
  <c r="AC51" i="4"/>
  <c r="AD51" i="4"/>
  <c r="AC91" i="4"/>
  <c r="Z100" i="4"/>
  <c r="Z124" i="4"/>
  <c r="AA41" i="4"/>
  <c r="AA131" i="4"/>
  <c r="AB92" i="4"/>
  <c r="Z18" i="4"/>
  <c r="AB111" i="4"/>
  <c r="AA91" i="4"/>
  <c r="AB63" i="4"/>
  <c r="AC63" i="4" s="1"/>
  <c r="AA22" i="4"/>
  <c r="AB31" i="4"/>
  <c r="AA8" i="4"/>
  <c r="AB11" i="4"/>
  <c r="Z40" i="4"/>
  <c r="Z82" i="4"/>
  <c r="AA97" i="4"/>
  <c r="Z131" i="4"/>
  <c r="AA104" i="4"/>
  <c r="AA93" i="4"/>
  <c r="AA64" i="4"/>
  <c r="AD133" i="4"/>
  <c r="Z132" i="4"/>
  <c r="AB8" i="4"/>
  <c r="Z87" i="4"/>
  <c r="AB86" i="4"/>
  <c r="AB104" i="4"/>
  <c r="AA31" i="4"/>
  <c r="Z129" i="4"/>
  <c r="Z12" i="4"/>
  <c r="AA61" i="4"/>
  <c r="AB61" i="4"/>
  <c r="AD61" i="4" s="1"/>
  <c r="AA95" i="4"/>
  <c r="AB118" i="4"/>
  <c r="AC118" i="4" s="1"/>
  <c r="AB121" i="4"/>
  <c r="AC121" i="4" s="1"/>
  <c r="AA88" i="4"/>
  <c r="AB62" i="4"/>
  <c r="AD62" i="4" s="1"/>
  <c r="Z47" i="4"/>
  <c r="AA101" i="4"/>
  <c r="AB128" i="4"/>
  <c r="AD128" i="4" s="1"/>
  <c r="AB68" i="4"/>
  <c r="Z2" i="4"/>
  <c r="Z81" i="4"/>
  <c r="AB4" i="4"/>
  <c r="AD4" i="4" s="1"/>
  <c r="AB78" i="4"/>
  <c r="AB88" i="4"/>
  <c r="AD88" i="4" s="1"/>
  <c r="AB28" i="4"/>
  <c r="AC135" i="4"/>
  <c r="AD135" i="4"/>
  <c r="AD86" i="4"/>
  <c r="AC86" i="4"/>
  <c r="AC78" i="4"/>
  <c r="AD78" i="4"/>
  <c r="AD66" i="4"/>
  <c r="AC66" i="4"/>
  <c r="AD67" i="4"/>
  <c r="AD69" i="4"/>
  <c r="AC69" i="4"/>
  <c r="AB19" i="4"/>
  <c r="AA19" i="4"/>
  <c r="Z19" i="4"/>
  <c r="AC56" i="4"/>
  <c r="AD56" i="4"/>
  <c r="Z34" i="4"/>
  <c r="AB21" i="4"/>
  <c r="Z21" i="4"/>
  <c r="AD106" i="4"/>
  <c r="AC106" i="4"/>
  <c r="AC97" i="4"/>
  <c r="AD97" i="4"/>
  <c r="AD16" i="4"/>
  <c r="AC16" i="4"/>
  <c r="Z120" i="4"/>
  <c r="AB105" i="4"/>
  <c r="Z105" i="4"/>
  <c r="AC138" i="4"/>
  <c r="AD138" i="4"/>
  <c r="AB6" i="4"/>
  <c r="AB120" i="4"/>
  <c r="AA120" i="4"/>
  <c r="Z46" i="4"/>
  <c r="AA46" i="4"/>
  <c r="Z26" i="4"/>
  <c r="AA26" i="4"/>
  <c r="Z3" i="4"/>
  <c r="AB3" i="4"/>
  <c r="AC81" i="4"/>
  <c r="AD81" i="4"/>
  <c r="AA58" i="4"/>
  <c r="Z58" i="4"/>
  <c r="AB115" i="4"/>
  <c r="Z115" i="4"/>
  <c r="AA24" i="4"/>
  <c r="Z94" i="4"/>
  <c r="AA15" i="4"/>
  <c r="AB15" i="4"/>
  <c r="Z15" i="4"/>
  <c r="AB100" i="4"/>
  <c r="AA100" i="4"/>
  <c r="AC58" i="4"/>
  <c r="AD58" i="4"/>
  <c r="AA6" i="4"/>
  <c r="AB22" i="4"/>
  <c r="Z38" i="4"/>
  <c r="AA38" i="4"/>
  <c r="AA98" i="4"/>
  <c r="AC52" i="4"/>
  <c r="AD52" i="4"/>
  <c r="AA3" i="4"/>
  <c r="AD17" i="4"/>
  <c r="AC17" i="4"/>
  <c r="AB65" i="4"/>
  <c r="AA65" i="4"/>
  <c r="Z65" i="4"/>
  <c r="Z134" i="4"/>
  <c r="AC88" i="4"/>
  <c r="AB80" i="4"/>
  <c r="AA80" i="4"/>
  <c r="AB98" i="4"/>
  <c r="Z43" i="4"/>
  <c r="AB43" i="4"/>
  <c r="AD126" i="4"/>
  <c r="AC126" i="4"/>
  <c r="AC132" i="4"/>
  <c r="AD132" i="4"/>
  <c r="AA7" i="4"/>
  <c r="AC64" i="4"/>
  <c r="AD64" i="4"/>
  <c r="AA21" i="4"/>
  <c r="AC13" i="4"/>
  <c r="AD13" i="4"/>
  <c r="AD127" i="4"/>
  <c r="AC127" i="4"/>
  <c r="AA115" i="4"/>
  <c r="AC76" i="4"/>
  <c r="AD76" i="4"/>
  <c r="AA54" i="4"/>
  <c r="AB54" i="4"/>
  <c r="AB7" i="4"/>
  <c r="AA55" i="4"/>
  <c r="AB55" i="4"/>
  <c r="Z55" i="4"/>
  <c r="AD2" i="4"/>
  <c r="AC2" i="4"/>
  <c r="Z114" i="4"/>
  <c r="AB60" i="4"/>
  <c r="AA60" i="4"/>
  <c r="AD109" i="4"/>
  <c r="AC109" i="4"/>
  <c r="AD29" i="4"/>
  <c r="AC29" i="4"/>
  <c r="AB27" i="4"/>
  <c r="AA67" i="4"/>
  <c r="AB85" i="4"/>
  <c r="Z85" i="4"/>
  <c r="AB125" i="4"/>
  <c r="Z125" i="4"/>
  <c r="AB46" i="4"/>
  <c r="AC137" i="4"/>
  <c r="AD137" i="4"/>
  <c r="AA102" i="4"/>
  <c r="AD39" i="4"/>
  <c r="AC39" i="4"/>
  <c r="AB119" i="4"/>
  <c r="AA119" i="4"/>
  <c r="Z119" i="4"/>
  <c r="AA27" i="4"/>
  <c r="AC72" i="4"/>
  <c r="AD72" i="4"/>
  <c r="AB26" i="4"/>
  <c r="AB57" i="4"/>
  <c r="AA75" i="4"/>
  <c r="Z75" i="4"/>
  <c r="AB75" i="4"/>
  <c r="AA105" i="4"/>
  <c r="AB102" i="4"/>
  <c r="AB40" i="4"/>
  <c r="AA40" i="4"/>
  <c r="AB45" i="4"/>
  <c r="AA45" i="4"/>
  <c r="Z45" i="4"/>
  <c r="Z66" i="4"/>
  <c r="AA66" i="4"/>
  <c r="AD107" i="4"/>
  <c r="AC107" i="4"/>
  <c r="Z84" i="4"/>
  <c r="Z24" i="4"/>
  <c r="Z123" i="4"/>
  <c r="AB123" i="4"/>
  <c r="AB79" i="4"/>
  <c r="AA79" i="4"/>
  <c r="Z79" i="4"/>
  <c r="Z101" i="4"/>
  <c r="Z64" i="4"/>
  <c r="AB18" i="4"/>
  <c r="AA118" i="4"/>
  <c r="AB25" i="4"/>
  <c r="AA25" i="4"/>
  <c r="Z25" i="4"/>
  <c r="AB23" i="4"/>
  <c r="Z20" i="4"/>
  <c r="AA57" i="4"/>
  <c r="AB41" i="4"/>
  <c r="AC96" i="4"/>
  <c r="AD96" i="4"/>
  <c r="AC104" i="4"/>
  <c r="AD104" i="4"/>
  <c r="AA94" i="4"/>
  <c r="AB94" i="4"/>
  <c r="AA4" i="4"/>
  <c r="AB84" i="4"/>
  <c r="AB59" i="4"/>
  <c r="AA59" i="4"/>
  <c r="Z59" i="4"/>
  <c r="AA82" i="4"/>
  <c r="AB87" i="4"/>
  <c r="Z74" i="4"/>
  <c r="AA74" i="4"/>
  <c r="AB99" i="4"/>
  <c r="AA99" i="4"/>
  <c r="Z99" i="4"/>
  <c r="AA17" i="4"/>
  <c r="AC103" i="4"/>
  <c r="AD103" i="4"/>
  <c r="AA44" i="4"/>
  <c r="AB101" i="4"/>
  <c r="Z106" i="4"/>
  <c r="AA106" i="4"/>
  <c r="AC53" i="4"/>
  <c r="AD53" i="4"/>
  <c r="AB82" i="4"/>
  <c r="Z83" i="4"/>
  <c r="AB83" i="4"/>
  <c r="AA47" i="4"/>
  <c r="Z35" i="4"/>
  <c r="AB35" i="4"/>
  <c r="AA35" i="4"/>
  <c r="AA42" i="4"/>
  <c r="AB117" i="4"/>
  <c r="Z117" i="4"/>
  <c r="AB5" i="4"/>
  <c r="AA5" i="4"/>
  <c r="Z5" i="4"/>
  <c r="AB114" i="4"/>
  <c r="AA114" i="4"/>
  <c r="AB134" i="4"/>
  <c r="AA134" i="4"/>
  <c r="AB44" i="4"/>
  <c r="AC61" i="4"/>
  <c r="AB47" i="4"/>
  <c r="AC136" i="4"/>
  <c r="AD136" i="4"/>
  <c r="AB42" i="4"/>
  <c r="Z37" i="4"/>
  <c r="AB37" i="4"/>
  <c r="Z78" i="4"/>
  <c r="AA78" i="4"/>
  <c r="AB34" i="4"/>
  <c r="AA34" i="4"/>
  <c r="AC124" i="4"/>
  <c r="AD124" i="4"/>
  <c r="AA23" i="4"/>
  <c r="AC36" i="4"/>
  <c r="AD36" i="4"/>
  <c r="AB20" i="4"/>
  <c r="AA20" i="4"/>
  <c r="AC73" i="4"/>
  <c r="AD73" i="4"/>
  <c r="AA14" i="4"/>
  <c r="AB14" i="4"/>
  <c r="Z135" i="4"/>
  <c r="AA135" i="4"/>
  <c r="Z67" i="4"/>
  <c r="Z86" i="4"/>
  <c r="AA86" i="4"/>
  <c r="Z63" i="4"/>
  <c r="Z122" i="4"/>
  <c r="Z41" i="4"/>
  <c r="Z4" i="4"/>
  <c r="Z118" i="4"/>
  <c r="AC116" i="4"/>
  <c r="AD116" i="4"/>
  <c r="Z77" i="4"/>
  <c r="AB77" i="4"/>
  <c r="AB74" i="4"/>
  <c r="AB95" i="4"/>
  <c r="U138" i="1" a="1"/>
  <c r="U138" i="1" s="1"/>
  <c r="U47" i="1" a="1"/>
  <c r="U47" i="1" s="1"/>
  <c r="U86" i="1" a="1"/>
  <c r="U86" i="1" s="1"/>
  <c r="U68" i="1" a="1"/>
  <c r="U68" i="1" s="1"/>
  <c r="U40" i="1" a="1"/>
  <c r="U40" i="1" s="1"/>
  <c r="K12" i="1"/>
  <c r="K10" i="1"/>
  <c r="K22" i="1"/>
  <c r="K21" i="1"/>
  <c r="K125" i="1"/>
  <c r="K90" i="1"/>
  <c r="K128" i="1"/>
  <c r="K71" i="1"/>
  <c r="K111" i="1"/>
  <c r="K50" i="1"/>
  <c r="K133" i="1"/>
  <c r="K91" i="1"/>
  <c r="K117" i="1"/>
  <c r="K65" i="1"/>
  <c r="K118" i="1"/>
  <c r="K54" i="1"/>
  <c r="K103" i="1"/>
  <c r="K33" i="1"/>
  <c r="K88" i="1"/>
  <c r="K97" i="1"/>
  <c r="K67" i="1"/>
  <c r="K104" i="1"/>
  <c r="K32" i="1"/>
  <c r="K109" i="1"/>
  <c r="K38" i="1"/>
  <c r="K53" i="1"/>
  <c r="K130" i="1"/>
  <c r="K80" i="1"/>
  <c r="K6" i="1"/>
  <c r="K122" i="1"/>
  <c r="K51" i="1"/>
  <c r="K24" i="1"/>
  <c r="K23" i="1"/>
  <c r="K17" i="1"/>
  <c r="K2" i="1"/>
  <c r="K4" i="1"/>
  <c r="K5" i="1"/>
  <c r="K121" i="1"/>
  <c r="K93" i="1"/>
  <c r="K26" i="1"/>
  <c r="K124" i="1"/>
  <c r="K69" i="1"/>
  <c r="K58" i="1"/>
  <c r="K62" i="1"/>
  <c r="K135" i="1"/>
  <c r="K108" i="1"/>
  <c r="K34" i="1"/>
  <c r="K132" i="1"/>
  <c r="K66" i="1"/>
  <c r="K76" i="1"/>
  <c r="K55" i="1"/>
  <c r="K127" i="1"/>
  <c r="K92" i="1"/>
  <c r="K52" i="1"/>
  <c r="K126" i="1"/>
  <c r="K94" i="1"/>
  <c r="K43" i="1"/>
  <c r="K131" i="1"/>
  <c r="K96" i="1"/>
  <c r="K44" i="1"/>
  <c r="AC24" i="4" l="1"/>
  <c r="AD71" i="4"/>
  <c r="AC71" i="4"/>
  <c r="AC128" i="4"/>
  <c r="AD122" i="4"/>
  <c r="AD90" i="4"/>
  <c r="AC90" i="4"/>
  <c r="AC62" i="4"/>
  <c r="AC113" i="4"/>
  <c r="AD113" i="4"/>
  <c r="AC48" i="4"/>
  <c r="AC38" i="4"/>
  <c r="AD68" i="4"/>
  <c r="AC68" i="4"/>
  <c r="AC11" i="4"/>
  <c r="AD11" i="4"/>
  <c r="AC31" i="4"/>
  <c r="AD31" i="4"/>
  <c r="AD118" i="4"/>
  <c r="AD63" i="4"/>
  <c r="AC111" i="4"/>
  <c r="AD111" i="4"/>
  <c r="AC4" i="4"/>
  <c r="AD28" i="4"/>
  <c r="AC28" i="4"/>
  <c r="AC93" i="4"/>
  <c r="AD93" i="4"/>
  <c r="AD92" i="4"/>
  <c r="AC92" i="4"/>
  <c r="AD121" i="4"/>
  <c r="AD8" i="4"/>
  <c r="AC8" i="4"/>
  <c r="AD105" i="4"/>
  <c r="AC105" i="4"/>
  <c r="AC77" i="4"/>
  <c r="AD77" i="4"/>
  <c r="AC119" i="4"/>
  <c r="AD119" i="4"/>
  <c r="AC74" i="4"/>
  <c r="AD74" i="4"/>
  <c r="AD41" i="4"/>
  <c r="AC41" i="4"/>
  <c r="AC134" i="4"/>
  <c r="AD134" i="4"/>
  <c r="AD23" i="4"/>
  <c r="AC23" i="4"/>
  <c r="AC99" i="4"/>
  <c r="AD99" i="4"/>
  <c r="AC3" i="4"/>
  <c r="AD3" i="4"/>
  <c r="AD46" i="4"/>
  <c r="AC46" i="4"/>
  <c r="AC22" i="4"/>
  <c r="AD22" i="4"/>
  <c r="AD21" i="4"/>
  <c r="AC21" i="4"/>
  <c r="AC60" i="4"/>
  <c r="AD60" i="4"/>
  <c r="AC114" i="4"/>
  <c r="AD114" i="4"/>
  <c r="AD5" i="4"/>
  <c r="AC5" i="4"/>
  <c r="AD25" i="4"/>
  <c r="AC25" i="4"/>
  <c r="AD40" i="4"/>
  <c r="AC40" i="4"/>
  <c r="AC98" i="4"/>
  <c r="AD98" i="4"/>
  <c r="AD7" i="4"/>
  <c r="AC7" i="4"/>
  <c r="AC37" i="4"/>
  <c r="AD37" i="4"/>
  <c r="AC35" i="4"/>
  <c r="AD35" i="4"/>
  <c r="AD87" i="4"/>
  <c r="AC87" i="4"/>
  <c r="AC102" i="4"/>
  <c r="AD102" i="4"/>
  <c r="AD125" i="4"/>
  <c r="AC125" i="4"/>
  <c r="AC54" i="4"/>
  <c r="AD54" i="4"/>
  <c r="AC95" i="4"/>
  <c r="AD95" i="4"/>
  <c r="AC20" i="4"/>
  <c r="AD20" i="4"/>
  <c r="AC55" i="4"/>
  <c r="AD55" i="4"/>
  <c r="AD18" i="4"/>
  <c r="AC18" i="4"/>
  <c r="AD80" i="4"/>
  <c r="AC80" i="4"/>
  <c r="AC115" i="4"/>
  <c r="AD115" i="4"/>
  <c r="AC34" i="4"/>
  <c r="AD34" i="4"/>
  <c r="AD45" i="4"/>
  <c r="AC45" i="4"/>
  <c r="AD42" i="4"/>
  <c r="AC42" i="4"/>
  <c r="AC75" i="4"/>
  <c r="AD75" i="4"/>
  <c r="AD85" i="4"/>
  <c r="AC85" i="4"/>
  <c r="AC117" i="4"/>
  <c r="AD117" i="4"/>
  <c r="AC43" i="4"/>
  <c r="AD43" i="4"/>
  <c r="AC83" i="4"/>
  <c r="AD83" i="4"/>
  <c r="AD100" i="4"/>
  <c r="AC100" i="4"/>
  <c r="AC59" i="4"/>
  <c r="AD59" i="4"/>
  <c r="AD27" i="4"/>
  <c r="AC27" i="4"/>
  <c r="AC120" i="4"/>
  <c r="AD120" i="4"/>
  <c r="AD19" i="4"/>
  <c r="AC19" i="4"/>
  <c r="AC14" i="4"/>
  <c r="AD14" i="4"/>
  <c r="AD47" i="4"/>
  <c r="AC47" i="4"/>
  <c r="AD82" i="4"/>
  <c r="AC82" i="4"/>
  <c r="AC84" i="4"/>
  <c r="AD84" i="4"/>
  <c r="AC57" i="4"/>
  <c r="AD57" i="4"/>
  <c r="AD15" i="4"/>
  <c r="AC15" i="4"/>
  <c r="AD6" i="4"/>
  <c r="AC6" i="4"/>
  <c r="AC101" i="4"/>
  <c r="AD101" i="4"/>
  <c r="AC79" i="4"/>
  <c r="AD79" i="4"/>
  <c r="AD26" i="4"/>
  <c r="AC26" i="4"/>
  <c r="AC94" i="4"/>
  <c r="AD94" i="4"/>
  <c r="AC123" i="4"/>
  <c r="AD123" i="4"/>
  <c r="AD65" i="4"/>
  <c r="AC65" i="4"/>
  <c r="AC44" i="4"/>
  <c r="AD44" i="4"/>
  <c r="U57" i="1" a="1"/>
  <c r="U57" i="1" s="1"/>
  <c r="U75" i="1" a="1"/>
  <c r="U75" i="1" s="1"/>
  <c r="U129" i="1" a="1"/>
  <c r="U129" i="1" s="1"/>
  <c r="U3" i="1" a="1"/>
  <c r="U3" i="1" s="1"/>
  <c r="U15" i="1" a="1"/>
  <c r="U15" i="1" s="1"/>
  <c r="U137" i="1" a="1"/>
  <c r="U137" i="1" s="1"/>
  <c r="U7" i="1" a="1"/>
  <c r="U7" i="1" s="1"/>
  <c r="U46" i="1" a="1"/>
  <c r="U46" i="1" s="1"/>
  <c r="U37" i="1" a="1"/>
  <c r="U37" i="1" s="1"/>
  <c r="U41" i="1" a="1"/>
  <c r="U41" i="1" s="1"/>
  <c r="U45" i="1" a="1"/>
  <c r="U45" i="1" s="1"/>
  <c r="U49" i="1" a="1"/>
  <c r="U49" i="1" s="1"/>
  <c r="U48" i="1" a="1"/>
  <c r="U48" i="1" s="1"/>
  <c r="U134" i="1" a="1"/>
  <c r="U134" i="1" s="1"/>
  <c r="U112" i="1" a="1"/>
  <c r="U112" i="1" s="1"/>
  <c r="U83" i="1" a="1"/>
  <c r="U83" i="1" s="1"/>
  <c r="U42" i="1" a="1"/>
  <c r="U42" i="1" s="1"/>
  <c r="U120" i="1" a="1"/>
  <c r="U120" i="1" s="1"/>
  <c r="U39" i="1" a="1"/>
  <c r="U39" i="1" s="1"/>
  <c r="U81" i="1" a="1"/>
  <c r="U81" i="1" s="1"/>
  <c r="U80" i="1" a="1"/>
  <c r="U80" i="1" s="1"/>
  <c r="U136" i="1" a="1"/>
  <c r="U136" i="1" s="1"/>
  <c r="U106" i="1" a="1"/>
  <c r="U106" i="1" s="1"/>
  <c r="U11" i="1" a="1"/>
  <c r="U11" i="1" s="1"/>
  <c r="U110" i="1" a="1"/>
  <c r="U110" i="1" s="1"/>
  <c r="U16" i="1" a="1"/>
  <c r="U16" i="1" s="1"/>
  <c r="U25" i="1" a="1"/>
  <c r="U25" i="1" s="1"/>
  <c r="U89" i="1" a="1"/>
  <c r="U89" i="1" s="1"/>
  <c r="U56" i="1" a="1"/>
  <c r="U56" i="1" s="1"/>
  <c r="U85" i="1" a="1"/>
  <c r="U85" i="1" s="1"/>
  <c r="U19" i="1" a="1"/>
  <c r="U19" i="1" s="1"/>
  <c r="U63" i="1" a="1"/>
  <c r="U63" i="1" s="1"/>
  <c r="U13" i="1" a="1"/>
  <c r="U13" i="1" s="1"/>
  <c r="U114" i="1" a="1"/>
  <c r="U114" i="1" s="1"/>
  <c r="U123" i="1" a="1"/>
  <c r="U123" i="1" s="1"/>
  <c r="U6" i="1" a="1"/>
  <c r="U6" i="1" s="1"/>
  <c r="U102" i="1" a="1"/>
  <c r="U102" i="1" s="1"/>
  <c r="U135" i="1" a="1"/>
  <c r="U135" i="1" s="1"/>
  <c r="F3" i="7"/>
  <c r="U10" i="1" l="1" a="1"/>
  <c r="U10" i="1" s="1"/>
  <c r="U74" i="1" a="1"/>
  <c r="U74" i="1" s="1"/>
  <c r="U73" i="1" a="1"/>
  <c r="U73" i="1" s="1"/>
  <c r="U31" i="1" a="1"/>
  <c r="U31" i="1" s="1"/>
  <c r="U18" i="1" a="1"/>
  <c r="U18" i="1" s="1"/>
  <c r="U64" i="1" a="1"/>
  <c r="U64" i="1" s="1"/>
  <c r="U70" i="1" a="1"/>
  <c r="U70" i="1" s="1"/>
  <c r="U100" i="1" a="1"/>
  <c r="U100" i="1" s="1"/>
  <c r="U116" i="1" a="1"/>
  <c r="U116" i="1" s="1"/>
  <c r="U28" i="1" a="1"/>
  <c r="U28" i="1" s="1"/>
  <c r="U34" i="1" a="1"/>
  <c r="U34" i="1" s="1"/>
  <c r="U27" i="1" a="1"/>
  <c r="U27" i="1" s="1"/>
  <c r="U95" i="1" a="1"/>
  <c r="U95" i="1" s="1"/>
  <c r="U107" i="1" a="1"/>
  <c r="U107" i="1" s="1"/>
  <c r="U105" i="1" a="1"/>
  <c r="U105" i="1" s="1"/>
  <c r="U20" i="1" a="1"/>
  <c r="U20" i="1" s="1"/>
  <c r="U87" i="1" a="1"/>
  <c r="U87" i="1" s="1"/>
  <c r="U60" i="1" a="1"/>
  <c r="U60" i="1" s="1"/>
  <c r="U115" i="1" a="1"/>
  <c r="U115" i="1" s="1"/>
  <c r="U99" i="1" a="1"/>
  <c r="U99" i="1" s="1"/>
  <c r="U8" i="1" a="1"/>
  <c r="U8" i="1" s="1"/>
  <c r="U9" i="1" a="1"/>
  <c r="U9" i="1" s="1"/>
  <c r="U101" i="1" a="1"/>
  <c r="U101" i="1" s="1"/>
  <c r="U59" i="1" a="1"/>
  <c r="U59" i="1" s="1"/>
  <c r="U84" i="1" a="1"/>
  <c r="U84" i="1" s="1"/>
  <c r="U108" i="1" a="1"/>
  <c r="U108" i="1" s="1"/>
  <c r="U35" i="1" a="1"/>
  <c r="U35" i="1" s="1"/>
  <c r="U98" i="1" a="1"/>
  <c r="U98" i="1" s="1"/>
  <c r="U61" i="1" a="1"/>
  <c r="U61" i="1" s="1"/>
  <c r="U36" i="1" a="1"/>
  <c r="U36" i="1" s="1"/>
  <c r="U78" i="1" a="1"/>
  <c r="U78" i="1" s="1"/>
  <c r="U109" i="1" a="1"/>
  <c r="U109" i="1" s="1"/>
  <c r="U119" i="1" a="1"/>
  <c r="U119" i="1" s="1"/>
  <c r="U14" i="1" a="1"/>
  <c r="U14" i="1" s="1"/>
  <c r="U79" i="1" a="1"/>
  <c r="U79" i="1" s="1"/>
  <c r="U30" i="1" a="1"/>
  <c r="U30" i="1" s="1"/>
  <c r="U82" i="1" a="1"/>
  <c r="U82" i="1" s="1"/>
  <c r="U113" i="1" a="1"/>
  <c r="U113" i="1" s="1"/>
  <c r="U77" i="1" a="1"/>
  <c r="U77" i="1" s="1"/>
  <c r="U72" i="1" a="1"/>
  <c r="U72" i="1" s="1"/>
  <c r="U12" i="1" a="1"/>
  <c r="U12" i="1" s="1"/>
  <c r="U130" i="1" a="1"/>
  <c r="U130" i="1" s="1"/>
  <c r="U23" i="1" a="1"/>
  <c r="U23" i="1" s="1"/>
  <c r="U5" i="1" a="1"/>
  <c r="U5" i="1" s="1"/>
  <c r="U53" i="1" a="1"/>
  <c r="U53" i="1" s="1"/>
  <c r="U90" i="1" a="1"/>
  <c r="U90" i="1" s="1"/>
  <c r="U2" i="1" a="1"/>
  <c r="U2" i="1" s="1"/>
  <c r="U24" i="1" a="1"/>
  <c r="U24" i="1" s="1"/>
  <c r="U21" i="1" a="1"/>
  <c r="U21" i="1" s="1"/>
  <c r="U44" i="1" a="1"/>
  <c r="U44" i="1" s="1"/>
  <c r="U51" i="1" a="1"/>
  <c r="U51" i="1" s="1"/>
  <c r="U96" i="1" a="1"/>
  <c r="U96" i="1" s="1"/>
  <c r="U69" i="1" a="1"/>
  <c r="U69" i="1" s="1"/>
  <c r="U54" i="1" a="1"/>
  <c r="U54" i="1" s="1"/>
  <c r="U29" i="1" a="1"/>
  <c r="U29" i="1" s="1"/>
  <c r="U52" i="1" a="1"/>
  <c r="U52" i="1" s="1"/>
  <c r="U124" i="1" a="1"/>
  <c r="U124" i="1" s="1"/>
  <c r="U121" i="1" a="1"/>
  <c r="U121" i="1" s="1"/>
  <c r="U26" i="1" a="1"/>
  <c r="U26" i="1" s="1"/>
  <c r="U22" i="1" a="1"/>
  <c r="U22" i="1" s="1"/>
  <c r="U103" i="1" a="1"/>
  <c r="U103" i="1" s="1"/>
  <c r="U38" i="1" a="1"/>
  <c r="U38" i="1" s="1"/>
  <c r="U88" i="1" a="1"/>
  <c r="U88" i="1" s="1"/>
  <c r="U17" i="1" a="1"/>
  <c r="U17" i="1" s="1"/>
  <c r="U131" i="1" a="1"/>
  <c r="U131" i="1" s="1"/>
  <c r="U104" i="1" a="1"/>
  <c r="U104" i="1" s="1"/>
  <c r="U58" i="1" a="1"/>
  <c r="U58" i="1" s="1"/>
  <c r="U97" i="1" a="1"/>
  <c r="U97" i="1" s="1"/>
  <c r="U67" i="1" a="1"/>
  <c r="U67" i="1" s="1"/>
  <c r="U76" i="1" a="1"/>
  <c r="U76" i="1" s="1"/>
  <c r="U32" i="1" a="1"/>
  <c r="U32" i="1" s="1"/>
  <c r="U94" i="1" a="1"/>
  <c r="U94" i="1" s="1"/>
  <c r="U111" i="1" a="1"/>
  <c r="U111" i="1" s="1"/>
  <c r="U71" i="1" a="1"/>
  <c r="U71" i="1" s="1"/>
  <c r="U117" i="1" a="1"/>
  <c r="U117" i="1" s="1"/>
  <c r="U4" i="1" a="1"/>
  <c r="U4" i="1" s="1"/>
  <c r="H3" i="7"/>
  <c r="U55" i="1" a="1"/>
  <c r="U55" i="1" s="1"/>
  <c r="U118" i="1" a="1"/>
  <c r="U118" i="1" s="1"/>
  <c r="U133" i="1" a="1"/>
  <c r="U133" i="1" s="1"/>
  <c r="U43" i="1" a="1"/>
  <c r="U43" i="1" s="1"/>
  <c r="U122" i="1" a="1"/>
  <c r="U122" i="1" s="1"/>
  <c r="U66" i="1" a="1"/>
  <c r="U66" i="1" s="1"/>
  <c r="G3" i="7"/>
  <c r="U33" i="1" a="1"/>
  <c r="U33" i="1" s="1"/>
  <c r="U127" i="1" a="1"/>
  <c r="U127" i="1" s="1"/>
  <c r="U126" i="1" a="1"/>
  <c r="U126" i="1" s="1"/>
  <c r="U132" i="1" a="1"/>
  <c r="U132" i="1" s="1"/>
  <c r="U91" i="1" a="1"/>
  <c r="U91" i="1" s="1"/>
  <c r="U125" i="1" a="1"/>
  <c r="U125" i="1" s="1"/>
  <c r="U128" i="1" a="1"/>
  <c r="U128" i="1" s="1"/>
  <c r="U50" i="1" a="1"/>
  <c r="U50" i="1" s="1"/>
  <c r="U65" i="1" a="1"/>
  <c r="U65" i="1" s="1"/>
  <c r="E3" i="7"/>
  <c r="U92" i="1" a="1"/>
  <c r="U92" i="1" s="1"/>
  <c r="U62" i="1" a="1"/>
  <c r="U62" i="1" s="1"/>
  <c r="U93" i="1" l="1" a="1"/>
  <c r="U93"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69F1DBB-D470-42E1-9FF6-A3244E0F0B7D}" keepAlive="1" name="Query - CAP" description="Connection to the 'CAP' query in the workbook." type="5" refreshedVersion="8" background="1" saveData="1">
    <dbPr connection="Provider=Microsoft.Mashup.OleDb.1;Data Source=$Workbook$;Location=CAP;Extended Properties=&quot;&quot;" command="SELECT * FROM [CAP]"/>
  </connection>
  <connection id="2" xr16:uid="{447A3224-B384-4C6F-BD9B-5066C9C3F4CD}" keepAlive="1" name="Query - MovePool" description="Connection to the 'MovePool' query in the workbook." type="5" refreshedVersion="8" background="1" saveData="1">
    <dbPr connection="Provider=Microsoft.Mashup.OleDb.1;Data Source=$Workbook$;Location=MovePool;Extended Properties=&quot;&quot;" command="SELECT * FROM [MovePool]"/>
  </connection>
  <connection id="3" xr16:uid="{13F26322-C7D3-4616-94EF-F6F3059C2C6E}" keepAlive="1" name="Query - Pokedex" description="Connection to the 'Pokedex' query in the workbook." type="5" refreshedVersion="0" background="1" saveData="1">
    <dbPr connection="Provider=Microsoft.Mashup.OleDb.1;Data Source=$Workbook$;Location=Pokedex;Extended Properties=&quot;&quot;" command="SELECT * FROM [Pokedex]"/>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<sst xmlns="http://schemas.openxmlformats.org/spreadsheetml/2006/main" count="1847" uniqueCount="739">
  <si>
    <t>Pokédex number</t>
  </si>
  <si>
    <t>Name</t>
  </si>
  <si>
    <t>Type 1</t>
  </si>
  <si>
    <t>Type 2</t>
  </si>
  <si>
    <t>HP</t>
  </si>
  <si>
    <t>Atk</t>
  </si>
  <si>
    <t>Def</t>
  </si>
  <si>
    <t>SpA</t>
  </si>
  <si>
    <t>SpD</t>
  </si>
  <si>
    <t>Spe</t>
  </si>
  <si>
    <t>Total Stats</t>
  </si>
  <si>
    <t>Ability 1</t>
  </si>
  <si>
    <t>New Ability Description</t>
  </si>
  <si>
    <t>Ability 2</t>
  </si>
  <si>
    <t>Physical Description</t>
  </si>
  <si>
    <t>Weaknesses</t>
  </si>
  <si>
    <t>Strengths</t>
  </si>
  <si>
    <t>Evolution</t>
  </si>
  <si>
    <t>Evolution Level</t>
  </si>
  <si>
    <t>Overall Rating</t>
  </si>
  <si>
    <t>Aquaswift</t>
  </si>
  <si>
    <t>Water</t>
  </si>
  <si>
    <t>Swift Swim</t>
  </si>
  <si>
    <t>Rain Dish</t>
  </si>
  <si>
    <t>Small blue fish, streamlined body, fin-like wings</t>
  </si>
  <si>
    <t>Electric, Grass</t>
  </si>
  <si>
    <t>Water, Fire, Ground, Rock</t>
  </si>
  <si>
    <t>Wavewing</t>
  </si>
  <si>
    <t>Flying</t>
  </si>
  <si>
    <t>Drizzle</t>
  </si>
  <si>
    <t>Larger fish, wings enlarged, feathery tail</t>
  </si>
  <si>
    <t>Electric, Grass, Rock</t>
  </si>
  <si>
    <t>Water, Fire, Ground, Bug</t>
  </si>
  <si>
    <t>Aquaphoon</t>
  </si>
  <si>
    <t>Sleek dolphin-like body, large wings, water crest</t>
  </si>
  <si>
    <t>Final Stage</t>
  </si>
  <si>
    <t>Emberhorn</t>
  </si>
  <si>
    <t>Fire</t>
  </si>
  <si>
    <t>Blaze</t>
  </si>
  <si>
    <t>Run Away</t>
  </si>
  <si>
    <t>Fiery red fawn, horn on forehead, flame tail</t>
  </si>
  <si>
    <t>Water, Ground, Rock</t>
  </si>
  <si>
    <t>Fire, Ice, Bug, Steel</t>
  </si>
  <si>
    <t>Magmalance</t>
  </si>
  <si>
    <t>Steel</t>
  </si>
  <si>
    <t>Flash Fire</t>
  </si>
  <si>
    <t>Armored horse, flaming mane, lance-like horn</t>
  </si>
  <si>
    <t>Water, Ground, Fighting</t>
  </si>
  <si>
    <t>Fire, Ice, Bug, Fairy, Psychic, Steel</t>
  </si>
  <si>
    <t>Thornimbus</t>
  </si>
  <si>
    <t>Grass</t>
  </si>
  <si>
    <t>Electric</t>
  </si>
  <si>
    <t>Overcharge</t>
  </si>
  <si>
    <t>Static</t>
  </si>
  <si>
    <t>Floating cloud-like creature, grass vines, sparks</t>
  </si>
  <si>
    <t>Fire, Ice, Poison, Bug</t>
  </si>
  <si>
    <t>Grass, Electric, Water, Flying</t>
  </si>
  <si>
    <t>Single stage</t>
  </si>
  <si>
    <t>Cryosteel</t>
  </si>
  <si>
    <t>Ice</t>
  </si>
  <si>
    <t>Snow Cloak</t>
  </si>
  <si>
    <t>Ice Body</t>
  </si>
  <si>
    <t>Icy metallic quadruped, crystal armor, sharp tail</t>
  </si>
  <si>
    <t>Fire, Fighting, Ground</t>
  </si>
  <si>
    <t>Ice, Dragon, Fairy, Rock, Steel</t>
  </si>
  <si>
    <t>Breezepup</t>
  </si>
  <si>
    <t>Dark</t>
  </si>
  <si>
    <t>Pickup</t>
  </si>
  <si>
    <t>Unburden</t>
  </si>
  <si>
    <t>Dark grey puppy, wind-like patterns, swift</t>
  </si>
  <si>
    <t>Fighting, Bug, Fairy</t>
  </si>
  <si>
    <t>Psychic, Ghost, Dark</t>
  </si>
  <si>
    <t>Windfang</t>
  </si>
  <si>
    <t>Intimidate</t>
  </si>
  <si>
    <t>Bigger, bat-like wings, sharp fangs, darker</t>
  </si>
  <si>
    <t>Electric, Ice, Rock, Fairy</t>
  </si>
  <si>
    <t>Psychic, Ghost, Dark, Grass</t>
  </si>
  <si>
    <t>Galefang</t>
  </si>
  <si>
    <t>Gale Wings</t>
  </si>
  <si>
    <t>Wolf-like, larger wings, dark mist around</t>
  </si>
  <si>
    <t>Sunquiver</t>
  </si>
  <si>
    <t>Solar Power</t>
  </si>
  <si>
    <t>Small sun-shaped body, arrow-like tail</t>
  </si>
  <si>
    <t>Solarcher</t>
  </si>
  <si>
    <t>Psychic</t>
  </si>
  <si>
    <t>Fiery centaur, bow-shaped horns, psychic aura</t>
  </si>
  <si>
    <t>Water, Ground, Rock, Ghost</t>
  </si>
  <si>
    <t>Fire, Ice, Bug, Fighting, Poison</t>
  </si>
  <si>
    <t>Lumileaf</t>
  </si>
  <si>
    <t>Fairy</t>
  </si>
  <si>
    <t>Chlorophyll</t>
  </si>
  <si>
    <t>Magic Guard</t>
  </si>
  <si>
    <t>Green leafy body, luminescent spots, flower petals</t>
  </si>
  <si>
    <t>Fire, Ice, Poison, Steel</t>
  </si>
  <si>
    <t>Grass, Water, Ground, Dark</t>
  </si>
  <si>
    <t>Terravolt</t>
  </si>
  <si>
    <t>Rock</t>
  </si>
  <si>
    <t>Sand Stream</t>
  </si>
  <si>
    <t>Sand Force</t>
  </si>
  <si>
    <t>Armored, electric-yellow lizard, rocky spikes</t>
  </si>
  <si>
    <t>Water, Grass, Ice, Ground</t>
  </si>
  <si>
    <t>Electric, Rock, Flying, Bug</t>
  </si>
  <si>
    <t>Pyrokit</t>
  </si>
  <si>
    <t>Rivalry</t>
  </si>
  <si>
    <t>Small fiery kitten, black spots, agile</t>
  </si>
  <si>
    <t>Blazeopard</t>
  </si>
  <si>
    <t>Bigger, leopard-like, flame patterns, agile</t>
  </si>
  <si>
    <t>Infernostalker</t>
  </si>
  <si>
    <t>Dark panther-like, flame aura, black armor</t>
  </si>
  <si>
    <t>Water, Ground, Rock, Fight</t>
  </si>
  <si>
    <t>Fire, Ice, Psychic, Ghost</t>
  </si>
  <si>
    <t>Aquaturtle</t>
  </si>
  <si>
    <t>Torrent</t>
  </si>
  <si>
    <t>Shell Armor</t>
  </si>
  <si>
    <t>Small, blue turtle, metallic shell, round</t>
  </si>
  <si>
    <t>Surfrider</t>
  </si>
  <si>
    <t>Bigger, more armored shell, wave-like patterns</t>
  </si>
  <si>
    <t>Tsunarmor</t>
  </si>
  <si>
    <t>Armored turtle, steel shell, water cannons</t>
  </si>
  <si>
    <t>Electric, Grass, Fighting</t>
  </si>
  <si>
    <t>Water, Fire, Ice, Psychic, Steel</t>
  </si>
  <si>
    <t>Leafpup</t>
  </si>
  <si>
    <t>Overgrow</t>
  </si>
  <si>
    <t>Green, leafy puppy, small vines, playful</t>
  </si>
  <si>
    <t>Fire, Ice, Poison, Flying</t>
  </si>
  <si>
    <t>Grass, Water, Ground</t>
  </si>
  <si>
    <t>Vinewolf</t>
  </si>
  <si>
    <t>Leaf Guard</t>
  </si>
  <si>
    <t>Wolf-like, larger vines, grass fur, agile</t>
  </si>
  <si>
    <t>Floracanine</t>
  </si>
  <si>
    <t>Natural Cure</t>
  </si>
  <si>
    <t>Majestic canine, floral mane, fairy-like wings</t>
  </si>
  <si>
    <t>Fire, Ice, Poison, Flying, Steel</t>
  </si>
  <si>
    <t>Terraguardian</t>
  </si>
  <si>
    <t>Ground</t>
  </si>
  <si>
    <t>Dragon</t>
  </si>
  <si>
    <t>Terra Mastery</t>
  </si>
  <si>
    <t>Terra Mastery is a unique ability that increases the power of Ground and Dragon-type moves by 50% for Terraguardian. Additionally, when Terraguardian enters the battle, it triggers an Earthly Aura effect that lasts for five turns. This Earthly Aura increases the Defense and Special Defense of all Ground and Dragon-type Pokémon on the field by 50%.</t>
  </si>
  <si>
    <t>Pressure</t>
  </si>
  <si>
    <t>Earthy dragon, massive wings, stone armor</t>
  </si>
  <si>
    <t>Ice, Dragon, Fairy</t>
  </si>
  <si>
    <t>Ground, Rock, Dragon</t>
  </si>
  <si>
    <t>Legendary</t>
  </si>
  <si>
    <t>Celestistorm</t>
  </si>
  <si>
    <t>Celestial Mastery</t>
  </si>
  <si>
    <t>Celestial Mastery is a unique ability that increases the power of Psychic and Electric-type moves by 50% for Celestistorm. Additionally, when Celestistorm enters the battle, it triggers a Cosmic Storm effect that lasts for five turns. This Cosmic Storm creates an electrically charged and psychic energy-infused field, causing Electric and Psychic-type moves to have a 30% chance of causing the target to flinch.</t>
  </si>
  <si>
    <t>Ethereal bird, electric aura, star-like wings</t>
  </si>
  <si>
    <t>Bug, Ghost, Dark, Ground</t>
  </si>
  <si>
    <t>Psychic, Electric</t>
  </si>
  <si>
    <t>Eternalance</t>
  </si>
  <si>
    <t>Ghost</t>
  </si>
  <si>
    <t>Temporal Mastery</t>
  </si>
  <si>
    <t>Temporal Mastery is a unique ability that increases the power of Fairy and Ghost-type moves by 50% for Eternalance. Additionally, when Eternalance enters the battle, it triggers a Time Rift effect that lasts for five turns. This Time Rift causes all moves with a charging turn (such as Solar Beam or Sky Attack) to execute instantly and doubles the chances of secondary effects for moves used by Fairy and Ghost-type Pokémon on the field.</t>
  </si>
  <si>
    <t>Enigmatic creature, ethereal wings, ancient runes</t>
  </si>
  <si>
    <t>Steel, Ghost, Dark</t>
  </si>
  <si>
    <t>Fairy, Ghost, Psychic</t>
  </si>
  <si>
    <t>Pyroscalion</t>
  </si>
  <si>
    <t>Blaze Barrier</t>
  </si>
  <si>
    <t>When hit by a Fire or Steel move, raises Attack by one stage</t>
  </si>
  <si>
    <t>Fiery lion, metallic mane, ember-filled eyes</t>
  </si>
  <si>
    <t>Fire, Steel, Bug</t>
  </si>
  <si>
    <t>Hydrotigris</t>
  </si>
  <si>
    <t>Torrent Barrier</t>
  </si>
  <si>
    <t>When hit by a Water or Ice move, raises Special Attack by one stage</t>
  </si>
  <si>
    <t>Aquatic tiger, icy fur, frosty fangs</t>
  </si>
  <si>
    <t>Electric, Grass, Fighting, Rock</t>
  </si>
  <si>
    <t>Water, Ice</t>
  </si>
  <si>
    <t>Terravipera</t>
  </si>
  <si>
    <t>Poison</t>
  </si>
  <si>
    <t>Earth Barrier</t>
  </si>
  <si>
    <t>When hit by a Ground or Poison move, raises Speed by one stage</t>
  </si>
  <si>
    <t>Water, Ice, Psychic, Ground</t>
  </si>
  <si>
    <t>Ground, Poison</t>
  </si>
  <si>
    <t>Fernile</t>
  </si>
  <si>
    <t>None</t>
  </si>
  <si>
    <t>Small, green, feline-like, leafy tail</t>
  </si>
  <si>
    <t>Fire, Ice, Poison, Flying, Bug</t>
  </si>
  <si>
    <t>Leaflinx</t>
  </si>
  <si>
    <t>Sleek, green, feline-like, leafy mane</t>
  </si>
  <si>
    <t>Foliaguar</t>
  </si>
  <si>
    <t>Large, green, feline-like, leafy mane, sharp claws</t>
  </si>
  <si>
    <t>Lavadillo</t>
  </si>
  <si>
    <t>Small, red, armadillo-like, lava-like armor</t>
  </si>
  <si>
    <t>Magmaarmor</t>
  </si>
  <si>
    <t>Large, red, armadillo-like, lava-like armor, spikes</t>
  </si>
  <si>
    <t>Fire, Ground</t>
  </si>
  <si>
    <t>Crystabug</t>
  </si>
  <si>
    <t>Bug</t>
  </si>
  <si>
    <t>Compound Eyes</t>
  </si>
  <si>
    <t>Icy blue insect with crystal-like wings and legs</t>
  </si>
  <si>
    <t>Fire, Rock, Steel, Flying</t>
  </si>
  <si>
    <t>Bug, Ice, Ground, Grass</t>
  </si>
  <si>
    <t>Frostifly</t>
  </si>
  <si>
    <t>Large, icy blue butterfly with crystal-like wings and legs</t>
  </si>
  <si>
    <t>Glimmerfin</t>
  </si>
  <si>
    <t>Pixilate</t>
  </si>
  <si>
    <t>Small, fish-like Pokémon with shimmering, iridescent scales</t>
  </si>
  <si>
    <t>Electric, Grass, Poison</t>
  </si>
  <si>
    <t>Water, Fire, Fighting, Dragon</t>
  </si>
  <si>
    <t>Lumifin</t>
  </si>
  <si>
    <t>Sleek, fish-like Pokémon with glowing, iridescent scales and fins</t>
  </si>
  <si>
    <t>Pyroscorch</t>
  </si>
  <si>
    <t>Corrosion</t>
  </si>
  <si>
    <t>Red and purple salamander with flaming body and poisonous barbs</t>
  </si>
  <si>
    <t>Water, Ground, Rock, Psychic</t>
  </si>
  <si>
    <t>Fire, Poison, Bug, Grass</t>
  </si>
  <si>
    <t>Venomburst</t>
  </si>
  <si>
    <t>Large, red and purple salamander with flaming body and poisonous barbs</t>
  </si>
  <si>
    <t>Psycloud</t>
  </si>
  <si>
    <t>Magic Bounce</t>
  </si>
  <si>
    <t>Keen Eye</t>
  </si>
  <si>
    <t>Fluffy cloud-like creature with psychic energy and bird-like wings</t>
  </si>
  <si>
    <t>Electric, Ice, Rock, Ghost, Dark</t>
  </si>
  <si>
    <t>Psychic, Flying, Fighting, Ground</t>
  </si>
  <si>
    <t>Stormind</t>
  </si>
  <si>
    <t>Larger cloud-like creature with a more intense psychic energy and bird-like wings</t>
  </si>
  <si>
    <t>Rockscorpio</t>
  </si>
  <si>
    <t>Battle Armor</t>
  </si>
  <si>
    <t>The Pokémon with this ability is protected from critical hits. This means that all moves used against the Pokémon will deal standard damage, never a critical hit that would deal increased damage.</t>
  </si>
  <si>
    <t>Sniper</t>
  </si>
  <si>
    <t>Scorpion-like creature with rocky exoskeleton and venomous stinger</t>
  </si>
  <si>
    <t>Water, Ground, Psychic, Steel</t>
  </si>
  <si>
    <t>Rock, Poison, Flying, Bug</t>
  </si>
  <si>
    <t>Frosthoot</t>
  </si>
  <si>
    <t>Snow Warning</t>
  </si>
  <si>
    <t>When a Pokémon with this ability enters the battle, it causes hail to start, which lasts for 5 turns (8 turns if the Pokémon is holding an Icy Rock). Hail deals damage to all non-Ice-type Pokémon at the end of each turn and boosts the power of Ice-type moves by 50% for Ice-type Pokémon with the Slush Rush, Ice Body, or Snow Cloak abilities.</t>
  </si>
  <si>
    <t>Cursed Body</t>
  </si>
  <si>
    <t>Ghostly owl-like creature with icy feathers and chilling gaze</t>
  </si>
  <si>
    <t>Fire, Rock, Ghost, Dark, Steel</t>
  </si>
  <si>
    <t>Ice, Ghost, Psychic, Flying</t>
  </si>
  <si>
    <t>Boltleap</t>
  </si>
  <si>
    <t>Fighting</t>
  </si>
  <si>
    <t>Motor Drive</t>
  </si>
  <si>
    <t>When a Pokémon with this ability is hit by an Electric-type move, it doesn't take damage. Instead, its Speed stat increases by one stage. This ability effectively grants immunity to Electric-type moves and rewards the Pokémon with a Speed boost.</t>
  </si>
  <si>
    <t>Reckless</t>
  </si>
  <si>
    <t>Agile creature with electrically-charged fur and powerful limbs</t>
  </si>
  <si>
    <t>Ground, Psychic, Flying, Fairy</t>
  </si>
  <si>
    <t>Electric, Fighting, Water, Steel</t>
  </si>
  <si>
    <t>Chillpeck</t>
  </si>
  <si>
    <t>During hail, the Pokémon's evasiveness increases by 20%. This ability works in conjunction with the Snow Warning ability or any other effect that causes hail, making the Pokémon harder to hit with moves during hail.</t>
  </si>
  <si>
    <t>Small, plump bird with icy feathers and a sharp beak</t>
  </si>
  <si>
    <t>Fire, Rock, Electric, Steel</t>
  </si>
  <si>
    <t>Ice, Flying, Ground, Grass</t>
  </si>
  <si>
    <t>Frostalon</t>
  </si>
  <si>
    <t>Large bird with icy feathers, sharp beak, and impressive wingspan</t>
  </si>
  <si>
    <t>Slumbersnake</t>
  </si>
  <si>
    <t>Synchronize</t>
  </si>
  <si>
    <t>When a Pokémon with this ability is inflicted with a status condition (burn, poison, or paralysis), the opponent Pokémon will also receive the same status condition, provided it doesn't have immunity to that status condition.</t>
  </si>
  <si>
    <t>Shed Skin</t>
  </si>
  <si>
    <t>Serpent-like creature with hypnotic patterns on its scales</t>
  </si>
  <si>
    <t>Ground, Psychic, Ghost</t>
  </si>
  <si>
    <t>Psychic, Poison, Grass, Fighting</t>
  </si>
  <si>
    <t>Dreamcobra</t>
  </si>
  <si>
    <t>Larger serpent with even more hypnotic patterns and a menacing gaze</t>
  </si>
  <si>
    <t>Spectrarmor</t>
  </si>
  <si>
    <t>Stance Change</t>
  </si>
  <si>
    <t>Filter</t>
  </si>
  <si>
    <t>Armored ghostly knight with a shield and spectral sword</t>
  </si>
  <si>
    <t>Fire, Ghost, Dark, Ground</t>
  </si>
  <si>
    <t>Ghost, Steel, Normal, Flying, Psychic, Rock, Ice, Dragon, Fairy</t>
  </si>
  <si>
    <t>Leafdriller</t>
  </si>
  <si>
    <t>Swarm</t>
  </si>
  <si>
    <t>Powers up Bug moves when in trouble</t>
  </si>
  <si>
    <t>A leafy insect with a sharp, drill-like horn</t>
  </si>
  <si>
    <t>Fire, Flying, Rock</t>
  </si>
  <si>
    <t>Grass, Ground</t>
  </si>
  <si>
    <t>Leafdrillarch</t>
  </si>
  <si>
    <t>A larger leafy insect with multiple sharp horns</t>
  </si>
  <si>
    <t>Glimmertail</t>
  </si>
  <si>
    <t>Marvel Scale</t>
  </si>
  <si>
    <t>Raises Defense if the Pokémon has a status</t>
  </si>
  <si>
    <t>Serene Grace</t>
  </si>
  <si>
    <t>A small, cute dragon with a shimmering tail</t>
  </si>
  <si>
    <t>Steel, Poison, Fairy</t>
  </si>
  <si>
    <t>Dark, Dragon</t>
  </si>
  <si>
    <t>Glimmerwing</t>
  </si>
  <si>
    <t>A majestic dragon with shimmering wings</t>
  </si>
  <si>
    <t>Stoneshell</t>
  </si>
  <si>
    <t>Solid Rock</t>
  </si>
  <si>
    <t>Reduces damage from super-effective moves</t>
  </si>
  <si>
    <t>Sturdy</t>
  </si>
  <si>
    <t>A turtle with a rock-like shell</t>
  </si>
  <si>
    <t>Grass, Fighting, Ground</t>
  </si>
  <si>
    <t>Fire, Flying</t>
  </si>
  <si>
    <t>Boulderstone</t>
  </si>
  <si>
    <t>A larger turtle with a boulder-like shell</t>
  </si>
  <si>
    <t>Solarnova</t>
  </si>
  <si>
    <t>Solar Flare</t>
  </si>
  <si>
    <t>Raises the power of Fire-type and Psychic-type moves by 50% in sunlight.</t>
  </si>
  <si>
    <t>A majestic, sun-shaped Pokémon with a fiery, radiant aura, and psychic energy emanating from its core.</t>
  </si>
  <si>
    <t>Dark, Ground, Rock, Water, Ghost</t>
  </si>
  <si>
    <t>Psychic, Fire, Grass, Bug, Ice</t>
  </si>
  <si>
    <t>Lunarisade</t>
  </si>
  <si>
    <t>Lunar Blessing</t>
  </si>
  <si>
    <t>Heals the Pokémon by 1/16 of its maximum HP every turn in moonlight.</t>
  </si>
  <si>
    <t>A crescent moon-shaped Pokémon with a mystical, dark aura, and fairy energy shimmering across its form.</t>
  </si>
  <si>
    <t>Poison, Steel, Fairy, Bug</t>
  </si>
  <si>
    <t>Psychic, Dark, Dragon, Ghost</t>
  </si>
  <si>
    <t>Galacteon</t>
  </si>
  <si>
    <t>Galactic Surge</t>
  </si>
  <si>
    <t>Electric-type and Steel-type moves have a 30% chance to paralyze opponents.</t>
  </si>
  <si>
    <t>A sleek, metallic Pokémon resembling a futuristic spacecraft, adorned with glowing electric circuits.</t>
  </si>
  <si>
    <t>Electric, Steel, Flying, Fairy</t>
  </si>
  <si>
    <t>Nebulavale</t>
  </si>
  <si>
    <t>Nebulous Drift</t>
  </si>
  <si>
    <t>This Pokémon's evasiveness increases in foggy or misty conditions.</t>
  </si>
  <si>
    <t>Ghost, Flying, Psychic, Grass</t>
  </si>
  <si>
    <t>Aurorashine</t>
  </si>
  <si>
    <t>Polar Radiance</t>
  </si>
  <si>
    <t>Boosts the power of Ice-type and Dragon-type moves by 50% in hail.</t>
  </si>
  <si>
    <t>Dragon, Rock, Steel, Fairy, Fighting</t>
  </si>
  <si>
    <t>Ice, Dragon, Ground, Water, Flying</t>
  </si>
  <si>
    <t>Tempustorm</t>
  </si>
  <si>
    <t>Stormbringer</t>
  </si>
  <si>
    <t>Summons a thunderstorm when entering battle, powering up Flying-type and Electric-type moves.</t>
  </si>
  <si>
    <t>A bird-like Pokémon with storm cloud wings that crackle with lightning, and a fierce, commanding presence.</t>
  </si>
  <si>
    <t>Rock, Ice, Electric</t>
  </si>
  <si>
    <t>Flying, Electric, Bug, Grass, Fighting</t>
  </si>
  <si>
    <t>Chronalith</t>
  </si>
  <si>
    <t>Time Keeper</t>
  </si>
  <si>
    <t>Heals the Pokémon by 1/16 of its maximum HP every turn when Trick Room is active.</t>
  </si>
  <si>
    <t>Water, Grass, Bug, Ghost, Dark, Steel</t>
  </si>
  <si>
    <t>Psychic, Rock, Flying, Poison, Fire</t>
  </si>
  <si>
    <t>Floraphoenix</t>
  </si>
  <si>
    <t>Floraflame</t>
  </si>
  <si>
    <t>Boosts the power of Fire-type and Grass-type moves by 50% when HP is below 1/3.</t>
  </si>
  <si>
    <t>Fire, Flying, Poison, Rock, Water, Ice</t>
  </si>
  <si>
    <t>Fire, Grass, Ground, Fairy, Bug</t>
  </si>
  <si>
    <t>Luminaria</t>
  </si>
  <si>
    <t>Dream Weaver</t>
  </si>
  <si>
    <t>Puts opposing Pokémon to sleep when they switch in, with a 30% chance to succeed.</t>
  </si>
  <si>
    <t>Poison, Steel, Ghost, Dark</t>
  </si>
  <si>
    <t>Fighting, Psychic, Dragon</t>
  </si>
  <si>
    <t>Mythical</t>
  </si>
  <si>
    <t>Serenimbus</t>
  </si>
  <si>
    <t>Serene Aura</t>
  </si>
  <si>
    <t>Boosts the power of Water-type and Fairy-type moves by 50% when HP is below 1/2.</t>
  </si>
  <si>
    <t>Poison, Steel, Electric</t>
  </si>
  <si>
    <t>Fire, Water, Fighting, Dark</t>
  </si>
  <si>
    <t>Moonkit</t>
  </si>
  <si>
    <t>Moonlit Grace</t>
  </si>
  <si>
    <t>When a Pokémon with the Moonlit Grace ability enters the battle, it sets up a moonlight condition for 5 turns. The moonlight condition boosts the power of Dark-type and Fairy-type moves by 50%</t>
  </si>
  <si>
    <t>A small, rabbit-like Pokémon with a crescent moon marking on its forehead. It has large, gentle eyes and soft fur that shimmers in moonlight.</t>
  </si>
  <si>
    <t>Steel, Poison</t>
  </si>
  <si>
    <t>Dark, Bug, Fighting</t>
  </si>
  <si>
    <t>Moonhare</t>
  </si>
  <si>
    <t>A larger, hare-like Pokémon with a more pronounced crescent moon marking on its forehead. Its fur is even more radiant, and its ears are longer, giving it a graceful appearance.</t>
  </si>
  <si>
    <t>Moonalope</t>
  </si>
  <si>
    <t>An elegant, jackalope-like Pokémon with a crescent moon marking on its forehead and antlers resembling branches adorned with shimmering, moonlit leaves. Its fur emits a soft glow, and its eyes hold a deep wisdom.</t>
  </si>
  <si>
    <t>Steel, Poison, Ghost, Dark</t>
  </si>
  <si>
    <t>Dark, Bug, Fighting, Psychic</t>
  </si>
  <si>
    <t>Pugilchimp</t>
  </si>
  <si>
    <t>Iron Fist</t>
  </si>
  <si>
    <t>Powers up punching moves by 20%</t>
  </si>
  <si>
    <t>Guts</t>
  </si>
  <si>
    <t>A muscular chimpanzee-like Pokémon with a red mohawk and boxing gloves.</t>
  </si>
  <si>
    <t>Flying, Psychic, Fairy</t>
  </si>
  <si>
    <t>Rock, Dark, Steel, Normal, Ice</t>
  </si>
  <si>
    <t>Scuttlant</t>
  </si>
  <si>
    <t>Sand Rush</t>
  </si>
  <si>
    <t>Doubles Speed in a sandstorm</t>
  </si>
  <si>
    <t>A large, ant-like Pokémon with a hardened exoskeleton and powerful mandibles.</t>
  </si>
  <si>
    <t>Fire, Flying, Water, Ice</t>
  </si>
  <si>
    <t>Electric, Psychic, Rock, Poison</t>
  </si>
  <si>
    <t>Dracoflare</t>
  </si>
  <si>
    <t>Powers up Fire-type moves when HP is low</t>
  </si>
  <si>
    <t>A dragon-like Pokémon with blazing red scales and flames billowing from its mouth and tail.</t>
  </si>
  <si>
    <t>Dragon, Ground, Rock</t>
  </si>
  <si>
    <t>Fire, Grass, Electric, Bug, Steel</t>
  </si>
  <si>
    <t>Shadowraith</t>
  </si>
  <si>
    <t>Shadow Tag</t>
  </si>
  <si>
    <t>Prevents the foe from escaping</t>
  </si>
  <si>
    <t>Infiltrator</t>
  </si>
  <si>
    <t>A wraith-like Pokémon with a shadowy body and red, piercing eyes that seem to glow.</t>
  </si>
  <si>
    <t>Fairy, Ghost</t>
  </si>
  <si>
    <t>Psychic, Dark, Ghost, Poison</t>
  </si>
  <si>
    <t>Terrascorpio</t>
  </si>
  <si>
    <t>Poison Point</t>
  </si>
  <si>
    <t>May poison a target when it strikes with a move that makes contact</t>
  </si>
  <si>
    <t>Sand Veil</t>
  </si>
  <si>
    <t>A large, scorpion-like Pokémon with a venomous stinger and strong, ground-digging claws.</t>
  </si>
  <si>
    <t>Electric, Rock, Poison, Bug</t>
  </si>
  <si>
    <t>Echotangle</t>
  </si>
  <si>
    <t>Normal</t>
  </si>
  <si>
    <t>Echo Chamber</t>
  </si>
  <si>
    <t>Copies the last move used by the opponent for 3 turns</t>
  </si>
  <si>
    <t>Prankster</t>
  </si>
  <si>
    <t>A small, furry Pokémon with large ears that resemble satellite dishes, capable of picking up distant sounds.</t>
  </si>
  <si>
    <t>Fighting, Bug, Dark</t>
  </si>
  <si>
    <t>Psychic, Normal</t>
  </si>
  <si>
    <t>Chamelebug</t>
  </si>
  <si>
    <t>Prismatic Camouflage</t>
  </si>
  <si>
    <t>Takes on the additional resistances of its last-used move's type</t>
  </si>
  <si>
    <t>A chameleon-like Pokémon with insect-like features, capable of changing colors and adapting to its environment.</t>
  </si>
  <si>
    <t>Bug, Grass, Psychic, Dark</t>
  </si>
  <si>
    <t>Stat HP</t>
  </si>
  <si>
    <t>Stat Atk</t>
  </si>
  <si>
    <t>Stat Def</t>
  </si>
  <si>
    <t>Stat SpA</t>
  </si>
  <si>
    <t>Stat SpD</t>
  </si>
  <si>
    <t>Stat Spe</t>
  </si>
  <si>
    <t>SPD Factor</t>
  </si>
  <si>
    <t>RPT</t>
  </si>
  <si>
    <t>RST</t>
  </si>
  <si>
    <t>RPS</t>
  </si>
  <si>
    <t>RSS</t>
  </si>
  <si>
    <t>PT</t>
  </si>
  <si>
    <t>ST</t>
  </si>
  <si>
    <t>PS</t>
  </si>
  <si>
    <t>SS</t>
  </si>
  <si>
    <t>ODB</t>
  </si>
  <si>
    <t>PSB</t>
  </si>
  <si>
    <t>RatingLabel</t>
  </si>
  <si>
    <t>Movepool size</t>
  </si>
  <si>
    <t>Start Speed</t>
  </si>
  <si>
    <t>Speed Factor</t>
  </si>
  <si>
    <t>Move ID</t>
  </si>
  <si>
    <t>Move Name</t>
  </si>
  <si>
    <t>Type</t>
  </si>
  <si>
    <t>Category</t>
  </si>
  <si>
    <t>PP</t>
  </si>
  <si>
    <t>PP max</t>
  </si>
  <si>
    <t>Accuracy</t>
  </si>
  <si>
    <t>Power</t>
  </si>
  <si>
    <t>Effect</t>
  </si>
  <si>
    <t>Lunar Veil</t>
  </si>
  <si>
    <t>Status</t>
  </si>
  <si>
    <t>The user casts a lunar veil over the battlefield, creating a moonlight condition for 5 turns (8 turns if the user is holding a Light Clay). The moonlight condition boosts the power of Dark-type and Fairy-type moves by 50%</t>
  </si>
  <si>
    <t>MovePool Size</t>
  </si>
  <si>
    <t>MoveList</t>
  </si>
  <si>
    <t>Dracopup</t>
  </si>
  <si>
    <t>Multiscale</t>
  </si>
  <si>
    <t>Reduces damage when HP is full.</t>
  </si>
  <si>
    <t>A small, playful dragon-like puppy with fluffy fur and large ears.</t>
  </si>
  <si>
    <t>Dragon, Fighting, Ice</t>
  </si>
  <si>
    <t>Normal, Fire, Water</t>
  </si>
  <si>
    <t>Dracocanine</t>
  </si>
  <si>
    <t>A larger, fierce dragon-like canine with a strong, sturdy body.</t>
  </si>
  <si>
    <t>Dracolupus</t>
  </si>
  <si>
    <t>A majestic, powerful dragon-like wolf with a muscular body and wings.</t>
  </si>
  <si>
    <t>Fungoom</t>
  </si>
  <si>
    <t>Effect Spore</t>
  </si>
  <si>
    <t>May cause status conditions if hit by contact moves.</t>
  </si>
  <si>
    <t>A mushroom-like creature with a colorful cap and a mischievous grin.</t>
  </si>
  <si>
    <t>Fire, Psychic, Flying, Ice</t>
  </si>
  <si>
    <t>Water, Electric, Fairy, Grass</t>
  </si>
  <si>
    <t>Fungogre</t>
  </si>
  <si>
    <t>A large, imposing mushroom-like creature with a menacing, toothy grin.</t>
  </si>
  <si>
    <t>Tidaloon</t>
  </si>
  <si>
    <t>Summons rain when entering battle.</t>
  </si>
  <si>
    <t>A waterfowl-like Pokémon with inflatable pouches and vibrant plumage.</t>
  </si>
  <si>
    <t>Electric, Rock</t>
  </si>
  <si>
    <t>Water, Ground, Fire, Fighting</t>
  </si>
  <si>
    <t>Galeswimmer</t>
  </si>
  <si>
    <t>A sleek, fast waterfowl-like Pokémon with powerful wings and pouches.</t>
  </si>
  <si>
    <t>Terracoon</t>
  </si>
  <si>
    <t>Boosts Attack if there is a status condition.</t>
  </si>
  <si>
    <t>A raccoon-like Pokémon with tough, rugged fur and a strong tail.</t>
  </si>
  <si>
    <t>Water, Psychic, Ice, Flying, Grass</t>
  </si>
  <si>
    <t>Ground, Rock, Dark, Steel</t>
  </si>
  <si>
    <t>Terracrusher</t>
  </si>
  <si>
    <t>Poison Heal</t>
  </si>
  <si>
    <t>Strong Jaw</t>
  </si>
  <si>
    <t>Image link</t>
  </si>
  <si>
    <t>https://cdn.midjourney.com/50a2e957-2e4e-4245-b4ef-89bd81f3a482/0_2.png</t>
  </si>
  <si>
    <t>https://media.discordapp.net/attachments/1083362848203354193/1090370243395854476/Chtibidi_Foliaguar_is_a_large_sleek_feline-like_Pokemon_with_a__eb9e38bc-531f-4fd5-bc93-4119ac6ce9cf.png?width=897&amp;height=897</t>
  </si>
  <si>
    <t>https://cdn.midjourney.com/ba44676c-1625-4149-bdf7-ebac1b020db0/0_3.png</t>
  </si>
  <si>
    <t>https://media.discordapp.net/attachments/1083362848203354193/1090374088733774025/Chtibidi_Tempustorm_is_a_bird-like_Legendary_Pokemon_with_a_str_d0f4ef64-7ddb-44d3-a5af-5b1830891e08.png?width=897&amp;height=897</t>
  </si>
  <si>
    <t>https://cdn.discordapp.com/attachments/1083362848203354193/1090386203926331402/Chtibidi_A_majestic_sun-shaped_Pokemon_with_a_fiery_radiant_aur_e9919877-1e6b-4e04-829c-cd852806c9c6.png</t>
  </si>
  <si>
    <t>https://cdn.discordapp.com/attachments/1083362848203354193/1090387169408974970/Chtibidi_A_serene_cloud-like_FairyPsychic_type_Pokemon_with_a_g_880e0609-b803-4255-bfb9-224bcd05fec0.png</t>
  </si>
  <si>
    <t>https://media.discordapp.net/attachments/1083362848203354193/1090690437163008151/Chtibidi_small_delicate_FairyPsychic_type_Pokemon_glowing_star-_527e8dc2-2db4-4f88-b17a-547b6f814741.png?width=897&amp;height=897</t>
  </si>
  <si>
    <t>Prompt</t>
  </si>
  <si>
    <t>https://media.discordapp.net/attachments/1083362848203354193/1090771751195136101/Chtibidi_Pyroscalion_Legendary_Pokemon_Fire_Fiery_lion_metallic_288836ea-ef40-4995-9848-95faa0e68c5c.png?width=897&amp;height=897</t>
  </si>
  <si>
    <t>https://cdn.discordapp.com/attachments/1083362848203354193/1090774352619900949/Chtibidi_Hydrotigris_Legendary_Pokemon_Water_Aquatic_tiger_icy__46c800c6-fd9d-425c-bb22-e7390f6e89be.png</t>
  </si>
  <si>
    <t>A serpentine Pokémon with rocky scales and venomous fangs. Its sinuous form and deadly glare strike fear into its adversaries.</t>
  </si>
  <si>
    <t>https://cdn.discordapp.com/attachments/1083362848203354193/1090777736659869746/Chtibidi_Terravipera_Legendary_Pokemon_GroundPoison_A_serpentin_4a5f4305-c5bc-4eb8-94ec-dbe3603ab69e.png</t>
  </si>
  <si>
    <t>https://cdn.discordapp.com/attachments/1083362848203354193/1090778726238793768/Chtibidi_Galacteon_Legendary_Pokemon_SteelElectric_A_sleek_meta_3bca7b1c-61cf-406d-a507-f8bafb297b67.png</t>
  </si>
  <si>
    <t>A ghostly, swirling cloud of mist and dark energy with ethereal wings. Its eerie and haunting presence is both intriguing and unsettling.</t>
  </si>
  <si>
    <t>A serpentine dragon adorned with icy crystals and shimmering scales reflecting the aurora borealis. Its graceful form and beauty are mesmerizing.</t>
  </si>
  <si>
    <t>An ancient, mysterious stone-like Pokémon with time-representing inscriptions. Its enigmatic nature sparks curiosity and fascination.</t>
  </si>
  <si>
    <t>A fiery phoenix with a trail of vibrant, blooming flowers, symbolizing rebirth and growth. Its stunning form and brilliant colors inspire awe.</t>
  </si>
  <si>
    <t>https://cdn.discordapp.com/attachments/1083362848203354193/1090780525234503681/Chtibidi_Nebulavale_Legendary_Pokemon_GhostFlying_A_ghostly_swi_170b87d2-80bd-440e-adf6-04c8a6f862e5.png</t>
  </si>
  <si>
    <t>https://cdn.discordapp.com/attachments/1083362848203354193/1090781368595796058/Chtibidi_Chronalith_Legendary_Pokemon_PsychicRock_An_ancient_my_cbd45d0a-853c-45bc-9475-6196e963ded4.png</t>
  </si>
  <si>
    <t>https://cdn.discordapp.com/attachments/1083362848203354193/1090781528621064212/Chtibidi_Floraphoenix_Legendary_Pokemon_FireGrass_A_fiery_phoen_5e610df1-7618-4a02-881f-82bb36d987e7.png</t>
  </si>
  <si>
    <t>A small, delicate Pokémon with a glowing, star-shaped body and shimmering wings. Its celestial beauty and enchanting form inspire awe and wonder in those who encounter it.</t>
  </si>
  <si>
    <t>A serene cloud-like Pokémon with a gentle, glowing aura and soft, wispy features. Its calming presence and ethereal appearance evoke feelings of peace and tranquility.</t>
  </si>
  <si>
    <t>Electrowl</t>
  </si>
  <si>
    <t>Plasmawing</t>
  </si>
  <si>
    <t>Shadestone</t>
  </si>
  <si>
    <t>Tidalfin</t>
  </si>
  <si>
    <t>Hydration</t>
  </si>
  <si>
    <t>Dracoon</t>
  </si>
  <si>
    <t>Dracoshell</t>
  </si>
  <si>
    <t>Skylotus</t>
  </si>
  <si>
    <t>Cinderaptor</t>
  </si>
  <si>
    <t>Starwhirl</t>
  </si>
  <si>
    <t>Levitate</t>
  </si>
  <si>
    <t>Stardance</t>
  </si>
  <si>
    <t>Wispflare</t>
  </si>
  <si>
    <t>Spiritflame</t>
  </si>
  <si>
    <t>Galewing</t>
  </si>
  <si>
    <t>Zephyraptor</t>
  </si>
  <si>
    <t>Dracobark</t>
  </si>
  <si>
    <t>Arborwyrm</t>
  </si>
  <si>
    <t>Crystaleye</t>
  </si>
  <si>
    <t>Claypup</t>
  </si>
  <si>
    <t>Stamina</t>
  </si>
  <si>
    <t>Mudhound</t>
  </si>
  <si>
    <t>Venomwing</t>
  </si>
  <si>
    <t>Toxifly</t>
  </si>
  <si>
    <t>Air Lock</t>
  </si>
  <si>
    <t>Owl-like Pokémon with electric plumage and sharp talons</t>
  </si>
  <si>
    <t>Electric, Ice, Rock</t>
  </si>
  <si>
    <t>Electric, Flying, Water, Bug</t>
  </si>
  <si>
    <t>Shadowy, stone-like creature with glowing eyes and jagged edges</t>
  </si>
  <si>
    <t>Water, Grass, Ghost, Steel, Dark</t>
  </si>
  <si>
    <t>Ghost, Rock, Flying, Bug</t>
  </si>
  <si>
    <t>Shark-like Pokémon with vibrant blue fins and a sleek body</t>
  </si>
  <si>
    <t>Dragon-like raccoon with large fangs and scales</t>
  </si>
  <si>
    <t>Dragon, Fire, Water, Electric, Grass</t>
  </si>
  <si>
    <t>Armor-clad dragon raccoon with metallic scales and larger fangs</t>
  </si>
  <si>
    <t>Ice, Dragon, Fighting, Ground</t>
  </si>
  <si>
    <t>Dragon, Fire, Water, Electric, Psychic, Fairy, Steel</t>
  </si>
  <si>
    <t>Graceful, lotus-like Pokémon with petal wings and floating vines</t>
  </si>
  <si>
    <t>Fire, Ice, Poison, Flying, Rock, Bug</t>
  </si>
  <si>
    <t>Grass, Water, Ground, Fighting</t>
  </si>
  <si>
    <t>Raptor-like Pokémon with a fiery body and sharp claws</t>
  </si>
  <si>
    <t>Water, Ground, Dragon, Rock, Fairy</t>
  </si>
  <si>
    <t>Fire, Dragon, Bug, Steel, Grass</t>
  </si>
  <si>
    <t>Star-shaped Pokémon with a swirling, cosmic design</t>
  </si>
  <si>
    <t>Dark, Ghost, Bug</t>
  </si>
  <si>
    <t>Psychic, Fighting</t>
  </si>
  <si>
    <t>Dark, Ghost, Steel, Poison</t>
  </si>
  <si>
    <t>Psychic, Fighting, Dragon</t>
  </si>
  <si>
    <t>Flame-like creature with ghostly features and eerie glow</t>
  </si>
  <si>
    <t>Water, Ground, Rock, Ghost, Dark</t>
  </si>
  <si>
    <t>Fire, Psychic, Bug</t>
  </si>
  <si>
    <t>Larger flame-like creature, ghostly features, more intense glow</t>
  </si>
  <si>
    <t>Small bird with electrically charged feathers and wind-shaped wings</t>
  </si>
  <si>
    <t>Rock, Ice, Ground</t>
  </si>
  <si>
    <t>Electric, Flying, Bug, Grass</t>
  </si>
  <si>
    <t>Large bird of prey with electrically charged feathers and wind-shaped wings</t>
  </si>
  <si>
    <t>Sap Sipper</t>
  </si>
  <si>
    <t>Dragon-like creature with a tree bark armor and foliage-covered tail</t>
  </si>
  <si>
    <t>Ice, Dragon, Fairy, Poison, Bug, Flying</t>
  </si>
  <si>
    <t>Dragon, Grass, Water</t>
  </si>
  <si>
    <t>Refractive Armor</t>
  </si>
  <si>
    <t>Refractive Armor: Raises the Pokémon's Special Defense by one stage when hit by a special move.</t>
  </si>
  <si>
    <t>Fire, Steel, Rock, Bug, Ghost, Dark</t>
  </si>
  <si>
    <t>Ice, Psychic, Flying, Grass</t>
  </si>
  <si>
    <t>Small, brown puppy with clay-like fur and playful nature</t>
  </si>
  <si>
    <t>Water, Grass, Ice</t>
  </si>
  <si>
    <t>Ground, Electric, Rock</t>
  </si>
  <si>
    <t>Larger, brown dog with mud-like fur and a fierce stance</t>
  </si>
  <si>
    <t>Toxic Boost</t>
  </si>
  <si>
    <t>Insect-like creature with poisonous wings and a stinger</t>
  </si>
  <si>
    <t>Fire, Flying, Rock, Psychic</t>
  </si>
  <si>
    <t>Bug, Grass, Fairy, Fighting</t>
  </si>
  <si>
    <t xml:space="preserve"> Toxifly</t>
  </si>
  <si>
    <t xml:space="preserve"> Compound Eyes</t>
  </si>
  <si>
    <t xml:space="preserve"> Toxic Boost</t>
  </si>
  <si>
    <t xml:space="preserve"> Large insect-like creature with toxic wings and a more potent stinger</t>
  </si>
  <si>
    <t xml:space="preserve"> Fire, Flying, Rock, Psychic</t>
  </si>
  <si>
    <t xml:space="preserve"> Bug, Grass, Fairy, Fighting</t>
  </si>
  <si>
    <t xml:space="preserve"> Aurorox</t>
  </si>
  <si>
    <t xml:space="preserve"> Snow Warning</t>
  </si>
  <si>
    <t xml:space="preserve"> Refrigerate</t>
  </si>
  <si>
    <t xml:space="preserve"> Prehistoric creature resembling a woolly rhinoceros with crystalline spikes</t>
  </si>
  <si>
    <t xml:space="preserve"> Fire, Steel, Water, Grass, Fighting, Ground, Rock</t>
  </si>
  <si>
    <t xml:space="preserve"> Ice, Rock, Flying, Bug</t>
  </si>
  <si>
    <t xml:space="preserve"> Glacihorn</t>
  </si>
  <si>
    <t xml:space="preserve"> Large prehistoric creature resembling a woolly rhinoceros with massive crystalline spikes and armor</t>
  </si>
  <si>
    <t xml:space="preserve"> Solarkit</t>
  </si>
  <si>
    <t xml:space="preserve"> Blaze</t>
  </si>
  <si>
    <t xml:space="preserve"> Solar Power</t>
  </si>
  <si>
    <t xml:space="preserve"> Small feline creature with a sun-shaped pattern on its fur and a fiery tail</t>
  </si>
  <si>
    <t xml:space="preserve"> Water, Ground, Rock</t>
  </si>
  <si>
    <t xml:space="preserve"> Fire, Normal, Psychic</t>
  </si>
  <si>
    <t xml:space="preserve"> Solarouge</t>
  </si>
  <si>
    <t xml:space="preserve"> Large feline creature with a majestic sun-shaped pattern on its fur and a blazing tail</t>
  </si>
  <si>
    <t xml:space="preserve"> Tidalkit</t>
  </si>
  <si>
    <t xml:space="preserve"> Torrent</t>
  </si>
  <si>
    <t xml:space="preserve"> Swift Swim</t>
  </si>
  <si>
    <t xml:space="preserve"> Small feline creature with a moon-shaped pattern on its fur and a watery tail</t>
  </si>
  <si>
    <t xml:space="preserve"> Electric, Grass, Fighting</t>
  </si>
  <si>
    <t xml:space="preserve"> Water, Normal, Psychic</t>
  </si>
  <si>
    <t xml:space="preserve"> Lunarouge</t>
  </si>
  <si>
    <t xml:space="preserve"> Large feline creature with a captivating moon-shaped pattern on its fur and a flowing watery tail</t>
  </si>
  <si>
    <t xml:space="preserve"> Stormkit</t>
  </si>
  <si>
    <t xml:space="preserve"> Static</t>
  </si>
  <si>
    <t xml:space="preserve"> Galvanize</t>
  </si>
  <si>
    <t xml:space="preserve"> Small feline creature with a lightning bolt-shaped pattern on its fur and an electric tail</t>
  </si>
  <si>
    <t xml:space="preserve"> Ground, Fighting</t>
  </si>
  <si>
    <t xml:space="preserve"> Electric, Normal, Psychic</t>
  </si>
  <si>
    <t xml:space="preserve"> Thunderouge</t>
  </si>
  <si>
    <t>Plasmawing is a larger owl-like Pokémon with vibrant electric plumage, giving it an energetic appearance. Its feathers are primarily yellow and blue, with patterns resembling lightning bolts running through them. It has piercing, bright blue eyes and sharp, menacing talons capable of delivering powerful electric shocks. Its wings are broad and powerful, allowing for swift and agile flight. Plasmawing's tail is long and elegant, with feathers that resemble electric sparks, helping it to maintain balance and control during flight. Its beak is sharp and hooked, perfect for hunting prey in the air. The combination of its electric plumage and impressive wingspan creates an awe-inspiring visual display during battle, with sparks and flashes of electricity emanating from its body.</t>
  </si>
  <si>
    <t>https://cdn.discordapp.com/attachments/1083362848203354193/1090978757210284163/Chtibidi_Plasmawing_Regular_Pokemon_ElectricFlying_Plasmawing_i_8aa83f49-574a-43ec-acaa-a727e8ad61e8.png</t>
  </si>
  <si>
    <t>https://cdn.discordapp.com/attachments/1083362848203354193/1090979200468529162/Chtibidi_Plasmawing_is_a_large_owl-like_Pokemon_with_vibrant_el_b44aa226-c26e-4ba9-8046-ff0370802cc2.png</t>
  </si>
  <si>
    <t>massive, majestic dragon Pokémon with a unique fusion of flora and fauna in its design. Its body is primarily covered in tree bark armor, giving it a rugged and ancient appearance. This natural armor provides excellent protection and camouflage in forest environments. Arborwyrm's head is adorned with a forest-like mane consisting of leaves, vines, and branches, which extend down its long, serpentine neck.</t>
  </si>
  <si>
    <t>https://cdn.discordapp.com/attachments/1083362848203354193/1090981653746303046/Chtibidi_Arborwyrm_Regular_Pokemon_DragonGrass_massive_majestic_fe46cabc-85b2-4803-849d-441ed7ee7dc4.png</t>
  </si>
  <si>
    <t xml:space="preserve">Stardance is an elegant, star-shaped Pokémon that embodies the beauty and mystery of the cosmos. Its psychic and fairy attributes are reflected in its stunning swirling cosmic design, which adorns its entire body, reminiscent of a galaxy filled with twinkling stars. Delicate, fairy-like wings extend from its sides, shimmering with iridescent colors and allowing it to float gracefully through the air. Its large, expressive eyes sparkle like distant stars, captivating all who gaze upon it. </t>
  </si>
  <si>
    <t>https://cdn.discordapp.com/attachments/1083362848203354193/1090993701200859146/Chtibidi_Stardance_Regular_Pokemon_PsychicFairy_Stardance_is_an_98a8e1b8-496d-4bb8-97e9-23985368cc1d.png</t>
  </si>
  <si>
    <t>Terracrusher is a large, powerful raccoon-like Pokémon with an intimidating presence. This Ground and Fighting-type creature boasts a muscular build, and its thick, rugged fur provides additional protection during battles. Its most striking features are the massive arms, equipped with powerful fists that pack a devastating punch. Its fierce eyes and determined expression demonstrate its readiness to dominate in combat, making Terracrusher a formidable opponent for any challenger.</t>
  </si>
  <si>
    <t>https://cdn.discordapp.com/attachments/1083362848203354193/1091017144516481105/Chtibidi_Terracrusher_Regular_Pokemon_GroundFighting_Terracrush_14a322fc-ecb7-40e7-8a50-dbb51190a923.png</t>
  </si>
  <si>
    <t>Thunderouge is an impressive large feline Pokémon with a unique Electric and Normal typing. Its sleek, agile body is adorned with a striking lightning bolt-shaped pattern that runs along its fur, giving it an electrifying appearance. The crackling electric tail not only serves as a powerful weapon but also adds to Thunderouge's captivating presence. Its keen eyes and agile movements reflect the speed and power it possesses.</t>
  </si>
  <si>
    <t>https://cdn.discordapp.com/attachments/1083362848203354193/1091110801781301359/image.png</t>
  </si>
  <si>
    <t>Id</t>
  </si>
  <si>
    <t xml:space="preserve">Aquarose </t>
  </si>
  <si>
    <t>Petal Soak</t>
  </si>
  <si>
    <t>Transforms Normal-type moves into Water-type moves and boosts their power</t>
  </si>
  <si>
    <t xml:space="preserve">Crysteon </t>
  </si>
  <si>
    <t>Rosy Torrent</t>
  </si>
  <si>
    <t>20% chance to confuse the opponent</t>
  </si>
  <si>
    <t>Crystal Zap</t>
  </si>
  <si>
    <t>30% chance to paralyze the opponent</t>
  </si>
  <si>
    <t>Crystal Charge</t>
  </si>
  <si>
    <t>Boosts Electric-type moves' power by 50% when hit by a Rock-type move</t>
  </si>
  <si>
    <t>Variant ID</t>
  </si>
  <si>
    <t>Glacihorn</t>
  </si>
  <si>
    <t>Solarouge</t>
  </si>
  <si>
    <t>Lunarouge</t>
  </si>
  <si>
    <t>Thunderouge</t>
  </si>
  <si>
    <t>Aquarose-Bloom</t>
  </si>
  <si>
    <t>Flower Shield</t>
  </si>
  <si>
    <t>Boosts Defense and Special Defense by 1 stage when HP is below 50%</t>
  </si>
  <si>
    <t>Variant</t>
  </si>
  <si>
    <t>Crysteon-Surge</t>
  </si>
  <si>
    <t>Static Surge</t>
  </si>
  <si>
    <t>When hit by a Special Attack, has a 30% chance to paralyze the attacker</t>
  </si>
  <si>
    <t>Galeking-Alteon</t>
  </si>
  <si>
    <t>Aerial Guard</t>
  </si>
  <si>
    <t>When hit by a Flying-type move, boosts Attack and Speed by 1 stage</t>
  </si>
  <si>
    <t>Garchomp-Alteon</t>
  </si>
  <si>
    <t>Terraforce</t>
  </si>
  <si>
    <t>Boosts the power of Ground-type moves by 50% when hit by a Dragon-type move</t>
  </si>
  <si>
    <t>Flygon-Alteon</t>
  </si>
  <si>
    <t>Sand Mirage</t>
  </si>
  <si>
    <t>Raises evasion by 1 stage in a sandstorm</t>
  </si>
  <si>
    <t>Skarmory-Alteon</t>
  </si>
  <si>
    <t>Heat Armor</t>
  </si>
  <si>
    <t>When hit by a Fire-type move, boosts Defense and Special Defense by 1 stage</t>
  </si>
  <si>
    <t>Ludicolo-Alteon</t>
  </si>
  <si>
    <t>Frost Dance</t>
  </si>
  <si>
    <t>Boosts Ice-type moves' power by 50% in hail</t>
  </si>
  <si>
    <t>Aquarose is an elegant, medium-sized Pokémon that resembles a water lily. Its body is primarily light blue with a graceful, swan-like neck and head. Petal-like structures surround its body, with the outer petals being a vibrant pink and the inner petals a soft blue. A dewdrop-shaped gem adorns its forehead, glowing with a faint, watery aura.</t>
  </si>
  <si>
    <t>Crysteon is a sleek, quadruped Pokémon with a feline-like build. Its body is covered in angular, crystal-like formations of varying sizes that resemble a mix of quartz and amethyst. The crystals emit a subtle, electric glow, which becomes more intense and dynamic during battle. Its eyes are bright yellow with jagged, lightning bolt-shaped pupils.</t>
  </si>
  <si>
    <t>Aquarose Bloom has a similar overall appearance to Aquarose, but its petals are larger and more vibrant. The petals now form a full blooming flower around its body, with layers of pink and blue petals alternating. The dewdrop-shaped gem on its forehead is now larger and emits a brighter, more magical aura.</t>
  </si>
  <si>
    <t>Crysteon Surge maintains the overall appearance of Crysteon, but its crystal formations have become larger, more jagged, and more energetic. The crystals now emit bright, pulsating electric energy in shades of yellow and blue. Its eyes also have a more intense glow, and its body appears more streamlined for faster movement.</t>
  </si>
  <si>
    <t>Galeking-Alteon is a muscular, bipedal Pokémon that retains the overall structure of its original counterpart. Its body is now primarily white with red and blue accents, resembling a luchador's outfit. Its fists are adorned with large, feathered wings that grant it the ability to glide short distances. A crest of feathers forms a mask-like pattern around its eyes.</t>
  </si>
  <si>
    <t>Garchomp-Alteon features a more serpentine body, with smoother scales and elongated limbs. Its coloration has shifted to a blend of earthy browns and deep blues. The scythe-like fins on its arms are now larger, resembling tectonic plates, and its tail has a spiked, drill-like structure at the end, perfect for burrowing into the ground.</t>
  </si>
  <si>
    <t>Flygon-Alteon has a more insect-like appearance, with chitinous, green and orange armor covering its body. Its wings have become transparent, similar to those of a dragonfly, with vibrant, iridescent patterns. Its eyes are large and compound, giving it an alien-like appearance, and it has additional antennae for improved sensory abilities.</t>
  </si>
  <si>
    <t>Skarmory-Alteon boasts a more streamlined, aerodynamic design, with its metallic feathers now being a mix of steel and red-hot molten metal. The edges of its wings appear razor-sharp and have a glowing, fiery aura. Its eyes are now bright orange, and its beak and talons have become more prominent, resembling heated metal.</t>
  </si>
  <si>
    <t>Ludicolo-Alteon takes on a more wintry appearance, with its sombrero-like structure now resembling an icy, snow-covered evergreen tree. Its body is covered in frosty blue and white fur, with patterns resembling snowflakes. The lily pad around its neck has transformed into a ring of icicles, and its eyes now have a playful, frosty blue hue. Its arms and legs have become slightly more elongated, allowing it to move gracefully through snowy terrain.</t>
  </si>
  <si>
    <t>https://cdn.discordapp.com/attachments/1083362848203354193/1092035483648921640/Chtibidi_Garchomp-Alteon_Regular_Pokemon_DragonGround_coloratio_bf206345-eede-4491-b630-d41962179dc0.png</t>
  </si>
  <si>
    <t>https://cdn.discordapp.com/attachments/1083362848203354193/1092061590863491133/Chtibidi_Steel_Armored_Birdcombine_steel_and_red-hot_molten_met_1d5a0380-01f5-4d69-bdec-0fbe5f78b9aa.png</t>
  </si>
  <si>
    <t>https://media.discordapp.net/attachments/1083362848203354193/1092177764766994553/Chtibidi_Terraguardian_Legendary_Pokemon_GroundDragon_Terraguar_74158518-8956-4937-bd4b-438caa35ebc0.png?width=897&amp;height=897</t>
  </si>
  <si>
    <t>https://media.discordapp.net/attachments/1083362848203354193/1092178730052489226/Chtibidi_Celestistorm_Legendary_Pokemon_PsychicElectric_Celesti_1680ffbb-613a-47d1-a1c9-501e8aafb164.png?width=897&amp;height=897</t>
  </si>
  <si>
    <t>Pyrolisk</t>
  </si>
  <si>
    <t>Mindfire</t>
  </si>
  <si>
    <t>When hit by a Psychic-type move, boosts the power of Fire-type moves by 50%</t>
  </si>
  <si>
    <t xml:space="preserve">Psyflame </t>
  </si>
  <si>
    <t>20% chance to lower the opponent's Special Defense by one stag</t>
  </si>
  <si>
    <t>Special</t>
  </si>
  <si>
    <t xml:space="preserve">Frostfeather </t>
  </si>
  <si>
    <t>30% chance to freeze the opponent</t>
  </si>
  <si>
    <t>Volt Venom</t>
  </si>
  <si>
    <t>20% chance to poison the opponent</t>
  </si>
  <si>
    <t>Yin-Yang Strike</t>
  </si>
  <si>
    <t>Physical</t>
  </si>
  <si>
    <t>If oppenent's Def =&lt; SpDef</t>
  </si>
  <si>
    <t>If oppenent's SpeDef &lt; Def</t>
  </si>
  <si>
    <t>20% chance to flinch the opponent</t>
  </si>
  <si>
    <t>Enchanted Chime</t>
  </si>
  <si>
    <t>20% chance to raise either the user's Defense or Special Defense by one stage</t>
  </si>
  <si>
    <t>Gem Eruption</t>
  </si>
  <si>
    <t>20% chance to lower the opponent's Special Attack by one stage</t>
  </si>
  <si>
    <t>Glaciowl</t>
  </si>
  <si>
    <t>Pyrolisk is a medium-sized, phoenix-like Pokémon with a slender, elegant body. Its feathers are a vibrant blend of red, orange, and yellow, giving the appearance of flickering flames. Its long, flowing tail is adorned with wispy, ethereal feathers that emit a soft, psychic glow. Its piercing, purple eyes are said to have hypnotic abilities.</t>
  </si>
  <si>
    <t>Glaciowl is a large, majestic owl Pokémon with a thick, icy plumage that resembles crystalline structures. Its wings are adorned with intricate, frosty patterns that emit a soft, cold aura. Its piercing blue eyes have a wise and calm demeanor, while its sharp talons are perfect for navigating the frigid environments it inhabits.</t>
  </si>
  <si>
    <t>Electrak</t>
  </si>
  <si>
    <t>Venom Shock</t>
  </si>
  <si>
    <t>Paralyzes the opponent when landing a critical hit with a Poison-type move</t>
  </si>
  <si>
    <t xml:space="preserve">Electrak is a medium-sized, serpent-like Pokémon with a sleek, elongated body. It has vibrant, neon-green scales that emit a pulsating electric current, which becomes more intense when it is ready to strike. Its fangs are filled with a potent, poisonous venom that can paralyze its prey. A series of spiky, purple venom sacs run down its spine, glowing with electrical energy.
</t>
  </si>
  <si>
    <t>Balanquill</t>
  </si>
  <si>
    <t>Equilibrium</t>
  </si>
  <si>
    <t>When hit by a super-effective move, raises the lowest stat by one stage</t>
  </si>
  <si>
    <t>Balanquill is a medium-sized, owl-like Pokémon with a unique, balanced design. Its body is divided into two distinct halves, with one side being white and feathery, while the other side appears ghostly, translucent, and ethereal. Its eyes are mismatched—one is golden and the other a glowing purple—symbolizing the balance between life and the afterlife.</t>
  </si>
  <si>
    <t>Chimechoir</t>
  </si>
  <si>
    <t>Harmonize</t>
  </si>
  <si>
    <t>When using a sound-based move, has a 30% chance to heal itself or an ally by 50% of the move's damage</t>
  </si>
  <si>
    <t>Chimechoir is a small, bell-like Pokémon that resembles an intricately designed wind chime. It has a metallic, steel body with a series of small, melodic chimes hanging from it. The chimes are adorned with shimmering, fairy-like wings that emit a soft, magical glow. Chimechoir's chimes produce a harmonious sound that is said to have mesmerizing effects.</t>
  </si>
  <si>
    <t>Gemblaze</t>
  </si>
  <si>
    <t>Lava Surge</t>
  </si>
  <si>
    <t>When using a Fire-type move, has a 30% chance to raise either the user's Attack or Speed by one stage</t>
  </si>
  <si>
    <t>Gemblaze is a medium-sized, golem-like Pokémon with a body made of volcanic rock and molten lava. Its arms and legs are encrusted with a variety of colorful, glowing gems that resemble precious stones. The gems emit a fiery glow, and when Gemblaze enters battle, they burn with a brilliant, dazzling light.</t>
  </si>
  <si>
    <t>Evolution Condition</t>
  </si>
  <si>
    <t xml:space="preserve">Frailope </t>
  </si>
  <si>
    <t xml:space="preserve">Bug </t>
  </si>
  <si>
    <t xml:space="preserve">Soft Shell </t>
  </si>
  <si>
    <t xml:space="preserve">Doubles Defense and Special Defense but takes 2x damage </t>
  </si>
  <si>
    <t xml:space="preserve">Titanant </t>
  </si>
  <si>
    <t xml:space="preserve">Steel </t>
  </si>
  <si>
    <t>Impenetrable Armor</t>
  </si>
  <si>
    <t xml:space="preserve">Takes 0.5x damage from all moves but has halved Speed </t>
  </si>
  <si>
    <t xml:space="preserve">Swiftrunner </t>
  </si>
  <si>
    <t xml:space="preserve">Normal </t>
  </si>
  <si>
    <t xml:space="preserve">Accelerate </t>
  </si>
  <si>
    <t xml:space="preserve">Boosts Speed by one stage every turn </t>
  </si>
  <si>
    <t xml:space="preserve">Blitzstreak </t>
  </si>
  <si>
    <t xml:space="preserve">Overcharge </t>
  </si>
  <si>
    <t xml:space="preserve">Boosts Electric-type moves by 50% when at maximum Speed </t>
  </si>
  <si>
    <t xml:space="preserve">Weebble </t>
  </si>
  <si>
    <t xml:space="preserve">Rock </t>
  </si>
  <si>
    <t xml:space="preserve">Sturdy </t>
  </si>
  <si>
    <t xml:space="preserve">Pokémon cannot be knocked out with one hit </t>
  </si>
  <si>
    <t xml:space="preserve">Crumboulder </t>
  </si>
  <si>
    <t xml:space="preserve">Ground </t>
  </si>
  <si>
    <t xml:space="preserve">Solid Rock </t>
  </si>
  <si>
    <t xml:space="preserve">Reduces super-effective move damage by 25% </t>
  </si>
  <si>
    <t>High friendship (daytime/nighttime)</t>
  </si>
  <si>
    <t xml:space="preserve">Peakolith </t>
  </si>
  <si>
    <t xml:space="preserve">Mountainous Resolve </t>
  </si>
  <si>
    <t xml:space="preserve">Increases Defense and Special Defense by 50% when HP is below 50% </t>
  </si>
  <si>
    <t xml:space="preserve">Tremorock </t>
  </si>
  <si>
    <t xml:space="preserve">Seismic Power </t>
  </si>
  <si>
    <t xml:space="preserve">Boosts the power of Fighting-type moves by 50% when at maximum HP </t>
  </si>
  <si>
    <t>Peakolith/Tremorock</t>
  </si>
  <si>
    <t xml:space="preserve">Frailope is a tiny, fragile caterpillar-like Pokémon with a soft, delicate body. Its large, round eyes give it an innocent appearance.
</t>
  </si>
  <si>
    <t>Titanant, a massive, heavily-armored ant-like Pokémon. Its exoskeleton is made of a sturdy steel material, providing it with impressive durability.</t>
  </si>
  <si>
    <t>Swiftrunner is a small, agile fox-like Pokémon with a slim, streamlined body built for speed. Its fur is a light, sandy color, and its eyes have a determined, focused expression</t>
  </si>
  <si>
    <t>Blitzstreak, a sleek, lightning-fast fox-like Pokémon with electrically charged fur. Its body is covered in bright, neon-yellow and blue markings that resemble lightning bolts.</t>
  </si>
  <si>
    <t>Weebble is a small, round pebble-like Pokémon with tiny arms and legs. It has a simple, yet charming, face with round eyes and a small, happy smile.</t>
  </si>
  <si>
    <t>Crumboulder, a much larger, boulder-like Pokémon with a rugged, craggy exterior. It has powerful arms and legs and a stern, focused facial expression.</t>
  </si>
  <si>
    <t>Peakolith, a towering, mountain-like Pokémon with a jagged, rocky exterior. Its body is adorned with various trees and vegetation, making it resemble a living landscape.</t>
  </si>
  <si>
    <t>Tremorock, a muscular, golem-like Pokémon with a sturdy, rock-like body. Its arms and legs are powerful and covered in layers of stone, giving it the appearance of a rock-based martial artist.</t>
  </si>
  <si>
    <t>https://cdn.discordapp.com/attachments/1083362848203354193/1092530873888411688/Chtibidi_Peakolith_Regular_Pokemon_Rock_Ground__Peakolith_a_tow_36bfbe29-f548-4bbb-b526-fe3e29451282.png</t>
  </si>
  <si>
    <t>https://cdn.discordapp.com/attachments/1083362848203354193/1092531967192486109/Chtibidi_Tremorock_Regular_Pokemon_Rock_Fighting_Tremorock_a_mu_4f9d3df3-58de-4d75-987e-ad360c73617e.png</t>
  </si>
  <si>
    <t>https://cdn.discordapp.com/attachments/1083362848203354193/1093530304586715206/Chtibidi_Tempustorm_Legendary_Pokemon_FlyingElectric_A_bird-lik_dbcde4c0-1d75-473c-b3c6-0bd9da5d9698.png</t>
  </si>
  <si>
    <t>https://media.discordapp.net/attachments/1083362848203354193/1093531808378912898/Chtibidi_Titanant_Regular_Pokemon_BugSteel_Titanant_a_massive_h_12d6ae4f-73d1-4ae3-98ed-4fd2cd329931.png?width=897&amp;height=897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</si>
</sst>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sz val="8"/>
      <name val="Calibri"/>
      <family val="2"/>
      <scheme val="minor"/>
    </font>
    <font>
      <sz val="11"/>
      <color rgb="FF000000"/>
      <name val="Calibri"/>
      <family val="2"/>
      <scheme val="minor"/>
    </font>
    <font>
      <u/>
      <sz val="11"/>
      <color theme="10"/>
      <name val="Calibri"/>
      <family val="2"/>
      <scheme val="minor"/>
    </font>
    <font>
      <sz val="11"/>
      <color theme="1"/>
      <name val="Calibri"/>
      <family val="2"/>
      <scheme val="minor"/>
    </font>
  </fonts>
  <fills count="4">
    <fill>
      <patternFill patternType="none"/>
    </fill>
    <fill>
      <patternFill patternType="gray125"/>
    </fill>
    <fill>
      <patternFill patternType="solid">
        <fgColor theme="9" tint="0.79998168889431442"/>
        <bgColor theme="9" tint="0.79998168889431442"/>
      </patternFill>
    </fill>
    <fill>
      <patternFill patternType="solid">
        <fgColor rgb="FFCC99FF"/>
        <bgColor rgb="FFCC99FF"/>
      </patternFill>
    </fill>
  </fills>
  <borders count="6">
    <border>
      <left/>
      <right/>
      <top/>
      <bottom/>
      <diagonal/>
    </border>
    <border>
      <left/>
      <right/>
      <top style="thin">
        <color theme="9" tint="0.39997558519241921"/>
      </top>
      <bottom style="thin">
        <color theme="9" tint="0.39997558519241921"/>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
      <left/>
      <right/>
      <top style="thin">
        <color theme="4" tint="0.39997558519241921"/>
      </top>
      <bottom style="thin">
        <color theme="4" tint="0.39997558519241921"/>
      </bottom>
      <diagonal/>
    </border>
  </borders>
  <cellStyleXfs count="3">
    <xf numFmtId="0" fontId="0" fillId="0" borderId="0"/>
    <xf numFmtId="0" fontId="3" fillId="0" borderId="0" applyNumberFormat="0" applyFill="0" applyBorder="0" applyAlignment="0" applyProtection="0"/>
    <xf numFmtId="9" fontId="4" fillId="0" borderId="0" applyFont="0" applyFill="0" applyBorder="0" applyAlignment="0" applyProtection="0"/>
  </cellStyleXfs>
  <cellXfs count="17">
    <xf numFmtId="0" fontId="0" fillId="0" borderId="0" xfId="0"/>
    <xf numFmtId="164" fontId="0" fillId="0" borderId="0" xfId="0" applyNumberFormat="1"/>
    <xf numFmtId="164" fontId="0" fillId="2" borderId="1" xfId="0" applyNumberFormat="1" applyFill="1" applyBorder="1"/>
    <xf numFmtId="1" fontId="0" fillId="0" borderId="0" xfId="0" applyNumberFormat="1"/>
    <xf numFmtId="164" fontId="0" fillId="0" borderId="2" xfId="0" applyNumberFormat="1" applyBorder="1"/>
    <xf numFmtId="164" fontId="0" fillId="0" borderId="4" xfId="0" applyNumberFormat="1" applyBorder="1"/>
    <xf numFmtId="0" fontId="0" fillId="0" borderId="0" xfId="0" applyAlignment="1">
      <alignment vertical="center"/>
    </xf>
    <xf numFmtId="0" fontId="0" fillId="0" borderId="0" xfId="0" applyAlignment="1">
      <alignment vertical="center" wrapText="1"/>
    </xf>
    <xf numFmtId="1" fontId="0" fillId="0" borderId="0" xfId="0" applyNumberFormat="1" applyAlignment="1">
      <alignment vertical="center"/>
    </xf>
    <xf numFmtId="164" fontId="2" fillId="3" borderId="2" xfId="0" applyNumberFormat="1" applyFont="1" applyFill="1" applyBorder="1" applyAlignment="1">
      <alignment horizontal="center"/>
    </xf>
    <xf numFmtId="164" fontId="2" fillId="3" borderId="3" xfId="0" applyNumberFormat="1" applyFont="1" applyFill="1" applyBorder="1" applyAlignment="1">
      <alignment horizontal="center"/>
    </xf>
    <xf numFmtId="164" fontId="2" fillId="3" borderId="4" xfId="0" applyNumberFormat="1" applyFont="1" applyFill="1" applyBorder="1" applyAlignment="1">
      <alignment horizontal="center"/>
    </xf>
    <xf numFmtId="0" fontId="3" fillId="0" borderId="0" xfId="1" applyAlignment="1">
      <alignment vertical="center"/>
    </xf>
    <xf numFmtId="0" fontId="0" fillId="0" borderId="0" xfId="0" applyNumberFormat="1" applyAlignment="1">
      <alignment vertical="center"/>
    </xf>
    <xf numFmtId="0" fontId="0" fillId="0" borderId="0" xfId="0" applyNumberFormat="1"/>
    <xf numFmtId="9" fontId="0" fillId="0" borderId="0" xfId="2" applyFont="1" applyAlignment="1">
      <alignment vertical="center"/>
    </xf>
    <xf numFmtId="0" fontId="3" fillId="0" borderId="5" xfId="1" applyFont="1" applyBorder="1" applyAlignment="1">
      <alignment vertical="center"/>
    </xf>
  </cellXfs>
  <cellStyles count="3">
    <cellStyle name="Hyperlink" xfId="1" builtinId="8"/>
    <cellStyle name="Normal" xfId="0" builtinId="0"/>
    <cellStyle name="Percent" xfId="2" builtinId="5"/>
  </cellStyles>
  <dxfs count="92">
    <dxf>
      <numFmt numFmtId="0" formatCode="General"/>
    </dxf>
    <dxf>
      <numFmt numFmtId="0" formatCode="General"/>
    </dxf>
    <dxf>
      <numFmt numFmtId="1" formatCode="0"/>
    </dxf>
    <dxf>
      <numFmt numFmtId="164" formatCode="0.0"/>
    </dxf>
    <dxf>
      <numFmt numFmtId="164" formatCode="0.0"/>
      <border diagonalUp="0" diagonalDown="0">
        <left style="thin">
          <color rgb="FF000000"/>
        </left>
        <right/>
        <top/>
        <bottom/>
        <vertical/>
        <horizontal/>
      </border>
    </dxf>
    <dxf>
      <font>
        <strike val="0"/>
        <outline val="0"/>
        <shadow val="0"/>
        <u val="none"/>
        <vertAlign val="baseline"/>
        <sz val="11"/>
        <color rgb="FF000000"/>
        <name val="Calibri"/>
        <family val="2"/>
        <scheme val="minor"/>
      </font>
      <numFmt numFmtId="164" formatCode="0.0"/>
      <fill>
        <patternFill patternType="solid">
          <fgColor rgb="FFCC99FF"/>
          <bgColor rgb="FFCC99FF"/>
        </patternFill>
      </fill>
      <alignment horizontal="center" vertical="bottom" textRotation="0" wrapText="0" indent="0" justifyLastLine="0" shrinkToFit="0" readingOrder="0"/>
      <border diagonalUp="0" diagonalDown="0">
        <left style="thin">
          <color rgb="FF000000"/>
        </left>
        <right/>
        <top/>
        <bottom/>
        <vertical/>
        <horizontal/>
      </border>
    </dxf>
    <dxf>
      <font>
        <strike val="0"/>
        <outline val="0"/>
        <shadow val="0"/>
        <u val="none"/>
        <vertAlign val="baseline"/>
        <sz val="11"/>
        <color rgb="FF000000"/>
        <name val="Calibri"/>
        <family val="2"/>
        <scheme val="minor"/>
      </font>
      <numFmt numFmtId="164" formatCode="0.0"/>
      <fill>
        <patternFill patternType="solid">
          <fgColor rgb="FFCC99FF"/>
          <bgColor rgb="FFCC99FF"/>
        </patternFill>
      </fill>
      <alignment horizontal="center" vertical="bottom" textRotation="0" wrapText="0" indent="0" justifyLastLine="0" shrinkToFit="0" readingOrder="0"/>
      <border diagonalUp="0" diagonalDown="0">
        <left style="thin">
          <color rgb="FF000000"/>
        </left>
        <right style="thin">
          <color rgb="FF000000"/>
        </right>
        <top/>
        <bottom/>
        <vertical/>
        <horizontal/>
      </border>
    </dxf>
    <dxf>
      <font>
        <strike val="0"/>
        <outline val="0"/>
        <shadow val="0"/>
        <u val="none"/>
        <vertAlign val="baseline"/>
        <sz val="11"/>
        <color rgb="FF000000"/>
        <name val="Calibri"/>
        <family val="2"/>
        <scheme val="minor"/>
      </font>
      <numFmt numFmtId="164" formatCode="0.0"/>
      <fill>
        <patternFill patternType="solid">
          <fgColor rgb="FFCC99FF"/>
          <bgColor rgb="FFCC99FF"/>
        </patternFill>
      </fill>
      <alignment horizontal="center" vertical="bottom" textRotation="0" wrapText="0" indent="0" justifyLastLine="0" shrinkToFit="0" readingOrder="0"/>
      <border diagonalUp="0" diagonalDown="0">
        <left style="thin">
          <color rgb="FF000000"/>
        </left>
        <right style="thin">
          <color rgb="FF000000"/>
        </right>
        <top/>
        <bottom/>
        <vertical/>
        <horizontal/>
      </border>
    </dxf>
    <dxf>
      <font>
        <strike val="0"/>
        <outline val="0"/>
        <shadow val="0"/>
        <u val="none"/>
        <vertAlign val="baseline"/>
        <sz val="11"/>
        <color rgb="FF000000"/>
        <name val="Calibri"/>
        <family val="2"/>
        <scheme val="minor"/>
      </font>
      <numFmt numFmtId="164" formatCode="0.0"/>
      <fill>
        <patternFill patternType="solid">
          <fgColor rgb="FFCC99FF"/>
          <bgColor rgb="FFCC99FF"/>
        </patternFill>
      </fill>
      <alignment horizontal="center" vertical="bottom" textRotation="0" wrapText="0" indent="0" justifyLastLine="0" shrinkToFit="0" readingOrder="0"/>
      <border diagonalUp="0" diagonalDown="0">
        <left/>
        <right style="thin">
          <color rgb="FF000000"/>
        </right>
        <top/>
        <bottom/>
        <vertical/>
        <horizontal/>
      </border>
    </dxf>
    <dxf>
      <numFmt numFmtId="164" formatCode="0.0"/>
      <border diagonalUp="0" diagonalDown="0">
        <left/>
        <right style="thin">
          <color rgb="FF000000"/>
        </right>
        <top/>
        <bottom/>
        <vertical/>
        <horizontal/>
      </border>
    </dxf>
    <dxf>
      <numFmt numFmtId="164" formatCode="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rgb="FFFF7979"/>
        </patternFill>
      </fill>
    </dxf>
    <dxf>
      <fill>
        <patternFill>
          <bgColor rgb="FFFFBDBD"/>
        </patternFill>
      </fill>
    </dxf>
    <dxf>
      <fill>
        <patternFill>
          <bgColor rgb="FFF8CEB2"/>
        </patternFill>
      </fill>
    </dxf>
    <dxf>
      <fill>
        <patternFill>
          <bgColor rgb="FFFFFFB7"/>
        </patternFill>
      </fill>
    </dxf>
    <dxf>
      <fill>
        <patternFill>
          <bgColor rgb="FFE9FEB4"/>
        </patternFill>
      </fill>
    </dxf>
    <dxf>
      <fill>
        <patternFill>
          <bgColor rgb="FFBBDAA6"/>
        </patternFill>
      </fill>
    </dxf>
    <dxf>
      <fill>
        <patternFill>
          <bgColor rgb="FFB2DEE0"/>
        </patternFill>
      </fill>
    </dxf>
    <dxf>
      <fill>
        <patternFill>
          <bgColor rgb="FFA3C7E7"/>
        </patternFill>
      </fill>
    </dxf>
    <dxf>
      <fill>
        <patternFill>
          <bgColor rgb="FFCBA9E5"/>
        </patternFill>
      </fill>
    </dxf>
    <dxf>
      <font>
        <strike val="0"/>
        <u/>
        <color theme="0"/>
      </font>
      <fill>
        <patternFill>
          <fgColor auto="1"/>
          <bgColor rgb="FFE650E6"/>
        </patternFill>
      </fill>
    </dxf>
    <dxf>
      <fill>
        <patternFill>
          <bgColor rgb="FFD983E5"/>
        </patternFill>
      </fill>
    </dxf>
    <dxf>
      <fill>
        <patternFill patternType="solid">
          <fgColor rgb="FFFF00FF"/>
          <bgColor rgb="FFFFD5FF"/>
        </patternFill>
      </fill>
      <alignment wrapText="1" shrinkToFit="0"/>
      <border>
        <left/>
        <right/>
        <top/>
        <bottom/>
      </border>
    </dxf>
    <dxf>
      <fill>
        <patternFill patternType="solid">
          <fgColor rgb="FF9900FF"/>
          <bgColor rgb="FFE3B9FF"/>
        </patternFill>
      </fill>
      <alignment wrapText="1" shrinkToFit="0"/>
      <border>
        <left/>
        <right/>
        <top/>
        <bottom/>
      </border>
    </dxf>
    <dxf>
      <fill>
        <patternFill patternType="solid">
          <fgColor rgb="FF0000FF"/>
          <bgColor rgb="FFC1C1FF"/>
        </patternFill>
      </fill>
      <alignment wrapText="1" shrinkToFit="0"/>
      <border>
        <left/>
        <right/>
        <top/>
        <bottom/>
      </border>
    </dxf>
    <dxf>
      <fill>
        <patternFill patternType="solid">
          <fgColor rgb="FF4A86E8"/>
          <bgColor rgb="FFBFD4F7"/>
        </patternFill>
      </fill>
      <alignment wrapText="1" shrinkToFit="0"/>
      <border>
        <left/>
        <right/>
        <top/>
        <bottom/>
      </border>
    </dxf>
    <dxf>
      <fill>
        <patternFill patternType="solid">
          <fgColor rgb="FF00FFFF"/>
          <bgColor rgb="FFB3FFFF"/>
        </patternFill>
      </fill>
      <alignment wrapText="1" shrinkToFit="0"/>
      <border>
        <left/>
        <right/>
        <top/>
        <bottom/>
      </border>
    </dxf>
    <dxf>
      <fill>
        <patternFill patternType="solid">
          <fgColor rgb="FF00FF00"/>
          <bgColor rgb="FFBDFFBD"/>
        </patternFill>
      </fill>
      <alignment wrapText="1" shrinkToFit="0"/>
      <border>
        <left/>
        <right/>
        <top/>
        <bottom/>
      </border>
    </dxf>
    <dxf>
      <fill>
        <patternFill patternType="solid">
          <fgColor rgb="FFFFFF00"/>
          <bgColor rgb="FFFFFFD1"/>
        </patternFill>
      </fill>
      <alignment wrapText="1" shrinkToFit="0"/>
      <border>
        <left/>
        <right/>
        <top/>
        <bottom/>
      </border>
    </dxf>
    <dxf>
      <fill>
        <patternFill patternType="solid">
          <fgColor rgb="FFFF9900"/>
          <bgColor rgb="FFFFD79B"/>
        </patternFill>
      </fill>
      <alignment wrapText="1" shrinkToFit="0"/>
      <border>
        <left/>
        <right/>
        <top/>
        <bottom/>
      </border>
    </dxf>
    <dxf>
      <fill>
        <patternFill patternType="solid">
          <fgColor rgb="FFFF0000"/>
          <bgColor rgb="FFFFC1C1"/>
        </patternFill>
      </fill>
      <alignment wrapText="1" shrinkToFit="0"/>
      <border>
        <left/>
        <right/>
        <top/>
        <bottom/>
      </border>
    </dxf>
    <dxf>
      <fill>
        <patternFill patternType="solid">
          <fgColor rgb="FF980000"/>
          <bgColor rgb="FFFFA3A3"/>
        </patternFill>
      </fill>
      <alignment wrapText="1" shrinkToFit="0"/>
      <border>
        <left/>
        <right/>
        <top/>
        <bottom/>
      </border>
    </dxf>
    <dxf>
      <fill>
        <patternFill>
          <bgColor rgb="FFFF7979"/>
        </patternFill>
      </fill>
    </dxf>
    <dxf>
      <fill>
        <patternFill>
          <bgColor rgb="FFFFBDBD"/>
        </patternFill>
      </fill>
    </dxf>
    <dxf>
      <fill>
        <patternFill>
          <bgColor rgb="FFF8CEB2"/>
        </patternFill>
      </fill>
    </dxf>
    <dxf>
      <fill>
        <patternFill>
          <bgColor rgb="FFFFFFB7"/>
        </patternFill>
      </fill>
    </dxf>
    <dxf>
      <fill>
        <patternFill>
          <bgColor rgb="FFE9FEB4"/>
        </patternFill>
      </fill>
    </dxf>
    <dxf>
      <fill>
        <patternFill>
          <bgColor rgb="FFBBDAA6"/>
        </patternFill>
      </fill>
    </dxf>
    <dxf>
      <fill>
        <patternFill>
          <bgColor rgb="FFB2DEE0"/>
        </patternFill>
      </fill>
    </dxf>
    <dxf>
      <fill>
        <patternFill>
          <bgColor rgb="FFA3C7E7"/>
        </patternFill>
      </fill>
    </dxf>
    <dxf>
      <fill>
        <patternFill>
          <bgColor rgb="FFCBA9E5"/>
        </patternFill>
      </fill>
    </dxf>
    <dxf>
      <font>
        <strike val="0"/>
        <u/>
        <color theme="0"/>
      </font>
      <fill>
        <patternFill>
          <fgColor auto="1"/>
          <bgColor rgb="FFE650E6"/>
        </patternFill>
      </fill>
    </dxf>
    <dxf>
      <fill>
        <patternFill>
          <bgColor rgb="FFD983E5"/>
        </patternFill>
      </fill>
    </dxf>
    <dxf>
      <alignment horizontal="general" vertical="center" textRotation="0" wrapText="0" indent="0" justifyLastLine="0" shrinkToFit="0" readingOrder="0"/>
    </dxf>
    <dxf>
      <alignment horizontal="general" vertical="center" textRotation="0"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numFmt numFmtId="1" formatCode="0"/>
    </dxf>
    <dxf>
      <numFmt numFmtId="0" formatCode="General"/>
    </dxf>
    <dxf>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numFmt numFmtId="1" formatCode="0"/>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Light16"/>
  <colors>
    <mruColors>
      <color rgb="FFFF7979"/>
      <color rgb="FFFFBDBD"/>
      <color rgb="FFF8CEB2"/>
      <color rgb="FFFFFFB7"/>
      <color rgb="FFE9FEB4"/>
      <color rgb="FFBBDAA6"/>
      <color rgb="FFB2DEE0"/>
      <color rgb="FFA3C7E7"/>
      <color rgb="FFCBA9E5"/>
      <color rgb="FFD983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E5CC4DC7-3C30-41E0-81DA-73812F155F45}" autoFormatId="16" applyNumberFormats="0" applyBorderFormats="0" applyFontFormats="0" applyPatternFormats="0" applyAlignmentFormats="0" applyWidthHeightFormats="0">
  <queryTableRefresh nextId="38" unboundColumnsRight="20">
    <queryTableFields count="30">
      <queryTableField id="1" name="Pokédex number" tableColumnId="1"/>
      <queryTableField id="2" name="Name" tableColumnId="2"/>
      <queryTableField id="34" name="Type 1" tableColumnId="29"/>
      <queryTableField id="35" name="Type 2" tableColumnId="30"/>
      <queryTableField id="3" name="HP" tableColumnId="3"/>
      <queryTableField id="4" name="Atk" tableColumnId="4"/>
      <queryTableField id="5" name="Def" tableColumnId="5"/>
      <queryTableField id="15" name="SpA" tableColumnId="15"/>
      <queryTableField id="8" name="SPD" tableColumnId="8"/>
      <queryTableField id="16" name="Spe" tableColumnId="16"/>
      <queryTableField id="9" dataBound="0" tableColumnId="9"/>
      <queryTableField id="10" dataBound="0" tableColumnId="10"/>
      <queryTableField id="11" dataBound="0" tableColumnId="11"/>
      <queryTableField id="12" dataBound="0" tableColumnId="12"/>
      <queryTableField id="13" dataBound="0" tableColumnId="13"/>
      <queryTableField id="18" dataBound="0" tableColumnId="17"/>
      <queryTableField id="14" dataBound="0" tableColumnId="14"/>
      <queryTableField id="19" dataBound="0" tableColumnId="18"/>
      <queryTableField id="20" dataBound="0" tableColumnId="19"/>
      <queryTableField id="21" dataBound="0" tableColumnId="20"/>
      <queryTableField id="22" dataBound="0" tableColumnId="21"/>
      <queryTableField id="23" dataBound="0" tableColumnId="22"/>
      <queryTableField id="24" dataBound="0" tableColumnId="23"/>
      <queryTableField id="25" dataBound="0" tableColumnId="24"/>
      <queryTableField id="26" dataBound="0" tableColumnId="25"/>
      <queryTableField id="27" dataBound="0" tableColumnId="26"/>
      <queryTableField id="28" dataBound="0" tableColumnId="27"/>
      <queryTableField id="29" dataBound="0" tableColumnId="28"/>
      <queryTableField id="31" dataBound="0" tableColumnId="7"/>
      <queryTableField id="33" dataBound="0" tableColumnId="6"/>
    </queryTableFields>
    <queryTableDeletedFields count="2">
      <deletedField name="Overall Rating"/>
      <deletedField name="Overall Rating"/>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BE667258-FC86-4DA3-ACE2-D8C2BCAD9CD8}" autoFormatId="16" applyNumberFormats="0" applyBorderFormats="0" applyFontFormats="0" applyPatternFormats="0" applyAlignmentFormats="0" applyWidthHeightFormats="0">
  <queryTableRefresh nextId="6" unboundColumnsRight="2">
    <queryTableFields count="5">
      <queryTableField id="1" name="Pokédex number" tableColumnId="1"/>
      <queryTableField id="2" name="Name" tableColumnId="2"/>
      <queryTableField id="3" name="Overall Rating" tableColumnId="3"/>
      <queryTableField id="4" dataBound="0" tableColumnId="4"/>
      <queryTableField id="5" dataBound="0" tableColumnId="5"/>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25349F-0555-426F-A53E-CBD3F1E80983}" name="Pokedex" displayName="Pokedex" ref="A1:X138" totalsRowShown="0" headerRowDxfId="91" dataDxfId="90">
  <autoFilter ref="A1:X138" xr:uid="{0C25349F-0555-426F-A53E-CBD3F1E80983}"/>
  <sortState xmlns:xlrd2="http://schemas.microsoft.com/office/spreadsheetml/2017/richdata2" ref="A2:X138">
    <sortCondition descending="1" ref="U1:U138"/>
  </sortState>
  <tableColumns count="24">
    <tableColumn id="1" xr3:uid="{B4DEA39C-03EB-4D4E-AABF-4255FDE7FAE8}" name="Pokédex number" dataDxfId="89"/>
    <tableColumn id="2" xr3:uid="{BAED2196-C78B-4F8F-A452-2C4E465E6221}" name="Name" dataDxfId="88"/>
    <tableColumn id="3" xr3:uid="{1B46686A-86A0-4BAA-9141-FA17D9A14D48}" name="Type 1" dataDxfId="87"/>
    <tableColumn id="4" xr3:uid="{8E323E5E-25DB-4E12-8E8D-A2E412103E41}" name="Type 2" dataDxfId="86"/>
    <tableColumn id="5" xr3:uid="{76404424-878C-40F1-AC47-CD6F1FC2842E}" name="HP" dataDxfId="85"/>
    <tableColumn id="6" xr3:uid="{7E4AC118-B875-4930-B909-F8BFFD15D43A}" name="Atk" dataDxfId="84"/>
    <tableColumn id="7" xr3:uid="{F5C7219F-0023-424F-8F30-6BACD0AB34D5}" name="Def" dataDxfId="83"/>
    <tableColumn id="8" xr3:uid="{770FFB4C-894D-4BA5-8FC8-B5AA4B7A5CAA}" name="SpA" dataDxfId="82"/>
    <tableColumn id="9" xr3:uid="{2B819655-06C8-4BAC-AB02-A73EC73DD5DD}" name="SpD" dataDxfId="81"/>
    <tableColumn id="10" xr3:uid="{5369DA7A-A968-42FE-A39E-6C9B99AFE589}" name="Spe" dataDxfId="80"/>
    <tableColumn id="13" xr3:uid="{43999676-FFA4-4618-B0FE-058B4056DE96}" name="Total Stats" dataDxfId="79">
      <calculatedColumnFormula>SUM(Pokedex[[#This Row],[HP]:[Spe]])</calculatedColumnFormula>
    </tableColumn>
    <tableColumn id="11" xr3:uid="{A205F0C5-F62A-45F2-808F-1128C8EF79DD}" name="Ability 1" dataDxfId="78"/>
    <tableColumn id="19" xr3:uid="{65384A40-676E-4C78-8070-D24D046EA2F3}" name="New Ability Description" dataDxfId="77"/>
    <tableColumn id="12" xr3:uid="{2CC7A396-0016-4A4D-9B58-CF517A043FF6}" name="Ability 2" dataDxfId="76"/>
    <tableColumn id="15" xr3:uid="{725150B7-95A3-40A8-ABD9-4E81C0F099F4}" name="Physical Description" dataDxfId="75"/>
    <tableColumn id="16" xr3:uid="{20A33C8C-2D6A-420C-8995-3B6735C32A23}" name="Weaknesses" dataDxfId="74"/>
    <tableColumn id="17" xr3:uid="{04C8A865-E72B-463C-9FDB-2236DBB649FF}" name="Strengths" dataDxfId="73"/>
    <tableColumn id="18" xr3:uid="{64C04E28-1C1C-4911-B8B5-0CE917570BDB}" name="Evolution" dataDxfId="72"/>
    <tableColumn id="20" xr3:uid="{032661FA-30CD-4C20-B5EA-CFD4C237EC61}" name="Evolution Level" dataDxfId="71"/>
    <tableColumn id="26" xr3:uid="{B19A303F-CA54-478C-9333-A6DF53A96486}" name="Evolution Condition" dataDxfId="53"/>
    <tableColumn id="23" xr3:uid="{F070858C-F243-4B0B-AD11-487E8E716D30}" name="Overall Rating" dataDxfId="70">
      <calculatedColumnFormula array="1">INDEX(CAP[Overall Rating],MATCH(Pokedex[[#This Row],[Name]],CAP[Name],0),0)</calculatedColumnFormula>
    </tableColumn>
    <tableColumn id="14" xr3:uid="{286F8873-BDEC-4C61-A2E3-E48BD80A7E41}" name="Image link" dataDxfId="69"/>
    <tableColumn id="24" xr3:uid="{141276A7-E6BC-4AF7-AFC5-AB3B77F37DFF}" name="Prompt" dataDxfId="68">
      <calculatedColumnFormula>"/imagine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calculatedColumnFormula>
    </tableColumn>
    <tableColumn id="25" xr3:uid="{641F40E8-48D9-438A-87B4-0B3361D86B6B}" name="Variant ID" dataDxfId="6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EC4BDDA-F5E6-4D2E-8A6C-005D62C06D8A}" name="CAP" displayName="CAP" ref="A1:AD138" tableType="queryTable" totalsRowShown="0">
  <autoFilter ref="A1:AD138" xr:uid="{CEC4BDDA-F5E6-4D2E-8A6C-005D62C06D8A}"/>
  <sortState xmlns:xlrd2="http://schemas.microsoft.com/office/spreadsheetml/2017/richdata2" ref="A2:AD138">
    <sortCondition descending="1" ref="A1:A138"/>
  </sortState>
  <tableColumns count="30">
    <tableColumn id="1" xr3:uid="{6DFE5846-9AA1-4603-B5B8-7D4BAD328893}" uniqueName="1" name="Pokédex number" queryTableFieldId="1"/>
    <tableColumn id="2" xr3:uid="{2CB2E117-7676-471F-A6E6-246CEDB19085}" uniqueName="2" name="Name" queryTableFieldId="2" dataDxfId="20"/>
    <tableColumn id="29" xr3:uid="{FB2350E9-54DA-449E-968A-9FE5E946D9E5}" uniqueName="29" name="Type 1" queryTableFieldId="34" dataDxfId="19"/>
    <tableColumn id="30" xr3:uid="{4375D122-97FD-4365-8AA2-A9FF85B72E54}" uniqueName="30" name="Type 2" queryTableFieldId="35" dataDxfId="18"/>
    <tableColumn id="3" xr3:uid="{C0C72C07-C374-41E6-98A9-36DB234320D6}" uniqueName="3" name="HP" queryTableFieldId="3"/>
    <tableColumn id="4" xr3:uid="{359942EC-B7FD-4C1E-AC2F-BFB4F232D31E}" uniqueName="4" name="Atk" queryTableFieldId="4"/>
    <tableColumn id="5" xr3:uid="{E0733403-FDD1-4340-BF62-8D068174397B}" uniqueName="5" name="Def" queryTableFieldId="5"/>
    <tableColumn id="15" xr3:uid="{8F33168A-770C-4D0C-BC13-FF492A9B8E37}" uniqueName="15" name="SpA" queryTableFieldId="15"/>
    <tableColumn id="8" xr3:uid="{D96D67CA-4D81-4AF7-8F07-5BD447B82E1F}" uniqueName="8" name="SpD" queryTableFieldId="8"/>
    <tableColumn id="16" xr3:uid="{E483E363-F57B-43E0-B3F8-8D4D13E425BD}" uniqueName="16" name="Spe" queryTableFieldId="16"/>
    <tableColumn id="9" xr3:uid="{21EE8371-C4C6-439C-926E-FA7B587D6F4D}" uniqueName="9" name="Stat HP" queryTableFieldId="9" dataDxfId="17">
      <calculatedColumnFormula>CAP[[#This Row],[HP]]*2+141</calculatedColumnFormula>
    </tableColumn>
    <tableColumn id="10" xr3:uid="{066A1087-1DE4-4767-88B6-D40AB7DE3CC7}" uniqueName="10" name="Stat Atk" queryTableFieldId="10" dataDxfId="16">
      <calculatedColumnFormula>CAP[[#This Row],[Atk]]*2+36</calculatedColumnFormula>
    </tableColumn>
    <tableColumn id="11" xr3:uid="{9E26368F-53D2-41C5-8BBA-CD8F8FAAD9B9}" uniqueName="11" name="Stat Def" queryTableFieldId="11">
      <calculatedColumnFormula>CAP[[#This Row],[Def]]*2+36</calculatedColumnFormula>
    </tableColumn>
    <tableColumn id="12" xr3:uid="{05E82DE0-F01E-4DE6-AF26-0240842EA2E9}" uniqueName="12" name="Stat SpA" queryTableFieldId="12">
      <calculatedColumnFormula>CAP[[#This Row],[SpA]]*2+36</calculatedColumnFormula>
    </tableColumn>
    <tableColumn id="13" xr3:uid="{D3D230A5-D967-4007-9C16-0D1B83D95357}" uniqueName="13" name="Stat SpD" queryTableFieldId="13" dataDxfId="15">
      <calculatedColumnFormula>CAP[[#This Row],[SpD]]*2+36</calculatedColumnFormula>
    </tableColumn>
    <tableColumn id="17" xr3:uid="{EFA2CB12-63D4-4295-97E5-656DF0B1ED64}" uniqueName="17" name="Stat Spe" queryTableFieldId="18" dataDxfId="14">
      <calculatedColumnFormula>CAP[[#This Row],[SPD Factor]]/822</calculatedColumnFormula>
    </tableColumn>
    <tableColumn id="14" xr3:uid="{F9217FD1-D2D2-4E98-A7C0-BE0877339BE1}" uniqueName="14" name="SPD Factor" queryTableFieldId="14" dataDxfId="13">
      <calculatedColumnFormula>VLOOKUP(CAP[[#This Row],[Spe]],SpeedFactor[#All], 2, TRUE)</calculatedColumnFormula>
    </tableColumn>
    <tableColumn id="18" xr3:uid="{BFA8924F-4963-408D-BC56-2CFE88837FF2}" uniqueName="18" name="RPT" queryTableFieldId="19" dataDxfId="12">
      <calculatedColumnFormula>CAP[[#This Row],[Stat HP]]*CAP[[#This Row],[Stat Def]]</calculatedColumnFormula>
    </tableColumn>
    <tableColumn id="19" xr3:uid="{F97BAE1D-15D7-4658-AA2C-FED50F87C61A}" uniqueName="19" name="RST" queryTableFieldId="20" dataDxfId="11">
      <calculatedColumnFormula>CAP[[#This Row],[Stat HP]]*CAP[[#This Row],[Stat SpD]]</calculatedColumnFormula>
    </tableColumn>
    <tableColumn id="20" xr3:uid="{419023B8-6D65-4E7E-AD84-53C1970D7820}" uniqueName="20" name="RPS" queryTableFieldId="21" dataDxfId="10">
      <calculatedColumnFormula>CAP[[#This Row],[Stat Atk]]*(CAP[[#This Row],[Stat Atk]]*CAP[[#This Row],[Stat Spe]]+415)/(CAP[[#This Row],[Stat Atk]]*(1-CAP[[#This Row],[Stat Spe]])+415)</calculatedColumnFormula>
    </tableColumn>
    <tableColumn id="21" xr3:uid="{CD31D583-F260-4412-93F5-703A654F2D35}" uniqueName="21" name="RSS" queryTableFieldId="22" dataDxfId="9">
      <calculatedColumnFormula>CAP[[#This Row],[Stat SpA]]*(CAP[[#This Row],[Stat SpA]]*CAP[[#This Row],[Stat Spe]]+415)/(CAP[[#This Row],[Stat SpA]]*(1-CAP[[#This Row],[Stat Spe]])+415)</calculatedColumnFormula>
    </tableColumn>
    <tableColumn id="22" xr3:uid="{CBCDB5E3-04BE-466C-8773-0405E449B710}" uniqueName="22" name="PT" queryTableFieldId="23" dataDxfId="8">
      <calculatedColumnFormula>(CAP[[#This Row],[RPT]] /432.441508090053)-22.8128616201416</calculatedColumnFormula>
    </tableColumn>
    <tableColumn id="23" xr3:uid="{D1A83DF9-4286-44CD-B778-035AD34FDD4F}" uniqueName="23" name="ST" queryTableFieldId="24" dataDxfId="7">
      <calculatedColumnFormula>(CAP[[#This Row],[RST]] /426.30249118172)-22.4239890939417</calculatedColumnFormula>
    </tableColumn>
    <tableColumn id="24" xr3:uid="{C5FD4C21-B8FE-4256-ABB0-80FC7C406479}" uniqueName="24" name="PS" queryTableFieldId="25" dataDxfId="6">
      <calculatedColumnFormula>(CAP[[#This Row],[RPS]]/2.21869141127892)+2.84495101810441</calculatedColumnFormula>
    </tableColumn>
    <tableColumn id="25" xr3:uid="{FDAB7B14-81E2-4EA0-AF65-C602F46474E3}" uniqueName="25" name="SS" queryTableFieldId="26" dataDxfId="5">
      <calculatedColumnFormula>(CAP[[#This Row],[RSS]]/2.30100441716059)+11.4244456864885</calculatedColumnFormula>
    </tableColumn>
    <tableColumn id="26" xr3:uid="{14E7EC40-2C6C-480A-9123-78774E71849A}" uniqueName="26" name="ODB" queryTableFieldId="27" dataDxfId="4">
      <calculatedColumnFormula>(MAX(CAP[[#This Row],[PS]],CAP[[#This Row],[SS]]) - MAX(CAP[[#This Row],[PT]],CAP[[#This Row],[ST]])) / 6.165301 - 0.490854</calculatedColumnFormula>
    </tableColumn>
    <tableColumn id="27" xr3:uid="{A042B801-AC21-4F5F-925C-001428A8D687}" uniqueName="27" name="PSB" queryTableFieldId="28" dataDxfId="3">
      <calculatedColumnFormula>(CAP[[#This Row],[PT]] - CAP[[#This Row],[ST]] + CAP[[#This Row],[PS]] - CAP[[#This Row],[SS]]) / 6.8267</calculatedColumnFormula>
    </tableColumn>
    <tableColumn id="28" xr3:uid="{BDD61038-962A-4CFC-BD8D-DDDCE580EDEC}" uniqueName="28" name="Overall Rating" queryTableFieldId="29" dataDxfId="2">
      <calculatedColumnFormula xml:space="preserve"> (CAP[[#This Row],[PT]] + CAP[[#This Row],[ST]] + CAP[[#This Row],[PS]] + CAP[[#This Row],[SS]]) /1.54532785176361-58.8447490566471</calculatedColumnFormula>
    </tableColumn>
    <tableColumn id="7" xr3:uid="{A01200CF-3C41-473B-A2DA-CEB757F37D27}" uniqueName="7" name="RatingLabel" queryTableFieldId="31" dataDxfId="1">
      <calculatedColumnFormula>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calculatedColumnFormula>
    </tableColumn>
    <tableColumn id="6" xr3:uid="{5E44E928-2893-44BA-8121-B21D0A014F2E}" uniqueName="6" name="Movepool size" queryTableFieldId="33" dataDxfId="0">
      <calculatedColumnFormula>IF(CAP[[#This Row],[Overall Rating]]&lt;=200,80,IF(CAP[[#This Row],[Overall Rating]]&lt;250,75,IF(CAP[[#This Row],[Overall Rating]]&lt;300,70,IF(CAP[[#This Row],[Overall Rating]]&lt;350,65,IF(CAP[[#This Row],[Overall Rating]]&lt;400,60,IF(CAP[[#This Row],[Overall Rating]]&lt;450,55,50))))))</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F5B0380-29C8-4B07-8320-E2ED2EDE7C5B}" name="MovePool" displayName="MovePool" ref="A1:E125" tableType="queryTable" totalsRowShown="0">
  <autoFilter ref="A1:E125" xr:uid="{FF5B0380-29C8-4B07-8320-E2ED2EDE7C5B}"/>
  <sortState xmlns:xlrd2="http://schemas.microsoft.com/office/spreadsheetml/2017/richdata2" ref="A2:E125">
    <sortCondition ref="A1:A125"/>
  </sortState>
  <tableColumns count="5">
    <tableColumn id="1" xr3:uid="{F771DA56-764A-4742-9317-A1A257BB11C7}" uniqueName="1" name="Pokédex number" queryTableFieldId="1"/>
    <tableColumn id="2" xr3:uid="{24BB29B6-3B98-4605-B5BF-2719BD24DCD5}" uniqueName="2" name="Name" queryTableFieldId="2" dataDxfId="66"/>
    <tableColumn id="3" xr3:uid="{FBA131CC-08E3-4ED6-A200-6F76A58ECF9F}" uniqueName="3" name="Overall Rating" queryTableFieldId="3" dataDxfId="65"/>
    <tableColumn id="4" xr3:uid="{49AD43A5-D447-4B01-9B69-A598A35CC554}" uniqueName="4" name="MovePool Size" queryTableFieldId="4">
      <calculatedColumnFormula>IF(MovePool[[#This Row],[Overall Rating]]&lt;=200,80,IF(MovePool[[#This Row],[Overall Rating]]&lt;250,75,IF(MovePool[[#This Row],[Overall Rating]]&lt;300,70,IF(MovePool[[#This Row],[Overall Rating]]&lt;350,65,IF(MovePool[[#This Row],[Overall Rating]]&lt;400,60,IF(MovePool[[#This Row],[Overall Rating]]&lt;450,55,50))))))</calculatedColumnFormula>
    </tableColumn>
    <tableColumn id="5" xr3:uid="{322DC8EC-8102-4C43-983B-47ECD39F964D}" uniqueName="5" name="MoveList" queryTableFieldId="5"/>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3EB859A-9D3B-4DE1-A4CA-D284603432FF}" name="SpeedFactor" displayName="SpeedFactor" ref="A1:B256" totalsRowShown="0">
  <autoFilter ref="A1:B256" xr:uid="{93EB859A-9D3B-4DE1-A4CA-D284603432FF}"/>
  <tableColumns count="2">
    <tableColumn id="1" xr3:uid="{4FF31E1D-B61D-4BAF-B302-31028E3CCBA4}" name="Start Speed"/>
    <tableColumn id="2" xr3:uid="{497975EA-07E8-49B5-8C1E-EF3BF1683D63}" name="Speed Factor"/>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207A041-82B4-455C-8DE5-C168314C41A9}" name="MoveList" displayName="MoveList" ref="A1:J11" totalsRowShown="0" dataDxfId="64">
  <autoFilter ref="A1:J11" xr:uid="{F207A041-82B4-455C-8DE5-C168314C41A9}"/>
  <tableColumns count="10">
    <tableColumn id="1" xr3:uid="{0FB8C39C-6FCF-46E7-BF43-455EC5166E03}" name="Move ID" dataDxfId="63"/>
    <tableColumn id="2" xr3:uid="{9C436849-0E0F-482C-90C2-5A775E22CFC7}" name="Move Name" dataDxfId="62"/>
    <tableColumn id="3" xr3:uid="{DCAD5BB0-290F-4023-AFB5-05DBA8C5A747}" name="Type" dataDxfId="61"/>
    <tableColumn id="4" xr3:uid="{EA26F89F-9F4C-4B57-B659-A4A59B1E231F}" name="Category" dataDxfId="60"/>
    <tableColumn id="5" xr3:uid="{6E8C07DA-714E-48F8-A0CF-5FDCDBF5C420}" name="PP" dataDxfId="59"/>
    <tableColumn id="6" xr3:uid="{A64AB9DD-DC1D-4AA6-ABB3-A0E117B76CDF}" name="PP max" dataDxfId="58"/>
    <tableColumn id="7" xr3:uid="{FABC25DE-FD4F-432A-A64C-8A946B6FA126}" name="Accuracy" dataDxfId="57" dataCellStyle="Percent"/>
    <tableColumn id="8" xr3:uid="{C92A2CD1-3E36-48A8-8AB8-6454E5B9156F}" name="Power" dataDxfId="56"/>
    <tableColumn id="9" xr3:uid="{8812A422-A72C-4BF7-8E21-73E2033C655E}" name="Effect" dataDxfId="55"/>
    <tableColumn id="10" xr3:uid="{4B27FB46-26A0-4163-98B5-C68AAFC8071F}" name="Special" dataDxfId="5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edia.discordapp.net/attachments/1083362848203354193/1090690437163008151/Chtibidi_small_delicate_FairyPsychic_type_Pokemon_glowing_star-_527e8dc2-2db4-4f88-b17a-547b6f814741.png?width=897&amp;height=897" TargetMode="External"/><Relationship Id="rId13" Type="http://schemas.openxmlformats.org/officeDocument/2006/relationships/hyperlink" Target="https://cdn.discordapp.com/attachments/1083362848203354193/1090780525234503681/Chtibidi_Nebulavale_Legendary_Pokemon_GhostFlying_A_ghostly_swi_170b87d2-80bd-440e-adf6-04c8a6f862e5.png" TargetMode="External"/><Relationship Id="rId18" Type="http://schemas.openxmlformats.org/officeDocument/2006/relationships/hyperlink" Target="https://cdn.discordapp.com/attachments/1083362848203354193/1090993701200859146/Chtibidi_Stardance_Regular_Pokemon_PsychicFairy_Stardance_is_an_98a8e1b8-496d-4bb8-97e9-23985368cc1d.png" TargetMode="External"/><Relationship Id="rId26" Type="http://schemas.openxmlformats.org/officeDocument/2006/relationships/hyperlink" Target="https://media.discordapp.net/attachments/1083362848203354193/1093531808378912898/Chtibidi_Titanant_Regular_Pokemon_BugSteel_Titanant_a_massive_h_12d6ae4f-73d1-4ae3-98ed-4fd2cd329931.png?width=897&amp;height=897" TargetMode="External"/><Relationship Id="rId3" Type="http://schemas.openxmlformats.org/officeDocument/2006/relationships/hyperlink" Target="https://media.discordapp.net/attachments/1083362848203354193/1092178730052489226/Chtibidi_Celestistorm_Legendary_Pokemon_PsychicElectric_Celesti_1680ffbb-613a-47d1-a1c9-501e8aafb164.png?width=897&amp;height=897" TargetMode="External"/><Relationship Id="rId21" Type="http://schemas.openxmlformats.org/officeDocument/2006/relationships/hyperlink" Target="https://cdn.discordapp.com/attachments/1083362848203354193/1092035483648921640/Chtibidi_Garchomp-Alteon_Regular_Pokemon_DragonGround_coloratio_bf206345-eede-4491-b630-d41962179dc0.png" TargetMode="External"/><Relationship Id="rId7" Type="http://schemas.openxmlformats.org/officeDocument/2006/relationships/hyperlink" Target="https://cdn.discordapp.com/attachments/1083362848203354193/1090387169408974970/Chtibidi_A_serene_cloud-like_FairyPsychic_type_Pokemon_with_a_g_880e0609-b803-4255-bfb9-224bcd05fec0.png" TargetMode="External"/><Relationship Id="rId12" Type="http://schemas.openxmlformats.org/officeDocument/2006/relationships/hyperlink" Target="https://cdn.discordapp.com/attachments/1083362848203354193/1090778726238793768/Chtibidi_Galacteon_Legendary_Pokemon_SteelElectric_A_sleek_meta_3bca7b1c-61cf-406d-a507-f8bafb297b67.png" TargetMode="External"/><Relationship Id="rId17" Type="http://schemas.openxmlformats.org/officeDocument/2006/relationships/hyperlink" Target="https://cdn.discordapp.com/attachments/1083362848203354193/1090981653746303046/Chtibidi_Arborwyrm_Regular_Pokemon_DragonGrass_massive_majestic_fe46cabc-85b2-4803-849d-441ed7ee7dc4.png" TargetMode="External"/><Relationship Id="rId25" Type="http://schemas.openxmlformats.org/officeDocument/2006/relationships/hyperlink" Target="https://cdn.discordapp.com/attachments/1083362848203354193/1090781368595796058/Chtibidi_Chronalith_Legendary_Pokemon_PsychicRock_An_ancient_my_cbd45d0a-853c-45bc-9475-6196e963ded4.png" TargetMode="External"/><Relationship Id="rId2" Type="http://schemas.openxmlformats.org/officeDocument/2006/relationships/hyperlink" Target="https://media.discordapp.net/attachments/1083362848203354193/1092177764766994553/Chtibidi_Terraguardian_Legendary_Pokemon_GroundDragon_Terraguar_74158518-8956-4937-bd4b-438caa35ebc0.png?width=897&amp;height=897" TargetMode="External"/><Relationship Id="rId16" Type="http://schemas.openxmlformats.org/officeDocument/2006/relationships/hyperlink" Target="https://cdn.discordapp.com/attachments/1083362848203354193/1090979200468529162/Chtibidi_Plasmawing_is_a_large_owl-like_Pokemon_with_vibrant_el_b44aa226-c26e-4ba9-8046-ff0370802cc2.png" TargetMode="External"/><Relationship Id="rId20" Type="http://schemas.openxmlformats.org/officeDocument/2006/relationships/hyperlink" Target="https://cdn.discordapp.com/attachments/1083362848203354193/1091110801781301359/image.png" TargetMode="External"/><Relationship Id="rId1" Type="http://schemas.openxmlformats.org/officeDocument/2006/relationships/hyperlink" Target="https://cdn.midjourney.com/50a2e957-2e4e-4245-b4ef-89bd81f3a482/0_2.png" TargetMode="External"/><Relationship Id="rId6" Type="http://schemas.openxmlformats.org/officeDocument/2006/relationships/hyperlink" Target="https://cdn.discordapp.com/attachments/1083362848203354193/1090386203926331402/Chtibidi_A_majestic_sun-shaped_Pokemon_with_a_fiery_radiant_aur_e9919877-1e6b-4e04-829c-cd852806c9c6.png" TargetMode="External"/><Relationship Id="rId11" Type="http://schemas.openxmlformats.org/officeDocument/2006/relationships/hyperlink" Target="https://cdn.discordapp.com/attachments/1083362848203354193/1090777736659869746/Chtibidi_Terravipera_Legendary_Pokemon_GroundPoison_A_serpentin_4a5f4305-c5bc-4eb8-94ec-dbe3603ab69e.png" TargetMode="External"/><Relationship Id="rId24" Type="http://schemas.openxmlformats.org/officeDocument/2006/relationships/hyperlink" Target="https://cdn.discordapp.com/attachments/1083362848203354193/1092531967192486109/Chtibidi_Tremorock_Regular_Pokemon_Rock_Fighting_Tremorock_a_mu_4f9d3df3-58de-4d75-987e-ad360c73617e.png" TargetMode="External"/><Relationship Id="rId5" Type="http://schemas.openxmlformats.org/officeDocument/2006/relationships/hyperlink" Target="https://cdn.midjourney.com/ba44676c-1625-4149-bdf7-ebac1b020db0/0_3.png" TargetMode="External"/><Relationship Id="rId15" Type="http://schemas.openxmlformats.org/officeDocument/2006/relationships/hyperlink" Target="https://cdn.discordapp.com/attachments/1083362848203354193/1090978757210284163/Chtibidi_Plasmawing_Regular_Pokemon_ElectricFlying_Plasmawing_i_8aa83f49-574a-43ec-acaa-a727e8ad61e8.png" TargetMode="External"/><Relationship Id="rId23" Type="http://schemas.openxmlformats.org/officeDocument/2006/relationships/hyperlink" Target="https://cdn.discordapp.com/attachments/1083362848203354193/1092530873888411688/Chtibidi_Peakolith_Regular_Pokemon_Rock_Ground__Peakolith_a_tow_36bfbe29-f548-4bbb-b526-fe3e29451282.png" TargetMode="External"/><Relationship Id="rId28" Type="http://schemas.openxmlformats.org/officeDocument/2006/relationships/table" Target="../tables/table1.xml"/><Relationship Id="rId10" Type="http://schemas.openxmlformats.org/officeDocument/2006/relationships/hyperlink" Target="https://cdn.discordapp.com/attachments/1083362848203354193/1090774352619900949/Chtibidi_Hydrotigris_Legendary_Pokemon_Water_Aquatic_tiger_icy__46c800c6-fd9d-425c-bb22-e7390f6e89be.png" TargetMode="External"/><Relationship Id="rId19" Type="http://schemas.openxmlformats.org/officeDocument/2006/relationships/hyperlink" Target="https://cdn.discordapp.com/attachments/1083362848203354193/1091017144516481105/Chtibidi_Terracrusher_Regular_Pokemon_GroundFighting_Terracrush_14a322fc-ecb7-40e7-8a50-dbb51190a923.png" TargetMode="External"/><Relationship Id="rId4" Type="http://schemas.openxmlformats.org/officeDocument/2006/relationships/hyperlink" Target="https://media.discordapp.net/attachments/1083362848203354193/1090370243395854476/Chtibidi_Foliaguar_is_a_large_sleek_feline-like_Pokemon_with_a__eb9e38bc-531f-4fd5-bc93-4119ac6ce9cf.png?width=897&amp;height=897" TargetMode="External"/><Relationship Id="rId9" Type="http://schemas.openxmlformats.org/officeDocument/2006/relationships/hyperlink" Target="https://media.discordapp.net/attachments/1083362848203354193/1090771751195136101/Chtibidi_Pyroscalion_Legendary_Pokemon_Fire_Fiery_lion_metallic_288836ea-ef40-4995-9848-95faa0e68c5c.png?width=897&amp;height=897" TargetMode="External"/><Relationship Id="rId14" Type="http://schemas.openxmlformats.org/officeDocument/2006/relationships/hyperlink" Target="https://cdn.discordapp.com/attachments/1083362848203354193/1090781528621064212/Chtibidi_Floraphoenix_Legendary_Pokemon_FireGrass_A_fiery_phoen_5e610df1-7618-4a02-881f-82bb36d987e7.png" TargetMode="External"/><Relationship Id="rId22" Type="http://schemas.openxmlformats.org/officeDocument/2006/relationships/hyperlink" Target="https://cdn.discordapp.com/attachments/1083362848203354193/1092061590863491133/Chtibidi_Steel_Armored_Birdcombine_steel_and_red-hot_molten_met_1d5a0380-01f5-4d69-bdec-0fbe5f78b9aa.png" TargetMode="External"/><Relationship Id="rId27"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media.discordapp.net/attachments/1083362848203354193/1090374088733774025/Chtibidi_Tempustorm_is_a_bird-like_Legendary_Pokemon_with_a_str_d0f4ef64-7ddb-44d3-a5af-5b1830891e08.png?width=897&amp;height=897"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CF545-31DE-427F-907F-3EB679A5BFB0}">
  <dimension ref="A1:X138"/>
  <sheetViews>
    <sheetView tabSelected="1" topLeftCell="R1" zoomScale="115" zoomScaleNormal="115" workbookViewId="0">
      <selection activeCell="V7" sqref="V7"/>
    </sheetView>
  </sheetViews>
  <sheetFormatPr defaultColWidth="8.88671875" defaultRowHeight="14.4" x14ac:dyDescent="0.3"/>
  <cols>
    <col min="1" max="1" width="17.21875" style="6" customWidth="1"/>
    <col min="2" max="2" width="14.77734375" style="6" bestFit="1" customWidth="1"/>
    <col min="3" max="11" width="8.88671875" style="6"/>
    <col min="12" max="12" width="15.109375" style="6" bestFit="1" customWidth="1"/>
    <col min="13" max="13" width="21" style="6" customWidth="1"/>
    <col min="14" max="14" width="11.21875" style="6" bestFit="1" customWidth="1"/>
    <col min="15" max="15" width="28.109375" style="6" customWidth="1"/>
    <col min="16" max="16" width="24.21875" style="6" hidden="1" customWidth="1"/>
    <col min="17" max="17" width="28.109375" style="6" hidden="1" customWidth="1"/>
    <col min="18" max="18" width="12.44140625" style="6" bestFit="1" customWidth="1"/>
    <col min="19" max="19" width="8.88671875" style="6"/>
    <col min="20" max="20" width="20.109375" style="6" bestFit="1" customWidth="1"/>
    <col min="21" max="21" width="6.6640625" style="6" customWidth="1"/>
    <col min="22" max="22" width="8.88671875" style="6"/>
    <col min="23" max="23" width="30.5546875" style="6" customWidth="1"/>
    <col min="24" max="16384" width="8.88671875" style="6"/>
  </cols>
  <sheetData>
    <row r="1" spans="1:24" x14ac:dyDescent="0.3">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695</v>
      </c>
      <c r="U1" s="6" t="s">
        <v>19</v>
      </c>
      <c r="V1" s="6" t="s">
        <v>463</v>
      </c>
      <c r="W1" s="6" t="s">
        <v>471</v>
      </c>
      <c r="X1" s="6" t="s">
        <v>617</v>
      </c>
    </row>
    <row r="2" spans="1:24" x14ac:dyDescent="0.3">
      <c r="A2" s="6">
        <v>26</v>
      </c>
      <c r="B2" s="6" t="s">
        <v>149</v>
      </c>
      <c r="C2" s="6" t="s">
        <v>89</v>
      </c>
      <c r="D2" s="6" t="s">
        <v>150</v>
      </c>
      <c r="E2" s="6">
        <v>115</v>
      </c>
      <c r="F2" s="6">
        <v>135</v>
      </c>
      <c r="G2" s="6">
        <v>120</v>
      </c>
      <c r="H2" s="6">
        <v>110</v>
      </c>
      <c r="I2" s="6">
        <v>110</v>
      </c>
      <c r="J2" s="6">
        <v>100</v>
      </c>
      <c r="K2" s="6">
        <f>SUM(Pokedex[[#This Row],[HP]:[Spe]])</f>
        <v>690</v>
      </c>
      <c r="L2" s="6" t="s">
        <v>151</v>
      </c>
      <c r="M2" s="6" t="s">
        <v>152</v>
      </c>
      <c r="N2" s="6" t="s">
        <v>138</v>
      </c>
      <c r="O2" s="6" t="s">
        <v>153</v>
      </c>
      <c r="P2" s="6" t="s">
        <v>154</v>
      </c>
      <c r="Q2" s="6" t="s">
        <v>155</v>
      </c>
      <c r="R2" s="6" t="s">
        <v>142</v>
      </c>
      <c r="U2" s="8" cm="1">
        <f t="array" ref="U2">INDEX(CAP[Overall Rating],MATCH(Pokedex[[#This Row],[Name]],CAP[Name],0),0)</f>
        <v>453.36644648405405</v>
      </c>
      <c r="V2" s="12" t="s">
        <v>464</v>
      </c>
      <c r="W2"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prompt:Eternalance Legendary Pokemon; Fairy/Ghost; Enigmatic creature, ethereal wings, ancient runes; detailed; pokemon style; anime style;vibrant colors;limited color palette --q 1.5</v>
      </c>
    </row>
    <row r="3" spans="1:24" x14ac:dyDescent="0.3">
      <c r="A3" s="6">
        <v>136</v>
      </c>
      <c r="B3" s="6" t="s">
        <v>720</v>
      </c>
      <c r="C3" s="6" t="s">
        <v>96</v>
      </c>
      <c r="D3" s="6" t="s">
        <v>134</v>
      </c>
      <c r="E3" s="6">
        <v>150</v>
      </c>
      <c r="F3" s="6">
        <v>90</v>
      </c>
      <c r="G3" s="6">
        <v>180</v>
      </c>
      <c r="H3" s="6">
        <v>50</v>
      </c>
      <c r="I3" s="6">
        <v>110</v>
      </c>
      <c r="J3" s="6">
        <v>20</v>
      </c>
      <c r="K3" s="13">
        <f>SUM(Pokedex[[#This Row],[HP]:[Spe]])</f>
        <v>600</v>
      </c>
      <c r="L3" s="13" t="s">
        <v>721</v>
      </c>
      <c r="M3" s="6" t="s">
        <v>722</v>
      </c>
      <c r="O3" s="6" t="s">
        <v>733</v>
      </c>
      <c r="R3" s="6" t="s">
        <v>35</v>
      </c>
      <c r="U3" s="8" cm="1">
        <f t="array" ref="U3">INDEX(CAP[Overall Rating],MATCH(Pokedex[[#This Row],[Name]],CAP[Name],0),0)</f>
        <v>425.92224700277075</v>
      </c>
      <c r="V3" s="12" t="s">
        <v>735</v>
      </c>
      <c r="W3" s="13"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prompt:Peakolith  Regular Pokemon; Rock/Ground; Peakolith, a towering, mountain-like Pokémon with a jagged, rocky exterior. Its body is adorned with various trees and vegetation, making it resemble a living landscape.; detailed; pokemon style; anime style;vibrant colors;limited color palette --q 1.5</v>
      </c>
    </row>
    <row r="4" spans="1:24" x14ac:dyDescent="0.3">
      <c r="A4" s="6">
        <v>24</v>
      </c>
      <c r="B4" s="6" t="s">
        <v>133</v>
      </c>
      <c r="C4" s="6" t="s">
        <v>134</v>
      </c>
      <c r="D4" s="6" t="s">
        <v>135</v>
      </c>
      <c r="E4" s="6">
        <v>110</v>
      </c>
      <c r="F4" s="6">
        <v>130</v>
      </c>
      <c r="G4" s="6">
        <v>110</v>
      </c>
      <c r="H4" s="6">
        <v>100</v>
      </c>
      <c r="I4" s="6">
        <v>110</v>
      </c>
      <c r="J4" s="6">
        <v>100</v>
      </c>
      <c r="K4" s="6">
        <f>SUM(Pokedex[[#This Row],[HP]:[Spe]])</f>
        <v>660</v>
      </c>
      <c r="L4" s="6" t="s">
        <v>136</v>
      </c>
      <c r="M4" s="6" t="s">
        <v>137</v>
      </c>
      <c r="N4" s="6" t="s">
        <v>138</v>
      </c>
      <c r="O4" s="6" t="s">
        <v>139</v>
      </c>
      <c r="P4" s="6" t="s">
        <v>140</v>
      </c>
      <c r="Q4" s="6" t="s">
        <v>141</v>
      </c>
      <c r="R4" s="6" t="s">
        <v>142</v>
      </c>
      <c r="U4" s="8" cm="1">
        <f t="array" ref="U4">INDEX(CAP[Overall Rating],MATCH(Pokedex[[#This Row],[Name]],CAP[Name],0),0)</f>
        <v>418.97839820021818</v>
      </c>
      <c r="V4" s="12" t="s">
        <v>655</v>
      </c>
      <c r="W4"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prompt:Terraguardian Legendary Pokemon; Ground/Dragon; Earthy dragon, massive wings, stone armor; detailed; pokemon style; anime style;vibrant colors;limited color palette --q 1.5</v>
      </c>
    </row>
    <row r="5" spans="1:24" x14ac:dyDescent="0.3">
      <c r="A5" s="6">
        <v>25</v>
      </c>
      <c r="B5" s="6" t="s">
        <v>143</v>
      </c>
      <c r="C5" s="6" t="s">
        <v>84</v>
      </c>
      <c r="D5" s="6" t="s">
        <v>51</v>
      </c>
      <c r="E5" s="6">
        <v>100</v>
      </c>
      <c r="F5" s="6">
        <v>110</v>
      </c>
      <c r="G5" s="6">
        <v>90</v>
      </c>
      <c r="H5" s="6">
        <v>140</v>
      </c>
      <c r="I5" s="6">
        <v>120</v>
      </c>
      <c r="J5" s="6">
        <v>100</v>
      </c>
      <c r="K5" s="6">
        <f>SUM(Pokedex[[#This Row],[HP]:[Spe]])</f>
        <v>660</v>
      </c>
      <c r="L5" s="6" t="s">
        <v>144</v>
      </c>
      <c r="M5" s="6" t="s">
        <v>145</v>
      </c>
      <c r="N5" s="6" t="s">
        <v>138</v>
      </c>
      <c r="O5" s="6" t="s">
        <v>146</v>
      </c>
      <c r="P5" s="6" t="s">
        <v>147</v>
      </c>
      <c r="Q5" s="6" t="s">
        <v>148</v>
      </c>
      <c r="R5" s="6" t="s">
        <v>142</v>
      </c>
      <c r="U5" s="8" cm="1">
        <f t="array" ref="U5">INDEX(CAP[Overall Rating],MATCH(Pokedex[[#This Row],[Name]],CAP[Name],0),0)</f>
        <v>413.55765919701298</v>
      </c>
      <c r="V5" s="12" t="s">
        <v>656</v>
      </c>
      <c r="W5"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prompt:Celestistorm Legendary Pokemon; Psychic/Electric; Ethereal bird, electric aura, star-like wings; detailed; pokemon style; anime style;vibrant colors;limited color palette --q 1.5</v>
      </c>
    </row>
    <row r="6" spans="1:24" x14ac:dyDescent="0.3">
      <c r="A6" s="6">
        <v>32</v>
      </c>
      <c r="B6" s="6" t="s">
        <v>179</v>
      </c>
      <c r="C6" s="6" t="s">
        <v>50</v>
      </c>
      <c r="E6" s="6">
        <v>110</v>
      </c>
      <c r="F6" s="6">
        <v>110</v>
      </c>
      <c r="G6" s="6">
        <v>100</v>
      </c>
      <c r="H6" s="6">
        <v>100</v>
      </c>
      <c r="I6" s="6">
        <v>90</v>
      </c>
      <c r="J6" s="6">
        <v>140</v>
      </c>
      <c r="K6" s="6">
        <f>SUM(Pokedex[[#This Row],[HP]:[Spe]])</f>
        <v>650</v>
      </c>
      <c r="L6" s="6" t="s">
        <v>122</v>
      </c>
      <c r="N6" s="6" t="s">
        <v>174</v>
      </c>
      <c r="O6" s="6" t="s">
        <v>180</v>
      </c>
      <c r="P6" s="6" t="s">
        <v>176</v>
      </c>
      <c r="Q6" s="6" t="s">
        <v>50</v>
      </c>
      <c r="R6" s="6" t="s">
        <v>35</v>
      </c>
      <c r="U6" s="8" cm="1">
        <f t="array" ref="U6">INDEX(CAP[Overall Rating],MATCH(Pokedex[[#This Row],[Name]],CAP[Name],0),0)</f>
        <v>389.44176360210332</v>
      </c>
      <c r="V6" s="12" t="s">
        <v>465</v>
      </c>
      <c r="W6"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prompt:Foliaguar Regular Pokemon; Grass/; Large, green, feline-like, leafy mane, sharp claws; detailed; pokemon style; anime style;vibrant colors;limited color palette --q 1.5</v>
      </c>
    </row>
    <row r="7" spans="1:24" x14ac:dyDescent="0.3">
      <c r="A7" s="6">
        <v>131</v>
      </c>
      <c r="B7" s="6" t="s">
        <v>700</v>
      </c>
      <c r="C7" s="6" t="s">
        <v>187</v>
      </c>
      <c r="D7" s="6" t="s">
        <v>44</v>
      </c>
      <c r="E7" s="6">
        <v>120</v>
      </c>
      <c r="F7" s="6">
        <v>100</v>
      </c>
      <c r="G7" s="6">
        <v>150</v>
      </c>
      <c r="H7" s="6">
        <v>50</v>
      </c>
      <c r="I7" s="6">
        <v>150</v>
      </c>
      <c r="J7" s="6">
        <v>30</v>
      </c>
      <c r="K7" s="13">
        <f>SUM(Pokedex[[#This Row],[HP]:[Spe]])</f>
        <v>600</v>
      </c>
      <c r="L7" s="13" t="s">
        <v>702</v>
      </c>
      <c r="M7" s="6" t="s">
        <v>703</v>
      </c>
      <c r="O7" s="6" t="s">
        <v>728</v>
      </c>
      <c r="R7" s="6" t="s">
        <v>35</v>
      </c>
      <c r="U7" s="8" cm="1">
        <f t="array" ref="U7">INDEX(CAP[Overall Rating],MATCH(Pokedex[[#This Row],[Name]],CAP[Name],0),0)</f>
        <v>385.98689244984848</v>
      </c>
      <c r="V7" s="12" t="s">
        <v>738</v>
      </c>
      <c r="W7" s="13"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prompt:Titanant  Regular Pokemon; Bug/Steel; Titanant, a massive, heavily-armored ant-like Pokémon. Its exoskeleton is made of a sturdy steel material, providing it with impressive durability.; detailed; pokemon style; anime style;vibrant colors;limited color palette --q 1.5</v>
      </c>
    </row>
    <row r="8" spans="1:24" x14ac:dyDescent="0.3">
      <c r="A8" s="6">
        <v>101</v>
      </c>
      <c r="B8" s="6" t="s">
        <v>503</v>
      </c>
      <c r="C8" s="6" t="s">
        <v>135</v>
      </c>
      <c r="D8" s="6" t="s">
        <v>50</v>
      </c>
      <c r="E8" s="6">
        <v>100</v>
      </c>
      <c r="F8" s="6">
        <v>125</v>
      </c>
      <c r="G8" s="6">
        <v>100</v>
      </c>
      <c r="H8" s="6">
        <v>95</v>
      </c>
      <c r="I8" s="6">
        <v>90</v>
      </c>
      <c r="J8" s="6">
        <v>110</v>
      </c>
      <c r="K8" s="6">
        <f>SUM(Pokedex[[#This Row],[HP]:[Spe]])</f>
        <v>620</v>
      </c>
      <c r="L8" s="6" t="s">
        <v>90</v>
      </c>
      <c r="N8" s="6" t="s">
        <v>542</v>
      </c>
      <c r="O8" s="6" t="s">
        <v>598</v>
      </c>
      <c r="P8" s="6" t="s">
        <v>544</v>
      </c>
      <c r="Q8" s="6" t="s">
        <v>545</v>
      </c>
      <c r="R8" s="6" t="s">
        <v>35</v>
      </c>
      <c r="U8" s="8" cm="1">
        <f t="array" ref="U8">INDEX(CAP[Overall Rating],MATCH(Pokedex[[#This Row],[Name]],CAP[Name],0),0)</f>
        <v>375.76452259505351</v>
      </c>
      <c r="V8" s="12" t="s">
        <v>599</v>
      </c>
      <c r="W8"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prompt:Arborwyrm Regular Pokemon; Dragon/Grass; massive, majestic dragon Pokémon with a unique fusion of flora and fauna in its design. Its body is primarily covered in tree bark armor, giving it a rugged and ancient appearance. This natural armor provides excellent protection and camouflage in forest environments. Arborwyrm's head is adorned with a forest-like mane consisting of leaves, vines, and branches, which extend down its long, serpentine neck.; detailed; pokemon style; anime style;vibrant colors;limited color palette --q 1.5</v>
      </c>
    </row>
    <row r="9" spans="1:24" x14ac:dyDescent="0.3">
      <c r="A9" s="6">
        <v>87</v>
      </c>
      <c r="B9" s="6" t="s">
        <v>487</v>
      </c>
      <c r="C9" s="6" t="s">
        <v>51</v>
      </c>
      <c r="D9" s="6" t="s">
        <v>28</v>
      </c>
      <c r="E9" s="6">
        <v>90</v>
      </c>
      <c r="F9" s="6">
        <v>95</v>
      </c>
      <c r="G9" s="6">
        <v>85</v>
      </c>
      <c r="H9" s="6">
        <v>130</v>
      </c>
      <c r="I9" s="6">
        <v>100</v>
      </c>
      <c r="J9" s="6">
        <v>130</v>
      </c>
      <c r="K9" s="6">
        <f>SUM(Pokedex[[#This Row],[HP]:[Spe]])</f>
        <v>630</v>
      </c>
      <c r="L9" s="6" t="s">
        <v>53</v>
      </c>
      <c r="N9" s="6" t="s">
        <v>510</v>
      </c>
      <c r="O9" s="6" t="s">
        <v>595</v>
      </c>
      <c r="P9" s="6" t="s">
        <v>512</v>
      </c>
      <c r="Q9" s="6" t="s">
        <v>513</v>
      </c>
      <c r="R9" s="6" t="s">
        <v>35</v>
      </c>
      <c r="U9" s="8" cm="1">
        <f t="array" ref="U9">INDEX(CAP[Overall Rating],MATCH(Pokedex[[#This Row],[Name]],CAP[Name],0),0)</f>
        <v>375.54177401742339</v>
      </c>
      <c r="V9" s="12" t="s">
        <v>597</v>
      </c>
      <c r="W9"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prompt:Plasmawing Regular Pokemon; Electric/Flying; Plasmawing is a larger owl-like Pokémon with vibrant electric plumage, giving it an energetic appearance. Its feathers are primarily yellow and blue, with patterns resembling lightning bolts running through them. It has piercing, bright blue eyes and sharp, menacing talons capable of delivering powerful electric shocks. Its wings are broad and powerful, allowing for swift and agile flight. Plasmawing's tail is long and elegant, with feathers that resemble electric sparks, helping it to maintain balance and control during flight. Its beak is sharp and hooked, perfect for hunting prey in the air. The combination of its electric plumage and impressive wingspan creates an awe-inspiring visual display during battle, with sparks and flashes of electricity emanating from its body.; detailed; pokemon style; anime style;vibrant colors;limited color palette --q 1.5</v>
      </c>
    </row>
    <row r="10" spans="1:24" x14ac:dyDescent="0.3">
      <c r="A10" s="6">
        <v>58</v>
      </c>
      <c r="B10" s="6" t="s">
        <v>292</v>
      </c>
      <c r="C10" s="6" t="s">
        <v>66</v>
      </c>
      <c r="D10" s="6" t="s">
        <v>89</v>
      </c>
      <c r="E10" s="6">
        <v>95</v>
      </c>
      <c r="F10" s="6">
        <v>130</v>
      </c>
      <c r="G10" s="6">
        <v>80</v>
      </c>
      <c r="H10" s="6">
        <v>95</v>
      </c>
      <c r="I10" s="6">
        <v>80</v>
      </c>
      <c r="J10" s="6">
        <v>120</v>
      </c>
      <c r="K10" s="6">
        <f>SUM(Pokedex[[#This Row],[HP]:[Spe]])</f>
        <v>600</v>
      </c>
      <c r="L10" s="6" t="s">
        <v>293</v>
      </c>
      <c r="M10" s="6" t="s">
        <v>294</v>
      </c>
      <c r="O10" s="6" t="s">
        <v>295</v>
      </c>
      <c r="P10" s="6" t="s">
        <v>296</v>
      </c>
      <c r="Q10" s="6" t="s">
        <v>297</v>
      </c>
      <c r="R10" s="6" t="s">
        <v>142</v>
      </c>
      <c r="U10" s="8" cm="1">
        <f t="array" ref="U10">INDEX(CAP[Overall Rating],MATCH(Pokedex[[#This Row],[Name]],CAP[Name],0),0)</f>
        <v>353.36593421353041</v>
      </c>
      <c r="V10" s="12" t="s">
        <v>466</v>
      </c>
      <c r="W10"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prompt:Lunarisade Legendary Pokemon; Dark/Fairy; A crescent moon-shaped Pokémon with a mystical, dark aura, and fairy energy shimmering across its form.; detailed; pokemon style; anime style;vibrant colors;limited color palette --q 1.5</v>
      </c>
    </row>
    <row r="11" spans="1:24" x14ac:dyDescent="0.3">
      <c r="A11" s="6">
        <v>62</v>
      </c>
      <c r="B11" s="6" t="s">
        <v>312</v>
      </c>
      <c r="C11" s="6" t="s">
        <v>28</v>
      </c>
      <c r="D11" s="6" t="s">
        <v>51</v>
      </c>
      <c r="E11" s="6">
        <v>90</v>
      </c>
      <c r="F11" s="6">
        <v>115</v>
      </c>
      <c r="G11" s="6">
        <v>80</v>
      </c>
      <c r="H11" s="6">
        <v>130</v>
      </c>
      <c r="I11" s="6">
        <v>80</v>
      </c>
      <c r="J11" s="6">
        <v>105</v>
      </c>
      <c r="K11" s="6">
        <f>SUM(Pokedex[[#This Row],[HP]:[Spe]])</f>
        <v>600</v>
      </c>
      <c r="L11" s="6" t="s">
        <v>313</v>
      </c>
      <c r="M11" s="6" t="s">
        <v>314</v>
      </c>
      <c r="O11" s="6" t="s">
        <v>315</v>
      </c>
      <c r="P11" s="6" t="s">
        <v>316</v>
      </c>
      <c r="Q11" s="6" t="s">
        <v>317</v>
      </c>
      <c r="R11" s="6" t="s">
        <v>142</v>
      </c>
      <c r="U11" s="8" cm="1">
        <f t="array" ref="U11">INDEX(CAP[Overall Rating],MATCH(Pokedex[[#This Row],[Name]],CAP[Name],0),0)</f>
        <v>352.75739437674412</v>
      </c>
      <c r="V11" s="12" t="s">
        <v>737</v>
      </c>
      <c r="W11"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prompt:Tempustorm Legendary Pokemon; Flying/Electric; A bird-like Pokémon with storm cloud wings that crackle with lightning, and a fierce, commanding presence.; detailed; pokemon style; anime style;vibrant colors;limited color palette --q 1.5</v>
      </c>
    </row>
    <row r="12" spans="1:24" x14ac:dyDescent="0.3">
      <c r="A12" s="6">
        <v>57</v>
      </c>
      <c r="B12" s="6" t="s">
        <v>286</v>
      </c>
      <c r="C12" s="6" t="s">
        <v>84</v>
      </c>
      <c r="D12" s="6" t="s">
        <v>37</v>
      </c>
      <c r="E12" s="6">
        <v>95</v>
      </c>
      <c r="F12" s="6">
        <v>95</v>
      </c>
      <c r="G12" s="6">
        <v>80</v>
      </c>
      <c r="H12" s="6">
        <v>130</v>
      </c>
      <c r="I12" s="6">
        <v>80</v>
      </c>
      <c r="J12" s="6">
        <v>120</v>
      </c>
      <c r="K12" s="6">
        <f>SUM(Pokedex[[#This Row],[HP]:[Spe]])</f>
        <v>600</v>
      </c>
      <c r="L12" s="6" t="s">
        <v>287</v>
      </c>
      <c r="M12" s="6" t="s">
        <v>288</v>
      </c>
      <c r="O12" s="6" t="s">
        <v>289</v>
      </c>
      <c r="P12" s="6" t="s">
        <v>290</v>
      </c>
      <c r="Q12" s="6" t="s">
        <v>291</v>
      </c>
      <c r="R12" s="6" t="s">
        <v>142</v>
      </c>
      <c r="U12" s="8" cm="1">
        <f t="array" ref="U12">INDEX(CAP[Overall Rating],MATCH(Pokedex[[#This Row],[Name]],CAP[Name],0),0)</f>
        <v>351.81567088002356</v>
      </c>
      <c r="V12" s="12" t="s">
        <v>468</v>
      </c>
      <c r="W12"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prompt:Solarnova Legendary Pokemon; Psychic/Fire; A majestic, sun-shaped Pokémon with a fiery, radiant aura, and psychic energy emanating from its core.; detailed; pokemon style; anime style;vibrant colors;limited color palette --q 1.5</v>
      </c>
    </row>
    <row r="13" spans="1:24" x14ac:dyDescent="0.3">
      <c r="A13" s="6">
        <v>65</v>
      </c>
      <c r="B13" s="6" t="s">
        <v>328</v>
      </c>
      <c r="C13" s="6" t="s">
        <v>89</v>
      </c>
      <c r="D13" s="6" t="s">
        <v>84</v>
      </c>
      <c r="E13" s="6">
        <v>100</v>
      </c>
      <c r="F13" s="6">
        <v>100</v>
      </c>
      <c r="G13" s="6">
        <v>100</v>
      </c>
      <c r="H13" s="6">
        <v>100</v>
      </c>
      <c r="I13" s="6">
        <v>100</v>
      </c>
      <c r="J13" s="6">
        <v>100</v>
      </c>
      <c r="K13" s="6">
        <f>SUM(Pokedex[[#This Row],[HP]:[Spe]])</f>
        <v>600</v>
      </c>
      <c r="L13" s="6" t="s">
        <v>329</v>
      </c>
      <c r="M13" s="6" t="s">
        <v>330</v>
      </c>
      <c r="O13" s="6" t="s">
        <v>484</v>
      </c>
      <c r="P13" s="6" t="s">
        <v>331</v>
      </c>
      <c r="Q13" s="6" t="s">
        <v>332</v>
      </c>
      <c r="R13" s="6" t="s">
        <v>333</v>
      </c>
      <c r="U13" s="8" cm="1">
        <f t="array" ref="U13">INDEX(CAP[Overall Rating],MATCH(Pokedex[[#This Row],[Name]],CAP[Name],0),0)</f>
        <v>351.02317502261496</v>
      </c>
      <c r="V13" s="12" t="s">
        <v>470</v>
      </c>
      <c r="W13"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prompt:Luminaria Mythical Pokemon; Fairy/Psychic; A small, delicate Pokémon with a glowing, star-shaped body and shimmering wings. Its celestial beauty and enchanting form inspire awe and wonder in those who encounter it.; detailed; pokemon style; anime style;vibrant colors;limited color palette --q 1.5</v>
      </c>
    </row>
    <row r="14" spans="1:24" x14ac:dyDescent="0.3">
      <c r="A14" s="6">
        <v>66</v>
      </c>
      <c r="B14" s="6" t="s">
        <v>334</v>
      </c>
      <c r="C14" s="6" t="s">
        <v>21</v>
      </c>
      <c r="D14" s="6" t="s">
        <v>89</v>
      </c>
      <c r="E14" s="6">
        <v>100</v>
      </c>
      <c r="F14" s="6">
        <v>100</v>
      </c>
      <c r="G14" s="6">
        <v>100</v>
      </c>
      <c r="H14" s="6">
        <v>100</v>
      </c>
      <c r="I14" s="6">
        <v>100</v>
      </c>
      <c r="J14" s="6">
        <v>100</v>
      </c>
      <c r="K14" s="6">
        <f>SUM(Pokedex[[#This Row],[HP]:[Spe]])</f>
        <v>600</v>
      </c>
      <c r="L14" s="6" t="s">
        <v>335</v>
      </c>
      <c r="M14" s="6" t="s">
        <v>336</v>
      </c>
      <c r="O14" s="6" t="s">
        <v>485</v>
      </c>
      <c r="P14" s="6" t="s">
        <v>337</v>
      </c>
      <c r="Q14" s="6" t="s">
        <v>338</v>
      </c>
      <c r="R14" s="6" t="s">
        <v>333</v>
      </c>
      <c r="U14" s="8" cm="1">
        <f t="array" ref="U14">INDEX(CAP[Overall Rating],MATCH(Pokedex[[#This Row],[Name]],CAP[Name],0),0)</f>
        <v>351.02317502261496</v>
      </c>
      <c r="V14" s="12" t="s">
        <v>469</v>
      </c>
      <c r="W14"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prompt:Serenimbus Mythical Pokemon; Water/Fairy; A serene cloud-like Pokémon with a gentle, glowing aura and soft, wispy features. Its calming presence and ethereal appearance evoke feelings of peace and tranquility.; detailed; pokemon style; anime style;vibrant colors;limited color palette --q 1.5</v>
      </c>
    </row>
    <row r="15" spans="1:24" x14ac:dyDescent="0.3">
      <c r="A15" s="6">
        <v>137</v>
      </c>
      <c r="B15" s="6" t="s">
        <v>723</v>
      </c>
      <c r="C15" s="6" t="s">
        <v>96</v>
      </c>
      <c r="D15" s="6" t="s">
        <v>231</v>
      </c>
      <c r="E15" s="6">
        <v>100</v>
      </c>
      <c r="F15" s="6">
        <v>150</v>
      </c>
      <c r="G15" s="6">
        <v>110</v>
      </c>
      <c r="H15" s="6">
        <v>60</v>
      </c>
      <c r="I15" s="6">
        <v>90</v>
      </c>
      <c r="J15" s="6">
        <v>90</v>
      </c>
      <c r="K15" s="13">
        <f>SUM(Pokedex[[#This Row],[HP]:[Spe]])</f>
        <v>600</v>
      </c>
      <c r="L15" s="13" t="s">
        <v>724</v>
      </c>
      <c r="M15" s="6" t="s">
        <v>725</v>
      </c>
      <c r="O15" s="6" t="s">
        <v>734</v>
      </c>
      <c r="R15" s="6" t="s">
        <v>35</v>
      </c>
      <c r="U15" s="8" cm="1">
        <f t="array" ref="U15">INDEX(CAP[Overall Rating],MATCH(Pokedex[[#This Row],[Name]],CAP[Name],0),0)</f>
        <v>347.90145337852101</v>
      </c>
      <c r="V15" s="12" t="s">
        <v>736</v>
      </c>
      <c r="W15" s="13"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prompt:Tremorock  Regular Pokemon; Rock/Fighting; Tremorock, a muscular, golem-like Pokémon with a sturdy, rock-like body. Its arms and legs are powerful and covered in layers of stone, giving it the appearance of a rock-based martial artist.; detailed; pokemon style; anime style;vibrant colors;limited color palette --q 1.5</v>
      </c>
    </row>
    <row r="16" spans="1:24" x14ac:dyDescent="0.3">
      <c r="A16" s="6">
        <v>95</v>
      </c>
      <c r="B16" s="6" t="s">
        <v>497</v>
      </c>
      <c r="C16" s="6" t="s">
        <v>84</v>
      </c>
      <c r="D16" s="6" t="s">
        <v>89</v>
      </c>
      <c r="E16" s="6">
        <v>85</v>
      </c>
      <c r="F16" s="6">
        <v>65</v>
      </c>
      <c r="G16" s="6">
        <v>95</v>
      </c>
      <c r="H16" s="6">
        <v>130</v>
      </c>
      <c r="I16" s="6">
        <v>110</v>
      </c>
      <c r="J16" s="6">
        <v>115</v>
      </c>
      <c r="K16" s="6">
        <f>SUM(Pokedex[[#This Row],[HP]:[Spe]])</f>
        <v>600</v>
      </c>
      <c r="L16" s="6" t="s">
        <v>246</v>
      </c>
      <c r="N16" s="6" t="s">
        <v>496</v>
      </c>
      <c r="O16" s="6" t="s">
        <v>600</v>
      </c>
      <c r="P16" s="6" t="s">
        <v>532</v>
      </c>
      <c r="Q16" s="6" t="s">
        <v>533</v>
      </c>
      <c r="R16" s="6" t="s">
        <v>35</v>
      </c>
      <c r="U16" s="8" cm="1">
        <f t="array" ref="U16">INDEX(CAP[Overall Rating],MATCH(Pokedex[[#This Row],[Name]],CAP[Name],0),0)</f>
        <v>347.75309424739424</v>
      </c>
      <c r="V16" s="12" t="s">
        <v>601</v>
      </c>
      <c r="W16"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prompt:Stardance Regular Pokemon; Psychic/Fairy; Stardance is an elegant, star-shaped Pokémon that embodies the beauty and mystery of the cosmos. Its psychic and fairy attributes are reflected in its stunning swirling cosmic design, which adorns its entire body, reminiscent of a galaxy filled with twinkling stars. Delicate, fairy-like wings extend from its sides, shimmering with iridescent colors and allowing it to float gracefully through the air. Its large, expressive eyes sparkle like distant stars, captivating all who gaze upon it. ; detailed; pokemon style; anime style;vibrant colors;limited color palette --q 1.5</v>
      </c>
    </row>
    <row r="17" spans="1:23" x14ac:dyDescent="0.3">
      <c r="A17" s="6">
        <v>29</v>
      </c>
      <c r="B17" s="6" t="s">
        <v>167</v>
      </c>
      <c r="C17" s="6" t="s">
        <v>134</v>
      </c>
      <c r="D17" s="6" t="s">
        <v>168</v>
      </c>
      <c r="E17" s="6">
        <v>100</v>
      </c>
      <c r="F17" s="6">
        <v>95</v>
      </c>
      <c r="G17" s="6">
        <v>95</v>
      </c>
      <c r="H17" s="6">
        <v>90</v>
      </c>
      <c r="I17" s="6">
        <v>100</v>
      </c>
      <c r="J17" s="6">
        <v>120</v>
      </c>
      <c r="K17" s="6">
        <f>SUM(Pokedex[[#This Row],[HP]:[Spe]])</f>
        <v>600</v>
      </c>
      <c r="L17" s="6" t="s">
        <v>169</v>
      </c>
      <c r="M17" s="6" t="s">
        <v>170</v>
      </c>
      <c r="O17" s="6" t="s">
        <v>474</v>
      </c>
      <c r="P17" s="6" t="s">
        <v>171</v>
      </c>
      <c r="Q17" s="6" t="s">
        <v>172</v>
      </c>
      <c r="R17" s="6" t="s">
        <v>142</v>
      </c>
      <c r="U17" s="8" cm="1">
        <f t="array" ref="U17">INDEX(CAP[Overall Rating],MATCH(Pokedex[[#This Row],[Name]],CAP[Name],0),0)</f>
        <v>346.45051568708732</v>
      </c>
      <c r="V17" s="12" t="s">
        <v>475</v>
      </c>
      <c r="W17"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prompt:Terravipera Legendary Pokemon; Ground/Poison; A serpentine Pokémon with rocky scales and venomous fangs. Its sinuous form and deadly glare strike fear into its adversaries.; detailed; pokemon style; anime style;vibrant colors;limited color palette --q 1.5</v>
      </c>
    </row>
    <row r="18" spans="1:23" x14ac:dyDescent="0.3">
      <c r="A18" s="6">
        <v>120</v>
      </c>
      <c r="B18" s="6" t="s">
        <v>632</v>
      </c>
      <c r="C18" s="6" t="s">
        <v>135</v>
      </c>
      <c r="D18" s="6" t="s">
        <v>134</v>
      </c>
      <c r="E18" s="6">
        <v>108</v>
      </c>
      <c r="F18" s="6">
        <v>90</v>
      </c>
      <c r="G18" s="6">
        <v>85</v>
      </c>
      <c r="H18" s="6">
        <v>130</v>
      </c>
      <c r="I18" s="6">
        <v>95</v>
      </c>
      <c r="J18" s="6">
        <v>92</v>
      </c>
      <c r="K18" s="13">
        <f>SUM(Pokedex[[#This Row],[HP]:[Spe]])</f>
        <v>600</v>
      </c>
      <c r="L18" s="6" t="s">
        <v>633</v>
      </c>
      <c r="M18" s="6" t="s">
        <v>634</v>
      </c>
      <c r="O18" s="6" t="s">
        <v>649</v>
      </c>
      <c r="R18" s="6" t="s">
        <v>625</v>
      </c>
      <c r="U18" s="8" cm="1">
        <f t="array" ref="U18">INDEX(CAP[Overall Rating],MATCH(Pokedex[[#This Row],[Name]],CAP[Name],0),0)</f>
        <v>343.2516743945983</v>
      </c>
      <c r="V18" s="12" t="s">
        <v>653</v>
      </c>
      <c r="W18" s="13"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prompt:Garchomp-Alteon Regular Pokemon; Dragon/Ground; Garchomp-Alteon features a more serpentine body, with smoother scales and elongated limbs. Its coloration has shifted to a blend of earthy browns and deep blues. The scythe-like fins on its arms are now larger, resembling tectonic plates, and its tail has a spiked, drill-like structure at the end, perfect for burrowing into the ground.; detailed; pokemon style; anime style;vibrant colors;limited color palette --q 1.5</v>
      </c>
    </row>
    <row r="19" spans="1:23" x14ac:dyDescent="0.3">
      <c r="A19" s="6">
        <v>85</v>
      </c>
      <c r="B19" s="6" t="s">
        <v>460</v>
      </c>
      <c r="C19" s="6" t="s">
        <v>134</v>
      </c>
      <c r="D19" s="6" t="s">
        <v>231</v>
      </c>
      <c r="E19" s="6">
        <v>95</v>
      </c>
      <c r="F19" s="6">
        <v>130</v>
      </c>
      <c r="G19" s="6">
        <v>120</v>
      </c>
      <c r="H19" s="6">
        <v>60</v>
      </c>
      <c r="I19" s="6">
        <v>100</v>
      </c>
      <c r="J19" s="6">
        <v>90</v>
      </c>
      <c r="K19" s="6">
        <f>SUM(Pokedex[[#This Row],[HP]:[Spe]])</f>
        <v>595</v>
      </c>
      <c r="L19" s="6" t="s">
        <v>354</v>
      </c>
      <c r="M19" s="6" t="s">
        <v>456</v>
      </c>
      <c r="N19" t="s">
        <v>352</v>
      </c>
      <c r="O19" s="6" t="s">
        <v>602</v>
      </c>
      <c r="P19" s="6" t="s">
        <v>458</v>
      </c>
      <c r="Q19" s="6" t="s">
        <v>459</v>
      </c>
      <c r="R19" s="6" t="s">
        <v>35</v>
      </c>
      <c r="U19" s="8" cm="1">
        <f t="array" ref="U19">INDEX(CAP[Overall Rating],MATCH(Pokedex[[#This Row],[Name]],CAP[Name],0),0)</f>
        <v>341.86261575466489</v>
      </c>
      <c r="V19" s="12" t="s">
        <v>603</v>
      </c>
      <c r="W19"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prompt:Terracrusher Regular Pokemon; Ground/Fighting; Terracrusher is a large, powerful raccoon-like Pokémon with an intimidating presence. This Ground and Fighting-type creature boasts a muscular build, and its thick, rugged fur provides additional protection during battles. Its most striking features are the massive arms, equipped with powerful fists that pack a devastating punch. Its fierce eyes and determined expression demonstrate its readiness to dominate in combat, making Terracrusher a formidable opponent for any challenger.; detailed; pokemon style; anime style;vibrant colors;limited color palette --q 1.5</v>
      </c>
    </row>
    <row r="20" spans="1:23" x14ac:dyDescent="0.3">
      <c r="A20" s="6">
        <v>114</v>
      </c>
      <c r="B20" s="6" t="s">
        <v>594</v>
      </c>
      <c r="C20" s="6" t="s">
        <v>51</v>
      </c>
      <c r="D20" s="6" t="s">
        <v>383</v>
      </c>
      <c r="E20" s="6">
        <v>85</v>
      </c>
      <c r="F20" s="6">
        <v>95</v>
      </c>
      <c r="G20" s="6">
        <v>85</v>
      </c>
      <c r="H20" s="6">
        <v>120</v>
      </c>
      <c r="I20" s="6">
        <v>85</v>
      </c>
      <c r="J20" s="6">
        <v>130</v>
      </c>
      <c r="K20" s="6">
        <f>SUM(Pokedex[[#This Row],[HP]:[Spe]])</f>
        <v>600</v>
      </c>
      <c r="L20" s="6" t="s">
        <v>589</v>
      </c>
      <c r="N20" s="6" t="s">
        <v>590</v>
      </c>
      <c r="O20" s="6" t="s">
        <v>604</v>
      </c>
      <c r="P20" s="6" t="s">
        <v>592</v>
      </c>
      <c r="Q20" s="6" t="s">
        <v>593</v>
      </c>
      <c r="R20" s="6" t="s">
        <v>35</v>
      </c>
      <c r="U20" s="8" cm="1">
        <f t="array" ref="U20">INDEX(CAP[Overall Rating],MATCH(Pokedex[[#This Row],[Name]],CAP[Name],0),0)</f>
        <v>341.7033235786119</v>
      </c>
      <c r="V20" s="12" t="s">
        <v>605</v>
      </c>
      <c r="W20"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 Thunderouge Regular Pokemon; Electric/Normal; Thunderouge is an impressive large feline Pokémon with a unique Electric and Normal typing. Its sleek, agile body is adorned with a striking lightning bolt-shaped pattern that runs along its fur, giving it an electrifying appearance. The crackling electric tail not only serves as a powerful weapon but also adds to Thunderouge's captivating presence. Its keen eyes and agile movements reflect the speed and power it possesses.; detailed; pokemon style; anime style;vibrant colors;limited color palette --q 1.5</v>
      </c>
    </row>
    <row r="21" spans="1:23" x14ac:dyDescent="0.3">
      <c r="A21" s="6">
        <v>60</v>
      </c>
      <c r="B21" s="6" t="s">
        <v>303</v>
      </c>
      <c r="C21" s="6" t="s">
        <v>150</v>
      </c>
      <c r="D21" s="6" t="s">
        <v>28</v>
      </c>
      <c r="E21" s="6">
        <v>85</v>
      </c>
      <c r="F21" s="6">
        <v>70</v>
      </c>
      <c r="G21" s="6">
        <v>75</v>
      </c>
      <c r="H21" s="6">
        <v>130</v>
      </c>
      <c r="I21" s="6">
        <v>110</v>
      </c>
      <c r="J21" s="6">
        <v>130</v>
      </c>
      <c r="K21" s="6">
        <f>SUM(Pokedex[[#This Row],[HP]:[Spe]])</f>
        <v>600</v>
      </c>
      <c r="L21" s="6" t="s">
        <v>304</v>
      </c>
      <c r="M21" s="6" t="s">
        <v>305</v>
      </c>
      <c r="O21" s="6" t="s">
        <v>477</v>
      </c>
      <c r="P21" s="6" t="s">
        <v>212</v>
      </c>
      <c r="Q21" s="6" t="s">
        <v>306</v>
      </c>
      <c r="R21" s="6" t="s">
        <v>142</v>
      </c>
      <c r="U21" s="8" cm="1">
        <f t="array" ref="U21">INDEX(CAP[Overall Rating],MATCH(Pokedex[[#This Row],[Name]],CAP[Name],0),0)</f>
        <v>340.90443798672686</v>
      </c>
      <c r="V21" s="12" t="s">
        <v>481</v>
      </c>
      <c r="W21"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prompt:Nebulavale Legendary Pokemon; Ghost/Flying; A ghostly, swirling cloud of mist and dark energy with ethereal wings. Its eerie and haunting presence is both intriguing and unsettling.; detailed; pokemon style; anime style;vibrant colors;limited color palette --q 1.5</v>
      </c>
    </row>
    <row r="22" spans="1:23" x14ac:dyDescent="0.3">
      <c r="A22" s="6">
        <v>59</v>
      </c>
      <c r="B22" s="6" t="s">
        <v>298</v>
      </c>
      <c r="C22" s="6" t="s">
        <v>44</v>
      </c>
      <c r="D22" s="6" t="s">
        <v>51</v>
      </c>
      <c r="E22" s="6">
        <v>105</v>
      </c>
      <c r="F22" s="6">
        <v>90</v>
      </c>
      <c r="G22" s="6">
        <v>120</v>
      </c>
      <c r="H22" s="6">
        <v>110</v>
      </c>
      <c r="I22" s="6">
        <v>100</v>
      </c>
      <c r="J22" s="6">
        <v>75</v>
      </c>
      <c r="K22" s="6">
        <f>SUM(Pokedex[[#This Row],[HP]:[Spe]])</f>
        <v>600</v>
      </c>
      <c r="L22" s="6" t="s">
        <v>299</v>
      </c>
      <c r="M22" s="6" t="s">
        <v>300</v>
      </c>
      <c r="O22" s="6" t="s">
        <v>301</v>
      </c>
      <c r="P22" s="6" t="s">
        <v>63</v>
      </c>
      <c r="Q22" s="6" t="s">
        <v>302</v>
      </c>
      <c r="R22" s="6" t="s">
        <v>142</v>
      </c>
      <c r="U22" s="8" cm="1">
        <f t="array" ref="U22">INDEX(CAP[Overall Rating],MATCH(Pokedex[[#This Row],[Name]],CAP[Name],0),0)</f>
        <v>340.62347698610301</v>
      </c>
      <c r="V22" s="12" t="s">
        <v>476</v>
      </c>
      <c r="W22"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prompt:Galacteon Legendary Pokemon; Steel/Electric; A sleek, metallic Pokémon resembling a futuristic spacecraft, adorned with glowing electric circuits.; detailed; pokemon style; anime style;vibrant colors;limited color palette --q 1.5</v>
      </c>
    </row>
    <row r="23" spans="1:23" x14ac:dyDescent="0.3">
      <c r="A23" s="6">
        <v>28</v>
      </c>
      <c r="B23" s="6" t="s">
        <v>161</v>
      </c>
      <c r="C23" s="6" t="s">
        <v>21</v>
      </c>
      <c r="D23" s="6" t="s">
        <v>59</v>
      </c>
      <c r="E23" s="6">
        <v>100</v>
      </c>
      <c r="F23" s="6">
        <v>90</v>
      </c>
      <c r="G23" s="6">
        <v>100</v>
      </c>
      <c r="H23" s="6">
        <v>130</v>
      </c>
      <c r="I23" s="6">
        <v>95</v>
      </c>
      <c r="J23" s="6">
        <v>85</v>
      </c>
      <c r="K23" s="6">
        <f>SUM(Pokedex[[#This Row],[HP]:[Spe]])</f>
        <v>600</v>
      </c>
      <c r="L23" s="6" t="s">
        <v>162</v>
      </c>
      <c r="M23" s="6" t="s">
        <v>163</v>
      </c>
      <c r="O23" s="6" t="s">
        <v>164</v>
      </c>
      <c r="P23" s="6" t="s">
        <v>165</v>
      </c>
      <c r="Q23" s="6" t="s">
        <v>166</v>
      </c>
      <c r="R23" s="6" t="s">
        <v>142</v>
      </c>
      <c r="U23" s="8" cm="1">
        <f t="array" ref="U23">INDEX(CAP[Overall Rating],MATCH(Pokedex[[#This Row],[Name]],CAP[Name],0),0)</f>
        <v>337.89874600163495</v>
      </c>
      <c r="V23" s="12" t="s">
        <v>473</v>
      </c>
      <c r="W23"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prompt:Hydrotigris Legendary Pokemon; Water/Ice; Aquatic tiger, icy fur, frosty fangs; detailed; pokemon style; anime style;vibrant colors;limited color palette --q 1.5</v>
      </c>
    </row>
    <row r="24" spans="1:23" x14ac:dyDescent="0.3">
      <c r="A24" s="6">
        <v>27</v>
      </c>
      <c r="B24" s="6" t="s">
        <v>156</v>
      </c>
      <c r="C24" s="6" t="s">
        <v>37</v>
      </c>
      <c r="D24" s="6" t="s">
        <v>44</v>
      </c>
      <c r="E24" s="6">
        <v>100</v>
      </c>
      <c r="F24" s="6">
        <v>130</v>
      </c>
      <c r="G24" s="6">
        <v>90</v>
      </c>
      <c r="H24" s="6">
        <v>95</v>
      </c>
      <c r="I24" s="6">
        <v>100</v>
      </c>
      <c r="J24" s="6">
        <v>85</v>
      </c>
      <c r="K24" s="6">
        <f>SUM(Pokedex[[#This Row],[HP]:[Spe]])</f>
        <v>600</v>
      </c>
      <c r="L24" s="6" t="s">
        <v>157</v>
      </c>
      <c r="M24" s="6" t="s">
        <v>158</v>
      </c>
      <c r="O24" s="6" t="s">
        <v>159</v>
      </c>
      <c r="P24" s="6" t="s">
        <v>47</v>
      </c>
      <c r="Q24" s="6" t="s">
        <v>160</v>
      </c>
      <c r="R24" s="6" t="s">
        <v>142</v>
      </c>
      <c r="U24" s="8" cm="1">
        <f t="array" ref="U24">INDEX(CAP[Overall Rating],MATCH(Pokedex[[#This Row],[Name]],CAP[Name],0),0)</f>
        <v>337.89327182663101</v>
      </c>
      <c r="V24" s="12" t="s">
        <v>472</v>
      </c>
      <c r="W24"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prompt:Pyroscalion Legendary Pokemon; Fire/Steel; Fiery lion, metallic mane, ember-filled eyes; detailed; pokemon style; anime style;vibrant colors;limited color palette --q 1.5</v>
      </c>
    </row>
    <row r="25" spans="1:23" x14ac:dyDescent="0.3">
      <c r="A25" s="6">
        <v>63</v>
      </c>
      <c r="B25" s="6" t="s">
        <v>318</v>
      </c>
      <c r="C25" s="6" t="s">
        <v>84</v>
      </c>
      <c r="D25" s="6" t="s">
        <v>96</v>
      </c>
      <c r="E25" s="6">
        <v>100</v>
      </c>
      <c r="F25" s="6">
        <v>110</v>
      </c>
      <c r="G25" s="6">
        <v>140</v>
      </c>
      <c r="H25" s="6">
        <v>80</v>
      </c>
      <c r="I25" s="6">
        <v>140</v>
      </c>
      <c r="J25" s="6">
        <v>30</v>
      </c>
      <c r="K25" s="6">
        <f>SUM(Pokedex[[#This Row],[HP]:[Spe]])</f>
        <v>600</v>
      </c>
      <c r="L25" s="6" t="s">
        <v>319</v>
      </c>
      <c r="M25" s="6" t="s">
        <v>320</v>
      </c>
      <c r="O25" s="6" t="s">
        <v>479</v>
      </c>
      <c r="P25" s="6" t="s">
        <v>321</v>
      </c>
      <c r="Q25" s="6" t="s">
        <v>322</v>
      </c>
      <c r="R25" s="6" t="s">
        <v>142</v>
      </c>
      <c r="U25" s="8" cm="1">
        <f t="array" ref="U25">INDEX(CAP[Overall Rating],MATCH(Pokedex[[#This Row],[Name]],CAP[Name],0),0)</f>
        <v>337.88975737695677</v>
      </c>
      <c r="V25" s="12" t="s">
        <v>482</v>
      </c>
      <c r="W25"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prompt:Chronalith Legendary Pokemon; Psychic/Rock; An ancient, mysterious stone-like Pokémon with time-representing inscriptions. Its enigmatic nature sparks curiosity and fascination.; detailed; pokemon style; anime style;vibrant colors;limited color palette --q 1.5</v>
      </c>
    </row>
    <row r="26" spans="1:23" x14ac:dyDescent="0.3">
      <c r="A26" s="6">
        <v>3</v>
      </c>
      <c r="B26" s="6" t="s">
        <v>33</v>
      </c>
      <c r="C26" s="6" t="s">
        <v>21</v>
      </c>
      <c r="D26" s="6" t="s">
        <v>28</v>
      </c>
      <c r="E26" s="6">
        <v>90</v>
      </c>
      <c r="F26" s="6">
        <v>100</v>
      </c>
      <c r="G26" s="6">
        <v>85</v>
      </c>
      <c r="H26" s="6">
        <v>110</v>
      </c>
      <c r="I26" s="6">
        <v>80</v>
      </c>
      <c r="J26" s="6">
        <v>130</v>
      </c>
      <c r="K26" s="6">
        <f>SUM(Pokedex[[#This Row],[HP]:[Spe]])</f>
        <v>595</v>
      </c>
      <c r="L26" s="6" t="s">
        <v>22</v>
      </c>
      <c r="N26" s="6" t="s">
        <v>29</v>
      </c>
      <c r="O26" s="6" t="s">
        <v>34</v>
      </c>
      <c r="P26" s="6" t="s">
        <v>31</v>
      </c>
      <c r="Q26" s="6" t="s">
        <v>32</v>
      </c>
      <c r="R26" s="6" t="s">
        <v>35</v>
      </c>
      <c r="U26" s="8" cm="1">
        <f t="array" ref="U26">INDEX(CAP[Overall Rating],MATCH(Pokedex[[#This Row],[Name]],CAP[Name],0),0)</f>
        <v>336.55805222938517</v>
      </c>
      <c r="W26"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prompt:Aquaphoon Regular Pokemon; Water/Flying; Sleek dolphin-like body, large wings, water crest; detailed; pokemon style; anime style;vibrant colors;limited color palette --q 1.5</v>
      </c>
    </row>
    <row r="27" spans="1:23" x14ac:dyDescent="0.3">
      <c r="A27" s="6">
        <v>110</v>
      </c>
      <c r="B27" s="6" t="s">
        <v>578</v>
      </c>
      <c r="C27" s="6" t="s">
        <v>37</v>
      </c>
      <c r="D27" s="6" t="s">
        <v>383</v>
      </c>
      <c r="E27" s="6">
        <v>85</v>
      </c>
      <c r="F27" s="6">
        <v>110</v>
      </c>
      <c r="G27" s="6">
        <v>85</v>
      </c>
      <c r="H27" s="6">
        <v>100</v>
      </c>
      <c r="I27" s="6">
        <v>85</v>
      </c>
      <c r="J27" s="6">
        <v>130</v>
      </c>
      <c r="K27" s="6">
        <f>SUM(Pokedex[[#This Row],[HP]:[Spe]])</f>
        <v>595</v>
      </c>
      <c r="L27" s="6" t="s">
        <v>573</v>
      </c>
      <c r="N27" s="6" t="s">
        <v>574</v>
      </c>
      <c r="O27" s="6" t="s">
        <v>579</v>
      </c>
      <c r="P27" s="6" t="s">
        <v>576</v>
      </c>
      <c r="Q27" s="6" t="s">
        <v>577</v>
      </c>
      <c r="R27" s="6" t="s">
        <v>35</v>
      </c>
      <c r="U27" s="8" cm="1">
        <f t="array" ref="U27">INDEX(CAP[Overall Rating],MATCH(Pokedex[[#This Row],[Name]],CAP[Name],0),0)</f>
        <v>335.66600326017851</v>
      </c>
      <c r="W27"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 Solarouge Regular Pokemon; Fire/Normal;  Large feline creature with a majestic sun-shaped pattern on its fur and a blazing tail; detailed; pokemon style; anime style;vibrant colors;limited color palette --q 1.5</v>
      </c>
    </row>
    <row r="28" spans="1:23" x14ac:dyDescent="0.3">
      <c r="A28" s="6">
        <v>112</v>
      </c>
      <c r="B28" s="6" t="s">
        <v>586</v>
      </c>
      <c r="C28" s="6" t="s">
        <v>21</v>
      </c>
      <c r="D28" s="6" t="s">
        <v>383</v>
      </c>
      <c r="E28" s="6">
        <v>85</v>
      </c>
      <c r="F28" s="6">
        <v>100</v>
      </c>
      <c r="G28" s="6">
        <v>85</v>
      </c>
      <c r="H28" s="6">
        <v>110</v>
      </c>
      <c r="I28" s="6">
        <v>85</v>
      </c>
      <c r="J28" s="6">
        <v>130</v>
      </c>
      <c r="K28" s="6">
        <f>SUM(Pokedex[[#This Row],[HP]:[Spe]])</f>
        <v>595</v>
      </c>
      <c r="L28" s="6" t="s">
        <v>581</v>
      </c>
      <c r="N28" s="6" t="s">
        <v>582</v>
      </c>
      <c r="O28" s="6" t="s">
        <v>587</v>
      </c>
      <c r="P28" s="6" t="s">
        <v>584</v>
      </c>
      <c r="Q28" s="6" t="s">
        <v>585</v>
      </c>
      <c r="R28" s="6" t="s">
        <v>35</v>
      </c>
      <c r="U28" s="8" cm="1">
        <f t="array" ref="U28">INDEX(CAP[Overall Rating],MATCH(Pokedex[[#This Row],[Name]],CAP[Name],0),0)</f>
        <v>335.22109644461818</v>
      </c>
      <c r="W28"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 Lunarouge Regular Pokemon; Water/Normal;  Large feline creature with a captivating moon-shaped pattern on its fur and a flowing watery tail; detailed; pokemon style; anime style;vibrant colors;limited color palette --q 1.5</v>
      </c>
    </row>
    <row r="29" spans="1:23" x14ac:dyDescent="0.3">
      <c r="A29" s="6">
        <v>61</v>
      </c>
      <c r="B29" s="6" t="s">
        <v>307</v>
      </c>
      <c r="C29" s="6" t="s">
        <v>59</v>
      </c>
      <c r="D29" s="6" t="s">
        <v>135</v>
      </c>
      <c r="E29" s="6">
        <v>100</v>
      </c>
      <c r="F29" s="6">
        <v>120</v>
      </c>
      <c r="G29" s="6">
        <v>90</v>
      </c>
      <c r="H29" s="6">
        <v>120</v>
      </c>
      <c r="I29" s="6">
        <v>90</v>
      </c>
      <c r="J29" s="6">
        <v>80</v>
      </c>
      <c r="K29" s="6">
        <f>SUM(Pokedex[[#This Row],[HP]:[Spe]])</f>
        <v>600</v>
      </c>
      <c r="L29" s="6" t="s">
        <v>308</v>
      </c>
      <c r="M29" s="6" t="s">
        <v>309</v>
      </c>
      <c r="O29" s="6" t="s">
        <v>478</v>
      </c>
      <c r="P29" s="6" t="s">
        <v>310</v>
      </c>
      <c r="Q29" s="6" t="s">
        <v>311</v>
      </c>
      <c r="R29" s="6" t="s">
        <v>142</v>
      </c>
      <c r="U29" s="8" cm="1">
        <f t="array" ref="U29">INDEX(CAP[Overall Rating],MATCH(Pokedex[[#This Row],[Name]],CAP[Name],0),0)</f>
        <v>329.49755272670609</v>
      </c>
      <c r="W29"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prompt:Aurorashine Legendary Pokemon; Ice/Dragon; A serpentine dragon adorned with icy crystals and shimmering scales reflecting the aurora borealis. Its graceful form and beauty are mesmerizing.; detailed; pokemon style; anime style;vibrant colors;limited color palette --q 1.5</v>
      </c>
    </row>
    <row r="30" spans="1:23" x14ac:dyDescent="0.3">
      <c r="A30" s="6">
        <v>79</v>
      </c>
      <c r="B30" s="6" t="s">
        <v>438</v>
      </c>
      <c r="C30" s="6" t="s">
        <v>135</v>
      </c>
      <c r="D30" s="6" t="s">
        <v>383</v>
      </c>
      <c r="E30" s="6">
        <v>95</v>
      </c>
      <c r="F30" s="6">
        <v>130</v>
      </c>
      <c r="G30" s="6">
        <v>80</v>
      </c>
      <c r="H30" s="6">
        <v>90</v>
      </c>
      <c r="I30" s="6">
        <v>80</v>
      </c>
      <c r="J30" s="6">
        <v>100</v>
      </c>
      <c r="K30" s="6">
        <f>SUM(Pokedex[[#This Row],[HP]:[Spe]])</f>
        <v>575</v>
      </c>
      <c r="L30" s="6" t="s">
        <v>431</v>
      </c>
      <c r="M30" s="6" t="s">
        <v>432</v>
      </c>
      <c r="N30" s="6" t="s">
        <v>462</v>
      </c>
      <c r="O30" s="6" t="s">
        <v>439</v>
      </c>
      <c r="P30" s="6" t="s">
        <v>434</v>
      </c>
      <c r="Q30" s="6" t="s">
        <v>435</v>
      </c>
      <c r="R30" s="6" t="s">
        <v>35</v>
      </c>
      <c r="U30" s="8" cm="1">
        <f t="array" ref="U30">INDEX(CAP[Overall Rating],MATCH(Pokedex[[#This Row],[Name]],CAP[Name],0),0)</f>
        <v>326.3154237438107</v>
      </c>
      <c r="W30"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prompt:Dracolupus Regular Pokemon; Dragon/Normal; A majestic, powerful dragon-like wolf with a muscular body and wings.; detailed; pokemon style; anime style;vibrant colors;limited color palette --q 1.5</v>
      </c>
    </row>
    <row r="31" spans="1:23" x14ac:dyDescent="0.3">
      <c r="A31" s="6">
        <v>64</v>
      </c>
      <c r="B31" s="6" t="s">
        <v>323</v>
      </c>
      <c r="C31" s="6" t="s">
        <v>37</v>
      </c>
      <c r="D31" s="6" t="s">
        <v>50</v>
      </c>
      <c r="E31" s="6">
        <v>110</v>
      </c>
      <c r="F31" s="6">
        <v>130</v>
      </c>
      <c r="G31" s="6">
        <v>90</v>
      </c>
      <c r="H31" s="6">
        <v>105</v>
      </c>
      <c r="I31" s="6">
        <v>100</v>
      </c>
      <c r="J31" s="6">
        <v>65</v>
      </c>
      <c r="K31" s="6">
        <f>SUM(Pokedex[[#This Row],[HP]:[Spe]])</f>
        <v>600</v>
      </c>
      <c r="L31" s="6" t="s">
        <v>324</v>
      </c>
      <c r="M31" s="6" t="s">
        <v>325</v>
      </c>
      <c r="O31" s="6" t="s">
        <v>480</v>
      </c>
      <c r="P31" s="6" t="s">
        <v>326</v>
      </c>
      <c r="Q31" s="6" t="s">
        <v>327</v>
      </c>
      <c r="R31" s="6" t="s">
        <v>142</v>
      </c>
      <c r="U31" s="8" cm="1">
        <f t="array" ref="U31">INDEX(CAP[Overall Rating],MATCH(Pokedex[[#This Row],[Name]],CAP[Name],0),0)</f>
        <v>323.01511172885557</v>
      </c>
      <c r="V31" s="12" t="s">
        <v>483</v>
      </c>
      <c r="W31"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prompt:Floraphoenix Legendary Pokemon; Fire/Grass; A fiery phoenix with a trail of vibrant, blooming flowers, symbolizing rebirth and growth. Its stunning form and brilliant colors inspire awe.; detailed; pokemon style; anime style;vibrant colors;limited color palette --q 1.5</v>
      </c>
    </row>
    <row r="32" spans="1:23" x14ac:dyDescent="0.3">
      <c r="A32" s="6">
        <v>47</v>
      </c>
      <c r="B32" s="6" t="s">
        <v>243</v>
      </c>
      <c r="C32" s="6" t="s">
        <v>59</v>
      </c>
      <c r="D32" s="6" t="s">
        <v>28</v>
      </c>
      <c r="E32" s="6">
        <v>85</v>
      </c>
      <c r="F32" s="6">
        <v>110</v>
      </c>
      <c r="G32" s="6">
        <v>80</v>
      </c>
      <c r="H32" s="6">
        <v>95</v>
      </c>
      <c r="I32" s="6">
        <v>85</v>
      </c>
      <c r="J32" s="6">
        <v>125</v>
      </c>
      <c r="K32" s="6">
        <f>SUM(Pokedex[[#This Row],[HP]:[Spe]])</f>
        <v>580</v>
      </c>
      <c r="L32" s="6" t="s">
        <v>60</v>
      </c>
      <c r="M32" s="6" t="s">
        <v>239</v>
      </c>
      <c r="N32" s="6" t="s">
        <v>210</v>
      </c>
      <c r="O32" s="6" t="s">
        <v>244</v>
      </c>
      <c r="P32" s="6" t="s">
        <v>241</v>
      </c>
      <c r="Q32" s="6" t="s">
        <v>242</v>
      </c>
      <c r="R32" s="6" t="s">
        <v>35</v>
      </c>
      <c r="U32" s="8" cm="1">
        <f t="array" ref="U32">INDEX(CAP[Overall Rating],MATCH(Pokedex[[#This Row],[Name]],CAP[Name],0),0)</f>
        <v>322.73378825636058</v>
      </c>
      <c r="W32"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prompt:Frostalon Regular Pokemon; Ice/Flying; Large bird with icy feathers, sharp beak, and impressive wingspan; detailed; pokemon style; anime style;vibrant colors;limited color palette --q 1.5</v>
      </c>
    </row>
    <row r="33" spans="1:23" x14ac:dyDescent="0.3">
      <c r="A33" s="6">
        <v>42</v>
      </c>
      <c r="B33" s="6" t="s">
        <v>214</v>
      </c>
      <c r="C33" s="6" t="s">
        <v>84</v>
      </c>
      <c r="D33" s="6" t="s">
        <v>28</v>
      </c>
      <c r="E33" s="6">
        <v>85</v>
      </c>
      <c r="F33" s="6">
        <v>70</v>
      </c>
      <c r="G33" s="6">
        <v>90</v>
      </c>
      <c r="H33" s="6">
        <v>120</v>
      </c>
      <c r="I33" s="6">
        <v>100</v>
      </c>
      <c r="J33" s="6">
        <v>110</v>
      </c>
      <c r="K33" s="6">
        <f>SUM(Pokedex[[#This Row],[HP]:[Spe]])</f>
        <v>575</v>
      </c>
      <c r="L33" s="6" t="s">
        <v>209</v>
      </c>
      <c r="M33" s="6" t="s">
        <v>174</v>
      </c>
      <c r="N33" s="6" t="s">
        <v>210</v>
      </c>
      <c r="O33" s="6" t="s">
        <v>215</v>
      </c>
      <c r="P33" s="6" t="s">
        <v>212</v>
      </c>
      <c r="Q33" s="6" t="s">
        <v>213</v>
      </c>
      <c r="R33" s="6" t="s">
        <v>35</v>
      </c>
      <c r="U33" s="8" cm="1">
        <f t="array" ref="U33">INDEX(CAP[Overall Rating],MATCH(Pokedex[[#This Row],[Name]],CAP[Name],0),0)</f>
        <v>322.29494264535401</v>
      </c>
      <c r="W33"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prompt:Stormind Regular Pokemon; Psychic/Flying; Larger cloud-like creature with a more intense psychic energy and bird-like wings; detailed; pokemon style; anime style;vibrant colors;limited color palette --q 1.5</v>
      </c>
    </row>
    <row r="34" spans="1:23" x14ac:dyDescent="0.3">
      <c r="A34" s="6">
        <v>10</v>
      </c>
      <c r="B34" s="6" t="s">
        <v>77</v>
      </c>
      <c r="C34" s="6" t="s">
        <v>66</v>
      </c>
      <c r="D34" s="6" t="s">
        <v>28</v>
      </c>
      <c r="E34" s="6">
        <v>85</v>
      </c>
      <c r="F34" s="6">
        <v>115</v>
      </c>
      <c r="G34" s="6">
        <v>80</v>
      </c>
      <c r="H34" s="6">
        <v>95</v>
      </c>
      <c r="I34" s="6">
        <v>80</v>
      </c>
      <c r="J34" s="6">
        <v>120</v>
      </c>
      <c r="K34" s="6">
        <f>SUM(Pokedex[[#This Row],[HP]:[Spe]])</f>
        <v>575</v>
      </c>
      <c r="L34" s="6" t="s">
        <v>73</v>
      </c>
      <c r="N34" s="6" t="s">
        <v>78</v>
      </c>
      <c r="O34" s="6" t="s">
        <v>79</v>
      </c>
      <c r="P34" s="6" t="s">
        <v>75</v>
      </c>
      <c r="Q34" s="6" t="s">
        <v>76</v>
      </c>
      <c r="R34" s="6" t="s">
        <v>35</v>
      </c>
      <c r="U34" s="8" cm="1">
        <f t="array" ref="U34">INDEX(CAP[Overall Rating],MATCH(Pokedex[[#This Row],[Name]],CAP[Name],0),0)</f>
        <v>322.25026968021001</v>
      </c>
      <c r="W34"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prompt:Galefang Regular Pokemon; Dark/Flying; Wolf-like, larger wings, dark mist around; detailed; pokemon style; anime style;vibrant colors;limited color palette --q 1.5</v>
      </c>
    </row>
    <row r="35" spans="1:23" x14ac:dyDescent="0.3">
      <c r="A35" s="6">
        <v>99</v>
      </c>
      <c r="B35" s="6" t="s">
        <v>501</v>
      </c>
      <c r="C35" s="6" t="s">
        <v>51</v>
      </c>
      <c r="D35" s="6" t="s">
        <v>28</v>
      </c>
      <c r="E35" s="6">
        <v>85</v>
      </c>
      <c r="F35" s="6">
        <v>95</v>
      </c>
      <c r="G35" s="6">
        <v>80</v>
      </c>
      <c r="H35" s="6">
        <v>105</v>
      </c>
      <c r="I35" s="6">
        <v>90</v>
      </c>
      <c r="J35" s="6">
        <v>125</v>
      </c>
      <c r="K35" s="6">
        <f>SUM(Pokedex[[#This Row],[HP]:[Spe]])</f>
        <v>580</v>
      </c>
      <c r="L35" s="6" t="s">
        <v>53</v>
      </c>
      <c r="N35" s="6" t="s">
        <v>232</v>
      </c>
      <c r="O35" s="6" t="s">
        <v>541</v>
      </c>
      <c r="P35" s="6" t="s">
        <v>539</v>
      </c>
      <c r="Q35" s="6" t="s">
        <v>540</v>
      </c>
      <c r="R35" s="6" t="s">
        <v>35</v>
      </c>
      <c r="U35" s="8" cm="1">
        <f t="array" ref="U35">INDEX(CAP[Overall Rating],MATCH(Pokedex[[#This Row],[Name]],CAP[Name],0),0)</f>
        <v>320.86258301358612</v>
      </c>
      <c r="W35"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prompt:Zephyraptor Regular Pokemon; Electric/Flying; Large bird of prey with electrically charged feathers and wind-shaped wings; detailed; pokemon style; anime style;vibrant colors;limited color palette --q 1.5</v>
      </c>
    </row>
    <row r="36" spans="1:23" x14ac:dyDescent="0.3">
      <c r="A36" s="6">
        <v>69</v>
      </c>
      <c r="B36" s="6" t="s">
        <v>347</v>
      </c>
      <c r="C36" s="6" t="s">
        <v>89</v>
      </c>
      <c r="D36" s="6" t="s">
        <v>84</v>
      </c>
      <c r="E36" s="6">
        <v>95</v>
      </c>
      <c r="F36" s="6">
        <v>95</v>
      </c>
      <c r="G36" s="6">
        <v>80</v>
      </c>
      <c r="H36" s="6">
        <v>120</v>
      </c>
      <c r="I36" s="6">
        <v>100</v>
      </c>
      <c r="J36" s="6">
        <v>90</v>
      </c>
      <c r="K36" s="6">
        <f>SUM(Pokedex[[#This Row],[HP]:[Spe]])</f>
        <v>580</v>
      </c>
      <c r="L36" s="6" t="s">
        <v>340</v>
      </c>
      <c r="M36" s="6" t="s">
        <v>341</v>
      </c>
      <c r="O36" s="6" t="s">
        <v>348</v>
      </c>
      <c r="P36" s="6" t="s">
        <v>349</v>
      </c>
      <c r="Q36" s="6" t="s">
        <v>350</v>
      </c>
      <c r="R36" s="6" t="s">
        <v>35</v>
      </c>
      <c r="U36" s="8" cm="1">
        <f t="array" ref="U36">INDEX(CAP[Overall Rating],MATCH(Pokedex[[#This Row],[Name]],CAP[Name],0),0)</f>
        <v>320.02620774872247</v>
      </c>
      <c r="W36"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prompt:Moonalope Regular Pokemon; Fairy/Psychic; An elegant, jackalope-like Pokémon with a crescent moon marking on its forehead and antlers resembling branches adorned with shimmering, moonlit leaves. Its fur emits a soft glow, and its eyes hold a deep wisdom.; detailed; pokemon style; anime style;vibrant colors;limited color palette --q 1.5</v>
      </c>
    </row>
    <row r="37" spans="1:23" x14ac:dyDescent="0.3">
      <c r="A37" s="6">
        <v>127</v>
      </c>
      <c r="B37" s="6" t="s">
        <v>683</v>
      </c>
      <c r="C37" s="6" t="s">
        <v>383</v>
      </c>
      <c r="D37" s="6" t="s">
        <v>150</v>
      </c>
      <c r="E37" s="6">
        <v>95</v>
      </c>
      <c r="F37" s="6">
        <v>95</v>
      </c>
      <c r="G37" s="6">
        <v>95</v>
      </c>
      <c r="H37" s="6">
        <v>95</v>
      </c>
      <c r="I37" s="6">
        <v>95</v>
      </c>
      <c r="J37" s="6">
        <v>95</v>
      </c>
      <c r="K37" s="13">
        <f>SUM(Pokedex[[#This Row],[HP]:[Spe]])</f>
        <v>570</v>
      </c>
      <c r="L37" s="6" t="s">
        <v>684</v>
      </c>
      <c r="M37" s="6" t="s">
        <v>685</v>
      </c>
      <c r="O37" s="6" t="s">
        <v>686</v>
      </c>
      <c r="R37" s="6" t="s">
        <v>57</v>
      </c>
      <c r="U37" s="8" cm="1">
        <f t="array" ref="U37">INDEX(CAP[Overall Rating],MATCH(Pokedex[[#This Row],[Name]],CAP[Name],0),0)</f>
        <v>315.55291149286393</v>
      </c>
      <c r="W37" s="13"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prompt:Balanquill Regular Pokemon; Normal/Ghost; Balanquill is a medium-sized, owl-like Pokémon with a unique, balanced design. Its body is divided into two distinct halves, with one side being white and feathery, while the other side appears ghostly, translucent, and ethereal. Its eyes are mismatched—one is golden and the other a glowing purple—symbolizing the balance between life and the afterlife.; detailed; pokemon style; anime style;vibrant colors;limited color palette --q 1.5</v>
      </c>
    </row>
    <row r="38" spans="1:23" x14ac:dyDescent="0.3">
      <c r="A38" s="6">
        <v>49</v>
      </c>
      <c r="B38" s="6" t="s">
        <v>252</v>
      </c>
      <c r="C38" s="6" t="s">
        <v>84</v>
      </c>
      <c r="D38" s="6" t="s">
        <v>168</v>
      </c>
      <c r="E38" s="6">
        <v>90</v>
      </c>
      <c r="F38" s="6">
        <v>80</v>
      </c>
      <c r="G38" s="6">
        <v>100</v>
      </c>
      <c r="H38" s="6">
        <v>120</v>
      </c>
      <c r="I38" s="6">
        <v>110</v>
      </c>
      <c r="J38" s="6">
        <v>80</v>
      </c>
      <c r="K38" s="6">
        <f>SUM(Pokedex[[#This Row],[HP]:[Spe]])</f>
        <v>580</v>
      </c>
      <c r="L38" s="6" t="s">
        <v>246</v>
      </c>
      <c r="M38" s="6" t="s">
        <v>247</v>
      </c>
      <c r="N38" s="6" t="s">
        <v>248</v>
      </c>
      <c r="O38" s="6" t="s">
        <v>253</v>
      </c>
      <c r="P38" s="6" t="s">
        <v>250</v>
      </c>
      <c r="Q38" s="6" t="s">
        <v>251</v>
      </c>
      <c r="R38" s="6" t="s">
        <v>35</v>
      </c>
      <c r="U38" s="8" cm="1">
        <f t="array" ref="U38">INDEX(CAP[Overall Rating],MATCH(Pokedex[[#This Row],[Name]],CAP[Name],0),0)</f>
        <v>315.51934418168906</v>
      </c>
      <c r="W38"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prompt:Dreamcobra Regular Pokemon; Psychic/Poison; Larger serpent with even more hypnotic patterns and a menacing gaze; detailed; pokemon style; anime style;vibrant colors;limited color palette --q 1.5</v>
      </c>
    </row>
    <row r="39" spans="1:23" x14ac:dyDescent="0.3">
      <c r="A39" s="6">
        <v>108</v>
      </c>
      <c r="B39" s="6" t="s">
        <v>570</v>
      </c>
      <c r="C39" s="6" t="s">
        <v>59</v>
      </c>
      <c r="D39" s="6" t="s">
        <v>96</v>
      </c>
      <c r="E39" s="6">
        <v>90</v>
      </c>
      <c r="F39" s="6">
        <v>110</v>
      </c>
      <c r="G39" s="6">
        <v>120</v>
      </c>
      <c r="H39" s="6">
        <v>90</v>
      </c>
      <c r="I39" s="6">
        <v>110</v>
      </c>
      <c r="J39" s="6">
        <v>65</v>
      </c>
      <c r="K39" s="6">
        <f>SUM(Pokedex[[#This Row],[HP]:[Spe]])</f>
        <v>585</v>
      </c>
      <c r="L39" s="6" t="s">
        <v>565</v>
      </c>
      <c r="N39" s="6" t="s">
        <v>566</v>
      </c>
      <c r="O39" s="6" t="s">
        <v>571</v>
      </c>
      <c r="P39" s="6" t="s">
        <v>568</v>
      </c>
      <c r="Q39" s="6" t="s">
        <v>569</v>
      </c>
      <c r="R39" s="6" t="s">
        <v>35</v>
      </c>
      <c r="U39" s="8" cm="1">
        <f t="array" ref="U39">INDEX(CAP[Overall Rating],MATCH(Pokedex[[#This Row],[Name]],CAP[Name],0),0)</f>
        <v>314.13776582907497</v>
      </c>
      <c r="W39"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 Glacihorn Regular Pokemon; Ice/Rock;  Large prehistoric creature resembling a woolly rhinoceros with massive crystalline spikes and armor; detailed; pokemon style; anime style;vibrant colors;limited color palette --q 1.5</v>
      </c>
    </row>
    <row r="40" spans="1:23" x14ac:dyDescent="0.3">
      <c r="A40" s="6">
        <v>126</v>
      </c>
      <c r="B40" s="6" t="s">
        <v>679</v>
      </c>
      <c r="C40" s="6" t="s">
        <v>51</v>
      </c>
      <c r="D40" s="6" t="s">
        <v>168</v>
      </c>
      <c r="E40" s="6">
        <v>80</v>
      </c>
      <c r="F40" s="6">
        <v>110</v>
      </c>
      <c r="G40" s="6">
        <v>70</v>
      </c>
      <c r="H40" s="6">
        <v>120</v>
      </c>
      <c r="I40" s="6">
        <v>70</v>
      </c>
      <c r="J40" s="6">
        <v>110</v>
      </c>
      <c r="K40" s="13">
        <f>SUM(Pokedex[[#This Row],[HP]:[Spe]])</f>
        <v>560</v>
      </c>
      <c r="L40" s="6" t="s">
        <v>680</v>
      </c>
      <c r="M40" s="6" t="s">
        <v>681</v>
      </c>
      <c r="O40" s="6" t="s">
        <v>682</v>
      </c>
      <c r="R40" s="6" t="s">
        <v>57</v>
      </c>
      <c r="U40" s="8" cm="1">
        <f t="array" ref="U40">INDEX(CAP[Overall Rating],MATCH(Pokedex[[#This Row],[Name]],CAP[Name],0),0)</f>
        <v>313.06257484879626</v>
      </c>
      <c r="W40" s="13"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prompt:Electrak Regular Pokemon; Electric/Poison; Electrak is a medium-sized, serpent-like Pokémon with a sleek, elongated body. It has vibrant, neon-green scales that emit a pulsating electric current, which becomes more intense when it is ready to strike. Its fangs are filled with a potent, poisonous venom that can paralyze its prey. A series of spiky, purple venom sacs run down its spine, glowing with electrical energy.
; detailed; pokemon style; anime style;vibrant colors;limited color palette --q 1.5</v>
      </c>
    </row>
    <row r="41" spans="1:23" x14ac:dyDescent="0.3">
      <c r="A41" s="6">
        <v>129</v>
      </c>
      <c r="B41" s="6" t="s">
        <v>691</v>
      </c>
      <c r="C41" s="6" t="s">
        <v>37</v>
      </c>
      <c r="D41" s="6" t="s">
        <v>96</v>
      </c>
      <c r="E41" s="6">
        <v>110</v>
      </c>
      <c r="F41" s="6">
        <v>115</v>
      </c>
      <c r="G41" s="6">
        <v>80</v>
      </c>
      <c r="H41" s="6">
        <v>50</v>
      </c>
      <c r="I41" s="6">
        <v>80</v>
      </c>
      <c r="J41" s="6">
        <v>135</v>
      </c>
      <c r="K41" s="13">
        <f>SUM(Pokedex[[#This Row],[HP]:[Spe]])</f>
        <v>570</v>
      </c>
      <c r="L41" s="6" t="s">
        <v>692</v>
      </c>
      <c r="M41" s="6" t="s">
        <v>693</v>
      </c>
      <c r="O41" s="6" t="s">
        <v>694</v>
      </c>
      <c r="R41" s="6" t="s">
        <v>57</v>
      </c>
      <c r="U41" s="8" cm="1">
        <f t="array" ref="U41">INDEX(CAP[Overall Rating],MATCH(Pokedex[[#This Row],[Name]],CAP[Name],0),0)</f>
        <v>310.3615523312281</v>
      </c>
      <c r="W41" s="13"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prompt:Gemblaze Regular Pokemon; Fire/Rock; Gemblaze is a medium-sized, golem-like Pokémon with a body made of volcanic rock and molten lava. Its arms and legs are encrusted with a variety of colorful, glowing gems that resemble precious stones. The gems emit a fiery glow, and when Gemblaze enters battle, they burn with a brilliant, dazzling light.; detailed; pokemon style; anime style;vibrant colors;limited color palette --q 1.5</v>
      </c>
    </row>
    <row r="42" spans="1:23" x14ac:dyDescent="0.3">
      <c r="A42" s="6">
        <v>93</v>
      </c>
      <c r="B42" s="6" t="s">
        <v>494</v>
      </c>
      <c r="C42" s="6" t="s">
        <v>37</v>
      </c>
      <c r="D42" s="6" t="s">
        <v>135</v>
      </c>
      <c r="E42" s="6">
        <v>90</v>
      </c>
      <c r="F42" s="6">
        <v>115</v>
      </c>
      <c r="G42" s="6">
        <v>80</v>
      </c>
      <c r="H42" s="6">
        <v>95</v>
      </c>
      <c r="I42" s="6">
        <v>80</v>
      </c>
      <c r="J42" s="6">
        <v>100</v>
      </c>
      <c r="K42" s="6">
        <f>SUM(Pokedex[[#This Row],[HP]:[Spe]])</f>
        <v>560</v>
      </c>
      <c r="L42" s="6" t="s">
        <v>38</v>
      </c>
      <c r="N42" s="6" t="s">
        <v>234</v>
      </c>
      <c r="O42" s="6" t="s">
        <v>526</v>
      </c>
      <c r="P42" s="6" t="s">
        <v>527</v>
      </c>
      <c r="Q42" s="6" t="s">
        <v>528</v>
      </c>
      <c r="R42" s="6" t="s">
        <v>35</v>
      </c>
      <c r="U42" s="8" cm="1">
        <f t="array" ref="U42">INDEX(CAP[Overall Rating],MATCH(Pokedex[[#This Row],[Name]],CAP[Name],0),0)</f>
        <v>308.84903468301434</v>
      </c>
      <c r="W42"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prompt:Cinderaptor Regular Pokemon; Fire/Dragon; Raptor-like Pokémon with a fiery body and sharp claws; detailed; pokemon style; anime style;vibrant colors;limited color palette --q 1.5</v>
      </c>
    </row>
    <row r="43" spans="1:23" x14ac:dyDescent="0.3">
      <c r="A43" s="6">
        <v>20</v>
      </c>
      <c r="B43" s="6" t="s">
        <v>117</v>
      </c>
      <c r="C43" s="6" t="s">
        <v>21</v>
      </c>
      <c r="D43" s="6" t="s">
        <v>44</v>
      </c>
      <c r="E43" s="6">
        <v>95</v>
      </c>
      <c r="F43" s="6">
        <v>85</v>
      </c>
      <c r="G43" s="6">
        <v>120</v>
      </c>
      <c r="H43" s="6">
        <v>90</v>
      </c>
      <c r="I43" s="6">
        <v>115</v>
      </c>
      <c r="J43" s="6">
        <v>60</v>
      </c>
      <c r="K43" s="6">
        <f>SUM(Pokedex[[#This Row],[HP]:[Spe]])</f>
        <v>565</v>
      </c>
      <c r="L43" s="6" t="s">
        <v>112</v>
      </c>
      <c r="N43" s="6" t="s">
        <v>22</v>
      </c>
      <c r="O43" s="6" t="s">
        <v>118</v>
      </c>
      <c r="P43" s="6" t="s">
        <v>119</v>
      </c>
      <c r="Q43" s="6" t="s">
        <v>120</v>
      </c>
      <c r="R43" s="6" t="s">
        <v>35</v>
      </c>
      <c r="U43" s="8" cm="1">
        <f t="array" ref="U43">INDEX(CAP[Overall Rating],MATCH(Pokedex[[#This Row],[Name]],CAP[Name],0),0)</f>
        <v>307.05491336554348</v>
      </c>
      <c r="W43"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prompt:Tsunarmor Regular Pokemon; Water/Steel; Armored turtle, steel shell, water cannons; detailed; pokemon style; anime style;vibrant colors;limited color palette --q 1.5</v>
      </c>
    </row>
    <row r="44" spans="1:23" x14ac:dyDescent="0.3">
      <c r="A44" s="6">
        <v>23</v>
      </c>
      <c r="B44" s="6" t="s">
        <v>129</v>
      </c>
      <c r="C44" s="6" t="s">
        <v>50</v>
      </c>
      <c r="D44" s="6" t="s">
        <v>89</v>
      </c>
      <c r="E44" s="6">
        <v>90</v>
      </c>
      <c r="F44" s="6">
        <v>90</v>
      </c>
      <c r="G44" s="6">
        <v>90</v>
      </c>
      <c r="H44" s="6">
        <v>115</v>
      </c>
      <c r="I44" s="6">
        <v>90</v>
      </c>
      <c r="J44" s="6">
        <v>90</v>
      </c>
      <c r="K44" s="6">
        <f>SUM(Pokedex[[#This Row],[HP]:[Spe]])</f>
        <v>565</v>
      </c>
      <c r="L44" s="6" t="s">
        <v>122</v>
      </c>
      <c r="N44" s="6" t="s">
        <v>130</v>
      </c>
      <c r="O44" s="6" t="s">
        <v>131</v>
      </c>
      <c r="P44" s="6" t="s">
        <v>132</v>
      </c>
      <c r="Q44" s="6" t="s">
        <v>94</v>
      </c>
      <c r="R44" s="6" t="s">
        <v>35</v>
      </c>
      <c r="U44" s="8" cm="1">
        <f t="array" ref="U44">INDEX(CAP[Overall Rating],MATCH(Pokedex[[#This Row],[Name]],CAP[Name],0),0)</f>
        <v>304.74866260216237</v>
      </c>
      <c r="W44"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prompt:Floracanine Regular Pokemon; Grass/Fairy; Majestic canine, floral mane, fairy-like wings; detailed; pokemon style; anime style;vibrant colors;limited color palette --q 1.5</v>
      </c>
    </row>
    <row r="45" spans="1:23" x14ac:dyDescent="0.3">
      <c r="A45" s="6">
        <v>106</v>
      </c>
      <c r="B45" s="6" t="s">
        <v>558</v>
      </c>
      <c r="C45" s="6" t="s">
        <v>187</v>
      </c>
      <c r="D45" s="6" t="s">
        <v>168</v>
      </c>
      <c r="E45" s="6">
        <v>80</v>
      </c>
      <c r="F45" s="6">
        <v>90</v>
      </c>
      <c r="G45" s="6">
        <v>80</v>
      </c>
      <c r="H45" s="6">
        <v>110</v>
      </c>
      <c r="I45" s="6">
        <v>80</v>
      </c>
      <c r="J45" s="6">
        <v>120</v>
      </c>
      <c r="K45" s="6">
        <f>SUM(Pokedex[[#This Row],[HP]:[Spe]])</f>
        <v>560</v>
      </c>
      <c r="L45" s="6" t="s">
        <v>559</v>
      </c>
      <c r="N45" s="6" t="s">
        <v>560</v>
      </c>
      <c r="O45" s="6" t="s">
        <v>561</v>
      </c>
      <c r="P45" s="6" t="s">
        <v>562</v>
      </c>
      <c r="Q45" s="6" t="s">
        <v>563</v>
      </c>
      <c r="R45" s="6" t="s">
        <v>35</v>
      </c>
      <c r="U45" s="8" cm="1">
        <f t="array" ref="U45">INDEX(CAP[Overall Rating],MATCH(Pokedex[[#This Row],[Name]],CAP[Name],0),0)</f>
        <v>303.80766214879407</v>
      </c>
      <c r="W45"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 Toxifly Regular Pokemon; Bug/Poison;  Large insect-like creature with toxic wings and a more potent stinger; detailed; pokemon style; anime style;vibrant colors;limited color palette --q 1.5</v>
      </c>
    </row>
    <row r="46" spans="1:23" x14ac:dyDescent="0.3">
      <c r="A46" s="6">
        <v>124</v>
      </c>
      <c r="B46" s="6" t="s">
        <v>657</v>
      </c>
      <c r="C46" s="6" t="s">
        <v>37</v>
      </c>
      <c r="D46" s="6" t="s">
        <v>84</v>
      </c>
      <c r="E46" s="6">
        <v>95</v>
      </c>
      <c r="F46" s="6">
        <v>70</v>
      </c>
      <c r="G46" s="6">
        <v>70</v>
      </c>
      <c r="H46" s="6">
        <v>120</v>
      </c>
      <c r="I46" s="6">
        <v>90</v>
      </c>
      <c r="J46" s="6">
        <v>105</v>
      </c>
      <c r="K46" s="13">
        <f>SUM(Pokedex[[#This Row],[HP]:[Spe]])</f>
        <v>550</v>
      </c>
      <c r="L46" s="6" t="s">
        <v>658</v>
      </c>
      <c r="M46" s="6" t="s">
        <v>659</v>
      </c>
      <c r="O46" s="6" t="s">
        <v>677</v>
      </c>
      <c r="R46" s="6" t="s">
        <v>57</v>
      </c>
      <c r="U46" s="8" cm="1">
        <f t="array" ref="U46">INDEX(CAP[Overall Rating],MATCH(Pokedex[[#This Row],[Name]],CAP[Name],0),0)</f>
        <v>300.83051354438101</v>
      </c>
      <c r="W46" s="13"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prompt:Pyrolisk Regular Pokemon; Fire/Psychic; Pyrolisk is a medium-sized, phoenix-like Pokémon with a slender, elegant body. Its feathers are a vibrant blend of red, orange, and yellow, giving the appearance of flickering flames. Its long, flowing tail is adorned with wispy, ethereal feathers that emit a soft, psychic glow. Its piercing, purple eyes are said to have hypnotic abilities.; detailed; pokemon style; anime style;vibrant colors;limited color palette --q 1.5</v>
      </c>
    </row>
    <row r="47" spans="1:23" x14ac:dyDescent="0.3">
      <c r="A47" s="6">
        <v>125</v>
      </c>
      <c r="B47" s="6" t="s">
        <v>676</v>
      </c>
      <c r="C47" s="6" t="s">
        <v>59</v>
      </c>
      <c r="D47" s="6" t="s">
        <v>28</v>
      </c>
      <c r="E47" s="6">
        <v>100</v>
      </c>
      <c r="F47" s="6">
        <v>80</v>
      </c>
      <c r="G47" s="6">
        <v>100</v>
      </c>
      <c r="H47" s="6">
        <v>110</v>
      </c>
      <c r="I47" s="6">
        <v>95</v>
      </c>
      <c r="J47" s="6">
        <v>75</v>
      </c>
      <c r="K47" s="13">
        <f>SUM(Pokedex[[#This Row],[HP]:[Spe]])</f>
        <v>560</v>
      </c>
      <c r="L47" s="6" t="s">
        <v>60</v>
      </c>
      <c r="O47" s="6" t="s">
        <v>678</v>
      </c>
      <c r="R47" s="6" t="s">
        <v>57</v>
      </c>
      <c r="U47" s="8" cm="1">
        <f t="array" ref="U47">INDEX(CAP[Overall Rating],MATCH(Pokedex[[#This Row],[Name]],CAP[Name],0),0)</f>
        <v>300.51450456850557</v>
      </c>
      <c r="W47" s="13"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prompt:Glaciowl Regular Pokemon; Ice/Flying; Glaciowl is a large, majestic owl Pokémon with a thick, icy plumage that resembles crystalline structures. Its wings are adorned with intricate, frosty patterns that emit a soft, cold aura. Its piercing blue eyes have a wise and calm demeanor, while its sharp talons are perfect for navigating the frigid environments it inhabits.; detailed; pokemon style; anime style;vibrant colors;limited color palette --q 1.5</v>
      </c>
    </row>
    <row r="48" spans="1:23" x14ac:dyDescent="0.3">
      <c r="A48" s="6">
        <v>118</v>
      </c>
      <c r="B48" s="6" t="s">
        <v>626</v>
      </c>
      <c r="C48" s="6" t="s">
        <v>96</v>
      </c>
      <c r="D48" s="6" t="s">
        <v>51</v>
      </c>
      <c r="E48" s="6">
        <v>95</v>
      </c>
      <c r="F48" s="6">
        <v>100</v>
      </c>
      <c r="G48" s="6">
        <v>70</v>
      </c>
      <c r="H48" s="6">
        <v>100</v>
      </c>
      <c r="I48" s="6">
        <v>75</v>
      </c>
      <c r="J48" s="6">
        <v>110</v>
      </c>
      <c r="K48" s="13">
        <f>SUM(Pokedex[[#This Row],[HP]:[Spe]])</f>
        <v>550</v>
      </c>
      <c r="L48" s="6" t="s">
        <v>627</v>
      </c>
      <c r="M48" s="6" t="s">
        <v>628</v>
      </c>
      <c r="O48" s="6" t="s">
        <v>647</v>
      </c>
      <c r="R48" s="6" t="s">
        <v>625</v>
      </c>
      <c r="U48" s="8" cm="1">
        <f t="array" ref="U48">INDEX(CAP[Overall Rating],MATCH(Pokedex[[#This Row],[Name]],CAP[Name],0),0)</f>
        <v>300.21581778044384</v>
      </c>
      <c r="W48" s="13"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prompt:Crysteon-Surge Regular Pokemon; Rock/Electric; Crysteon Surge maintains the overall appearance of Crysteon, but its crystal formations have become larger, more jagged, and more energetic. The crystals now emit bright, pulsating electric energy in shades of yellow and blue. Its eyes also have a more intense glow, and its body appears more streamlined for faster movement.; detailed; pokemon style; anime style;vibrant colors;limited color palette --q 1.5</v>
      </c>
    </row>
    <row r="49" spans="1:23" x14ac:dyDescent="0.3">
      <c r="A49" s="6">
        <v>121</v>
      </c>
      <c r="B49" s="6" t="s">
        <v>635</v>
      </c>
      <c r="C49" s="6" t="s">
        <v>187</v>
      </c>
      <c r="D49" s="6" t="s">
        <v>135</v>
      </c>
      <c r="E49" s="6">
        <v>80</v>
      </c>
      <c r="F49" s="6">
        <v>90</v>
      </c>
      <c r="G49" s="6">
        <v>100</v>
      </c>
      <c r="H49" s="6">
        <v>80</v>
      </c>
      <c r="I49" s="6">
        <v>100</v>
      </c>
      <c r="J49" s="6">
        <v>100</v>
      </c>
      <c r="K49" s="13">
        <f>SUM(Pokedex[[#This Row],[HP]:[Spe]])</f>
        <v>550</v>
      </c>
      <c r="L49" s="6" t="s">
        <v>636</v>
      </c>
      <c r="M49" s="6" t="s">
        <v>637</v>
      </c>
      <c r="O49" s="6" t="s">
        <v>650</v>
      </c>
      <c r="R49" s="6" t="s">
        <v>625</v>
      </c>
      <c r="U49" s="8" cm="1">
        <f t="array" ref="U49">INDEX(CAP[Overall Rating],MATCH(Pokedex[[#This Row],[Name]],CAP[Name],0),0)</f>
        <v>293.59137436028948</v>
      </c>
      <c r="W49" s="13"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prompt:Flygon-Alteon Regular Pokemon; Bug/Dragon; Flygon-Alteon has a more insect-like appearance, with chitinous, green and orange armor covering its body. Its wings have become transparent, similar to those of a dragonfly, with vibrant, iridescent patterns. Its eyes are large and compound, giving it an alien-like appearance, and it has additional antennae for improved sensory abilities.; detailed; pokemon style; anime style;vibrant colors;limited color palette --q 1.5</v>
      </c>
    </row>
    <row r="50" spans="1:23" x14ac:dyDescent="0.3">
      <c r="A50" s="6">
        <v>56</v>
      </c>
      <c r="B50" s="6" t="s">
        <v>284</v>
      </c>
      <c r="C50" s="6" t="s">
        <v>96</v>
      </c>
      <c r="D50" s="6" t="s">
        <v>21</v>
      </c>
      <c r="E50" s="6">
        <v>90</v>
      </c>
      <c r="F50" s="6">
        <v>110</v>
      </c>
      <c r="G50" s="6">
        <v>130</v>
      </c>
      <c r="H50" s="6">
        <v>60</v>
      </c>
      <c r="I50" s="6">
        <v>100</v>
      </c>
      <c r="J50" s="6">
        <v>60</v>
      </c>
      <c r="K50" s="6">
        <f>SUM(Pokedex[[#This Row],[HP]:[Spe]])</f>
        <v>550</v>
      </c>
      <c r="L50" s="6" t="s">
        <v>278</v>
      </c>
      <c r="M50" s="6" t="s">
        <v>279</v>
      </c>
      <c r="N50" s="6" t="s">
        <v>280</v>
      </c>
      <c r="O50" s="6" t="s">
        <v>285</v>
      </c>
      <c r="P50" s="6" t="s">
        <v>282</v>
      </c>
      <c r="Q50" s="6" t="s">
        <v>283</v>
      </c>
      <c r="R50" s="6" t="s">
        <v>35</v>
      </c>
      <c r="U50" s="8" cm="1">
        <f t="array" ref="U50">INDEX(CAP[Overall Rating],MATCH(Pokedex[[#This Row],[Name]],CAP[Name],0),0)</f>
        <v>291.58060209425651</v>
      </c>
      <c r="W50"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prompt:Boulderstone Regular Pokemon; Rock/Water; A larger turtle with a boulder-like shell; detailed; pokemon style; anime style;vibrant colors;limited color palette --q 1.5</v>
      </c>
    </row>
    <row r="51" spans="1:23" x14ac:dyDescent="0.3">
      <c r="A51" s="6">
        <v>34</v>
      </c>
      <c r="B51" s="6" t="s">
        <v>183</v>
      </c>
      <c r="C51" s="6" t="s">
        <v>37</v>
      </c>
      <c r="D51" s="6" t="s">
        <v>134</v>
      </c>
      <c r="E51" s="6">
        <v>90</v>
      </c>
      <c r="F51" s="6">
        <v>120</v>
      </c>
      <c r="G51" s="6">
        <v>100</v>
      </c>
      <c r="H51" s="6">
        <v>75</v>
      </c>
      <c r="I51" s="6">
        <v>80</v>
      </c>
      <c r="J51" s="6">
        <v>85</v>
      </c>
      <c r="K51" s="6">
        <f>SUM(Pokedex[[#This Row],[HP]:[Spe]])</f>
        <v>550</v>
      </c>
      <c r="L51" s="6" t="s">
        <v>38</v>
      </c>
      <c r="N51" s="6" t="s">
        <v>174</v>
      </c>
      <c r="O51" s="6" t="s">
        <v>184</v>
      </c>
      <c r="P51" s="6" t="s">
        <v>41</v>
      </c>
      <c r="Q51" s="6" t="s">
        <v>185</v>
      </c>
      <c r="R51" s="6" t="s">
        <v>35</v>
      </c>
      <c r="U51" s="8" cm="1">
        <f t="array" ref="U51">INDEX(CAP[Overall Rating],MATCH(Pokedex[[#This Row],[Name]],CAP[Name],0),0)</f>
        <v>290.77554534875418</v>
      </c>
      <c r="W51"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prompt:Magmaarmor Regular Pokemon; Fire/Ground; Large, red, armadillo-like, lava-like armor, spikes; detailed; pokemon style; anime style;vibrant colors;limited color palette --q 1.5</v>
      </c>
    </row>
    <row r="52" spans="1:23" x14ac:dyDescent="0.3">
      <c r="A52" s="6">
        <v>17</v>
      </c>
      <c r="B52" s="6" t="s">
        <v>107</v>
      </c>
      <c r="C52" s="6" t="s">
        <v>37</v>
      </c>
      <c r="D52" s="6" t="s">
        <v>66</v>
      </c>
      <c r="E52" s="6">
        <v>85</v>
      </c>
      <c r="F52" s="6">
        <v>110</v>
      </c>
      <c r="G52" s="6">
        <v>80</v>
      </c>
      <c r="H52" s="6">
        <v>100</v>
      </c>
      <c r="I52" s="6">
        <v>75</v>
      </c>
      <c r="J52" s="6">
        <v>95</v>
      </c>
      <c r="K52" s="6">
        <f>SUM(Pokedex[[#This Row],[HP]:[Spe]])</f>
        <v>545</v>
      </c>
      <c r="L52" s="6" t="s">
        <v>38</v>
      </c>
      <c r="N52" s="6" t="s">
        <v>73</v>
      </c>
      <c r="O52" s="6" t="s">
        <v>108</v>
      </c>
      <c r="P52" s="6" t="s">
        <v>109</v>
      </c>
      <c r="Q52" s="6" t="s">
        <v>110</v>
      </c>
      <c r="R52" s="6" t="s">
        <v>35</v>
      </c>
      <c r="U52" s="8" cm="1">
        <f t="array" ref="U52">INDEX(CAP[Overall Rating],MATCH(Pokedex[[#This Row],[Name]],CAP[Name],0),0)</f>
        <v>287.68029217015038</v>
      </c>
      <c r="W52"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prompt:Infernostalker Regular Pokemon; Fire/Dark; Dark panther-like, flame aura, black armor; detailed; pokemon style; anime style;vibrant colors;limited color palette --q 1.5</v>
      </c>
    </row>
    <row r="53" spans="1:23" x14ac:dyDescent="0.3">
      <c r="A53" s="6">
        <v>50</v>
      </c>
      <c r="B53" s="6" t="s">
        <v>254</v>
      </c>
      <c r="C53" s="6" t="s">
        <v>150</v>
      </c>
      <c r="D53" s="6" t="s">
        <v>44</v>
      </c>
      <c r="E53" s="6">
        <v>80</v>
      </c>
      <c r="F53" s="6">
        <v>100</v>
      </c>
      <c r="G53" s="6">
        <v>130</v>
      </c>
      <c r="H53" s="6">
        <v>60</v>
      </c>
      <c r="I53" s="6">
        <v>130</v>
      </c>
      <c r="J53" s="6">
        <v>50</v>
      </c>
      <c r="K53" s="6">
        <f>SUM(Pokedex[[#This Row],[HP]:[Spe]])</f>
        <v>550</v>
      </c>
      <c r="L53" s="6" t="s">
        <v>255</v>
      </c>
      <c r="N53" s="6" t="s">
        <v>256</v>
      </c>
      <c r="O53" s="6" t="s">
        <v>257</v>
      </c>
      <c r="P53" s="6" t="s">
        <v>258</v>
      </c>
      <c r="Q53" s="6" t="s">
        <v>259</v>
      </c>
      <c r="R53" s="6" t="s">
        <v>35</v>
      </c>
      <c r="U53" s="8" cm="1">
        <f t="array" ref="U53">INDEX(CAP[Overall Rating],MATCH(Pokedex[[#This Row],[Name]],CAP[Name],0),0)</f>
        <v>287.49541031450104</v>
      </c>
      <c r="W53"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prompt:Spectrarmor Regular Pokemon; Ghost/Steel; Armored ghostly knight with a shield and spectral sword; detailed; pokemon style; anime style;vibrant colors;limited color palette --q 1.5</v>
      </c>
    </row>
    <row r="54" spans="1:23" x14ac:dyDescent="0.3">
      <c r="A54" s="6">
        <v>40</v>
      </c>
      <c r="B54" s="6" t="s">
        <v>206</v>
      </c>
      <c r="C54" s="6" t="s">
        <v>37</v>
      </c>
      <c r="D54" s="6" t="s">
        <v>168</v>
      </c>
      <c r="E54" s="6">
        <v>80</v>
      </c>
      <c r="F54" s="6">
        <v>105</v>
      </c>
      <c r="G54" s="6">
        <v>75</v>
      </c>
      <c r="H54" s="6">
        <v>90</v>
      </c>
      <c r="I54" s="6">
        <v>75</v>
      </c>
      <c r="J54" s="6">
        <v>110</v>
      </c>
      <c r="K54" s="6">
        <f>SUM(Pokedex[[#This Row],[HP]:[Spe]])</f>
        <v>535</v>
      </c>
      <c r="L54" s="6" t="s">
        <v>38</v>
      </c>
      <c r="N54" s="6" t="s">
        <v>202</v>
      </c>
      <c r="O54" s="6" t="s">
        <v>207</v>
      </c>
      <c r="P54" s="6" t="s">
        <v>204</v>
      </c>
      <c r="Q54" s="6" t="s">
        <v>205</v>
      </c>
      <c r="R54" s="6" t="s">
        <v>35</v>
      </c>
      <c r="U54" s="8" cm="1">
        <f t="array" ref="U54">INDEX(CAP[Overall Rating],MATCH(Pokedex[[#This Row],[Name]],CAP[Name],0),0)</f>
        <v>283.4159925689292</v>
      </c>
      <c r="W54"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prompt:Venomburst Regular Pokemon; Fire/Poison; Large, red and purple salamander with flaming body and poisonous barbs; detailed; pokemon style; anime style;vibrant colors;limited color palette --q 1.5</v>
      </c>
    </row>
    <row r="55" spans="1:23" x14ac:dyDescent="0.3">
      <c r="A55" s="6">
        <v>14</v>
      </c>
      <c r="B55" s="6" t="s">
        <v>95</v>
      </c>
      <c r="C55" s="6" t="s">
        <v>51</v>
      </c>
      <c r="D55" s="6" t="s">
        <v>96</v>
      </c>
      <c r="E55" s="6">
        <v>90</v>
      </c>
      <c r="F55" s="6">
        <v>100</v>
      </c>
      <c r="G55" s="6">
        <v>110</v>
      </c>
      <c r="H55" s="6">
        <v>90</v>
      </c>
      <c r="I55" s="6">
        <v>80</v>
      </c>
      <c r="J55" s="6">
        <v>75</v>
      </c>
      <c r="K55" s="6">
        <f>SUM(Pokedex[[#This Row],[HP]:[Spe]])</f>
        <v>545</v>
      </c>
      <c r="L55" s="6" t="s">
        <v>97</v>
      </c>
      <c r="N55" s="6" t="s">
        <v>98</v>
      </c>
      <c r="O55" s="6" t="s">
        <v>99</v>
      </c>
      <c r="P55" s="6" t="s">
        <v>100</v>
      </c>
      <c r="Q55" s="6" t="s">
        <v>101</v>
      </c>
      <c r="R55" s="6" t="s">
        <v>57</v>
      </c>
      <c r="U55" s="8" cm="1">
        <f t="array" ref="U55">INDEX(CAP[Overall Rating],MATCH(Pokedex[[#This Row],[Name]],CAP[Name],0),0)</f>
        <v>281.93568518695724</v>
      </c>
      <c r="W55"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prompt:Terravolt Regular Pokemon; Electric/Rock; Armored, electric-yellow lizard, rocky spikes; detailed; pokemon style; anime style;vibrant colors;limited color palette --q 1.5</v>
      </c>
    </row>
    <row r="56" spans="1:23" x14ac:dyDescent="0.3">
      <c r="A56" s="6">
        <v>72</v>
      </c>
      <c r="B56" s="6" t="s">
        <v>364</v>
      </c>
      <c r="C56" s="6" t="s">
        <v>135</v>
      </c>
      <c r="D56" s="6" t="s">
        <v>37</v>
      </c>
      <c r="E56" s="6">
        <v>90</v>
      </c>
      <c r="F56" s="6">
        <v>100</v>
      </c>
      <c r="G56" s="6">
        <v>80</v>
      </c>
      <c r="H56" s="6">
        <v>120</v>
      </c>
      <c r="I56" s="6">
        <v>80</v>
      </c>
      <c r="J56" s="6">
        <v>80</v>
      </c>
      <c r="K56" s="6">
        <f>SUM(Pokedex[[#This Row],[HP]:[Spe]])</f>
        <v>550</v>
      </c>
      <c r="L56" s="6" t="s">
        <v>38</v>
      </c>
      <c r="M56" s="6" t="s">
        <v>365</v>
      </c>
      <c r="N56" s="6" t="s">
        <v>73</v>
      </c>
      <c r="O56" s="6" t="s">
        <v>366</v>
      </c>
      <c r="P56" s="6" t="s">
        <v>367</v>
      </c>
      <c r="Q56" s="6" t="s">
        <v>368</v>
      </c>
      <c r="R56" s="6" t="s">
        <v>57</v>
      </c>
      <c r="U56" s="8" cm="1">
        <f t="array" ref="U56">INDEX(CAP[Overall Rating],MATCH(Pokedex[[#This Row],[Name]],CAP[Name],0),0)</f>
        <v>281.87743239438566</v>
      </c>
      <c r="W56"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prompt:Dracoflare Regular Pokemon; Dragon/Fire; A dragon-like Pokémon with blazing red scales and flames billowing from its mouth and tail.; detailed; pokemon style; anime style;vibrant colors;limited color palette --q 1.5</v>
      </c>
    </row>
    <row r="57" spans="1:23" x14ac:dyDescent="0.3">
      <c r="A57" s="6">
        <v>128</v>
      </c>
      <c r="B57" s="6" t="s">
        <v>687</v>
      </c>
      <c r="C57" s="6" t="s">
        <v>89</v>
      </c>
      <c r="D57" s="6" t="s">
        <v>44</v>
      </c>
      <c r="E57" s="6">
        <v>60</v>
      </c>
      <c r="F57" s="6">
        <v>65</v>
      </c>
      <c r="G57" s="6">
        <v>130</v>
      </c>
      <c r="H57" s="6">
        <v>120</v>
      </c>
      <c r="I57" s="6">
        <v>130</v>
      </c>
      <c r="J57" s="6">
        <v>65</v>
      </c>
      <c r="K57" s="13">
        <f>SUM(Pokedex[[#This Row],[HP]:[Spe]])</f>
        <v>570</v>
      </c>
      <c r="L57" s="6" t="s">
        <v>688</v>
      </c>
      <c r="M57" s="6" t="s">
        <v>689</v>
      </c>
      <c r="O57" s="6" t="s">
        <v>690</v>
      </c>
      <c r="R57" s="6" t="s">
        <v>57</v>
      </c>
      <c r="U57" s="8" cm="1">
        <f t="array" ref="U57">INDEX(CAP[Overall Rating],MATCH(Pokedex[[#This Row],[Name]],CAP[Name],0),0)</f>
        <v>280.29775157567326</v>
      </c>
      <c r="W57" s="13"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prompt:Chimechoir Regular Pokemon; Fairy/Steel; Chimechoir is a small, bell-like Pokémon that resembles an intricately designed wind chime. It has a metallic, steel body with a series of small, melodic chimes hanging from it. The chimes are adorned with shimmering, fairy-like wings that emit a soft, magical glow. Chimechoir's chimes produce a harmonious sound that is said to have mesmerizing effects.; detailed; pokemon style; anime style;vibrant colors;limited color palette --q 1.5</v>
      </c>
    </row>
    <row r="58" spans="1:23" x14ac:dyDescent="0.3">
      <c r="A58" s="6">
        <v>6</v>
      </c>
      <c r="B58" s="6" t="s">
        <v>49</v>
      </c>
      <c r="C58" s="6" t="s">
        <v>50</v>
      </c>
      <c r="D58" s="6" t="s">
        <v>51</v>
      </c>
      <c r="E58" s="6">
        <v>85</v>
      </c>
      <c r="F58" s="6">
        <v>100</v>
      </c>
      <c r="G58" s="6">
        <v>80</v>
      </c>
      <c r="H58" s="6">
        <v>110</v>
      </c>
      <c r="I58" s="6">
        <v>90</v>
      </c>
      <c r="J58" s="6">
        <v>80</v>
      </c>
      <c r="K58" s="6">
        <f>SUM(Pokedex[[#This Row],[HP]:[Spe]])</f>
        <v>545</v>
      </c>
      <c r="L58" s="6" t="s">
        <v>52</v>
      </c>
      <c r="N58" s="6" t="s">
        <v>53</v>
      </c>
      <c r="O58" s="6" t="s">
        <v>54</v>
      </c>
      <c r="P58" s="6" t="s">
        <v>55</v>
      </c>
      <c r="Q58" s="6" t="s">
        <v>56</v>
      </c>
      <c r="R58" s="6" t="s">
        <v>57</v>
      </c>
      <c r="U58" s="8" cm="1">
        <f t="array" ref="U58">INDEX(CAP[Overall Rating],MATCH(Pokedex[[#This Row],[Name]],CAP[Name],0),0)</f>
        <v>278.01020241905132</v>
      </c>
      <c r="W58"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prompt:Thornimbus Regular Pokemon; Grass/Electric; Floating cloud-like creature, grass vines, sparks; detailed; pokemon style; anime style;vibrant colors;limited color palette --q 1.5</v>
      </c>
    </row>
    <row r="59" spans="1:23" x14ac:dyDescent="0.3">
      <c r="A59" s="6">
        <v>91</v>
      </c>
      <c r="B59" s="6" t="s">
        <v>492</v>
      </c>
      <c r="C59" s="6" t="s">
        <v>135</v>
      </c>
      <c r="D59" s="6" t="s">
        <v>44</v>
      </c>
      <c r="E59" s="6">
        <v>85</v>
      </c>
      <c r="F59" s="6">
        <v>105</v>
      </c>
      <c r="G59" s="6">
        <v>100</v>
      </c>
      <c r="H59" s="6">
        <v>75</v>
      </c>
      <c r="I59" s="6">
        <v>80</v>
      </c>
      <c r="J59" s="6">
        <v>90</v>
      </c>
      <c r="K59" s="6">
        <f>SUM(Pokedex[[#This Row],[HP]:[Spe]])</f>
        <v>535</v>
      </c>
      <c r="L59" s="6" t="s">
        <v>248</v>
      </c>
      <c r="N59" s="6" t="s">
        <v>462</v>
      </c>
      <c r="O59" s="6" t="s">
        <v>520</v>
      </c>
      <c r="P59" s="6" t="s">
        <v>521</v>
      </c>
      <c r="Q59" s="6" t="s">
        <v>522</v>
      </c>
      <c r="R59" s="6" t="s">
        <v>35</v>
      </c>
      <c r="U59" s="8" cm="1">
        <f t="array" ref="U59">INDEX(CAP[Overall Rating],MATCH(Pokedex[[#This Row],[Name]],CAP[Name],0),0)</f>
        <v>277.94725517329465</v>
      </c>
      <c r="W59"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prompt:Dracoshell Regular Pokemon; Dragon/Steel; Armor-clad dragon raccoon with metallic scales and larger fangs; detailed; pokemon style; anime style;vibrant colors;limited color palette --q 1.5</v>
      </c>
    </row>
    <row r="60" spans="1:23" x14ac:dyDescent="0.3">
      <c r="A60" s="6">
        <v>97</v>
      </c>
      <c r="B60" s="6" t="s">
        <v>499</v>
      </c>
      <c r="C60" s="6" t="s">
        <v>37</v>
      </c>
      <c r="D60" s="6" t="s">
        <v>150</v>
      </c>
      <c r="E60" s="6">
        <v>75</v>
      </c>
      <c r="F60" s="6">
        <v>85</v>
      </c>
      <c r="G60" s="6">
        <v>75</v>
      </c>
      <c r="H60" s="6">
        <v>110</v>
      </c>
      <c r="I60" s="6">
        <v>75</v>
      </c>
      <c r="J60" s="6">
        <v>110</v>
      </c>
      <c r="K60" s="6">
        <f>SUM(Pokedex[[#This Row],[HP]:[Spe]])</f>
        <v>530</v>
      </c>
      <c r="L60" s="6" t="s">
        <v>45</v>
      </c>
      <c r="N60" s="6" t="s">
        <v>226</v>
      </c>
      <c r="O60" s="6" t="s">
        <v>537</v>
      </c>
      <c r="P60" s="6" t="s">
        <v>535</v>
      </c>
      <c r="Q60" s="6" t="s">
        <v>536</v>
      </c>
      <c r="R60" s="6" t="s">
        <v>35</v>
      </c>
      <c r="U60" s="8" cm="1">
        <f t="array" ref="U60">INDEX(CAP[Overall Rating],MATCH(Pokedex[[#This Row],[Name]],CAP[Name],0),0)</f>
        <v>277.43717957266176</v>
      </c>
      <c r="W60"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prompt:Spiritflame Regular Pokemon; Fire/Ghost; Larger flame-like creature, ghostly features, more intense glow; detailed; pokemon style; anime style;vibrant colors;limited color palette --q 1.5</v>
      </c>
    </row>
    <row r="61" spans="1:23" x14ac:dyDescent="0.3">
      <c r="A61" s="6">
        <v>83</v>
      </c>
      <c r="B61" s="6" t="s">
        <v>453</v>
      </c>
      <c r="C61" s="6" t="s">
        <v>21</v>
      </c>
      <c r="D61" s="6" t="s">
        <v>28</v>
      </c>
      <c r="E61" s="6">
        <v>85</v>
      </c>
      <c r="F61" s="6">
        <v>65</v>
      </c>
      <c r="G61" s="6">
        <v>70</v>
      </c>
      <c r="H61" s="6">
        <v>110</v>
      </c>
      <c r="I61" s="6">
        <v>80</v>
      </c>
      <c r="J61" s="6">
        <v>130</v>
      </c>
      <c r="K61" s="6">
        <f>SUM(Pokedex[[#This Row],[HP]:[Spe]])</f>
        <v>540</v>
      </c>
      <c r="L61" s="6" t="s">
        <v>29</v>
      </c>
      <c r="M61" s="6" t="s">
        <v>449</v>
      </c>
      <c r="N61" s="6" t="s">
        <v>22</v>
      </c>
      <c r="O61" s="6" t="s">
        <v>454</v>
      </c>
      <c r="P61" s="6" t="s">
        <v>451</v>
      </c>
      <c r="Q61" s="6" t="s">
        <v>452</v>
      </c>
      <c r="R61" s="6" t="s">
        <v>35</v>
      </c>
      <c r="U61" s="8" cm="1">
        <f t="array" ref="U61">INDEX(CAP[Overall Rating],MATCH(Pokedex[[#This Row],[Name]],CAP[Name],0),0)</f>
        <v>277.19082658380103</v>
      </c>
      <c r="W61"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prompt:Galeswimmer Regular Pokemon; Water/Flying; A sleek, fast waterfowl-like Pokémon with powerful wings and pouches.; detailed; pokemon style; anime style;vibrant colors;limited color palette --q 1.5</v>
      </c>
    </row>
    <row r="62" spans="1:23" x14ac:dyDescent="0.3">
      <c r="A62" s="6">
        <v>7</v>
      </c>
      <c r="B62" s="6" t="s">
        <v>58</v>
      </c>
      <c r="C62" s="6" t="s">
        <v>59</v>
      </c>
      <c r="D62" s="6" t="s">
        <v>44</v>
      </c>
      <c r="E62" s="6">
        <v>80</v>
      </c>
      <c r="F62" s="6">
        <v>100</v>
      </c>
      <c r="G62" s="6">
        <v>120</v>
      </c>
      <c r="H62" s="6">
        <v>75</v>
      </c>
      <c r="I62" s="6">
        <v>95</v>
      </c>
      <c r="J62" s="6">
        <v>70</v>
      </c>
      <c r="K62" s="6">
        <f>SUM(Pokedex[[#This Row],[HP]:[Spe]])</f>
        <v>540</v>
      </c>
      <c r="L62" s="6" t="s">
        <v>60</v>
      </c>
      <c r="N62" s="6" t="s">
        <v>61</v>
      </c>
      <c r="O62" s="6" t="s">
        <v>62</v>
      </c>
      <c r="P62" s="6" t="s">
        <v>63</v>
      </c>
      <c r="Q62" s="6" t="s">
        <v>64</v>
      </c>
      <c r="R62" s="6" t="s">
        <v>57</v>
      </c>
      <c r="U62" s="8" cm="1">
        <f t="array" ref="U62">INDEX(CAP[Overall Rating],MATCH(Pokedex[[#This Row],[Name]],CAP[Name],0),0)</f>
        <v>277.04860365222885</v>
      </c>
      <c r="W62"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prompt:Cryosteel Regular Pokemon; Ice/Steel; Icy metallic quadruped, crystal armor, sharp tail; detailed; pokemon style; anime style;vibrant colors;limited color palette --q 1.5</v>
      </c>
    </row>
    <row r="63" spans="1:23" x14ac:dyDescent="0.3">
      <c r="A63" s="6">
        <v>104</v>
      </c>
      <c r="B63" s="6" t="s">
        <v>507</v>
      </c>
      <c r="C63" s="6" t="s">
        <v>134</v>
      </c>
      <c r="E63" s="6">
        <v>100</v>
      </c>
      <c r="F63" s="6">
        <v>110</v>
      </c>
      <c r="G63" s="6">
        <v>100</v>
      </c>
      <c r="H63" s="6">
        <v>60</v>
      </c>
      <c r="I63" s="6">
        <v>70</v>
      </c>
      <c r="J63" s="6">
        <v>85</v>
      </c>
      <c r="K63" s="6">
        <f>SUM(Pokedex[[#This Row],[HP]:[Spe]])</f>
        <v>525</v>
      </c>
      <c r="L63" s="6" t="s">
        <v>98</v>
      </c>
      <c r="N63" s="6" t="s">
        <v>506</v>
      </c>
      <c r="O63" s="6" t="s">
        <v>553</v>
      </c>
      <c r="P63" s="6" t="s">
        <v>551</v>
      </c>
      <c r="Q63" s="6" t="s">
        <v>552</v>
      </c>
      <c r="R63" s="6" t="s">
        <v>35</v>
      </c>
      <c r="U63" s="8" cm="1">
        <f t="array" ref="U63">INDEX(CAP[Overall Rating],MATCH(Pokedex[[#This Row],[Name]],CAP[Name],0),0)</f>
        <v>274.1800141692579</v>
      </c>
      <c r="W63"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prompt:Mudhound Regular Pokemon; Ground/; Larger, brown dog with mud-like fur and a fierce stance; detailed; pokemon style; anime style;vibrant colors;limited color palette --q 1.5</v>
      </c>
    </row>
    <row r="64" spans="1:23" x14ac:dyDescent="0.3">
      <c r="A64" s="6">
        <v>117</v>
      </c>
      <c r="B64" s="6" t="s">
        <v>610</v>
      </c>
      <c r="C64" s="6" t="s">
        <v>96</v>
      </c>
      <c r="D64" s="6" t="s">
        <v>51</v>
      </c>
      <c r="E64" s="6">
        <v>95</v>
      </c>
      <c r="F64" s="6">
        <v>70</v>
      </c>
      <c r="G64" s="6">
        <v>80</v>
      </c>
      <c r="H64" s="6">
        <v>115</v>
      </c>
      <c r="I64" s="6">
        <v>85</v>
      </c>
      <c r="J64" s="6">
        <v>85</v>
      </c>
      <c r="K64" s="13">
        <f>SUM(Pokedex[[#This Row],[HP]:[Spe]])</f>
        <v>530</v>
      </c>
      <c r="L64" s="6" t="s">
        <v>615</v>
      </c>
      <c r="M64" s="6" t="s">
        <v>616</v>
      </c>
      <c r="O64" s="6" t="s">
        <v>645</v>
      </c>
      <c r="R64" s="6" t="s">
        <v>57</v>
      </c>
      <c r="U64" s="8" cm="1">
        <f t="array" ref="U64">INDEX(CAP[Overall Rating],MATCH(Pokedex[[#This Row],[Name]],CAP[Name],0),0)</f>
        <v>273.34754779071835</v>
      </c>
      <c r="W64" s="13"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prompt:Crysteon  Regular Pokemon; Rock/Electric; Crysteon is a sleek, quadruped Pokémon with a feline-like build. Its body is covered in angular, crystal-like formations of varying sizes that resemble a mix of quartz and amethyst. The crystals emit a subtle, electric glow, which becomes more intense and dynamic during battle. Its eyes are bright yellow with jagged, lightning bolt-shaped pupils.; detailed; pokemon style; anime style;vibrant colors;limited color palette --q 1.5</v>
      </c>
    </row>
    <row r="65" spans="1:24" x14ac:dyDescent="0.3">
      <c r="A65" s="6">
        <v>38</v>
      </c>
      <c r="B65" s="6" t="s">
        <v>199</v>
      </c>
      <c r="C65" s="6" t="s">
        <v>21</v>
      </c>
      <c r="D65" s="6" t="s">
        <v>89</v>
      </c>
      <c r="E65" s="6">
        <v>85</v>
      </c>
      <c r="F65" s="6">
        <v>70</v>
      </c>
      <c r="G65" s="6">
        <v>80</v>
      </c>
      <c r="H65" s="6">
        <v>110</v>
      </c>
      <c r="I65" s="6">
        <v>95</v>
      </c>
      <c r="J65" s="6">
        <v>90</v>
      </c>
      <c r="K65" s="6">
        <f>SUM(Pokedex[[#This Row],[HP]:[Spe]])</f>
        <v>530</v>
      </c>
      <c r="L65" s="6" t="s">
        <v>22</v>
      </c>
      <c r="N65" s="6" t="s">
        <v>195</v>
      </c>
      <c r="O65" s="6" t="s">
        <v>200</v>
      </c>
      <c r="P65" s="6" t="s">
        <v>197</v>
      </c>
      <c r="Q65" s="6" t="s">
        <v>198</v>
      </c>
      <c r="R65" s="6" t="s">
        <v>35</v>
      </c>
      <c r="U65" s="8" cm="1">
        <f t="array" ref="U65">INDEX(CAP[Overall Rating],MATCH(Pokedex[[#This Row],[Name]],CAP[Name],0),0)</f>
        <v>272.7859576082688</v>
      </c>
      <c r="W65"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prompt:Lumifin Regular Pokemon; Water/Fairy; Sleek, fish-like Pokémon with glowing, iridescent scales and fins; detailed; pokemon style; anime style;vibrant colors;limited color palette --q 1.5</v>
      </c>
    </row>
    <row r="66" spans="1:24" x14ac:dyDescent="0.3">
      <c r="A66" s="6">
        <v>12</v>
      </c>
      <c r="B66" s="6" t="s">
        <v>83</v>
      </c>
      <c r="C66" s="6" t="s">
        <v>37</v>
      </c>
      <c r="D66" s="6" t="s">
        <v>84</v>
      </c>
      <c r="E66" s="6">
        <v>75</v>
      </c>
      <c r="F66" s="6">
        <v>70</v>
      </c>
      <c r="G66" s="6">
        <v>70</v>
      </c>
      <c r="H66" s="6">
        <v>120</v>
      </c>
      <c r="I66" s="6">
        <v>90</v>
      </c>
      <c r="J66" s="6">
        <v>100</v>
      </c>
      <c r="K66" s="6">
        <f>SUM(Pokedex[[#This Row],[HP]:[Spe]])</f>
        <v>525</v>
      </c>
      <c r="L66" s="6" t="s">
        <v>45</v>
      </c>
      <c r="N66" s="6" t="s">
        <v>81</v>
      </c>
      <c r="O66" s="6" t="s">
        <v>85</v>
      </c>
      <c r="P66" s="6" t="s">
        <v>86</v>
      </c>
      <c r="Q66" s="6" t="s">
        <v>87</v>
      </c>
      <c r="R66" s="6" t="s">
        <v>35</v>
      </c>
      <c r="U66" s="8" cm="1">
        <f t="array" ref="U66">INDEX(CAP[Overall Rating],MATCH(Pokedex[[#This Row],[Name]],CAP[Name],0),0)</f>
        <v>271.72650460103262</v>
      </c>
      <c r="W66"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prompt:Solarcher Regular Pokemon; Fire/Psychic; Fiery centaur, bow-shaped horns, psychic aura; detailed; pokemon style; anime style;vibrant colors;limited color palette --q 1.5</v>
      </c>
    </row>
    <row r="67" spans="1:24" x14ac:dyDescent="0.3">
      <c r="A67" s="6">
        <v>45</v>
      </c>
      <c r="B67" s="6" t="s">
        <v>230</v>
      </c>
      <c r="C67" s="6" t="s">
        <v>51</v>
      </c>
      <c r="D67" s="6" t="s">
        <v>231</v>
      </c>
      <c r="E67" s="6">
        <v>70</v>
      </c>
      <c r="F67" s="6">
        <v>110</v>
      </c>
      <c r="G67" s="6">
        <v>65</v>
      </c>
      <c r="H67" s="6">
        <v>90</v>
      </c>
      <c r="I67" s="6">
        <v>70</v>
      </c>
      <c r="J67" s="6">
        <v>115</v>
      </c>
      <c r="K67" s="6">
        <f>SUM(Pokedex[[#This Row],[HP]:[Spe]])</f>
        <v>520</v>
      </c>
      <c r="L67" s="6" t="s">
        <v>232</v>
      </c>
      <c r="M67" s="6" t="s">
        <v>233</v>
      </c>
      <c r="N67" s="6" t="s">
        <v>234</v>
      </c>
      <c r="O67" s="6" t="s">
        <v>235</v>
      </c>
      <c r="P67" s="6" t="s">
        <v>236</v>
      </c>
      <c r="Q67" s="6" t="s">
        <v>237</v>
      </c>
      <c r="R67" s="6" t="s">
        <v>35</v>
      </c>
      <c r="U67" s="8" cm="1">
        <f t="array" ref="U67">INDEX(CAP[Overall Rating],MATCH(Pokedex[[#This Row],[Name]],CAP[Name],0),0)</f>
        <v>269.60134058437649</v>
      </c>
      <c r="W67"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prompt:Boltleap Regular Pokemon; Electric/Fighting; Agile creature with electrically-charged fur and powerful limbs; detailed; pokemon style; anime style;vibrant colors;limited color palette --q 1.5</v>
      </c>
    </row>
    <row r="68" spans="1:24" x14ac:dyDescent="0.3">
      <c r="A68" s="6">
        <v>123</v>
      </c>
      <c r="B68" s="6" t="s">
        <v>641</v>
      </c>
      <c r="C68" s="6" t="s">
        <v>50</v>
      </c>
      <c r="D68" s="6" t="s">
        <v>59</v>
      </c>
      <c r="E68" s="6">
        <v>80</v>
      </c>
      <c r="F68" s="6">
        <v>70</v>
      </c>
      <c r="G68" s="6">
        <v>70</v>
      </c>
      <c r="H68" s="6">
        <v>100</v>
      </c>
      <c r="I68" s="6">
        <v>90</v>
      </c>
      <c r="J68" s="6">
        <v>110</v>
      </c>
      <c r="K68" s="13">
        <f>SUM(Pokedex[[#This Row],[HP]:[Spe]])</f>
        <v>520</v>
      </c>
      <c r="L68" s="6" t="s">
        <v>642</v>
      </c>
      <c r="M68" s="6" t="s">
        <v>643</v>
      </c>
      <c r="O68" s="6" t="s">
        <v>652</v>
      </c>
      <c r="R68" s="6" t="s">
        <v>625</v>
      </c>
      <c r="U68" s="8" cm="1">
        <f t="array" ref="U68">INDEX(CAP[Overall Rating],MATCH(Pokedex[[#This Row],[Name]],CAP[Name],0),0)</f>
        <v>265.93647891213931</v>
      </c>
      <c r="W68" s="13"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prompt:Ludicolo-Alteon Regular Pokemon; Grass/Ice; Ludicolo-Alteon takes on a more wintry appearance, with its sombrero-like structure now resembling an icy, snow-covered evergreen tree. Its body is covered in frosty blue and white fur, with patterns resembling snowflakes. The lily pad around its neck has transformed into a ring of icicles, and its eyes now have a playful, frosty blue hue. Its arms and legs have become slightly more elongated, allowing it to move gracefully through snowy terrain.; detailed; pokemon style; anime style;vibrant colors;limited color palette --q 1.5</v>
      </c>
    </row>
    <row r="69" spans="1:24" x14ac:dyDescent="0.3">
      <c r="A69" s="6">
        <v>5</v>
      </c>
      <c r="B69" s="6" t="s">
        <v>43</v>
      </c>
      <c r="C69" s="6" t="s">
        <v>37</v>
      </c>
      <c r="D69" s="6" t="s">
        <v>44</v>
      </c>
      <c r="E69" s="6">
        <v>75</v>
      </c>
      <c r="F69" s="6">
        <v>110</v>
      </c>
      <c r="G69" s="6">
        <v>70</v>
      </c>
      <c r="H69" s="6">
        <v>80</v>
      </c>
      <c r="I69" s="6">
        <v>70</v>
      </c>
      <c r="J69" s="6">
        <v>110</v>
      </c>
      <c r="K69" s="6">
        <f>SUM(Pokedex[[#This Row],[HP]:[Spe]])</f>
        <v>515</v>
      </c>
      <c r="L69" s="6" t="s">
        <v>38</v>
      </c>
      <c r="N69" s="6" t="s">
        <v>45</v>
      </c>
      <c r="O69" s="6" t="s">
        <v>46</v>
      </c>
      <c r="P69" s="6" t="s">
        <v>47</v>
      </c>
      <c r="Q69" s="6" t="s">
        <v>48</v>
      </c>
      <c r="R69" s="6" t="s">
        <v>35</v>
      </c>
      <c r="U69" s="8" cm="1">
        <f t="array" ref="U69">INDEX(CAP[Overall Rating],MATCH(Pokedex[[#This Row],[Name]],CAP[Name],0),0)</f>
        <v>264.62685210213181</v>
      </c>
      <c r="W69"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prompt:Magmalance Regular Pokemon; Fire/Steel; Armored horse, flaming mane, lance-like horn; detailed; pokemon style; anime style;vibrant colors;limited color palette --q 1.5</v>
      </c>
    </row>
    <row r="70" spans="1:24" x14ac:dyDescent="0.3">
      <c r="A70" s="6">
        <v>116</v>
      </c>
      <c r="B70" s="6" t="s">
        <v>622</v>
      </c>
      <c r="C70" s="6" t="s">
        <v>21</v>
      </c>
      <c r="D70" s="6" t="s">
        <v>89</v>
      </c>
      <c r="E70" s="6">
        <v>85</v>
      </c>
      <c r="F70" s="6">
        <v>50</v>
      </c>
      <c r="G70" s="6">
        <v>85</v>
      </c>
      <c r="H70" s="6">
        <v>130</v>
      </c>
      <c r="I70" s="6">
        <v>120</v>
      </c>
      <c r="J70" s="6">
        <v>60</v>
      </c>
      <c r="K70" s="13">
        <f>SUM(Pokedex[[#This Row],[HP]:[Spe]])</f>
        <v>530</v>
      </c>
      <c r="L70" s="6" t="s">
        <v>623</v>
      </c>
      <c r="M70" s="6" t="s">
        <v>624</v>
      </c>
      <c r="O70" s="6" t="s">
        <v>646</v>
      </c>
      <c r="R70" s="6" t="s">
        <v>625</v>
      </c>
      <c r="U70" s="8" cm="1">
        <f t="array" ref="U70">INDEX(CAP[Overall Rating],MATCH(Pokedex[[#This Row],[Name]],CAP[Name],0),0)</f>
        <v>264.32937039495152</v>
      </c>
      <c r="W70" s="13"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prompt:Aquarose-Bloom Regular Pokemon; Water/Fairy; Aquarose Bloom has a similar overall appearance to Aquarose, but its petals are larger and more vibrant. The petals now form a full blooming flower around its body, with layers of pink and blue petals alternating. The dewdrop-shaped gem on its forehead is now larger and emits a brighter, more magical aura.; detailed; pokemon style; anime style;vibrant colors;limited color palette --q 1.5</v>
      </c>
      <c r="X70" s="6">
        <v>118</v>
      </c>
    </row>
    <row r="71" spans="1:24" x14ac:dyDescent="0.3">
      <c r="A71" s="6">
        <v>54</v>
      </c>
      <c r="B71" s="6" t="s">
        <v>275</v>
      </c>
      <c r="C71" s="6" t="s">
        <v>135</v>
      </c>
      <c r="D71" s="6" t="s">
        <v>89</v>
      </c>
      <c r="E71" s="6">
        <v>80</v>
      </c>
      <c r="F71" s="6">
        <v>90</v>
      </c>
      <c r="G71" s="6">
        <v>70</v>
      </c>
      <c r="H71" s="6">
        <v>100</v>
      </c>
      <c r="I71" s="6">
        <v>85</v>
      </c>
      <c r="J71" s="6">
        <v>95</v>
      </c>
      <c r="K71" s="6">
        <f>SUM(Pokedex[[#This Row],[HP]:[Spe]])</f>
        <v>520</v>
      </c>
      <c r="L71" s="6" t="s">
        <v>269</v>
      </c>
      <c r="M71" s="6" t="s">
        <v>270</v>
      </c>
      <c r="N71" s="6" t="s">
        <v>271</v>
      </c>
      <c r="O71" s="6" t="s">
        <v>276</v>
      </c>
      <c r="P71" s="6" t="s">
        <v>273</v>
      </c>
      <c r="Q71" s="6" t="s">
        <v>274</v>
      </c>
      <c r="R71" s="6" t="s">
        <v>35</v>
      </c>
      <c r="U71" s="8" cm="1">
        <f t="array" ref="U71">INDEX(CAP[Overall Rating],MATCH(Pokedex[[#This Row],[Name]],CAP[Name],0),0)</f>
        <v>263.35469127072349</v>
      </c>
      <c r="W71"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prompt:Glimmerwing Regular Pokemon; Dragon/Fairy; A majestic dragon with shimmering wings; detailed; pokemon style; anime style;vibrant colors;limited color palette --q 1.5</v>
      </c>
    </row>
    <row r="72" spans="1:24" x14ac:dyDescent="0.3">
      <c r="A72" s="6">
        <v>81</v>
      </c>
      <c r="B72" s="6" t="s">
        <v>446</v>
      </c>
      <c r="C72" s="6" t="s">
        <v>168</v>
      </c>
      <c r="D72" s="6" t="s">
        <v>50</v>
      </c>
      <c r="E72" s="6">
        <v>90</v>
      </c>
      <c r="F72" s="6">
        <v>70</v>
      </c>
      <c r="G72" s="6">
        <v>100</v>
      </c>
      <c r="H72" s="6">
        <v>120</v>
      </c>
      <c r="I72" s="6">
        <v>100</v>
      </c>
      <c r="J72" s="6">
        <v>50</v>
      </c>
      <c r="K72" s="6">
        <f>SUM(Pokedex[[#This Row],[HP]:[Spe]])</f>
        <v>530</v>
      </c>
      <c r="L72" s="6" t="s">
        <v>441</v>
      </c>
      <c r="M72" s="6" t="s">
        <v>442</v>
      </c>
      <c r="N72" s="6" t="s">
        <v>461</v>
      </c>
      <c r="O72" s="6" t="s">
        <v>447</v>
      </c>
      <c r="P72" s="6" t="s">
        <v>444</v>
      </c>
      <c r="Q72" s="6" t="s">
        <v>445</v>
      </c>
      <c r="R72" s="6" t="s">
        <v>35</v>
      </c>
      <c r="U72" s="8" cm="1">
        <f t="array" ref="U72">INDEX(CAP[Overall Rating],MATCH(Pokedex[[#This Row],[Name]],CAP[Name],0),0)</f>
        <v>259.54114367530087</v>
      </c>
      <c r="W72"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prompt:Fungogre Regular Pokemon; Poison/Grass; A large, imposing mushroom-like creature with a menacing, toothy grin.; detailed; pokemon style; anime style;vibrant colors;limited color palette --q 1.5</v>
      </c>
    </row>
    <row r="73" spans="1:24" x14ac:dyDescent="0.3">
      <c r="A73" s="6">
        <v>122</v>
      </c>
      <c r="B73" s="6" t="s">
        <v>638</v>
      </c>
      <c r="C73" s="6" t="s">
        <v>44</v>
      </c>
      <c r="D73" s="6" t="s">
        <v>37</v>
      </c>
      <c r="E73" s="6">
        <v>65</v>
      </c>
      <c r="F73" s="6">
        <v>80</v>
      </c>
      <c r="G73" s="6">
        <v>100</v>
      </c>
      <c r="H73" s="6">
        <v>70</v>
      </c>
      <c r="I73" s="6">
        <v>140</v>
      </c>
      <c r="J73" s="6">
        <v>70</v>
      </c>
      <c r="K73" s="13">
        <f>SUM(Pokedex[[#This Row],[HP]:[Spe]])</f>
        <v>525</v>
      </c>
      <c r="L73" s="6" t="s">
        <v>639</v>
      </c>
      <c r="M73" s="6" t="s">
        <v>640</v>
      </c>
      <c r="O73" s="6" t="s">
        <v>651</v>
      </c>
      <c r="R73" s="6" t="s">
        <v>625</v>
      </c>
      <c r="U73" s="8" cm="1">
        <f t="array" ref="U73">INDEX(CAP[Overall Rating],MATCH(Pokedex[[#This Row],[Name]],CAP[Name],0),0)</f>
        <v>259.14903220105293</v>
      </c>
      <c r="V73" s="12" t="s">
        <v>654</v>
      </c>
      <c r="W73" s="13"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prompt:Skarmory-Alteon Regular Pokemon; Steel/Fire; Skarmory-Alteon boasts a more streamlined, aerodynamic design, with its metallic feathers now being a mix of steel and red-hot molten metal. The edges of its wings appear razor-sharp and have a glowing, fiery aura. Its eyes are now bright orange, and its beak and talons have become more prominent, resembling heated metal.; detailed; pokemon style; anime style;vibrant colors;limited color palette --q 1.5</v>
      </c>
    </row>
    <row r="74" spans="1:24" x14ac:dyDescent="0.3">
      <c r="A74" s="6">
        <v>119</v>
      </c>
      <c r="B74" s="6" t="s">
        <v>629</v>
      </c>
      <c r="C74" s="6" t="s">
        <v>231</v>
      </c>
      <c r="D74" s="6" t="s">
        <v>28</v>
      </c>
      <c r="E74" s="6">
        <v>75</v>
      </c>
      <c r="F74" s="6">
        <v>135</v>
      </c>
      <c r="G74" s="6">
        <v>60</v>
      </c>
      <c r="H74" s="6">
        <v>60</v>
      </c>
      <c r="I74" s="6">
        <v>60</v>
      </c>
      <c r="J74" s="6">
        <v>110</v>
      </c>
      <c r="K74" s="13">
        <f>SUM(Pokedex[[#This Row],[HP]:[Spe]])</f>
        <v>500</v>
      </c>
      <c r="L74" s="6" t="s">
        <v>630</v>
      </c>
      <c r="M74" s="6" t="s">
        <v>631</v>
      </c>
      <c r="O74" s="6" t="s">
        <v>648</v>
      </c>
      <c r="R74" s="6" t="s">
        <v>625</v>
      </c>
      <c r="U74" s="8" cm="1">
        <f t="array" ref="U74">INDEX(CAP[Overall Rating],MATCH(Pokedex[[#This Row],[Name]],CAP[Name],0),0)</f>
        <v>258.35872989503042</v>
      </c>
      <c r="W74" s="13"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prompt:Galeking-Alteon Regular Pokemon; Fighting/Flying; Galeking-Alteon is a muscular, bipedal Pokémon that retains the overall structure of its original counterpart. Its body is now primarily white with red and blue accents, resembling a luchador's outfit. Its fists are adorned with large, feathered wings that grant it the ability to glide short distances. A crest of feathers forms a mask-like pattern around its eyes.; detailed; pokemon style; anime style;vibrant colors;limited color palette --q 1.5</v>
      </c>
    </row>
    <row r="75" spans="1:24" x14ac:dyDescent="0.3">
      <c r="A75" s="6">
        <v>133</v>
      </c>
      <c r="B75" s="6" t="s">
        <v>708</v>
      </c>
      <c r="C75" s="6" t="s">
        <v>383</v>
      </c>
      <c r="D75" s="6" t="s">
        <v>51</v>
      </c>
      <c r="E75" s="6">
        <v>70</v>
      </c>
      <c r="F75" s="6">
        <v>90</v>
      </c>
      <c r="G75" s="6">
        <v>70</v>
      </c>
      <c r="H75" s="6">
        <v>90</v>
      </c>
      <c r="I75" s="6">
        <v>70</v>
      </c>
      <c r="J75" s="6">
        <v>150</v>
      </c>
      <c r="K75" s="13">
        <f>SUM(Pokedex[[#This Row],[HP]:[Spe]])</f>
        <v>540</v>
      </c>
      <c r="L75" s="13" t="s">
        <v>709</v>
      </c>
      <c r="M75" s="6" t="s">
        <v>710</v>
      </c>
      <c r="O75" s="6" t="s">
        <v>730</v>
      </c>
      <c r="R75" s="6" t="s">
        <v>35</v>
      </c>
      <c r="U75" s="8" cm="1">
        <f t="array" ref="U75">INDEX(CAP[Overall Rating],MATCH(Pokedex[[#This Row],[Name]],CAP[Name],0),0)</f>
        <v>257.95265701611618</v>
      </c>
      <c r="W75" s="13"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prompt:Blitzstreak  Regular Pokemon; Normal/Electric; Blitzstreak, a sleek, lightning-fast fox-like Pokémon with electrically charged fur. Its body is covered in bright, neon-yellow and blue markings that resemble lightning bolts.; detailed; pokemon style; anime style;vibrant colors;limited color palette --q 1.5</v>
      </c>
    </row>
    <row r="76" spans="1:24" x14ac:dyDescent="0.3">
      <c r="A76" s="6">
        <v>13</v>
      </c>
      <c r="B76" s="6" t="s">
        <v>88</v>
      </c>
      <c r="C76" s="6" t="s">
        <v>50</v>
      </c>
      <c r="D76" s="6" t="s">
        <v>89</v>
      </c>
      <c r="E76" s="6">
        <v>80</v>
      </c>
      <c r="F76" s="6">
        <v>70</v>
      </c>
      <c r="G76" s="6">
        <v>75</v>
      </c>
      <c r="H76" s="6">
        <v>110</v>
      </c>
      <c r="I76" s="6">
        <v>90</v>
      </c>
      <c r="J76" s="6">
        <v>90</v>
      </c>
      <c r="K76" s="6">
        <f>SUM(Pokedex[[#This Row],[HP]:[Spe]])</f>
        <v>515</v>
      </c>
      <c r="L76" s="6" t="s">
        <v>90</v>
      </c>
      <c r="N76" s="6" t="s">
        <v>91</v>
      </c>
      <c r="O76" s="6" t="s">
        <v>92</v>
      </c>
      <c r="P76" s="6" t="s">
        <v>93</v>
      </c>
      <c r="Q76" s="6" t="s">
        <v>94</v>
      </c>
      <c r="R76" s="6" t="s">
        <v>57</v>
      </c>
      <c r="U76" s="8" cm="1">
        <f t="array" ref="U76">INDEX(CAP[Overall Rating],MATCH(Pokedex[[#This Row],[Name]],CAP[Name],0),0)</f>
        <v>257.34910530581203</v>
      </c>
      <c r="W76"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prompt:Lumileaf Regular Pokemon; Grass/Fairy; Green leafy body, luminescent spots, flower petals; detailed; pokemon style; anime style;vibrant colors;limited color palette --q 1.5</v>
      </c>
    </row>
    <row r="77" spans="1:24" x14ac:dyDescent="0.3">
      <c r="A77" s="6">
        <v>74</v>
      </c>
      <c r="B77" s="6" t="s">
        <v>376</v>
      </c>
      <c r="C77" s="6" t="s">
        <v>134</v>
      </c>
      <c r="D77" s="6" t="s">
        <v>168</v>
      </c>
      <c r="E77" s="6">
        <v>85</v>
      </c>
      <c r="F77" s="6">
        <v>120</v>
      </c>
      <c r="G77" s="6">
        <v>90</v>
      </c>
      <c r="H77" s="6">
        <v>70</v>
      </c>
      <c r="I77" s="6">
        <v>85</v>
      </c>
      <c r="J77" s="6">
        <v>70</v>
      </c>
      <c r="K77" s="6">
        <f>SUM(Pokedex[[#This Row],[HP]:[Spe]])</f>
        <v>520</v>
      </c>
      <c r="L77" s="6" t="s">
        <v>377</v>
      </c>
      <c r="M77" s="6" t="s">
        <v>378</v>
      </c>
      <c r="N77" s="6" t="s">
        <v>379</v>
      </c>
      <c r="O77" s="6" t="s">
        <v>380</v>
      </c>
      <c r="P77" s="6" t="s">
        <v>171</v>
      </c>
      <c r="Q77" s="6" t="s">
        <v>381</v>
      </c>
      <c r="R77" s="6" t="s">
        <v>57</v>
      </c>
      <c r="U77" s="8" cm="1">
        <f t="array" ref="U77">INDEX(CAP[Overall Rating],MATCH(Pokedex[[#This Row],[Name]],CAP[Name],0),0)</f>
        <v>257.2671644159243</v>
      </c>
      <c r="W77"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prompt:Terrascorpio Regular Pokemon; Ground/Poison; A large, scorpion-like Pokémon with a venomous stinger and strong, ground-digging claws.; detailed; pokemon style; anime style;vibrant colors;limited color palette --q 1.5</v>
      </c>
    </row>
    <row r="78" spans="1:24" x14ac:dyDescent="0.3">
      <c r="A78" s="6">
        <v>70</v>
      </c>
      <c r="B78" s="6" t="s">
        <v>351</v>
      </c>
      <c r="C78" s="6" t="s">
        <v>231</v>
      </c>
      <c r="E78" s="6">
        <v>80</v>
      </c>
      <c r="F78" s="6">
        <v>110</v>
      </c>
      <c r="G78" s="6">
        <v>75</v>
      </c>
      <c r="H78" s="6">
        <v>60</v>
      </c>
      <c r="I78" s="6">
        <v>80</v>
      </c>
      <c r="J78" s="6">
        <v>95</v>
      </c>
      <c r="K78" s="6">
        <f>SUM(Pokedex[[#This Row],[HP]:[Spe]])</f>
        <v>500</v>
      </c>
      <c r="L78" s="6" t="s">
        <v>352</v>
      </c>
      <c r="M78" s="6" t="s">
        <v>353</v>
      </c>
      <c r="N78" s="6" t="s">
        <v>354</v>
      </c>
      <c r="O78" s="6" t="s">
        <v>355</v>
      </c>
      <c r="P78" s="6" t="s">
        <v>356</v>
      </c>
      <c r="Q78" s="6" t="s">
        <v>357</v>
      </c>
      <c r="R78" s="6" t="s">
        <v>57</v>
      </c>
      <c r="U78" s="8" cm="1">
        <f t="array" ref="U78">INDEX(CAP[Overall Rating],MATCH(Pokedex[[#This Row],[Name]],CAP[Name],0),0)</f>
        <v>247.95937558168879</v>
      </c>
      <c r="W78"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prompt:Pugilchimp Regular Pokemon; Fighting/; A muscular chimpanzee-like Pokémon with a red mohawk and boxing gloves.; detailed; pokemon style; anime style;vibrant colors;limited color palette --q 1.5</v>
      </c>
    </row>
    <row r="79" spans="1:24" x14ac:dyDescent="0.3">
      <c r="A79" s="6">
        <v>73</v>
      </c>
      <c r="B79" s="6" t="s">
        <v>369</v>
      </c>
      <c r="C79" s="6" t="s">
        <v>66</v>
      </c>
      <c r="D79" s="6" t="s">
        <v>150</v>
      </c>
      <c r="E79" s="6">
        <v>65</v>
      </c>
      <c r="F79" s="6">
        <v>90</v>
      </c>
      <c r="G79" s="6">
        <v>50</v>
      </c>
      <c r="H79" s="6">
        <v>110</v>
      </c>
      <c r="I79" s="6">
        <v>60</v>
      </c>
      <c r="J79" s="6">
        <v>125</v>
      </c>
      <c r="K79" s="6">
        <f>SUM(Pokedex[[#This Row],[HP]:[Spe]])</f>
        <v>500</v>
      </c>
      <c r="L79" s="6" t="s">
        <v>370</v>
      </c>
      <c r="M79" s="6" t="s">
        <v>371</v>
      </c>
      <c r="N79" s="6" t="s">
        <v>372</v>
      </c>
      <c r="O79" s="6" t="s">
        <v>373</v>
      </c>
      <c r="P79" s="6" t="s">
        <v>374</v>
      </c>
      <c r="Q79" s="6" t="s">
        <v>375</v>
      </c>
      <c r="R79" s="6" t="s">
        <v>57</v>
      </c>
      <c r="U79" s="8" cm="1">
        <f t="array" ref="U79">INDEX(CAP[Overall Rating],MATCH(Pokedex[[#This Row],[Name]],CAP[Name],0),0)</f>
        <v>247.16082874361564</v>
      </c>
      <c r="W79"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prompt:Shadowraith Regular Pokemon; Dark/Ghost; A wraith-like Pokémon with a shadowy body and red, piercing eyes that seem to glow.; detailed; pokemon style; anime style;vibrant colors;limited color palette --q 1.5</v>
      </c>
    </row>
    <row r="80" spans="1:24" x14ac:dyDescent="0.3">
      <c r="A80" s="6">
        <v>31</v>
      </c>
      <c r="B80" s="6" t="s">
        <v>177</v>
      </c>
      <c r="C80" s="6" t="s">
        <v>50</v>
      </c>
      <c r="E80" s="6">
        <v>80</v>
      </c>
      <c r="F80" s="6">
        <v>85</v>
      </c>
      <c r="G80" s="6">
        <v>75</v>
      </c>
      <c r="H80" s="6">
        <v>80</v>
      </c>
      <c r="I80" s="6">
        <v>70</v>
      </c>
      <c r="J80" s="6">
        <v>110</v>
      </c>
      <c r="K80" s="6">
        <f>SUM(Pokedex[[#This Row],[HP]:[Spe]])</f>
        <v>500</v>
      </c>
      <c r="L80" s="6" t="s">
        <v>122</v>
      </c>
      <c r="N80" s="6" t="s">
        <v>174</v>
      </c>
      <c r="O80" s="6" t="s">
        <v>178</v>
      </c>
      <c r="P80" s="6" t="s">
        <v>176</v>
      </c>
      <c r="Q80" s="6" t="s">
        <v>50</v>
      </c>
      <c r="R80" s="6" t="s">
        <v>179</v>
      </c>
      <c r="S80" s="6">
        <v>36</v>
      </c>
      <c r="U80" s="8" cm="1">
        <f t="array" ref="U80">INDEX(CAP[Overall Rating],MATCH(Pokedex[[#This Row],[Name]],CAP[Name],0),0)</f>
        <v>246.7427142388342</v>
      </c>
      <c r="W80"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prompt:Leaflinx Regular Pokemon; Grass/; Sleek, green, feline-like, leafy mane; detailed; pokemon style; anime style;vibrant colors;limited color palette --q 1.5</v>
      </c>
    </row>
    <row r="81" spans="1:24" x14ac:dyDescent="0.3">
      <c r="A81" s="6">
        <v>71</v>
      </c>
      <c r="B81" s="6" t="s">
        <v>358</v>
      </c>
      <c r="C81" s="6" t="s">
        <v>187</v>
      </c>
      <c r="D81" s="6" t="s">
        <v>134</v>
      </c>
      <c r="E81" s="6">
        <v>70</v>
      </c>
      <c r="F81" s="6">
        <v>95</v>
      </c>
      <c r="G81" s="6">
        <v>110</v>
      </c>
      <c r="H81" s="6">
        <v>40</v>
      </c>
      <c r="I81" s="6">
        <v>85</v>
      </c>
      <c r="J81" s="6">
        <v>100</v>
      </c>
      <c r="K81" s="6">
        <f>SUM(Pokedex[[#This Row],[HP]:[Spe]])</f>
        <v>500</v>
      </c>
      <c r="L81" s="6" t="s">
        <v>359</v>
      </c>
      <c r="M81" s="6" t="s">
        <v>360</v>
      </c>
      <c r="N81" s="6" t="s">
        <v>261</v>
      </c>
      <c r="O81" s="6" t="s">
        <v>361</v>
      </c>
      <c r="P81" s="6" t="s">
        <v>362</v>
      </c>
      <c r="Q81" s="6" t="s">
        <v>363</v>
      </c>
      <c r="R81" s="6" t="s">
        <v>57</v>
      </c>
      <c r="U81" s="8" cm="1">
        <f t="array" ref="U81">INDEX(CAP[Overall Rating],MATCH(Pokedex[[#This Row],[Name]],CAP[Name],0),0)</f>
        <v>245.99030020806265</v>
      </c>
      <c r="W81"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prompt:Scuttlant Regular Pokemon; Bug/Ground; A large, ant-like Pokémon with a hardened exoskeleton and powerful mandibles.; detailed; pokemon style; anime style;vibrant colors;limited color palette --q 1.5</v>
      </c>
    </row>
    <row r="82" spans="1:24" x14ac:dyDescent="0.3">
      <c r="A82" s="6">
        <v>76</v>
      </c>
      <c r="B82" s="6" t="s">
        <v>390</v>
      </c>
      <c r="C82" s="6" t="s">
        <v>187</v>
      </c>
      <c r="E82" s="6">
        <v>75</v>
      </c>
      <c r="F82" s="6">
        <v>100</v>
      </c>
      <c r="G82" s="6">
        <v>65</v>
      </c>
      <c r="H82" s="6">
        <v>100</v>
      </c>
      <c r="I82" s="6">
        <v>65</v>
      </c>
      <c r="J82" s="6">
        <v>95</v>
      </c>
      <c r="K82" s="6">
        <f>SUM(Pokedex[[#This Row],[HP]:[Spe]])</f>
        <v>500</v>
      </c>
      <c r="L82" s="6" t="s">
        <v>391</v>
      </c>
      <c r="M82" s="6" t="s">
        <v>392</v>
      </c>
      <c r="N82" s="6" t="s">
        <v>261</v>
      </c>
      <c r="O82" s="6" t="s">
        <v>393</v>
      </c>
      <c r="P82" s="6" t="s">
        <v>264</v>
      </c>
      <c r="Q82" s="6" t="s">
        <v>394</v>
      </c>
      <c r="R82" s="6" t="s">
        <v>57</v>
      </c>
      <c r="U82" s="8" cm="1">
        <f t="array" ref="U82">INDEX(CAP[Overall Rating],MATCH(Pokedex[[#This Row],[Name]],CAP[Name],0),0)</f>
        <v>244.79227829003474</v>
      </c>
      <c r="W82"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prompt:Chamelebug Regular Pokemon; Bug/; A chameleon-like Pokémon with insect-like features, capable of changing colors and adapting to its environment.; detailed; pokemon style; anime style;vibrant colors;limited color palette --q 1.5</v>
      </c>
    </row>
    <row r="83" spans="1:24" x14ac:dyDescent="0.3">
      <c r="A83" s="6">
        <v>115</v>
      </c>
      <c r="B83" s="6" t="s">
        <v>607</v>
      </c>
      <c r="C83" s="6" t="s">
        <v>21</v>
      </c>
      <c r="D83" s="6" t="s">
        <v>89</v>
      </c>
      <c r="E83" s="6">
        <v>85</v>
      </c>
      <c r="F83" s="6">
        <v>60</v>
      </c>
      <c r="G83" s="6">
        <v>75</v>
      </c>
      <c r="H83" s="6">
        <v>110</v>
      </c>
      <c r="I83" s="6">
        <v>100</v>
      </c>
      <c r="J83" s="6">
        <v>70</v>
      </c>
      <c r="K83" s="13">
        <f>SUM(Pokedex[[#This Row],[HP]:[Spe]])</f>
        <v>500</v>
      </c>
      <c r="L83" s="6" t="s">
        <v>608</v>
      </c>
      <c r="M83" s="6" t="s">
        <v>609</v>
      </c>
      <c r="O83" s="6" t="s">
        <v>644</v>
      </c>
      <c r="U83" s="8" cm="1">
        <f t="array" ref="U83">INDEX(CAP[Overall Rating],MATCH(Pokedex[[#This Row],[Name]],CAP[Name],0),0)</f>
        <v>243.61731153382601</v>
      </c>
      <c r="W83"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prompt:Aquarose  Regular Pokemon; Water/Fairy; Aquarose is an elegant, medium-sized Pokémon that resembles a water lily. Its body is primarily light blue with a graceful, swan-like neck and head. Petal-like structures surround its body, with the outer petals being a vibrant pink and the inner petals a soft blue. A dewdrop-shaped gem adorns its forehead, glowing with a faint, watery aura.; detailed; pokemon style; anime style;vibrant colors;limited color palette --q 1.5</v>
      </c>
      <c r="X83" s="13">
        <v>116</v>
      </c>
    </row>
    <row r="84" spans="1:24" x14ac:dyDescent="0.3">
      <c r="A84" s="6">
        <v>102</v>
      </c>
      <c r="B84" s="6" t="s">
        <v>504</v>
      </c>
      <c r="C84" s="6" t="s">
        <v>59</v>
      </c>
      <c r="D84" s="6" t="s">
        <v>84</v>
      </c>
      <c r="E84" s="6">
        <v>70</v>
      </c>
      <c r="F84" s="6">
        <v>70</v>
      </c>
      <c r="G84" s="6">
        <v>80</v>
      </c>
      <c r="H84" s="6">
        <v>110</v>
      </c>
      <c r="I84" s="6">
        <v>90</v>
      </c>
      <c r="J84" s="6">
        <v>80</v>
      </c>
      <c r="K84" s="6">
        <f>SUM(Pokedex[[#This Row],[HP]:[Spe]])</f>
        <v>500</v>
      </c>
      <c r="L84" s="6" t="s">
        <v>224</v>
      </c>
      <c r="N84" s="6" t="s">
        <v>546</v>
      </c>
      <c r="O84" s="6" t="s">
        <v>547</v>
      </c>
      <c r="P84" s="6" t="s">
        <v>548</v>
      </c>
      <c r="Q84" s="6" t="s">
        <v>549</v>
      </c>
      <c r="R84" s="6" t="s">
        <v>57</v>
      </c>
      <c r="U84" s="8" cm="1">
        <f t="array" ref="U84">INDEX(CAP[Overall Rating],MATCH(Pokedex[[#This Row],[Name]],CAP[Name],0),0)</f>
        <v>237.33855367233105</v>
      </c>
      <c r="W84"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prompt:Crystaleye Regular Pokemon; Ice/Psychic; Refractive Armor: Raises the Pokémon's Special Defense by one stage when hit by a special move.; detailed; pokemon style; anime style;vibrant colors;limited color palette --q 1.5</v>
      </c>
    </row>
    <row r="85" spans="1:24" x14ac:dyDescent="0.3">
      <c r="A85" s="6">
        <v>86</v>
      </c>
      <c r="B85" s="6" t="s">
        <v>486</v>
      </c>
      <c r="C85" s="6" t="s">
        <v>51</v>
      </c>
      <c r="D85" s="6" t="s">
        <v>28</v>
      </c>
      <c r="E85" s="6">
        <v>65</v>
      </c>
      <c r="F85" s="6">
        <v>70</v>
      </c>
      <c r="G85" s="6">
        <v>60</v>
      </c>
      <c r="H85" s="6">
        <v>105</v>
      </c>
      <c r="I85" s="6">
        <v>80</v>
      </c>
      <c r="J85" s="6">
        <v>110</v>
      </c>
      <c r="K85" s="6">
        <f>SUM(Pokedex[[#This Row],[HP]:[Spe]])</f>
        <v>490</v>
      </c>
      <c r="L85" s="6" t="s">
        <v>53</v>
      </c>
      <c r="N85" s="6" t="s">
        <v>510</v>
      </c>
      <c r="O85" s="6" t="s">
        <v>511</v>
      </c>
      <c r="P85" s="6" t="s">
        <v>512</v>
      </c>
      <c r="Q85" s="6" t="s">
        <v>513</v>
      </c>
      <c r="R85" s="6" t="s">
        <v>487</v>
      </c>
      <c r="S85" s="6">
        <v>30</v>
      </c>
      <c r="U85" s="8" cm="1">
        <f t="array" ref="U85">INDEX(CAP[Overall Rating],MATCH(Pokedex[[#This Row],[Name]],CAP[Name],0),0)</f>
        <v>237.30512751426244</v>
      </c>
      <c r="V85" s="12" t="s">
        <v>596</v>
      </c>
      <c r="W85"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prompt:Electrowl Regular Pokemon; Electric/Flying; Owl-like Pokémon with electric plumage and sharp talons; detailed; pokemon style; anime style;vibrant colors;limited color palette --q 1.5</v>
      </c>
    </row>
    <row r="86" spans="1:24" x14ac:dyDescent="0.3">
      <c r="A86" s="6">
        <v>135</v>
      </c>
      <c r="B86" s="6" t="s">
        <v>715</v>
      </c>
      <c r="C86" s="6" t="s">
        <v>96</v>
      </c>
      <c r="D86" s="6" t="s">
        <v>134</v>
      </c>
      <c r="E86" s="6">
        <v>100</v>
      </c>
      <c r="F86" s="6">
        <v>80</v>
      </c>
      <c r="G86" s="6">
        <v>120</v>
      </c>
      <c r="H86" s="6">
        <v>40</v>
      </c>
      <c r="I86" s="6">
        <v>80</v>
      </c>
      <c r="J86" s="6">
        <v>40</v>
      </c>
      <c r="K86" s="13">
        <f>SUM(Pokedex[[#This Row],[HP]:[Spe]])</f>
        <v>460</v>
      </c>
      <c r="L86" s="13" t="s">
        <v>717</v>
      </c>
      <c r="M86" s="6" t="s">
        <v>718</v>
      </c>
      <c r="O86" s="6" t="s">
        <v>732</v>
      </c>
      <c r="R86" s="6" t="s">
        <v>726</v>
      </c>
      <c r="S86" s="6">
        <v>50</v>
      </c>
      <c r="T86" s="6" t="s">
        <v>719</v>
      </c>
      <c r="U86" s="8" cm="1">
        <f t="array" ref="U86">INDEX(CAP[Overall Rating],MATCH(Pokedex[[#This Row],[Name]],CAP[Name],0),0)</f>
        <v>236.64586852163006</v>
      </c>
      <c r="W86" s="13"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prompt:Crumboulder  Regular Pokemon; Rock/Ground; Crumboulder, a much larger, boulder-like Pokémon with a rugged, craggy exterior. It has powerful arms and legs and a stern, focused facial expression.; detailed; pokemon style; anime style;vibrant colors;limited color palette --q 1.5</v>
      </c>
    </row>
    <row r="87" spans="1:24" x14ac:dyDescent="0.3">
      <c r="A87" s="6">
        <v>89</v>
      </c>
      <c r="B87" s="6" t="s">
        <v>489</v>
      </c>
      <c r="C87" s="6" t="s">
        <v>21</v>
      </c>
      <c r="E87" s="6">
        <v>70</v>
      </c>
      <c r="F87" s="6">
        <v>60</v>
      </c>
      <c r="G87" s="6">
        <v>85</v>
      </c>
      <c r="H87" s="6">
        <v>100</v>
      </c>
      <c r="I87" s="6">
        <v>85</v>
      </c>
      <c r="J87" s="6">
        <v>90</v>
      </c>
      <c r="K87" s="6">
        <f>SUM(Pokedex[[#This Row],[HP]:[Spe]])</f>
        <v>490</v>
      </c>
      <c r="L87" s="6" t="s">
        <v>22</v>
      </c>
      <c r="N87" s="6" t="s">
        <v>490</v>
      </c>
      <c r="O87" s="6" t="s">
        <v>517</v>
      </c>
      <c r="P87" s="6" t="s">
        <v>25</v>
      </c>
      <c r="Q87" s="6" t="s">
        <v>26</v>
      </c>
      <c r="R87" s="6" t="s">
        <v>35</v>
      </c>
      <c r="U87" s="8" cm="1">
        <f t="array" ref="U87">INDEX(CAP[Overall Rating],MATCH(Pokedex[[#This Row],[Name]],CAP[Name],0),0)</f>
        <v>232.94054067550059</v>
      </c>
      <c r="W87"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prompt:Tidalfin Regular Pokemon; Water/; Shark-like Pokémon with vibrant blue fins and a sleek body; detailed; pokemon style; anime style;vibrant colors;limited color palette --q 1.5</v>
      </c>
    </row>
    <row r="88" spans="1:24" x14ac:dyDescent="0.3">
      <c r="A88" s="6">
        <v>43</v>
      </c>
      <c r="B88" s="6" t="s">
        <v>216</v>
      </c>
      <c r="C88" s="6" t="s">
        <v>96</v>
      </c>
      <c r="D88" s="6" t="s">
        <v>168</v>
      </c>
      <c r="E88" s="6">
        <v>75</v>
      </c>
      <c r="F88" s="6">
        <v>100</v>
      </c>
      <c r="G88" s="6">
        <v>85</v>
      </c>
      <c r="H88" s="6">
        <v>60</v>
      </c>
      <c r="I88" s="6">
        <v>75</v>
      </c>
      <c r="J88" s="6">
        <v>90</v>
      </c>
      <c r="K88" s="6">
        <f>SUM(Pokedex[[#This Row],[HP]:[Spe]])</f>
        <v>485</v>
      </c>
      <c r="L88" s="6" t="s">
        <v>217</v>
      </c>
      <c r="M88" s="6" t="s">
        <v>218</v>
      </c>
      <c r="N88" s="6" t="s">
        <v>219</v>
      </c>
      <c r="O88" s="6" t="s">
        <v>220</v>
      </c>
      <c r="P88" s="6" t="s">
        <v>221</v>
      </c>
      <c r="Q88" s="6" t="s">
        <v>222</v>
      </c>
      <c r="R88" s="6" t="s">
        <v>35</v>
      </c>
      <c r="U88" s="8" cm="1">
        <f t="array" ref="U88">INDEX(CAP[Overall Rating],MATCH(Pokedex[[#This Row],[Name]],CAP[Name],0),0)</f>
        <v>231.49969554652523</v>
      </c>
      <c r="W88"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prompt:Rockscorpio Regular Pokemon; Rock/Poison; Scorpion-like creature with rocky exoskeleton and venomous stinger; detailed; pokemon style; anime style;vibrant colors;limited color palette --q 1.5</v>
      </c>
    </row>
    <row r="89" spans="1:24" x14ac:dyDescent="0.3">
      <c r="A89" s="6">
        <v>92</v>
      </c>
      <c r="B89" s="6" t="s">
        <v>493</v>
      </c>
      <c r="C89" s="6" t="s">
        <v>50</v>
      </c>
      <c r="D89" s="6" t="s">
        <v>28</v>
      </c>
      <c r="E89" s="6">
        <v>80</v>
      </c>
      <c r="F89" s="6">
        <v>70</v>
      </c>
      <c r="G89" s="6">
        <v>65</v>
      </c>
      <c r="H89" s="6">
        <v>105</v>
      </c>
      <c r="I89" s="6">
        <v>75</v>
      </c>
      <c r="J89" s="6">
        <v>90</v>
      </c>
      <c r="K89" s="6">
        <f>SUM(Pokedex[[#This Row],[HP]:[Spe]])</f>
        <v>485</v>
      </c>
      <c r="L89" s="6" t="s">
        <v>90</v>
      </c>
      <c r="N89" s="6" t="s">
        <v>372</v>
      </c>
      <c r="O89" s="6" t="s">
        <v>523</v>
      </c>
      <c r="P89" s="6" t="s">
        <v>524</v>
      </c>
      <c r="Q89" s="6" t="s">
        <v>525</v>
      </c>
      <c r="R89" s="6" t="s">
        <v>35</v>
      </c>
      <c r="U89" s="8" cm="1">
        <f t="array" ref="U89">INDEX(CAP[Overall Rating],MATCH(Pokedex[[#This Row],[Name]],CAP[Name],0),0)</f>
        <v>230.37208394669051</v>
      </c>
      <c r="W89"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prompt:Skylotus Regular Pokemon; Grass/Flying; Graceful, lotus-like Pokémon with petal wings and floating vines; detailed; pokemon style; anime style;vibrant colors;limited color palette --q 1.5</v>
      </c>
    </row>
    <row r="90" spans="1:24" x14ac:dyDescent="0.3">
      <c r="A90" s="6">
        <v>52</v>
      </c>
      <c r="B90" s="6" t="s">
        <v>266</v>
      </c>
      <c r="C90" s="6" t="s">
        <v>187</v>
      </c>
      <c r="D90" s="6" t="s">
        <v>50</v>
      </c>
      <c r="E90" s="6">
        <v>75</v>
      </c>
      <c r="F90" s="6">
        <v>100</v>
      </c>
      <c r="G90" s="6">
        <v>65</v>
      </c>
      <c r="H90" s="6">
        <v>60</v>
      </c>
      <c r="I90" s="6">
        <v>70</v>
      </c>
      <c r="J90" s="6">
        <v>110</v>
      </c>
      <c r="K90" s="6">
        <f>SUM(Pokedex[[#This Row],[HP]:[Spe]])</f>
        <v>480</v>
      </c>
      <c r="L90" s="6" t="s">
        <v>261</v>
      </c>
      <c r="M90" s="6" t="s">
        <v>262</v>
      </c>
      <c r="N90" s="6" t="s">
        <v>122</v>
      </c>
      <c r="O90" s="6" t="s">
        <v>267</v>
      </c>
      <c r="P90" s="6" t="s">
        <v>264</v>
      </c>
      <c r="Q90" s="6" t="s">
        <v>265</v>
      </c>
      <c r="R90" s="6" t="s">
        <v>35</v>
      </c>
      <c r="U90" s="8" cm="1">
        <f t="array" ref="U90">INDEX(CAP[Overall Rating],MATCH(Pokedex[[#This Row],[Name]],CAP[Name],0),0)</f>
        <v>229.81294236268928</v>
      </c>
      <c r="W90"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prompt:Leafdrillarch Regular Pokemon; Bug/Grass; A larger leafy insect with multiple sharp horns; detailed; pokemon style; anime style;vibrant colors;limited color palette --q 1.5</v>
      </c>
    </row>
    <row r="91" spans="1:24" x14ac:dyDescent="0.3">
      <c r="A91" s="6">
        <v>36</v>
      </c>
      <c r="B91" s="6" t="s">
        <v>192</v>
      </c>
      <c r="C91" s="6" t="s">
        <v>187</v>
      </c>
      <c r="D91" s="6" t="s">
        <v>59</v>
      </c>
      <c r="E91" s="6">
        <v>70</v>
      </c>
      <c r="F91" s="6">
        <v>85</v>
      </c>
      <c r="G91" s="6">
        <v>60</v>
      </c>
      <c r="H91" s="6">
        <v>90</v>
      </c>
      <c r="I91" s="6">
        <v>70</v>
      </c>
      <c r="J91" s="6">
        <v>100</v>
      </c>
      <c r="K91" s="6">
        <f>SUM(Pokedex[[#This Row],[HP]:[Spe]])</f>
        <v>475</v>
      </c>
      <c r="L91" s="6" t="s">
        <v>188</v>
      </c>
      <c r="N91" s="6" t="s">
        <v>61</v>
      </c>
      <c r="O91" s="6" t="s">
        <v>193</v>
      </c>
      <c r="P91" s="6" t="s">
        <v>190</v>
      </c>
      <c r="Q91" s="6" t="s">
        <v>191</v>
      </c>
      <c r="R91" s="6" t="s">
        <v>35</v>
      </c>
      <c r="U91" s="8" cm="1">
        <f t="array" ref="U91">INDEX(CAP[Overall Rating],MATCH(Pokedex[[#This Row],[Name]],CAP[Name],0),0)</f>
        <v>224.57813858290154</v>
      </c>
      <c r="W91"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prompt:Frostifly Regular Pokemon; Bug/Ice; Large, icy blue butterfly with crystal-like wings and legs; detailed; pokemon style; anime style;vibrant colors;limited color palette --q 1.5</v>
      </c>
    </row>
    <row r="92" spans="1:24" x14ac:dyDescent="0.3">
      <c r="A92" s="6">
        <v>16</v>
      </c>
      <c r="B92" s="6" t="s">
        <v>105</v>
      </c>
      <c r="C92" s="6" t="s">
        <v>37</v>
      </c>
      <c r="E92" s="6">
        <v>70</v>
      </c>
      <c r="F92" s="6">
        <v>85</v>
      </c>
      <c r="G92" s="6">
        <v>65</v>
      </c>
      <c r="H92" s="6">
        <v>85</v>
      </c>
      <c r="I92" s="6">
        <v>65</v>
      </c>
      <c r="J92" s="6">
        <v>105</v>
      </c>
      <c r="K92" s="6">
        <f>SUM(Pokedex[[#This Row],[HP]:[Spe]])</f>
        <v>475</v>
      </c>
      <c r="L92" s="6" t="s">
        <v>38</v>
      </c>
      <c r="N92" s="6" t="s">
        <v>103</v>
      </c>
      <c r="O92" s="6" t="s">
        <v>106</v>
      </c>
      <c r="P92" s="6" t="s">
        <v>41</v>
      </c>
      <c r="Q92" s="6" t="s">
        <v>42</v>
      </c>
      <c r="R92" s="6" t="s">
        <v>107</v>
      </c>
      <c r="S92" s="6">
        <v>36</v>
      </c>
      <c r="U92" s="8" cm="1">
        <f t="array" ref="U92">INDEX(CAP[Overall Rating],MATCH(Pokedex[[#This Row],[Name]],CAP[Name],0),0)</f>
        <v>224.09924796720105</v>
      </c>
      <c r="W92"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prompt:Blazeopard Regular Pokemon; Fire/; Bigger, leopard-like, flame patterns, agile; detailed; pokemon style; anime style;vibrant colors;limited color palette --q 1.5</v>
      </c>
    </row>
    <row r="93" spans="1:24" x14ac:dyDescent="0.3">
      <c r="A93" s="6">
        <v>2</v>
      </c>
      <c r="B93" s="6" t="s">
        <v>27</v>
      </c>
      <c r="C93" s="6" t="s">
        <v>21</v>
      </c>
      <c r="D93" s="6" t="s">
        <v>28</v>
      </c>
      <c r="E93" s="6">
        <v>70</v>
      </c>
      <c r="F93" s="6">
        <v>80</v>
      </c>
      <c r="G93" s="6">
        <v>65</v>
      </c>
      <c r="H93" s="6">
        <v>90</v>
      </c>
      <c r="I93" s="6">
        <v>60</v>
      </c>
      <c r="J93" s="6">
        <v>110</v>
      </c>
      <c r="K93" s="6">
        <f>SUM(Pokedex[[#This Row],[HP]:[Spe]])</f>
        <v>475</v>
      </c>
      <c r="L93" s="6" t="s">
        <v>22</v>
      </c>
      <c r="N93" s="6" t="s">
        <v>29</v>
      </c>
      <c r="O93" s="6" t="s">
        <v>30</v>
      </c>
      <c r="P93" s="6" t="s">
        <v>31</v>
      </c>
      <c r="Q93" s="6" t="s">
        <v>32</v>
      </c>
      <c r="R93" s="6" t="s">
        <v>33</v>
      </c>
      <c r="S93" s="6">
        <v>35</v>
      </c>
      <c r="U93" s="8" cm="1">
        <f t="array" ref="U93">INDEX(CAP[Overall Rating],MATCH(Pokedex[[#This Row],[Name]],CAP[Name],0),0)</f>
        <v>223.83909163272614</v>
      </c>
      <c r="W93"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prompt:Wavewing Regular Pokemon; Water/Flying; Larger fish, wings enlarged, feathery tail; detailed; pokemon style; anime style;vibrant colors;limited color palette --q 1.5</v>
      </c>
    </row>
    <row r="94" spans="1:24" x14ac:dyDescent="0.3">
      <c r="A94" s="6">
        <v>19</v>
      </c>
      <c r="B94" s="6" t="s">
        <v>115</v>
      </c>
      <c r="C94" s="6" t="s">
        <v>21</v>
      </c>
      <c r="E94" s="6">
        <v>80</v>
      </c>
      <c r="F94" s="6">
        <v>75</v>
      </c>
      <c r="G94" s="6">
        <v>95</v>
      </c>
      <c r="H94" s="6">
        <v>70</v>
      </c>
      <c r="I94" s="6">
        <v>85</v>
      </c>
      <c r="J94" s="6">
        <v>65</v>
      </c>
      <c r="K94" s="6">
        <f>SUM(Pokedex[[#This Row],[HP]:[Spe]])</f>
        <v>470</v>
      </c>
      <c r="L94" s="6" t="s">
        <v>112</v>
      </c>
      <c r="N94" s="6" t="s">
        <v>113</v>
      </c>
      <c r="O94" s="6" t="s">
        <v>116</v>
      </c>
      <c r="P94" s="6" t="s">
        <v>25</v>
      </c>
      <c r="Q94" s="6" t="s">
        <v>26</v>
      </c>
      <c r="R94" s="6" t="s">
        <v>117</v>
      </c>
      <c r="S94" s="6">
        <v>36</v>
      </c>
      <c r="U94" s="8" cm="1">
        <f t="array" ref="U94">INDEX(CAP[Overall Rating],MATCH(Pokedex[[#This Row],[Name]],CAP[Name],0),0)</f>
        <v>220.96089923668393</v>
      </c>
      <c r="W94"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prompt:Surfrider Regular Pokemon; Water/; Bigger, more armored shell, wave-like patterns; detailed; pokemon style; anime style;vibrant colors;limited color palette --q 1.5</v>
      </c>
    </row>
    <row r="95" spans="1:24" x14ac:dyDescent="0.3">
      <c r="A95" s="6">
        <v>100</v>
      </c>
      <c r="B95" s="6" t="s">
        <v>502</v>
      </c>
      <c r="C95" s="6" t="s">
        <v>135</v>
      </c>
      <c r="D95" s="6" t="s">
        <v>50</v>
      </c>
      <c r="E95" s="6">
        <v>70</v>
      </c>
      <c r="F95" s="6">
        <v>90</v>
      </c>
      <c r="G95" s="6">
        <v>75</v>
      </c>
      <c r="H95" s="6">
        <v>75</v>
      </c>
      <c r="I95" s="6">
        <v>65</v>
      </c>
      <c r="J95" s="6">
        <v>90</v>
      </c>
      <c r="K95" s="6">
        <f>SUM(Pokedex[[#This Row],[HP]:[Spe]])</f>
        <v>465</v>
      </c>
      <c r="L95" s="6" t="s">
        <v>90</v>
      </c>
      <c r="N95" s="6" t="s">
        <v>542</v>
      </c>
      <c r="O95" s="6" t="s">
        <v>543</v>
      </c>
      <c r="P95" s="6" t="s">
        <v>544</v>
      </c>
      <c r="Q95" s="6" t="s">
        <v>545</v>
      </c>
      <c r="R95" s="6" t="s">
        <v>503</v>
      </c>
      <c r="S95" s="6">
        <v>40</v>
      </c>
      <c r="U95" s="8" cm="1">
        <f t="array" ref="U95">INDEX(CAP[Overall Rating],MATCH(Pokedex[[#This Row],[Name]],CAP[Name],0),0)</f>
        <v>211.64531659644098</v>
      </c>
      <c r="W95"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prompt:Dracobark Regular Pokemon; Dragon/Grass; Dragon-like creature with a tree bark armor and foliage-covered tail; detailed; pokemon style; anime style;vibrant colors;limited color palette --q 1.5</v>
      </c>
    </row>
    <row r="96" spans="1:24" x14ac:dyDescent="0.3">
      <c r="A96" s="6">
        <v>22</v>
      </c>
      <c r="B96" s="6" t="s">
        <v>126</v>
      </c>
      <c r="C96" s="6" t="s">
        <v>50</v>
      </c>
      <c r="E96" s="6">
        <v>75</v>
      </c>
      <c r="F96" s="6">
        <v>80</v>
      </c>
      <c r="G96" s="6">
        <v>65</v>
      </c>
      <c r="H96" s="6">
        <v>85</v>
      </c>
      <c r="I96" s="6">
        <v>70</v>
      </c>
      <c r="J96" s="6">
        <v>85</v>
      </c>
      <c r="K96" s="6">
        <f>SUM(Pokedex[[#This Row],[HP]:[Spe]])</f>
        <v>460</v>
      </c>
      <c r="L96" s="6" t="s">
        <v>122</v>
      </c>
      <c r="N96" s="6" t="s">
        <v>127</v>
      </c>
      <c r="O96" s="6" t="s">
        <v>128</v>
      </c>
      <c r="P96" s="6" t="s">
        <v>124</v>
      </c>
      <c r="Q96" s="6" t="s">
        <v>125</v>
      </c>
      <c r="R96" s="6" t="s">
        <v>129</v>
      </c>
      <c r="S96" s="6">
        <v>36</v>
      </c>
      <c r="U96" s="8" cm="1">
        <f t="array" ref="U96">INDEX(CAP[Overall Rating],MATCH(Pokedex[[#This Row],[Name]],CAP[Name],0),0)</f>
        <v>207.08567391832929</v>
      </c>
      <c r="W96"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prompt:Vinewolf Regular Pokemon; Grass/; Wolf-like, larger vines, grass fur, agile; detailed; pokemon style; anime style;vibrant colors;limited color palette --q 1.5</v>
      </c>
    </row>
    <row r="97" spans="1:23" x14ac:dyDescent="0.3">
      <c r="A97" s="6">
        <v>44</v>
      </c>
      <c r="B97" s="6" t="s">
        <v>223</v>
      </c>
      <c r="C97" s="6" t="s">
        <v>59</v>
      </c>
      <c r="D97" s="6" t="s">
        <v>150</v>
      </c>
      <c r="E97" s="6">
        <v>60</v>
      </c>
      <c r="F97" s="6">
        <v>65</v>
      </c>
      <c r="G97" s="6">
        <v>60</v>
      </c>
      <c r="H97" s="6">
        <v>95</v>
      </c>
      <c r="I97" s="6">
        <v>90</v>
      </c>
      <c r="J97" s="6">
        <v>85</v>
      </c>
      <c r="K97" s="6">
        <f>SUM(Pokedex[[#This Row],[HP]:[Spe]])</f>
        <v>455</v>
      </c>
      <c r="L97" s="6" t="s">
        <v>224</v>
      </c>
      <c r="M97" s="6" t="s">
        <v>225</v>
      </c>
      <c r="N97" s="6" t="s">
        <v>226</v>
      </c>
      <c r="O97" s="6" t="s">
        <v>227</v>
      </c>
      <c r="P97" s="6" t="s">
        <v>228</v>
      </c>
      <c r="Q97" s="6" t="s">
        <v>229</v>
      </c>
      <c r="R97" s="6" t="s">
        <v>35</v>
      </c>
      <c r="U97" s="8" cm="1">
        <f t="array" ref="U97">INDEX(CAP[Overall Rating],MATCH(Pokedex[[#This Row],[Name]],CAP[Name],0),0)</f>
        <v>199.7363630158124</v>
      </c>
      <c r="W97"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prompt:Frosthoot Regular Pokemon; Ice/Ghost; Ghostly owl-like creature with icy feathers and chilling gaze; detailed; pokemon style; anime style;vibrant colors;limited color palette --q 1.5</v>
      </c>
    </row>
    <row r="98" spans="1:23" x14ac:dyDescent="0.3">
      <c r="A98" s="6">
        <v>84</v>
      </c>
      <c r="B98" s="6" t="s">
        <v>455</v>
      </c>
      <c r="C98" s="6" t="s">
        <v>134</v>
      </c>
      <c r="D98" s="6" t="s">
        <v>231</v>
      </c>
      <c r="E98" s="6">
        <v>70</v>
      </c>
      <c r="F98" s="6">
        <v>95</v>
      </c>
      <c r="G98" s="6">
        <v>90</v>
      </c>
      <c r="H98" s="6">
        <v>40</v>
      </c>
      <c r="I98" s="6">
        <v>80</v>
      </c>
      <c r="J98" s="6">
        <v>70</v>
      </c>
      <c r="K98" s="6">
        <f>SUM(Pokedex[[#This Row],[HP]:[Spe]])</f>
        <v>445</v>
      </c>
      <c r="L98" s="6" t="s">
        <v>354</v>
      </c>
      <c r="M98" s="6" t="s">
        <v>456</v>
      </c>
      <c r="N98" t="s">
        <v>352</v>
      </c>
      <c r="O98" s="6" t="s">
        <v>457</v>
      </c>
      <c r="P98" s="6" t="s">
        <v>458</v>
      </c>
      <c r="Q98" s="6" t="s">
        <v>459</v>
      </c>
      <c r="R98" s="6" t="s">
        <v>460</v>
      </c>
      <c r="S98" s="6">
        <v>35</v>
      </c>
      <c r="U98" s="8" cm="1">
        <f t="array" ref="U98">INDEX(CAP[Overall Rating],MATCH(Pokedex[[#This Row],[Name]],CAP[Name],0),0)</f>
        <v>199.33877890892342</v>
      </c>
      <c r="W98"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prompt:Terracoon Regular Pokemon; Ground/Fighting; A raccoon-like Pokémon with tough, rugged fur and a strong tail.; detailed; pokemon style; anime style;vibrant colors;limited color palette --q 1.5</v>
      </c>
    </row>
    <row r="99" spans="1:23" x14ac:dyDescent="0.3">
      <c r="A99" s="6">
        <v>88</v>
      </c>
      <c r="B99" s="6" t="s">
        <v>488</v>
      </c>
      <c r="C99" s="6" t="s">
        <v>150</v>
      </c>
      <c r="D99" s="6" t="s">
        <v>96</v>
      </c>
      <c r="E99" s="6">
        <v>60</v>
      </c>
      <c r="F99" s="6">
        <v>80</v>
      </c>
      <c r="G99" s="6">
        <v>110</v>
      </c>
      <c r="H99" s="6">
        <v>50</v>
      </c>
      <c r="I99" s="6">
        <v>105</v>
      </c>
      <c r="J99" s="6">
        <v>45</v>
      </c>
      <c r="K99" s="6">
        <f>SUM(Pokedex[[#This Row],[HP]:[Spe]])</f>
        <v>450</v>
      </c>
      <c r="L99" s="6" t="s">
        <v>278</v>
      </c>
      <c r="N99" s="6" t="s">
        <v>226</v>
      </c>
      <c r="O99" s="6" t="s">
        <v>514</v>
      </c>
      <c r="P99" s="6" t="s">
        <v>515</v>
      </c>
      <c r="Q99" s="6" t="s">
        <v>516</v>
      </c>
      <c r="R99" s="6" t="s">
        <v>35</v>
      </c>
      <c r="U99" s="8" cm="1">
        <f t="array" ref="U99">INDEX(CAP[Overall Rating],MATCH(Pokedex[[#This Row],[Name]],CAP[Name],0),0)</f>
        <v>198.94347112922003</v>
      </c>
      <c r="W99"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prompt:Shadestone Regular Pokemon; Ghost/Rock; Shadowy, stone-like creature with glowing eyes and jagged edges; detailed; pokemon style; anime style;vibrant colors;limited color palette --q 1.5</v>
      </c>
    </row>
    <row r="100" spans="1:23" x14ac:dyDescent="0.3">
      <c r="A100" s="6">
        <v>94</v>
      </c>
      <c r="B100" s="6" t="s">
        <v>495</v>
      </c>
      <c r="C100" s="6" t="s">
        <v>84</v>
      </c>
      <c r="E100" s="6">
        <v>60</v>
      </c>
      <c r="F100" s="6">
        <v>50</v>
      </c>
      <c r="G100" s="6">
        <v>70</v>
      </c>
      <c r="H100" s="6">
        <v>90</v>
      </c>
      <c r="I100" s="6">
        <v>80</v>
      </c>
      <c r="J100" s="6">
        <v>100</v>
      </c>
      <c r="K100" s="6">
        <f>SUM(Pokedex[[#This Row],[HP]:[Spe]])</f>
        <v>450</v>
      </c>
      <c r="L100" s="6" t="s">
        <v>246</v>
      </c>
      <c r="N100" s="6" t="s">
        <v>496</v>
      </c>
      <c r="O100" s="6" t="s">
        <v>529</v>
      </c>
      <c r="P100" s="6" t="s">
        <v>530</v>
      </c>
      <c r="Q100" s="6" t="s">
        <v>531</v>
      </c>
      <c r="R100" s="6" t="s">
        <v>497</v>
      </c>
      <c r="S100" s="6">
        <v>35</v>
      </c>
      <c r="U100" s="8" cm="1">
        <f t="array" ref="U100">INDEX(CAP[Overall Rating],MATCH(Pokedex[[#This Row],[Name]],CAP[Name],0),0)</f>
        <v>198.56901775294421</v>
      </c>
      <c r="W100"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prompt:Starwhirl Regular Pokemon; Psychic/; Star-shaped Pokémon with a swirling, cosmic design; detailed; pokemon style; anime style;vibrant colors;limited color palette --q 1.5</v>
      </c>
    </row>
    <row r="101" spans="1:23" x14ac:dyDescent="0.3">
      <c r="A101" s="6">
        <v>78</v>
      </c>
      <c r="B101" s="6" t="s">
        <v>436</v>
      </c>
      <c r="C101" s="6" t="s">
        <v>135</v>
      </c>
      <c r="D101" s="6" t="s">
        <v>383</v>
      </c>
      <c r="E101" s="6">
        <v>75</v>
      </c>
      <c r="F101" s="6">
        <v>100</v>
      </c>
      <c r="G101" s="6">
        <v>60</v>
      </c>
      <c r="H101" s="6">
        <v>70</v>
      </c>
      <c r="I101" s="6">
        <v>60</v>
      </c>
      <c r="J101" s="6">
        <v>80</v>
      </c>
      <c r="K101" s="6">
        <f>SUM(Pokedex[[#This Row],[HP]:[Spe]])</f>
        <v>445</v>
      </c>
      <c r="L101" s="6" t="s">
        <v>431</v>
      </c>
      <c r="M101" s="6" t="s">
        <v>432</v>
      </c>
      <c r="N101" t="s">
        <v>462</v>
      </c>
      <c r="O101" s="6" t="s">
        <v>437</v>
      </c>
      <c r="P101" s="6" t="s">
        <v>434</v>
      </c>
      <c r="Q101" s="6" t="s">
        <v>435</v>
      </c>
      <c r="R101" s="6" t="s">
        <v>438</v>
      </c>
      <c r="S101" s="6">
        <v>36</v>
      </c>
      <c r="U101" s="8" cm="1">
        <f t="array" ref="U101">INDEX(CAP[Overall Rating],MATCH(Pokedex[[#This Row],[Name]],CAP[Name],0),0)</f>
        <v>193.11717686875602</v>
      </c>
      <c r="W101"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prompt:Dracocanine Regular Pokemon; Dragon/Normal; A larger, fierce dragon-like canine with a strong, sturdy body.; detailed; pokemon style; anime style;vibrant colors;limited color palette --q 1.5</v>
      </c>
    </row>
    <row r="102" spans="1:23" x14ac:dyDescent="0.3">
      <c r="A102" s="6">
        <v>68</v>
      </c>
      <c r="B102" s="6" t="s">
        <v>345</v>
      </c>
      <c r="C102" s="6" t="s">
        <v>89</v>
      </c>
      <c r="E102" s="6">
        <v>70</v>
      </c>
      <c r="F102" s="6">
        <v>75</v>
      </c>
      <c r="G102" s="6">
        <v>60</v>
      </c>
      <c r="H102" s="6">
        <v>95</v>
      </c>
      <c r="I102" s="6">
        <v>85</v>
      </c>
      <c r="J102" s="6">
        <v>65</v>
      </c>
      <c r="K102" s="6">
        <f>SUM(Pokedex[[#This Row],[HP]:[Spe]])</f>
        <v>450</v>
      </c>
      <c r="L102" s="6" t="s">
        <v>340</v>
      </c>
      <c r="M102" s="6" t="s">
        <v>341</v>
      </c>
      <c r="O102" s="6" t="s">
        <v>346</v>
      </c>
      <c r="P102" s="6" t="s">
        <v>343</v>
      </c>
      <c r="Q102" s="6" t="s">
        <v>344</v>
      </c>
      <c r="R102" s="6" t="s">
        <v>347</v>
      </c>
      <c r="S102" s="6">
        <v>40</v>
      </c>
      <c r="U102" s="8" cm="1">
        <f t="array" ref="U102">INDEX(CAP[Overall Rating],MATCH(Pokedex[[#This Row],[Name]],CAP[Name],0),0)</f>
        <v>192.618294661005</v>
      </c>
      <c r="W102"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prompt:Moonhare Regular Pokemon; Fairy/; A larger, hare-like Pokémon with a more pronounced crescent moon marking on its forehead. Its fur is even more radiant, and its ears are longer, giving it a graceful appearance.; detailed; pokemon style; anime style;vibrant colors;limited color palette --q 1.5</v>
      </c>
    </row>
    <row r="103" spans="1:23" x14ac:dyDescent="0.3">
      <c r="A103" s="6">
        <v>41</v>
      </c>
      <c r="B103" s="6" t="s">
        <v>208</v>
      </c>
      <c r="C103" s="6" t="s">
        <v>84</v>
      </c>
      <c r="D103" s="6" t="s">
        <v>28</v>
      </c>
      <c r="E103" s="6">
        <v>60</v>
      </c>
      <c r="F103" s="6">
        <v>50</v>
      </c>
      <c r="G103" s="6">
        <v>70</v>
      </c>
      <c r="H103" s="6">
        <v>90</v>
      </c>
      <c r="I103" s="6">
        <v>75</v>
      </c>
      <c r="J103" s="6">
        <v>95</v>
      </c>
      <c r="K103" s="6">
        <f>SUM(Pokedex[[#This Row],[HP]:[Spe]])</f>
        <v>440</v>
      </c>
      <c r="L103" s="6" t="s">
        <v>209</v>
      </c>
      <c r="M103" s="6" t="s">
        <v>174</v>
      </c>
      <c r="N103" s="6" t="s">
        <v>210</v>
      </c>
      <c r="O103" s="6" t="s">
        <v>211</v>
      </c>
      <c r="P103" s="6" t="s">
        <v>212</v>
      </c>
      <c r="Q103" s="6" t="s">
        <v>213</v>
      </c>
      <c r="R103" s="6" t="s">
        <v>214</v>
      </c>
      <c r="S103" s="6">
        <v>30</v>
      </c>
      <c r="U103" s="8" cm="1">
        <f t="array" ref="U103">INDEX(CAP[Overall Rating],MATCH(Pokedex[[#This Row],[Name]],CAP[Name],0),0)</f>
        <v>189.29119385232144</v>
      </c>
      <c r="W103"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prompt:Psycloud Regular Pokemon; Psychic/Flying; Fluffy cloud-like creature with psychic energy and bird-like wings; detailed; pokemon style; anime style;vibrant colors;limited color palette --q 1.5</v>
      </c>
    </row>
    <row r="104" spans="1:23" x14ac:dyDescent="0.3">
      <c r="A104" s="6">
        <v>46</v>
      </c>
      <c r="B104" s="6" t="s">
        <v>238</v>
      </c>
      <c r="C104" s="6" t="s">
        <v>59</v>
      </c>
      <c r="D104" s="6" t="s">
        <v>28</v>
      </c>
      <c r="E104" s="6">
        <v>60</v>
      </c>
      <c r="F104" s="6">
        <v>85</v>
      </c>
      <c r="G104" s="6">
        <v>55</v>
      </c>
      <c r="H104" s="6">
        <v>75</v>
      </c>
      <c r="I104" s="6">
        <v>60</v>
      </c>
      <c r="J104" s="6">
        <v>100</v>
      </c>
      <c r="K104" s="6">
        <f>SUM(Pokedex[[#This Row],[HP]:[Spe]])</f>
        <v>435</v>
      </c>
      <c r="L104" s="6" t="s">
        <v>60</v>
      </c>
      <c r="M104" s="6" t="s">
        <v>239</v>
      </c>
      <c r="N104" s="6" t="s">
        <v>210</v>
      </c>
      <c r="O104" s="6" t="s">
        <v>240</v>
      </c>
      <c r="P104" s="6" t="s">
        <v>241</v>
      </c>
      <c r="Q104" s="6" t="s">
        <v>242</v>
      </c>
      <c r="R104" s="6" t="s">
        <v>243</v>
      </c>
      <c r="S104" s="6">
        <v>24</v>
      </c>
      <c r="U104" s="8" cm="1">
        <f t="array" ref="U104">INDEX(CAP[Overall Rating],MATCH(Pokedex[[#This Row],[Name]],CAP[Name],0),0)</f>
        <v>188.87326897915239</v>
      </c>
      <c r="W104"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prompt:Chillpeck Regular Pokemon; Ice/Flying; Small, plump bird with icy feathers and a sharp beak; detailed; pokemon style; anime style;vibrant colors;limited color palette --q 1.5</v>
      </c>
    </row>
    <row r="105" spans="1:23" x14ac:dyDescent="0.3">
      <c r="A105" s="6">
        <v>109</v>
      </c>
      <c r="B105" s="6" t="s">
        <v>572</v>
      </c>
      <c r="C105" s="6" t="s">
        <v>37</v>
      </c>
      <c r="D105" s="6" t="s">
        <v>383</v>
      </c>
      <c r="E105" s="6">
        <v>60</v>
      </c>
      <c r="F105" s="6">
        <v>80</v>
      </c>
      <c r="G105" s="6">
        <v>60</v>
      </c>
      <c r="H105" s="6">
        <v>75</v>
      </c>
      <c r="I105" s="6">
        <v>60</v>
      </c>
      <c r="J105" s="6">
        <v>100</v>
      </c>
      <c r="K105" s="6">
        <f>SUM(Pokedex[[#This Row],[HP]:[Spe]])</f>
        <v>435</v>
      </c>
      <c r="L105" s="6" t="s">
        <v>573</v>
      </c>
      <c r="N105" s="6" t="s">
        <v>574</v>
      </c>
      <c r="O105" s="6" t="s">
        <v>575</v>
      </c>
      <c r="P105" s="6" t="s">
        <v>576</v>
      </c>
      <c r="Q105" s="6" t="s">
        <v>577</v>
      </c>
      <c r="R105" s="6" t="s">
        <v>619</v>
      </c>
      <c r="S105" s="6">
        <v>32</v>
      </c>
      <c r="U105" s="8" cm="1">
        <f t="array" ref="U105">INDEX(CAP[Overall Rating],MATCH(Pokedex[[#This Row],[Name]],CAP[Name],0),0)</f>
        <v>187.98607372968826</v>
      </c>
      <c r="W105"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 Solarkit Regular Pokemon; Fire/Normal;  Small feline creature with a sun-shaped pattern on its fur and a fiery tail; detailed; pokemon style; anime style;vibrant colors;limited color palette --q 1.5</v>
      </c>
    </row>
    <row r="106" spans="1:23" x14ac:dyDescent="0.3">
      <c r="A106" s="6">
        <v>111</v>
      </c>
      <c r="B106" s="6" t="s">
        <v>580</v>
      </c>
      <c r="C106" s="6" t="s">
        <v>21</v>
      </c>
      <c r="D106" s="6" t="s">
        <v>383</v>
      </c>
      <c r="E106" s="6">
        <v>60</v>
      </c>
      <c r="F106" s="6">
        <v>75</v>
      </c>
      <c r="G106" s="6">
        <v>60</v>
      </c>
      <c r="H106" s="6">
        <v>80</v>
      </c>
      <c r="I106" s="6">
        <v>60</v>
      </c>
      <c r="J106" s="6">
        <v>100</v>
      </c>
      <c r="K106" s="6">
        <f>SUM(Pokedex[[#This Row],[HP]:[Spe]])</f>
        <v>435</v>
      </c>
      <c r="L106" s="6" t="s">
        <v>581</v>
      </c>
      <c r="N106" s="6" t="s">
        <v>582</v>
      </c>
      <c r="O106" s="6" t="s">
        <v>583</v>
      </c>
      <c r="P106" s="6" t="s">
        <v>584</v>
      </c>
      <c r="Q106" s="6" t="s">
        <v>585</v>
      </c>
      <c r="R106" s="6" t="s">
        <v>620</v>
      </c>
      <c r="S106" s="6">
        <v>32</v>
      </c>
      <c r="U106" s="8" cm="1">
        <f t="array" ref="U106">INDEX(CAP[Overall Rating],MATCH(Pokedex[[#This Row],[Name]],CAP[Name],0),0)</f>
        <v>187.81767019267744</v>
      </c>
      <c r="W106"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 Tidalkit Regular Pokemon; Water/Normal;  Small feline creature with a moon-shaped pattern on its fur and a watery tail; detailed; pokemon style; anime style;vibrant colors;limited color palette --q 1.5</v>
      </c>
    </row>
    <row r="107" spans="1:23" x14ac:dyDescent="0.3">
      <c r="A107" s="6">
        <v>113</v>
      </c>
      <c r="B107" s="6" t="s">
        <v>588</v>
      </c>
      <c r="C107" s="6" t="s">
        <v>51</v>
      </c>
      <c r="D107" s="6" t="s">
        <v>383</v>
      </c>
      <c r="E107" s="6">
        <v>60</v>
      </c>
      <c r="F107" s="6">
        <v>70</v>
      </c>
      <c r="G107" s="6">
        <v>60</v>
      </c>
      <c r="H107" s="6">
        <v>85</v>
      </c>
      <c r="I107" s="6">
        <v>60</v>
      </c>
      <c r="J107" s="6">
        <v>100</v>
      </c>
      <c r="K107" s="6">
        <f>SUM(Pokedex[[#This Row],[HP]:[Spe]])</f>
        <v>435</v>
      </c>
      <c r="L107" s="6" t="s">
        <v>589</v>
      </c>
      <c r="N107" s="6" t="s">
        <v>590</v>
      </c>
      <c r="O107" s="6" t="s">
        <v>591</v>
      </c>
      <c r="P107" s="6" t="s">
        <v>592</v>
      </c>
      <c r="Q107" s="6" t="s">
        <v>593</v>
      </c>
      <c r="R107" s="6" t="s">
        <v>621</v>
      </c>
      <c r="S107" s="6">
        <v>32</v>
      </c>
      <c r="U107" s="8" cm="1">
        <f t="array" ref="U107">INDEX(CAP[Overall Rating],MATCH(Pokedex[[#This Row],[Name]],CAP[Name],0),0)</f>
        <v>187.81746640805665</v>
      </c>
      <c r="W107"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 Stormkit Regular Pokemon; Electric/Normal;  Small feline creature with a lightning bolt-shaped pattern on its fur and an electric tail; detailed; pokemon style; anime style;vibrant colors;limited color palette --q 1.5</v>
      </c>
    </row>
    <row r="108" spans="1:23" x14ac:dyDescent="0.3">
      <c r="A108" s="6">
        <v>9</v>
      </c>
      <c r="B108" s="6" t="s">
        <v>72</v>
      </c>
      <c r="C108" s="6" t="s">
        <v>66</v>
      </c>
      <c r="D108" s="6" t="s">
        <v>28</v>
      </c>
      <c r="E108" s="6">
        <v>65</v>
      </c>
      <c r="F108" s="6">
        <v>85</v>
      </c>
      <c r="G108" s="6">
        <v>60</v>
      </c>
      <c r="H108" s="6">
        <v>70</v>
      </c>
      <c r="I108" s="6">
        <v>60</v>
      </c>
      <c r="J108" s="6">
        <v>95</v>
      </c>
      <c r="K108" s="6">
        <f>SUM(Pokedex[[#This Row],[HP]:[Spe]])</f>
        <v>435</v>
      </c>
      <c r="L108" s="6" t="s">
        <v>73</v>
      </c>
      <c r="N108" s="6" t="s">
        <v>68</v>
      </c>
      <c r="O108" s="6" t="s">
        <v>74</v>
      </c>
      <c r="P108" s="6" t="s">
        <v>75</v>
      </c>
      <c r="Q108" s="6" t="s">
        <v>76</v>
      </c>
      <c r="R108" s="6" t="s">
        <v>77</v>
      </c>
      <c r="S108" s="6">
        <v>36</v>
      </c>
      <c r="U108" s="8" cm="1">
        <f t="array" ref="U108">INDEX(CAP[Overall Rating],MATCH(Pokedex[[#This Row],[Name]],CAP[Name],0),0)</f>
        <v>186.96698748304038</v>
      </c>
      <c r="W108"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prompt:Windfang Regular Pokemon; Dark/Flying; Bigger, bat-like wings, sharp fangs, darker; detailed; pokemon style; anime style;vibrant colors;limited color palette --q 1.5</v>
      </c>
    </row>
    <row r="109" spans="1:23" x14ac:dyDescent="0.3">
      <c r="A109" s="6">
        <v>48</v>
      </c>
      <c r="B109" s="6" t="s">
        <v>245</v>
      </c>
      <c r="C109" s="6" t="s">
        <v>84</v>
      </c>
      <c r="D109" s="6" t="s">
        <v>168</v>
      </c>
      <c r="E109" s="6">
        <v>65</v>
      </c>
      <c r="F109" s="6">
        <v>60</v>
      </c>
      <c r="G109" s="6">
        <v>75</v>
      </c>
      <c r="H109" s="6">
        <v>90</v>
      </c>
      <c r="I109" s="6">
        <v>80</v>
      </c>
      <c r="J109" s="6">
        <v>60</v>
      </c>
      <c r="K109" s="6">
        <f>SUM(Pokedex[[#This Row],[HP]:[Spe]])</f>
        <v>430</v>
      </c>
      <c r="L109" s="6" t="s">
        <v>246</v>
      </c>
      <c r="M109" s="6" t="s">
        <v>247</v>
      </c>
      <c r="N109" s="6" t="s">
        <v>248</v>
      </c>
      <c r="O109" s="6" t="s">
        <v>249</v>
      </c>
      <c r="P109" s="6" t="s">
        <v>250</v>
      </c>
      <c r="Q109" s="6" t="s">
        <v>251</v>
      </c>
      <c r="R109" s="6" t="s">
        <v>252</v>
      </c>
      <c r="S109" s="6">
        <v>30</v>
      </c>
      <c r="U109" s="8" cm="1">
        <f t="array" ref="U109">INDEX(CAP[Overall Rating],MATCH(Pokedex[[#This Row],[Name]],CAP[Name],0),0)</f>
        <v>179.18191483765048</v>
      </c>
      <c r="W109"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prompt:Slumbersnake Regular Pokemon; Psychic/Poison; Serpent-like creature with hypnotic patterns on its scales; detailed; pokemon style; anime style;vibrant colors;limited color palette --q 1.5</v>
      </c>
    </row>
    <row r="110" spans="1:23" x14ac:dyDescent="0.3">
      <c r="A110" s="6">
        <v>107</v>
      </c>
      <c r="B110" s="6" t="s">
        <v>564</v>
      </c>
      <c r="C110" s="6" t="s">
        <v>59</v>
      </c>
      <c r="D110" s="6" t="s">
        <v>96</v>
      </c>
      <c r="E110" s="6">
        <v>60</v>
      </c>
      <c r="F110" s="6">
        <v>75</v>
      </c>
      <c r="G110" s="6">
        <v>85</v>
      </c>
      <c r="H110" s="6">
        <v>65</v>
      </c>
      <c r="I110" s="6">
        <v>80</v>
      </c>
      <c r="J110" s="6">
        <v>55</v>
      </c>
      <c r="K110" s="6">
        <f>SUM(Pokedex[[#This Row],[HP]:[Spe]])</f>
        <v>420</v>
      </c>
      <c r="L110" s="6" t="s">
        <v>565</v>
      </c>
      <c r="N110" s="6" t="s">
        <v>566</v>
      </c>
      <c r="O110" s="6" t="s">
        <v>567</v>
      </c>
      <c r="P110" s="6" t="s">
        <v>568</v>
      </c>
      <c r="Q110" s="6" t="s">
        <v>569</v>
      </c>
      <c r="R110" s="6" t="s">
        <v>618</v>
      </c>
      <c r="S110" s="6">
        <v>35</v>
      </c>
      <c r="U110" s="8" cm="1">
        <f t="array" ref="U110">INDEX(CAP[Overall Rating],MATCH(Pokedex[[#This Row],[Name]],CAP[Name],0),0)</f>
        <v>171.18254359875277</v>
      </c>
      <c r="W110"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 Aurorox Regular Pokemon; Ice/Rock;  Prehistoric creature resembling a woolly rhinoceros with crystalline spikes; detailed; pokemon style; anime style;vibrant colors;limited color palette --q 1.5</v>
      </c>
    </row>
    <row r="111" spans="1:23" x14ac:dyDescent="0.3">
      <c r="A111" s="6">
        <v>55</v>
      </c>
      <c r="B111" s="6" t="s">
        <v>277</v>
      </c>
      <c r="C111" s="6" t="s">
        <v>96</v>
      </c>
      <c r="D111" s="6" t="s">
        <v>21</v>
      </c>
      <c r="E111" s="6">
        <v>60</v>
      </c>
      <c r="F111" s="6">
        <v>75</v>
      </c>
      <c r="G111" s="6">
        <v>105</v>
      </c>
      <c r="H111" s="6">
        <v>45</v>
      </c>
      <c r="I111" s="6">
        <v>70</v>
      </c>
      <c r="J111" s="6">
        <v>45</v>
      </c>
      <c r="K111" s="6">
        <f>SUM(Pokedex[[#This Row],[HP]:[Spe]])</f>
        <v>400</v>
      </c>
      <c r="L111" s="6" t="s">
        <v>278</v>
      </c>
      <c r="M111" s="6" t="s">
        <v>279</v>
      </c>
      <c r="N111" s="6" t="s">
        <v>280</v>
      </c>
      <c r="O111" s="6" t="s">
        <v>281</v>
      </c>
      <c r="P111" s="6" t="s">
        <v>282</v>
      </c>
      <c r="Q111" s="6" t="s">
        <v>283</v>
      </c>
      <c r="R111" s="6" t="s">
        <v>284</v>
      </c>
      <c r="S111" s="6">
        <v>28</v>
      </c>
      <c r="U111" s="8" cm="1">
        <f t="array" ref="U111">INDEX(CAP[Overall Rating],MATCH(Pokedex[[#This Row],[Name]],CAP[Name],0),0)</f>
        <v>163.09782675135676</v>
      </c>
      <c r="W111"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prompt:Stoneshell Regular Pokemon; Rock/Water; A turtle with a rock-like shell; detailed; pokemon style; anime style;vibrant colors;limited color palette --q 1.5</v>
      </c>
    </row>
    <row r="112" spans="1:23" x14ac:dyDescent="0.3">
      <c r="A112" s="6">
        <v>98</v>
      </c>
      <c r="B112" s="6" t="s">
        <v>500</v>
      </c>
      <c r="C112" s="6" t="s">
        <v>51</v>
      </c>
      <c r="D112" s="6" t="s">
        <v>28</v>
      </c>
      <c r="E112" s="6">
        <v>55</v>
      </c>
      <c r="F112" s="6">
        <v>65</v>
      </c>
      <c r="G112" s="6">
        <v>55</v>
      </c>
      <c r="H112" s="6">
        <v>70</v>
      </c>
      <c r="I112" s="6">
        <v>60</v>
      </c>
      <c r="J112" s="6">
        <v>100</v>
      </c>
      <c r="K112" s="6">
        <f>SUM(Pokedex[[#This Row],[HP]:[Spe]])</f>
        <v>405</v>
      </c>
      <c r="L112" s="6" t="s">
        <v>53</v>
      </c>
      <c r="N112" s="6" t="s">
        <v>232</v>
      </c>
      <c r="O112" s="6" t="s">
        <v>538</v>
      </c>
      <c r="P112" s="6" t="s">
        <v>539</v>
      </c>
      <c r="Q112" s="6" t="s">
        <v>540</v>
      </c>
      <c r="R112" s="6" t="s">
        <v>501</v>
      </c>
      <c r="S112" s="6">
        <v>30</v>
      </c>
      <c r="U112" s="8" cm="1">
        <f t="array" ref="U112">INDEX(CAP[Overall Rating],MATCH(Pokedex[[#This Row],[Name]],CAP[Name],0),0)</f>
        <v>161.20740785592926</v>
      </c>
      <c r="W112"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prompt:Galewing Regular Pokemon; Electric/Flying; Small bird with electrically charged feathers and wind-shaped wings; detailed; pokemon style; anime style;vibrant colors;limited color palette --q 1.5</v>
      </c>
    </row>
    <row r="113" spans="1:23" x14ac:dyDescent="0.3">
      <c r="A113" s="6">
        <v>80</v>
      </c>
      <c r="B113" s="6" t="s">
        <v>440</v>
      </c>
      <c r="C113" s="6" t="s">
        <v>168</v>
      </c>
      <c r="D113" s="6" t="s">
        <v>50</v>
      </c>
      <c r="E113" s="6">
        <v>70</v>
      </c>
      <c r="F113" s="6">
        <v>50</v>
      </c>
      <c r="G113" s="6">
        <v>70</v>
      </c>
      <c r="H113" s="6">
        <v>95</v>
      </c>
      <c r="I113" s="6">
        <v>80</v>
      </c>
      <c r="J113" s="6">
        <v>40</v>
      </c>
      <c r="K113" s="6">
        <f>SUM(Pokedex[[#This Row],[HP]:[Spe]])</f>
        <v>405</v>
      </c>
      <c r="L113" s="6" t="s">
        <v>441</v>
      </c>
      <c r="M113" s="6" t="s">
        <v>442</v>
      </c>
      <c r="N113" s="6" t="s">
        <v>461</v>
      </c>
      <c r="O113" s="6" t="s">
        <v>443</v>
      </c>
      <c r="P113" s="6" t="s">
        <v>444</v>
      </c>
      <c r="Q113" s="6" t="s">
        <v>445</v>
      </c>
      <c r="R113" s="6" t="s">
        <v>446</v>
      </c>
      <c r="S113" s="6">
        <v>32</v>
      </c>
      <c r="U113" s="8" cm="1">
        <f t="array" ref="U113">INDEX(CAP[Overall Rating],MATCH(Pokedex[[#This Row],[Name]],CAP[Name],0),0)</f>
        <v>160.90086971386137</v>
      </c>
      <c r="W113"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prompt:Fungoom Regular Pokemon; Poison/Grass; A mushroom-like creature with a colorful cap and a mischievous grin.; detailed; pokemon style; anime style;vibrant colors;limited color palette --q 1.5</v>
      </c>
    </row>
    <row r="114" spans="1:23" x14ac:dyDescent="0.3">
      <c r="A114" s="6">
        <v>82</v>
      </c>
      <c r="B114" s="6" t="s">
        <v>448</v>
      </c>
      <c r="C114" s="6" t="s">
        <v>21</v>
      </c>
      <c r="D114" s="6" t="s">
        <v>28</v>
      </c>
      <c r="E114" s="6">
        <v>65</v>
      </c>
      <c r="F114" s="6">
        <v>45</v>
      </c>
      <c r="G114" s="6">
        <v>50</v>
      </c>
      <c r="H114" s="6">
        <v>80</v>
      </c>
      <c r="I114" s="6">
        <v>60</v>
      </c>
      <c r="J114" s="6">
        <v>100</v>
      </c>
      <c r="K114" s="6">
        <f>SUM(Pokedex[[#This Row],[HP]:[Spe]])</f>
        <v>400</v>
      </c>
      <c r="L114" s="6" t="s">
        <v>29</v>
      </c>
      <c r="M114" s="6" t="s">
        <v>449</v>
      </c>
      <c r="N114" s="6" t="s">
        <v>22</v>
      </c>
      <c r="O114" s="6" t="s">
        <v>450</v>
      </c>
      <c r="P114" s="6" t="s">
        <v>451</v>
      </c>
      <c r="Q114" s="6" t="s">
        <v>452</v>
      </c>
      <c r="R114" s="6" t="s">
        <v>453</v>
      </c>
      <c r="S114" s="6">
        <v>30</v>
      </c>
      <c r="U114" s="8" cm="1">
        <f t="array" ref="U114">INDEX(CAP[Overall Rating],MATCH(Pokedex[[#This Row],[Name]],CAP[Name],0),0)</f>
        <v>157.99849629206369</v>
      </c>
      <c r="W114"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prompt:Tidaloon Regular Pokemon; Water/Flying; A waterfowl-like Pokémon with inflatable pouches and vibrant plumage.; detailed; pokemon style; anime style;vibrant colors;limited color palette --q 1.5</v>
      </c>
    </row>
    <row r="115" spans="1:23" x14ac:dyDescent="0.3">
      <c r="A115" s="6">
        <v>105</v>
      </c>
      <c r="B115" s="6" t="s">
        <v>508</v>
      </c>
      <c r="C115" s="6" t="s">
        <v>187</v>
      </c>
      <c r="D115" s="6" t="s">
        <v>168</v>
      </c>
      <c r="E115" s="6">
        <v>55</v>
      </c>
      <c r="F115" s="6">
        <v>65</v>
      </c>
      <c r="G115" s="6">
        <v>55</v>
      </c>
      <c r="H115" s="6">
        <v>80</v>
      </c>
      <c r="I115" s="6">
        <v>55</v>
      </c>
      <c r="J115" s="6">
        <v>90</v>
      </c>
      <c r="K115" s="6">
        <f>SUM(Pokedex[[#This Row],[HP]:[Spe]])</f>
        <v>400</v>
      </c>
      <c r="L115" s="6" t="s">
        <v>188</v>
      </c>
      <c r="N115" s="6" t="s">
        <v>554</v>
      </c>
      <c r="O115" s="6" t="s">
        <v>555</v>
      </c>
      <c r="P115" s="6" t="s">
        <v>556</v>
      </c>
      <c r="Q115" s="6" t="s">
        <v>557</v>
      </c>
      <c r="R115" s="6" t="s">
        <v>509</v>
      </c>
      <c r="S115" s="6">
        <v>30</v>
      </c>
      <c r="U115" s="8" cm="1">
        <f t="array" ref="U115">INDEX(CAP[Overall Rating],MATCH(Pokedex[[#This Row],[Name]],CAP[Name],0),0)</f>
        <v>156.49641353986522</v>
      </c>
      <c r="W115"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prompt:Venomwing Regular Pokemon; Bug/Poison; Insect-like creature with poisonous wings and a stinger; detailed; pokemon style; anime style;vibrant colors;limited color palette --q 1.5</v>
      </c>
    </row>
    <row r="116" spans="1:23" x14ac:dyDescent="0.3">
      <c r="A116" s="6">
        <v>96</v>
      </c>
      <c r="B116" s="6" t="s">
        <v>498</v>
      </c>
      <c r="C116" s="6" t="s">
        <v>37</v>
      </c>
      <c r="D116" s="6" t="s">
        <v>150</v>
      </c>
      <c r="E116" s="6">
        <v>50</v>
      </c>
      <c r="F116" s="6">
        <v>60</v>
      </c>
      <c r="G116" s="6">
        <v>50</v>
      </c>
      <c r="H116" s="6">
        <v>80</v>
      </c>
      <c r="I116" s="6">
        <v>50</v>
      </c>
      <c r="J116" s="6">
        <v>90</v>
      </c>
      <c r="K116" s="6">
        <f>SUM(Pokedex[[#This Row],[HP]:[Spe]])</f>
        <v>380</v>
      </c>
      <c r="L116" s="6" t="s">
        <v>45</v>
      </c>
      <c r="N116" s="6" t="s">
        <v>226</v>
      </c>
      <c r="O116" s="6" t="s">
        <v>534</v>
      </c>
      <c r="P116" s="6" t="s">
        <v>535</v>
      </c>
      <c r="Q116" s="6" t="s">
        <v>536</v>
      </c>
      <c r="R116" s="6" t="s">
        <v>499</v>
      </c>
      <c r="S116" s="6">
        <v>25</v>
      </c>
      <c r="U116" s="8" cm="1">
        <f t="array" ref="U116">INDEX(CAP[Overall Rating],MATCH(Pokedex[[#This Row],[Name]],CAP[Name],0),0)</f>
        <v>140.88194014035531</v>
      </c>
      <c r="W116"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prompt:Wispflare Regular Pokemon; Fire/Ghost; Flame-like creature with ghostly features and eerie glow; detailed; pokemon style; anime style;vibrant colors;limited color palette --q 1.5</v>
      </c>
    </row>
    <row r="117" spans="1:23" x14ac:dyDescent="0.3">
      <c r="A117" s="6">
        <v>37</v>
      </c>
      <c r="B117" s="6" t="s">
        <v>194</v>
      </c>
      <c r="C117" s="6" t="s">
        <v>21</v>
      </c>
      <c r="D117" s="6" t="s">
        <v>89</v>
      </c>
      <c r="E117" s="6">
        <v>60</v>
      </c>
      <c r="F117" s="6">
        <v>45</v>
      </c>
      <c r="G117" s="6">
        <v>55</v>
      </c>
      <c r="H117" s="6">
        <v>75</v>
      </c>
      <c r="I117" s="6">
        <v>70</v>
      </c>
      <c r="J117" s="6">
        <v>65</v>
      </c>
      <c r="K117" s="6">
        <f>SUM(Pokedex[[#This Row],[HP]:[Spe]])</f>
        <v>370</v>
      </c>
      <c r="L117" s="6" t="s">
        <v>22</v>
      </c>
      <c r="N117" s="6" t="s">
        <v>195</v>
      </c>
      <c r="O117" s="6" t="s">
        <v>196</v>
      </c>
      <c r="P117" s="6" t="s">
        <v>197</v>
      </c>
      <c r="Q117" s="6" t="s">
        <v>198</v>
      </c>
      <c r="R117" s="6" t="s">
        <v>199</v>
      </c>
      <c r="S117" s="6">
        <v>26</v>
      </c>
      <c r="U117" s="8" cm="1">
        <f t="array" ref="U117">INDEX(CAP[Overall Rating],MATCH(Pokedex[[#This Row],[Name]],CAP[Name],0),0)</f>
        <v>137.0663222255148</v>
      </c>
      <c r="W117"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prompt:Glimmerfin Regular Pokemon; Water/Fairy; Small, fish-like Pokémon with shimmering, iridescent scales; detailed; pokemon style; anime style;vibrant colors;limited color palette --q 1.5</v>
      </c>
    </row>
    <row r="118" spans="1:23" x14ac:dyDescent="0.3">
      <c r="A118" s="6">
        <v>39</v>
      </c>
      <c r="B118" s="6" t="s">
        <v>201</v>
      </c>
      <c r="C118" s="6" t="s">
        <v>37</v>
      </c>
      <c r="D118" s="6" t="s">
        <v>168</v>
      </c>
      <c r="E118" s="6">
        <v>55</v>
      </c>
      <c r="F118" s="6">
        <v>75</v>
      </c>
      <c r="G118" s="6">
        <v>50</v>
      </c>
      <c r="H118" s="6">
        <v>60</v>
      </c>
      <c r="I118" s="6">
        <v>50</v>
      </c>
      <c r="J118" s="6">
        <v>80</v>
      </c>
      <c r="K118" s="6">
        <f>SUM(Pokedex[[#This Row],[HP]:[Spe]])</f>
        <v>370</v>
      </c>
      <c r="L118" s="6" t="s">
        <v>38</v>
      </c>
      <c r="N118" s="6" t="s">
        <v>202</v>
      </c>
      <c r="O118" s="6" t="s">
        <v>203</v>
      </c>
      <c r="P118" s="6" t="s">
        <v>204</v>
      </c>
      <c r="Q118" s="6" t="s">
        <v>205</v>
      </c>
      <c r="R118" s="6" t="s">
        <v>206</v>
      </c>
      <c r="S118" s="6">
        <v>32</v>
      </c>
      <c r="U118" s="8" cm="1">
        <f t="array" ref="U118">INDEX(CAP[Overall Rating],MATCH(Pokedex[[#This Row],[Name]],CAP[Name],0),0)</f>
        <v>133.88768525643712</v>
      </c>
      <c r="W118"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prompt:Pyroscorch Regular Pokemon; Fire/Poison; Red and purple salamander with flaming body and poisonous barbs; detailed; pokemon style; anime style;vibrant colors;limited color palette --q 1.5</v>
      </c>
    </row>
    <row r="119" spans="1:23" x14ac:dyDescent="0.3">
      <c r="A119" s="6">
        <v>75</v>
      </c>
      <c r="B119" s="6" t="s">
        <v>382</v>
      </c>
      <c r="C119" s="6" t="s">
        <v>383</v>
      </c>
      <c r="D119" s="6" t="s">
        <v>84</v>
      </c>
      <c r="E119" s="6">
        <v>60</v>
      </c>
      <c r="F119" s="6">
        <v>60</v>
      </c>
      <c r="G119" s="6">
        <v>60</v>
      </c>
      <c r="H119" s="6">
        <v>60</v>
      </c>
      <c r="I119" s="6">
        <v>60</v>
      </c>
      <c r="J119" s="6">
        <v>60</v>
      </c>
      <c r="K119" s="6">
        <f>SUM(Pokedex[[#This Row],[HP]:[Spe]])</f>
        <v>360</v>
      </c>
      <c r="L119" s="6" t="s">
        <v>384</v>
      </c>
      <c r="M119" s="6" t="s">
        <v>385</v>
      </c>
      <c r="N119" s="6" t="s">
        <v>386</v>
      </c>
      <c r="O119" s="6" t="s">
        <v>387</v>
      </c>
      <c r="P119" s="6" t="s">
        <v>388</v>
      </c>
      <c r="Q119" s="6" t="s">
        <v>389</v>
      </c>
      <c r="R119" s="6" t="s">
        <v>57</v>
      </c>
      <c r="U119" s="8" cm="1">
        <f t="array" ref="U119">INDEX(CAP[Overall Rating],MATCH(Pokedex[[#This Row],[Name]],CAP[Name],0),0)</f>
        <v>130.17714201445443</v>
      </c>
      <c r="W119"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prompt:Echotangle Regular Pokemon; Normal/Psychic; A small, furry Pokémon with large ears that resemble satellite dishes, capable of picking up distant sounds.; detailed; pokemon style; anime style;vibrant colors;limited color palette --q 1.5</v>
      </c>
    </row>
    <row r="120" spans="1:23" x14ac:dyDescent="0.3">
      <c r="A120" s="6">
        <v>90</v>
      </c>
      <c r="B120" s="6" t="s">
        <v>491</v>
      </c>
      <c r="C120" s="6" t="s">
        <v>135</v>
      </c>
      <c r="E120" s="6">
        <v>58</v>
      </c>
      <c r="F120" s="6">
        <v>70</v>
      </c>
      <c r="G120" s="6">
        <v>55</v>
      </c>
      <c r="H120" s="6">
        <v>60</v>
      </c>
      <c r="I120" s="6">
        <v>50</v>
      </c>
      <c r="J120" s="6">
        <v>62</v>
      </c>
      <c r="K120" s="6">
        <f>SUM(Pokedex[[#This Row],[HP]:[Spe]])</f>
        <v>355</v>
      </c>
      <c r="L120" s="6" t="s">
        <v>248</v>
      </c>
      <c r="N120" s="6" t="s">
        <v>462</v>
      </c>
      <c r="O120" s="6" t="s">
        <v>518</v>
      </c>
      <c r="P120" s="6" t="s">
        <v>140</v>
      </c>
      <c r="Q120" s="6" t="s">
        <v>519</v>
      </c>
      <c r="R120" s="6" t="s">
        <v>492</v>
      </c>
      <c r="S120" s="6">
        <v>30</v>
      </c>
      <c r="U120" s="8" cm="1">
        <f t="array" ref="U120">INDEX(CAP[Overall Rating],MATCH(Pokedex[[#This Row],[Name]],CAP[Name],0),0)</f>
        <v>122.3256308578443</v>
      </c>
      <c r="W120"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prompt:Dracoon Regular Pokemon; Dragon/; Dragon-like raccoon with large fangs and scales; detailed; pokemon style; anime style;vibrant colors;limited color palette --q 1.5</v>
      </c>
    </row>
    <row r="121" spans="1:23" x14ac:dyDescent="0.3">
      <c r="A121" s="6">
        <v>1</v>
      </c>
      <c r="B121" s="6" t="s">
        <v>20</v>
      </c>
      <c r="C121" s="6" t="s">
        <v>21</v>
      </c>
      <c r="E121" s="6">
        <v>50</v>
      </c>
      <c r="F121" s="6">
        <v>60</v>
      </c>
      <c r="G121" s="6">
        <v>45</v>
      </c>
      <c r="H121" s="6">
        <v>70</v>
      </c>
      <c r="I121" s="6">
        <v>40</v>
      </c>
      <c r="J121" s="6">
        <v>90</v>
      </c>
      <c r="K121" s="6">
        <f>SUM(Pokedex[[#This Row],[HP]:[Spe]])</f>
        <v>355</v>
      </c>
      <c r="L121" s="6" t="s">
        <v>22</v>
      </c>
      <c r="N121" s="6" t="s">
        <v>23</v>
      </c>
      <c r="O121" s="6" t="s">
        <v>24</v>
      </c>
      <c r="P121" s="6" t="s">
        <v>25</v>
      </c>
      <c r="Q121" s="6" t="s">
        <v>26</v>
      </c>
      <c r="R121" s="6" t="s">
        <v>27</v>
      </c>
      <c r="S121" s="6">
        <v>17</v>
      </c>
      <c r="U121" s="8" cm="1">
        <f t="array" ref="U121">INDEX(CAP[Overall Rating],MATCH(Pokedex[[#This Row],[Name]],CAP[Name],0),0)</f>
        <v>122.07907820411218</v>
      </c>
      <c r="W121"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prompt:Aquaswift Regular Pokemon; Water/; Small blue fish, streamlined body, fin-like wings; detailed; pokemon style; anime style;vibrant colors;limited color palette --q 1.5</v>
      </c>
    </row>
    <row r="122" spans="1:23" x14ac:dyDescent="0.3">
      <c r="A122" s="6">
        <v>33</v>
      </c>
      <c r="B122" s="6" t="s">
        <v>181</v>
      </c>
      <c r="C122" s="6" t="s">
        <v>37</v>
      </c>
      <c r="E122" s="6">
        <v>58</v>
      </c>
      <c r="F122" s="6">
        <v>66</v>
      </c>
      <c r="G122" s="6">
        <v>54</v>
      </c>
      <c r="H122" s="6">
        <v>60</v>
      </c>
      <c r="I122" s="6">
        <v>48</v>
      </c>
      <c r="J122" s="6">
        <v>64</v>
      </c>
      <c r="K122" s="6">
        <f>SUM(Pokedex[[#This Row],[HP]:[Spe]])</f>
        <v>350</v>
      </c>
      <c r="L122" s="6" t="s">
        <v>38</v>
      </c>
      <c r="N122" s="6" t="s">
        <v>174</v>
      </c>
      <c r="O122" s="6" t="s">
        <v>182</v>
      </c>
      <c r="P122" s="6" t="s">
        <v>41</v>
      </c>
      <c r="Q122" s="6" t="s">
        <v>37</v>
      </c>
      <c r="R122" s="6" t="s">
        <v>183</v>
      </c>
      <c r="S122" s="6">
        <v>30</v>
      </c>
      <c r="U122" s="8" cm="1">
        <f t="array" ref="U122">INDEX(CAP[Overall Rating],MATCH(Pokedex[[#This Row],[Name]],CAP[Name],0),0)</f>
        <v>118.31052720547011</v>
      </c>
      <c r="W122"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prompt:Lavadillo Regular Pokemon; Fire/; Small, red, armadillo-like, lava-like armor; detailed; pokemon style; anime style;vibrant colors;limited color palette --q 1.5</v>
      </c>
    </row>
    <row r="123" spans="1:23" x14ac:dyDescent="0.3">
      <c r="A123" s="6">
        <v>103</v>
      </c>
      <c r="B123" s="6" t="s">
        <v>505</v>
      </c>
      <c r="C123" s="6" t="s">
        <v>134</v>
      </c>
      <c r="E123" s="6">
        <v>60</v>
      </c>
      <c r="F123" s="6">
        <v>70</v>
      </c>
      <c r="G123" s="6">
        <v>65</v>
      </c>
      <c r="H123" s="6">
        <v>40</v>
      </c>
      <c r="I123" s="6">
        <v>50</v>
      </c>
      <c r="J123" s="6">
        <v>55</v>
      </c>
      <c r="K123" s="6">
        <f>SUM(Pokedex[[#This Row],[HP]:[Spe]])</f>
        <v>340</v>
      </c>
      <c r="L123" s="6" t="s">
        <v>98</v>
      </c>
      <c r="N123" s="6" t="s">
        <v>506</v>
      </c>
      <c r="O123" s="6" t="s">
        <v>550</v>
      </c>
      <c r="P123" s="6" t="s">
        <v>551</v>
      </c>
      <c r="Q123" s="6" t="s">
        <v>552</v>
      </c>
      <c r="R123" s="6" t="s">
        <v>507</v>
      </c>
      <c r="S123" s="6">
        <v>25</v>
      </c>
      <c r="U123" s="8" cm="1">
        <f t="array" ref="U123">INDEX(CAP[Overall Rating],MATCH(Pokedex[[#This Row],[Name]],CAP[Name],0),0)</f>
        <v>117.17946269075357</v>
      </c>
      <c r="W123"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prompt:Claypup Regular Pokemon; Ground/; Small, brown puppy with clay-like fur and playful nature; detailed; pokemon style; anime style;vibrant colors;limited color palette --q 1.5</v>
      </c>
    </row>
    <row r="124" spans="1:23" x14ac:dyDescent="0.3">
      <c r="A124" s="6">
        <v>4</v>
      </c>
      <c r="B124" s="6" t="s">
        <v>36</v>
      </c>
      <c r="C124" s="6" t="s">
        <v>37</v>
      </c>
      <c r="E124" s="6">
        <v>50</v>
      </c>
      <c r="F124" s="6">
        <v>70</v>
      </c>
      <c r="G124" s="6">
        <v>40</v>
      </c>
      <c r="H124" s="6">
        <v>60</v>
      </c>
      <c r="I124" s="6">
        <v>40</v>
      </c>
      <c r="J124" s="6">
        <v>85</v>
      </c>
      <c r="K124" s="6">
        <f>SUM(Pokedex[[#This Row],[HP]:[Spe]])</f>
        <v>345</v>
      </c>
      <c r="L124" s="6" t="s">
        <v>38</v>
      </c>
      <c r="N124" s="6" t="s">
        <v>39</v>
      </c>
      <c r="O124" s="6" t="s">
        <v>40</v>
      </c>
      <c r="P124" s="6" t="s">
        <v>41</v>
      </c>
      <c r="Q124" s="6" t="s">
        <v>42</v>
      </c>
      <c r="R124" s="6" t="s">
        <v>43</v>
      </c>
      <c r="S124" s="6">
        <v>17</v>
      </c>
      <c r="U124" s="8" cm="1">
        <f t="array" ref="U124">INDEX(CAP[Overall Rating],MATCH(Pokedex[[#This Row],[Name]],CAP[Name],0),0)</f>
        <v>115.19185364466431</v>
      </c>
      <c r="W124"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prompt:Emberhorn Regular Pokemon; Fire/; Fiery red fawn, horn on forehead, flame tail; detailed; pokemon style; anime style;vibrant colors;limited color palette --q 1.5</v>
      </c>
    </row>
    <row r="125" spans="1:23" x14ac:dyDescent="0.3">
      <c r="A125" s="6">
        <v>51</v>
      </c>
      <c r="B125" s="6" t="s">
        <v>260</v>
      </c>
      <c r="C125" s="6" t="s">
        <v>187</v>
      </c>
      <c r="D125" s="6" t="s">
        <v>50</v>
      </c>
      <c r="E125" s="6">
        <v>55</v>
      </c>
      <c r="F125" s="6">
        <v>70</v>
      </c>
      <c r="G125" s="6">
        <v>45</v>
      </c>
      <c r="H125" s="6">
        <v>40</v>
      </c>
      <c r="I125" s="6">
        <v>50</v>
      </c>
      <c r="J125" s="6">
        <v>80</v>
      </c>
      <c r="K125" s="6">
        <f>SUM(Pokedex[[#This Row],[HP]:[Spe]])</f>
        <v>340</v>
      </c>
      <c r="L125" s="6" t="s">
        <v>261</v>
      </c>
      <c r="M125" s="6" t="s">
        <v>262</v>
      </c>
      <c r="N125" s="6" t="s">
        <v>122</v>
      </c>
      <c r="O125" s="6" t="s">
        <v>263</v>
      </c>
      <c r="P125" s="6" t="s">
        <v>264</v>
      </c>
      <c r="Q125" s="6" t="s">
        <v>265</v>
      </c>
      <c r="R125" s="6" t="s">
        <v>266</v>
      </c>
      <c r="S125" s="6">
        <v>20</v>
      </c>
      <c r="U125" s="8" cm="1">
        <f t="array" ref="U125">INDEX(CAP[Overall Rating],MATCH(Pokedex[[#This Row],[Name]],CAP[Name],0),0)</f>
        <v>113.21181278232093</v>
      </c>
      <c r="W125"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prompt:Leafdriller Regular Pokemon; Bug/Grass; A leafy insect with a sharp, drill-like horn; detailed; pokemon style; anime style;vibrant colors;limited color palette --q 1.5</v>
      </c>
    </row>
    <row r="126" spans="1:23" x14ac:dyDescent="0.3">
      <c r="A126" s="6">
        <v>18</v>
      </c>
      <c r="B126" s="6" t="s">
        <v>111</v>
      </c>
      <c r="C126" s="6" t="s">
        <v>21</v>
      </c>
      <c r="E126" s="6">
        <v>55</v>
      </c>
      <c r="F126" s="6">
        <v>55</v>
      </c>
      <c r="G126" s="6">
        <v>65</v>
      </c>
      <c r="H126" s="6">
        <v>50</v>
      </c>
      <c r="I126" s="6">
        <v>60</v>
      </c>
      <c r="J126" s="6">
        <v>45</v>
      </c>
      <c r="K126" s="6">
        <f>SUM(Pokedex[[#This Row],[HP]:[Spe]])</f>
        <v>330</v>
      </c>
      <c r="L126" s="6" t="s">
        <v>112</v>
      </c>
      <c r="N126" s="6" t="s">
        <v>113</v>
      </c>
      <c r="O126" s="6" t="s">
        <v>114</v>
      </c>
      <c r="P126" s="6" t="s">
        <v>25</v>
      </c>
      <c r="Q126" s="6" t="s">
        <v>26</v>
      </c>
      <c r="R126" s="6" t="s">
        <v>115</v>
      </c>
      <c r="S126" s="6">
        <v>18</v>
      </c>
      <c r="U126" s="8" cm="1">
        <f t="array" ref="U126">INDEX(CAP[Overall Rating],MATCH(Pokedex[[#This Row],[Name]],CAP[Name],0),0)</f>
        <v>112.75093970836848</v>
      </c>
      <c r="W126"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prompt:Aquaturtle Regular Pokemon; Water/; Small, blue turtle, metallic shell, round; detailed; pokemon style; anime style;vibrant colors;limited color palette --q 1.5</v>
      </c>
    </row>
    <row r="127" spans="1:23" x14ac:dyDescent="0.3">
      <c r="A127" s="6">
        <v>15</v>
      </c>
      <c r="B127" s="6" t="s">
        <v>102</v>
      </c>
      <c r="C127" s="6" t="s">
        <v>37</v>
      </c>
      <c r="E127" s="6">
        <v>50</v>
      </c>
      <c r="F127" s="6">
        <v>60</v>
      </c>
      <c r="G127" s="6">
        <v>45</v>
      </c>
      <c r="H127" s="6">
        <v>60</v>
      </c>
      <c r="I127" s="6">
        <v>45</v>
      </c>
      <c r="J127" s="6">
        <v>80</v>
      </c>
      <c r="K127" s="6">
        <f>SUM(Pokedex[[#This Row],[HP]:[Spe]])</f>
        <v>340</v>
      </c>
      <c r="L127" s="6" t="s">
        <v>38</v>
      </c>
      <c r="N127" s="6" t="s">
        <v>103</v>
      </c>
      <c r="O127" s="6" t="s">
        <v>104</v>
      </c>
      <c r="P127" s="6" t="s">
        <v>41</v>
      </c>
      <c r="Q127" s="6" t="s">
        <v>42</v>
      </c>
      <c r="R127" s="6" t="s">
        <v>105</v>
      </c>
      <c r="S127" s="6">
        <v>18</v>
      </c>
      <c r="U127" s="8" cm="1">
        <f t="array" ref="U127">INDEX(CAP[Overall Rating],MATCH(Pokedex[[#This Row],[Name]],CAP[Name],0),0)</f>
        <v>111.82011163541567</v>
      </c>
      <c r="W127"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prompt:Pyrokit Regular Pokemon; Fire/; Small fiery kitten, black spots, agile; detailed; pokemon style; anime style;vibrant colors;limited color palette --q 1.5</v>
      </c>
    </row>
    <row r="128" spans="1:23" x14ac:dyDescent="0.3">
      <c r="A128" s="6">
        <v>53</v>
      </c>
      <c r="B128" s="6" t="s">
        <v>268</v>
      </c>
      <c r="C128" s="6" t="s">
        <v>135</v>
      </c>
      <c r="D128" s="6" t="s">
        <v>89</v>
      </c>
      <c r="E128" s="6">
        <v>50</v>
      </c>
      <c r="F128" s="6">
        <v>60</v>
      </c>
      <c r="G128" s="6">
        <v>40</v>
      </c>
      <c r="H128" s="6">
        <v>70</v>
      </c>
      <c r="I128" s="6">
        <v>55</v>
      </c>
      <c r="J128" s="6">
        <v>65</v>
      </c>
      <c r="K128" s="6">
        <f>SUM(Pokedex[[#This Row],[HP]:[Spe]])</f>
        <v>340</v>
      </c>
      <c r="L128" s="6" t="s">
        <v>269</v>
      </c>
      <c r="M128" s="6" t="s">
        <v>270</v>
      </c>
      <c r="N128" s="6" t="s">
        <v>271</v>
      </c>
      <c r="O128" s="6" t="s">
        <v>272</v>
      </c>
      <c r="P128" s="6" t="s">
        <v>273</v>
      </c>
      <c r="Q128" s="6" t="s">
        <v>274</v>
      </c>
      <c r="R128" s="6" t="s">
        <v>275</v>
      </c>
      <c r="S128" s="6">
        <v>30</v>
      </c>
      <c r="U128" s="8" cm="1">
        <f t="array" ref="U128">INDEX(CAP[Overall Rating],MATCH(Pokedex[[#This Row],[Name]],CAP[Name],0),0)</f>
        <v>111.51122000016419</v>
      </c>
      <c r="W128"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prompt:Glimmertail Regular Pokemon; Dragon/Fairy; A small, cute dragon with a shimmering tail; detailed; pokemon style; anime style;vibrant colors;limited color palette --q 1.5</v>
      </c>
    </row>
    <row r="129" spans="1:23" x14ac:dyDescent="0.3">
      <c r="A129" s="6">
        <v>132</v>
      </c>
      <c r="B129" s="6" t="s">
        <v>704</v>
      </c>
      <c r="C129" s="6" t="s">
        <v>383</v>
      </c>
      <c r="E129" s="6">
        <v>40</v>
      </c>
      <c r="F129" s="6">
        <v>60</v>
      </c>
      <c r="G129" s="6">
        <v>40</v>
      </c>
      <c r="H129" s="6">
        <v>60</v>
      </c>
      <c r="I129" s="6">
        <v>40</v>
      </c>
      <c r="J129" s="6">
        <v>100</v>
      </c>
      <c r="K129" s="13">
        <f>SUM(Pokedex[[#This Row],[HP]:[Spe]])</f>
        <v>340</v>
      </c>
      <c r="L129" s="13" t="s">
        <v>706</v>
      </c>
      <c r="M129" s="6" t="s">
        <v>707</v>
      </c>
      <c r="O129" s="6" t="s">
        <v>729</v>
      </c>
      <c r="R129" s="6" t="s">
        <v>708</v>
      </c>
      <c r="S129" s="6">
        <v>35</v>
      </c>
      <c r="U129" s="8" cm="1">
        <f t="array" ref="U129">INDEX(CAP[Overall Rating],MATCH(Pokedex[[#This Row],[Name]],CAP[Name],0),0)</f>
        <v>111.10123147326225</v>
      </c>
      <c r="W129" s="13"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prompt:Swiftrunner  Regular Pokemon; Normal/; Swiftrunner is a small, agile fox-like Pokémon with a slim, streamlined body built for speed. Its fur is a light, sandy color, and its eyes have a determined, focused expression; detailed; pokemon style; anime style;vibrant colors;limited color palette --q 1.5</v>
      </c>
    </row>
    <row r="130" spans="1:23" x14ac:dyDescent="0.3">
      <c r="A130" s="6">
        <v>30</v>
      </c>
      <c r="B130" s="6" t="s">
        <v>173</v>
      </c>
      <c r="C130" s="6" t="s">
        <v>50</v>
      </c>
      <c r="E130" s="6">
        <v>55</v>
      </c>
      <c r="F130" s="6">
        <v>60</v>
      </c>
      <c r="G130" s="6">
        <v>50</v>
      </c>
      <c r="H130" s="6">
        <v>55</v>
      </c>
      <c r="I130" s="6">
        <v>45</v>
      </c>
      <c r="J130" s="6">
        <v>70</v>
      </c>
      <c r="K130" s="6">
        <f>SUM(Pokedex[[#This Row],[HP]:[Spe]])</f>
        <v>335</v>
      </c>
      <c r="L130" s="6" t="s">
        <v>122</v>
      </c>
      <c r="N130" s="6" t="s">
        <v>174</v>
      </c>
      <c r="O130" s="6" t="s">
        <v>175</v>
      </c>
      <c r="P130" s="6" t="s">
        <v>176</v>
      </c>
      <c r="Q130" s="6" t="s">
        <v>50</v>
      </c>
      <c r="R130" s="6" t="s">
        <v>177</v>
      </c>
      <c r="S130" s="6">
        <v>16</v>
      </c>
      <c r="U130" s="8" cm="1">
        <f t="array" ref="U130">INDEX(CAP[Overall Rating],MATCH(Pokedex[[#This Row],[Name]],CAP[Name],0),0)</f>
        <v>110.61282020683772</v>
      </c>
      <c r="W130"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prompt:Fernile Regular Pokemon; Grass/; Small, green, feline-like, leafy tail; detailed; pokemon style; anime style;vibrant colors;limited color palette --q 1.5</v>
      </c>
    </row>
    <row r="131" spans="1:23" x14ac:dyDescent="0.3">
      <c r="A131" s="6">
        <v>21</v>
      </c>
      <c r="B131" s="6" t="s">
        <v>121</v>
      </c>
      <c r="C131" s="6" t="s">
        <v>50</v>
      </c>
      <c r="E131" s="6">
        <v>55</v>
      </c>
      <c r="F131" s="6">
        <v>55</v>
      </c>
      <c r="G131" s="6">
        <v>45</v>
      </c>
      <c r="H131" s="6">
        <v>60</v>
      </c>
      <c r="I131" s="6">
        <v>50</v>
      </c>
      <c r="J131" s="6">
        <v>60</v>
      </c>
      <c r="K131" s="6">
        <f>SUM(Pokedex[[#This Row],[HP]:[Spe]])</f>
        <v>325</v>
      </c>
      <c r="L131" s="6" t="s">
        <v>122</v>
      </c>
      <c r="N131" s="6" t="s">
        <v>67</v>
      </c>
      <c r="O131" s="6" t="s">
        <v>123</v>
      </c>
      <c r="P131" s="6" t="s">
        <v>124</v>
      </c>
      <c r="Q131" s="6" t="s">
        <v>125</v>
      </c>
      <c r="R131" s="6" t="s">
        <v>126</v>
      </c>
      <c r="S131" s="6">
        <v>18</v>
      </c>
      <c r="U131" s="8" cm="1">
        <f t="array" ref="U131">INDEX(CAP[Overall Rating],MATCH(Pokedex[[#This Row],[Name]],CAP[Name],0),0)</f>
        <v>103.84699922284121</v>
      </c>
      <c r="W131"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prompt:Leafpup Regular Pokemon; Grass/; Green, leafy puppy, small vines, playful; detailed; pokemon style; anime style;vibrant colors;limited color palette --q 1.5</v>
      </c>
    </row>
    <row r="132" spans="1:23" x14ac:dyDescent="0.3">
      <c r="A132" s="6">
        <v>11</v>
      </c>
      <c r="B132" s="6" t="s">
        <v>80</v>
      </c>
      <c r="C132" s="6" t="s">
        <v>37</v>
      </c>
      <c r="E132" s="6">
        <v>45</v>
      </c>
      <c r="F132" s="6">
        <v>40</v>
      </c>
      <c r="G132" s="6">
        <v>50</v>
      </c>
      <c r="H132" s="6">
        <v>65</v>
      </c>
      <c r="I132" s="6">
        <v>55</v>
      </c>
      <c r="J132" s="6">
        <v>70</v>
      </c>
      <c r="K132" s="6">
        <f>SUM(Pokedex[[#This Row],[HP]:[Spe]])</f>
        <v>325</v>
      </c>
      <c r="L132" s="6" t="s">
        <v>45</v>
      </c>
      <c r="N132" s="6" t="s">
        <v>81</v>
      </c>
      <c r="O132" s="6" t="s">
        <v>82</v>
      </c>
      <c r="P132" s="6" t="s">
        <v>41</v>
      </c>
      <c r="Q132" s="6" t="s">
        <v>42</v>
      </c>
      <c r="R132" s="6" t="s">
        <v>83</v>
      </c>
      <c r="S132" s="6">
        <v>20</v>
      </c>
      <c r="U132" s="8" cm="1">
        <f t="array" ref="U132">INDEX(CAP[Overall Rating],MATCH(Pokedex[[#This Row],[Name]],CAP[Name],0),0)</f>
        <v>103.27970817485509</v>
      </c>
      <c r="W132"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prompt:Sunquiver Regular Pokemon; Fire/; Small sun-shaped body, arrow-like tail; detailed; pokemon style; anime style;vibrant colors;limited color palette --q 1.5</v>
      </c>
    </row>
    <row r="133" spans="1:23" x14ac:dyDescent="0.3">
      <c r="A133" s="6">
        <v>35</v>
      </c>
      <c r="B133" s="6" t="s">
        <v>186</v>
      </c>
      <c r="C133" s="6" t="s">
        <v>187</v>
      </c>
      <c r="D133" s="6" t="s">
        <v>59</v>
      </c>
      <c r="E133" s="6">
        <v>45</v>
      </c>
      <c r="F133" s="6">
        <v>60</v>
      </c>
      <c r="G133" s="6">
        <v>40</v>
      </c>
      <c r="H133" s="6">
        <v>55</v>
      </c>
      <c r="I133" s="6">
        <v>45</v>
      </c>
      <c r="J133" s="6">
        <v>70</v>
      </c>
      <c r="K133" s="6">
        <f>SUM(Pokedex[[#This Row],[HP]:[Spe]])</f>
        <v>315</v>
      </c>
      <c r="L133" s="6" t="s">
        <v>188</v>
      </c>
      <c r="N133" s="6" t="s">
        <v>61</v>
      </c>
      <c r="O133" s="6" t="s">
        <v>189</v>
      </c>
      <c r="P133" s="6" t="s">
        <v>190</v>
      </c>
      <c r="Q133" s="6" t="s">
        <v>191</v>
      </c>
      <c r="R133" s="6" t="s">
        <v>192</v>
      </c>
      <c r="S133" s="6">
        <v>20</v>
      </c>
      <c r="U133" s="8" cm="1">
        <f t="array" ref="U133">INDEX(CAP[Overall Rating],MATCH(Pokedex[[#This Row],[Name]],CAP[Name],0),0)</f>
        <v>95.803866074068353</v>
      </c>
      <c r="W133"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prompt:Crystabug Regular Pokemon; Bug/Ice; Icy blue insect with crystal-like wings and legs; detailed; pokemon style; anime style;vibrant colors;limited color palette --q 1.5</v>
      </c>
    </row>
    <row r="134" spans="1:23" x14ac:dyDescent="0.3">
      <c r="A134" s="6">
        <v>77</v>
      </c>
      <c r="B134" s="6" t="s">
        <v>430</v>
      </c>
      <c r="C134" s="6" t="s">
        <v>135</v>
      </c>
      <c r="D134" s="6" t="s">
        <v>383</v>
      </c>
      <c r="E134" s="6">
        <v>50</v>
      </c>
      <c r="F134" s="6">
        <v>65</v>
      </c>
      <c r="G134" s="6">
        <v>40</v>
      </c>
      <c r="H134" s="6">
        <v>50</v>
      </c>
      <c r="I134" s="6">
        <v>40</v>
      </c>
      <c r="J134" s="6">
        <v>60</v>
      </c>
      <c r="K134" s="6">
        <f>SUM(Pokedex[[#This Row],[HP]:[Spe]])</f>
        <v>305</v>
      </c>
      <c r="L134" s="6" t="s">
        <v>431</v>
      </c>
      <c r="M134" s="6" t="s">
        <v>432</v>
      </c>
      <c r="N134" t="s">
        <v>462</v>
      </c>
      <c r="O134" s="6" t="s">
        <v>433</v>
      </c>
      <c r="P134" s="6" t="s">
        <v>434</v>
      </c>
      <c r="Q134" s="6" t="s">
        <v>435</v>
      </c>
      <c r="R134" s="6" t="s">
        <v>436</v>
      </c>
      <c r="S134" s="6">
        <v>16</v>
      </c>
      <c r="U134" s="8" cm="1">
        <f t="array" ref="U134">INDEX(CAP[Overall Rating],MATCH(Pokedex[[#This Row],[Name]],CAP[Name],0),0)</f>
        <v>89.152725854445507</v>
      </c>
      <c r="W134"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prompt:Dracopup Regular Pokemon; Dragon/Normal; A small, playful dragon-like puppy with fluffy fur and large ears.; detailed; pokemon style; anime style;vibrant colors;limited color palette --q 1.5</v>
      </c>
    </row>
    <row r="135" spans="1:23" x14ac:dyDescent="0.3">
      <c r="A135" s="6">
        <v>8</v>
      </c>
      <c r="B135" s="6" t="s">
        <v>65</v>
      </c>
      <c r="C135" s="6" t="s">
        <v>66</v>
      </c>
      <c r="E135" s="6">
        <v>45</v>
      </c>
      <c r="F135" s="6">
        <v>60</v>
      </c>
      <c r="G135" s="6">
        <v>40</v>
      </c>
      <c r="H135" s="6">
        <v>45</v>
      </c>
      <c r="I135" s="6">
        <v>40</v>
      </c>
      <c r="J135" s="6">
        <v>70</v>
      </c>
      <c r="K135" s="6">
        <f>SUM(Pokedex[[#This Row],[HP]:[Spe]])</f>
        <v>300</v>
      </c>
      <c r="L135" s="6" t="s">
        <v>67</v>
      </c>
      <c r="N135" s="6" t="s">
        <v>68</v>
      </c>
      <c r="O135" s="6" t="s">
        <v>69</v>
      </c>
      <c r="P135" s="6" t="s">
        <v>70</v>
      </c>
      <c r="Q135" s="6" t="s">
        <v>71</v>
      </c>
      <c r="R135" s="6" t="s">
        <v>72</v>
      </c>
      <c r="S135" s="6">
        <v>18</v>
      </c>
      <c r="U135" s="8" cm="1">
        <f t="array" ref="U135">INDEX(CAP[Overall Rating],MATCH(Pokedex[[#This Row],[Name]],CAP[Name],0),0)</f>
        <v>86.244961248858928</v>
      </c>
      <c r="W135"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prompt:Breezepup Regular Pokemon; Dark/; Dark grey puppy, wind-like patterns, swift; detailed; pokemon style; anime style;vibrant colors;limited color palette --q 1.5</v>
      </c>
    </row>
    <row r="136" spans="1:23" x14ac:dyDescent="0.3">
      <c r="A136" s="6">
        <v>67</v>
      </c>
      <c r="B136" s="6" t="s">
        <v>339</v>
      </c>
      <c r="C136" s="6" t="s">
        <v>89</v>
      </c>
      <c r="E136" s="6">
        <v>45</v>
      </c>
      <c r="F136" s="6">
        <v>50</v>
      </c>
      <c r="G136" s="6">
        <v>40</v>
      </c>
      <c r="H136" s="6">
        <v>60</v>
      </c>
      <c r="I136" s="6">
        <v>55</v>
      </c>
      <c r="J136" s="6">
        <v>40</v>
      </c>
      <c r="K136" s="6">
        <f>SUM(Pokedex[[#This Row],[HP]:[Spe]])</f>
        <v>290</v>
      </c>
      <c r="L136" s="6" t="s">
        <v>340</v>
      </c>
      <c r="M136" s="6" t="s">
        <v>341</v>
      </c>
      <c r="O136" s="6" t="s">
        <v>342</v>
      </c>
      <c r="P136" s="6" t="s">
        <v>343</v>
      </c>
      <c r="Q136" s="6" t="s">
        <v>344</v>
      </c>
      <c r="R136" s="6" t="s">
        <v>345</v>
      </c>
      <c r="S136" s="6">
        <v>20</v>
      </c>
      <c r="U136" s="8" cm="1">
        <f t="array" ref="U136">INDEX(CAP[Overall Rating],MATCH(Pokedex[[#This Row],[Name]],CAP[Name],0),0)</f>
        <v>81.883717391287135</v>
      </c>
      <c r="W136" s="6"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prompt:Moonkit Regular Pokemon; Fairy/; A small, rabbit-like Pokémon with a crescent moon marking on its forehead. It has large, gentle eyes and soft fur that shimmers in moonlight.; detailed; pokemon style; anime style;vibrant colors;limited color palette --q 1.5</v>
      </c>
    </row>
    <row r="137" spans="1:23" x14ac:dyDescent="0.3">
      <c r="A137" s="6">
        <v>134</v>
      </c>
      <c r="B137" s="6" t="s">
        <v>711</v>
      </c>
      <c r="C137" s="6" t="s">
        <v>96</v>
      </c>
      <c r="E137" s="6">
        <v>50</v>
      </c>
      <c r="F137" s="6">
        <v>40</v>
      </c>
      <c r="G137" s="6">
        <v>60</v>
      </c>
      <c r="H137" s="6">
        <v>20</v>
      </c>
      <c r="I137" s="6">
        <v>40</v>
      </c>
      <c r="J137" s="6">
        <v>20</v>
      </c>
      <c r="K137" s="13">
        <f>SUM(Pokedex[[#This Row],[HP]:[Spe]])</f>
        <v>230</v>
      </c>
      <c r="L137" s="13" t="s">
        <v>713</v>
      </c>
      <c r="M137" s="6" t="s">
        <v>714</v>
      </c>
      <c r="O137" s="6" t="s">
        <v>731</v>
      </c>
      <c r="R137" s="6" t="s">
        <v>715</v>
      </c>
      <c r="S137" s="6">
        <v>25</v>
      </c>
      <c r="U137" s="8" cm="1">
        <f t="array" ref="U137">INDEX(CAP[Overall Rating],MATCH(Pokedex[[#This Row],[Name]],CAP[Name],0),0)</f>
        <v>65.003116830031558</v>
      </c>
      <c r="W137" s="13"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prompt:Weebble  Regular Pokemon; Rock/; Weebble is a small, round pebble-like Pokémon with tiny arms and legs. It has a simple, yet charming, face with round eyes and a small, happy smile.; detailed; pokemon style; anime style;vibrant colors;limited color palette --q 1.5</v>
      </c>
    </row>
    <row r="138" spans="1:23" x14ac:dyDescent="0.3">
      <c r="A138" s="6">
        <v>130</v>
      </c>
      <c r="B138" s="6" t="s">
        <v>696</v>
      </c>
      <c r="C138" s="6" t="s">
        <v>187</v>
      </c>
      <c r="E138" s="6">
        <v>20</v>
      </c>
      <c r="F138" s="6">
        <v>20</v>
      </c>
      <c r="G138" s="6">
        <v>20</v>
      </c>
      <c r="H138" s="6">
        <v>20</v>
      </c>
      <c r="I138" s="6">
        <v>20</v>
      </c>
      <c r="J138" s="6">
        <v>20</v>
      </c>
      <c r="K138" s="13">
        <f>SUM(Pokedex[[#This Row],[HP]:[Spe]])</f>
        <v>120</v>
      </c>
      <c r="L138" s="13" t="s">
        <v>698</v>
      </c>
      <c r="M138" s="6" t="s">
        <v>699</v>
      </c>
      <c r="O138" s="6" t="s">
        <v>727</v>
      </c>
      <c r="R138" s="6" t="s">
        <v>700</v>
      </c>
      <c r="S138" s="6">
        <v>20</v>
      </c>
      <c r="U138" s="8" cm="1">
        <f t="array" ref="U138">INDEX(CAP[Overall Rating],MATCH(Pokedex[[#This Row],[Name]],CAP[Name],0),0)</f>
        <v>-0.17666660776902887</v>
      </c>
      <c r="W138" s="13" t="str">
        <f>"/imagine prompt:"&amp;Pokedex[[#This Row],[Name]]&amp;" "&amp;IF(OR(Pokedex[[#This Row],[Evolution]]="Legendary",Pokedex[[#This Row],[Evolution]]="Mythical"),Pokedex[[#This Row],[Evolution]],"Regular")&amp;" Pokemon; "&amp;Pokedex[[#This Row],[Type 1]]&amp;"/"&amp;Pokedex[[#This Row],[Type 2]]&amp;"; "&amp;Pokedex[[#This Row],[Physical Description]]&amp;"; detailed; pokemon style; anime style;vibrant colors;limited color palette --q 1.5"</f>
        <v>/imagine prompt:Frailope  Regular Pokemon; Bug/; Frailope is a tiny, fragile caterpillar-like Pokémon with a soft, delicate body. Its large, round eyes give it an innocent appearance.
; detailed; pokemon style; anime style;vibrant colors;limited color palette --q 1.5</v>
      </c>
    </row>
  </sheetData>
  <phoneticPr fontId="1" type="noConversion"/>
  <conditionalFormatting sqref="L27:L35 L131:L138 K1:K1048576">
    <cfRule type="colorScale" priority="20">
      <colorScale>
        <cfvo type="min"/>
        <cfvo type="percentile" val="50"/>
        <cfvo type="max"/>
        <color rgb="FFF8696B"/>
        <color rgb="FFFFEB84"/>
        <color rgb="FF63BE7B"/>
      </colorScale>
    </cfRule>
  </conditionalFormatting>
  <conditionalFormatting sqref="U2:U138">
    <cfRule type="cellIs" dxfId="52" priority="1" operator="between">
      <formula>450</formula>
      <formula>500</formula>
    </cfRule>
    <cfRule type="cellIs" dxfId="51" priority="2" operator="greaterThan">
      <formula>500</formula>
    </cfRule>
    <cfRule type="cellIs" dxfId="50" priority="3" operator="between">
      <formula>400</formula>
      <formula>450</formula>
    </cfRule>
    <cfRule type="cellIs" dxfId="49" priority="4" operator="between">
      <formula>350</formula>
      <formula>400</formula>
    </cfRule>
    <cfRule type="cellIs" dxfId="48" priority="5" operator="between">
      <formula>300</formula>
      <formula>350</formula>
    </cfRule>
    <cfRule type="cellIs" dxfId="47" priority="6" operator="between">
      <formula>250</formula>
      <formula>300</formula>
    </cfRule>
    <cfRule type="cellIs" dxfId="46" priority="7" operator="between">
      <formula>200</formula>
      <formula>250</formula>
    </cfRule>
    <cfRule type="cellIs" dxfId="45" priority="8" operator="between">
      <formula>150</formula>
      <formula>200</formula>
    </cfRule>
    <cfRule type="cellIs" dxfId="44" priority="9" operator="between">
      <formula>100</formula>
      <formula>150</formula>
    </cfRule>
    <cfRule type="cellIs" dxfId="43" priority="10" operator="between">
      <formula>50</formula>
      <formula>100</formula>
    </cfRule>
    <cfRule type="cellIs" dxfId="42" priority="11" operator="lessThan">
      <formula>50</formula>
    </cfRule>
  </conditionalFormatting>
  <conditionalFormatting sqref="R99:R106 S43:T46">
    <cfRule type="colorScale" priority="66">
      <colorScale>
        <cfvo type="min"/>
        <cfvo type="percentile" val="50"/>
        <cfvo type="max"/>
        <color rgb="FFF8696B"/>
        <color rgb="FFFFEB84"/>
        <color rgb="FF63BE7B"/>
      </colorScale>
    </cfRule>
  </conditionalFormatting>
  <hyperlinks>
    <hyperlink ref="V2" r:id="rId1" xr:uid="{4D51E106-7A7D-4EDB-A472-9FB8E07793B5}"/>
    <hyperlink ref="V4" r:id="rId2" xr:uid="{044E32D3-2103-46D5-933F-0AFA9C6B0947}"/>
    <hyperlink ref="V5" r:id="rId3" xr:uid="{CF9962C1-068B-4CEC-8927-40BA09860479}"/>
    <hyperlink ref="V6" r:id="rId4" xr:uid="{6D032EC9-C1F4-427C-B2A7-8A548F4F579F}"/>
    <hyperlink ref="V10" r:id="rId5" xr:uid="{DD714731-ECAC-401E-9D87-021461763769}"/>
    <hyperlink ref="V12" r:id="rId6" xr:uid="{6B5B1B80-ECB9-4C95-AC3C-9620821CE7C0}"/>
    <hyperlink ref="V14" r:id="rId7" xr:uid="{8D46664B-DDD4-4A5A-BD9A-2C4B7BDEE6CC}"/>
    <hyperlink ref="V13" r:id="rId8" xr:uid="{793CC330-2331-4817-98C6-CB34A304D00E}"/>
    <hyperlink ref="V24" r:id="rId9" xr:uid="{8F589CDB-61D9-4164-A9CD-991B91DB35F5}"/>
    <hyperlink ref="V23" r:id="rId10" xr:uid="{5B966E50-B182-4CA4-9B66-40D5613554FA}"/>
    <hyperlink ref="V17" r:id="rId11" xr:uid="{DAFF8C7B-2480-4CE3-BEB9-6D2C19EB72F2}"/>
    <hyperlink ref="V22" r:id="rId12" xr:uid="{23893DB1-423B-42E7-AE22-9D986DBD2D7F}"/>
    <hyperlink ref="V21" r:id="rId13" xr:uid="{7E903BB2-8F9D-46DC-8ABD-3DA75F6C14C5}"/>
    <hyperlink ref="V31" r:id="rId14" xr:uid="{C32BB470-E896-47BA-BE3B-2711C06E9935}"/>
    <hyperlink ref="V85" r:id="rId15" xr:uid="{18E48BD9-125D-4F8A-A60F-442D71A6D169}"/>
    <hyperlink ref="V9" r:id="rId16" xr:uid="{B2C16360-7785-4FCC-8122-999FAC2B9FB0}"/>
    <hyperlink ref="V8" r:id="rId17" xr:uid="{63D8CC07-0DA0-4FA9-8D07-E7F18D3DBF14}"/>
    <hyperlink ref="V16" r:id="rId18" xr:uid="{440EB320-27E1-4E72-9389-077814A7569A}"/>
    <hyperlink ref="V19" r:id="rId19" xr:uid="{82ECBB07-2334-47F6-8FFB-21533BB606E3}"/>
    <hyperlink ref="V20" r:id="rId20" xr:uid="{8F143636-A6F0-4D17-A702-6605263320AB}"/>
    <hyperlink ref="V18" r:id="rId21" xr:uid="{8E255A15-B21D-4B34-9917-60C9CE0F390D}"/>
    <hyperlink ref="V73" r:id="rId22" xr:uid="{72E111D2-4FD6-4B47-898F-75126873CD06}"/>
    <hyperlink ref="V3" r:id="rId23" xr:uid="{4684E731-0D85-4C83-92FD-5646A17BA0B5}"/>
    <hyperlink ref="V15" r:id="rId24" xr:uid="{F4A8A218-0443-46F0-8885-04F9AF586491}"/>
    <hyperlink ref="V25" r:id="rId25" xr:uid="{49C73881-52D3-4435-896F-1FC8D9C0154E}"/>
    <hyperlink ref="V7" r:id="rId26" xr:uid="{A23E54F1-52AC-465E-AFF4-8F89F5C0DE10}"/>
  </hyperlinks>
  <pageMargins left="0.7" right="0.7" top="0.75" bottom="0.75" header="0.3" footer="0.3"/>
  <pageSetup paperSize="9" orientation="portrait" r:id="rId27"/>
  <tableParts count="1">
    <tablePart r:id="rId2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99436-7970-4652-A0ED-BC305078E715}">
  <dimension ref="A1"/>
  <sheetViews>
    <sheetView workbookViewId="0"/>
  </sheetViews>
  <sheetFormatPr defaultRowHeight="14.4" x14ac:dyDescent="0.3"/>
  <sheetData>
    <row r="1" spans="1:1" x14ac:dyDescent="0.3">
      <c r="A1" s="16" t="s">
        <v>467</v>
      </c>
    </row>
  </sheetData>
  <hyperlinks>
    <hyperlink ref="A1" r:id="rId1" xr:uid="{E6E333CC-3B7C-4565-8350-DBACD9FD86F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3F470-2A5A-414B-AA52-F64796D4DAAE}">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D36A2-6AC7-4728-B359-008062A5C36A}">
  <dimension ref="A1:AD138"/>
  <sheetViews>
    <sheetView topLeftCell="N13" workbookViewId="0">
      <selection activeCell="U34" sqref="U34"/>
    </sheetView>
  </sheetViews>
  <sheetFormatPr defaultRowHeight="14.4" x14ac:dyDescent="0.3"/>
  <cols>
    <col min="1" max="1" width="17.6640625" bestFit="1" customWidth="1"/>
    <col min="2" max="2" width="15.5546875" bestFit="1" customWidth="1"/>
    <col min="3" max="4" width="8.77734375" bestFit="1" customWidth="1"/>
    <col min="5" max="5" width="5.5546875" bestFit="1" customWidth="1"/>
    <col min="6" max="7" width="6.109375" bestFit="1" customWidth="1"/>
    <col min="8" max="9" width="6.5546875" bestFit="1" customWidth="1"/>
    <col min="10" max="10" width="6.33203125" bestFit="1" customWidth="1"/>
    <col min="11" max="11" width="9.33203125" bestFit="1" customWidth="1"/>
    <col min="12" max="13" width="9.88671875" bestFit="1" customWidth="1"/>
    <col min="14" max="15" width="10.33203125" bestFit="1" customWidth="1"/>
    <col min="16" max="16" width="12" bestFit="1" customWidth="1"/>
    <col min="17" max="17" width="12.21875" bestFit="1" customWidth="1"/>
    <col min="18" max="19" width="7" bestFit="1" customWidth="1"/>
    <col min="20" max="20" width="6.44140625" style="1" bestFit="1" customWidth="1"/>
    <col min="21" max="21" width="6.33203125" style="1" bestFit="1" customWidth="1"/>
    <col min="22" max="25" width="5.5546875" style="1" bestFit="1" customWidth="1"/>
    <col min="26" max="26" width="6.88671875" style="1" bestFit="1" customWidth="1"/>
    <col min="27" max="27" width="6.44140625" style="1" bestFit="1" customWidth="1"/>
    <col min="28" max="28" width="14.88671875" style="1" bestFit="1" customWidth="1"/>
    <col min="29" max="29" width="13.21875" bestFit="1" customWidth="1"/>
    <col min="30" max="30" width="15.44140625" bestFit="1" customWidth="1"/>
  </cols>
  <sheetData>
    <row r="1" spans="1:30" x14ac:dyDescent="0.3">
      <c r="A1" t="s">
        <v>0</v>
      </c>
      <c r="B1" t="s">
        <v>1</v>
      </c>
      <c r="C1" t="s">
        <v>2</v>
      </c>
      <c r="D1" t="s">
        <v>3</v>
      </c>
      <c r="E1" t="s">
        <v>4</v>
      </c>
      <c r="F1" t="s">
        <v>5</v>
      </c>
      <c r="G1" t="s">
        <v>6</v>
      </c>
      <c r="H1" t="s">
        <v>7</v>
      </c>
      <c r="I1" t="s">
        <v>8</v>
      </c>
      <c r="J1" t="s">
        <v>9</v>
      </c>
      <c r="K1" t="s">
        <v>395</v>
      </c>
      <c r="L1" t="s">
        <v>396</v>
      </c>
      <c r="M1" t="s">
        <v>397</v>
      </c>
      <c r="N1" t="s">
        <v>398</v>
      </c>
      <c r="O1" t="s">
        <v>399</v>
      </c>
      <c r="P1" t="s">
        <v>400</v>
      </c>
      <c r="Q1" t="s">
        <v>401</v>
      </c>
      <c r="R1" t="s">
        <v>402</v>
      </c>
      <c r="S1" t="s">
        <v>403</v>
      </c>
      <c r="T1" t="s">
        <v>404</v>
      </c>
      <c r="U1" t="s">
        <v>405</v>
      </c>
      <c r="V1" t="s">
        <v>406</v>
      </c>
      <c r="W1" t="s">
        <v>407</v>
      </c>
      <c r="X1" t="s">
        <v>408</v>
      </c>
      <c r="Y1" t="s">
        <v>409</v>
      </c>
      <c r="Z1" t="s">
        <v>410</v>
      </c>
      <c r="AA1" t="s">
        <v>411</v>
      </c>
      <c r="AB1" t="s">
        <v>19</v>
      </c>
      <c r="AC1" t="s">
        <v>412</v>
      </c>
      <c r="AD1" t="s">
        <v>413</v>
      </c>
    </row>
    <row r="2" spans="1:30" x14ac:dyDescent="0.3">
      <c r="A2">
        <v>137</v>
      </c>
      <c r="B2" s="14" t="s">
        <v>723</v>
      </c>
      <c r="C2" s="14" t="s">
        <v>712</v>
      </c>
      <c r="D2" s="14" t="s">
        <v>231</v>
      </c>
      <c r="E2">
        <v>100</v>
      </c>
      <c r="F2">
        <v>150</v>
      </c>
      <c r="G2">
        <v>110</v>
      </c>
      <c r="H2">
        <v>60</v>
      </c>
      <c r="I2">
        <v>90</v>
      </c>
      <c r="J2">
        <v>90</v>
      </c>
      <c r="K2" s="14">
        <f>CAP[[#This Row],[HP]]*2+141</f>
        <v>341</v>
      </c>
      <c r="L2" s="14">
        <f>CAP[[#This Row],[Atk]]*2+36</f>
        <v>336</v>
      </c>
      <c r="M2">
        <f>CAP[[#This Row],[Def]]*2+36</f>
        <v>256</v>
      </c>
      <c r="N2">
        <f>CAP[[#This Row],[SpA]]*2+36</f>
        <v>156</v>
      </c>
      <c r="O2" s="14">
        <f>CAP[[#This Row],[SpD]]*2+36</f>
        <v>216</v>
      </c>
      <c r="P2" s="14">
        <f>CAP[[#This Row],[SPD Factor]]/822</f>
        <v>0.76034063260340634</v>
      </c>
      <c r="Q2" s="14">
        <f>VLOOKUP(CAP[[#This Row],[Spe]],SpeedFactor[#All], 2, TRUE)</f>
        <v>625</v>
      </c>
      <c r="R2" s="14">
        <f>CAP[[#This Row],[Stat HP]]*CAP[[#This Row],[Stat Def]]</f>
        <v>87296</v>
      </c>
      <c r="S2" s="14">
        <f>CAP[[#This Row],[Stat HP]]*CAP[[#This Row],[Stat SpD]]</f>
        <v>73656</v>
      </c>
      <c r="T2" s="1">
        <f>CAP[[#This Row],[Stat Atk]]*(CAP[[#This Row],[Stat Atk]]*CAP[[#This Row],[Stat Spe]]+415)/(CAP[[#This Row],[Stat Atk]]*(1-CAP[[#This Row],[Stat Spe]])+415)</f>
        <v>454.62724822130895</v>
      </c>
      <c r="U2" s="4">
        <f>CAP[[#This Row],[Stat SpA]]*(CAP[[#This Row],[Stat SpA]]*CAP[[#This Row],[Stat Spe]]+415)/(CAP[[#This Row],[Stat SpA]]*(1-CAP[[#This Row],[Stat Spe]])+415)</f>
        <v>184.00987463091144</v>
      </c>
      <c r="V2" s="9">
        <f>(CAP[[#This Row],[RPT]] /432.441508090053)-22.8128616201416</f>
        <v>179.05490168860442</v>
      </c>
      <c r="W2" s="10">
        <f>(CAP[[#This Row],[RST]] /426.30249118172)-22.4239890939417</f>
        <v>150.35473381669374</v>
      </c>
      <c r="X2" s="10">
        <f>(CAP[[#This Row],[RPS]]/2.21869141127892)+2.84495101810441</f>
        <v>207.75278358561241</v>
      </c>
      <c r="Y2" s="11">
        <f>(CAP[[#This Row],[RSS]]/2.30100441716059)+11.4244456864885</f>
        <v>91.393816131234217</v>
      </c>
      <c r="Z2" s="5">
        <f>(MAX(CAP[[#This Row],[PS]],CAP[[#This Row],[SS]]) - MAX(CAP[[#This Row],[PT]],CAP[[#This Row],[ST]])) / 6.165301 - 0.490854</f>
        <v>4.1638874144107465</v>
      </c>
      <c r="AA2" s="1">
        <f>(CAP[[#This Row],[PT]] - CAP[[#This Row],[ST]] + CAP[[#This Row],[PS]] - CAP[[#This Row],[SS]]) / 6.8267</f>
        <v>21.248793022439667</v>
      </c>
      <c r="AB2" s="3">
        <f xml:space="preserve"> (CAP[[#This Row],[PT]] + CAP[[#This Row],[ST]] + CAP[[#This Row],[PS]] + CAP[[#This Row],[SS]]) /1.54532785176361-58.8447490566471</f>
        <v>347.90145337852101</v>
      </c>
      <c r="AC2"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Very Good</v>
      </c>
      <c r="AD2" s="14">
        <f>IF(CAP[[#This Row],[Overall Rating]]&lt;=200,80,IF(CAP[[#This Row],[Overall Rating]]&lt;250,75,IF(CAP[[#This Row],[Overall Rating]]&lt;300,70,IF(CAP[[#This Row],[Overall Rating]]&lt;350,65,IF(CAP[[#This Row],[Overall Rating]]&lt;400,60,IF(CAP[[#This Row],[Overall Rating]]&lt;450,55,50))))))</f>
        <v>65</v>
      </c>
    </row>
    <row r="3" spans="1:30" x14ac:dyDescent="0.3">
      <c r="A3">
        <v>136</v>
      </c>
      <c r="B3" s="14" t="s">
        <v>720</v>
      </c>
      <c r="C3" s="14" t="s">
        <v>712</v>
      </c>
      <c r="D3" s="14" t="s">
        <v>716</v>
      </c>
      <c r="E3">
        <v>150</v>
      </c>
      <c r="F3">
        <v>90</v>
      </c>
      <c r="G3">
        <v>180</v>
      </c>
      <c r="H3">
        <v>50</v>
      </c>
      <c r="I3">
        <v>110</v>
      </c>
      <c r="J3">
        <v>20</v>
      </c>
      <c r="K3" s="14">
        <f>CAP[[#This Row],[HP]]*2+141</f>
        <v>441</v>
      </c>
      <c r="L3" s="14">
        <f>CAP[[#This Row],[Atk]]*2+36</f>
        <v>216</v>
      </c>
      <c r="M3">
        <f>CAP[[#This Row],[Def]]*2+36</f>
        <v>396</v>
      </c>
      <c r="N3">
        <f>CAP[[#This Row],[SpA]]*2+36</f>
        <v>136</v>
      </c>
      <c r="O3" s="14">
        <f>CAP[[#This Row],[SpD]]*2+36</f>
        <v>256</v>
      </c>
      <c r="P3" s="14">
        <f>CAP[[#This Row],[SPD Factor]]/822</f>
        <v>3.5279805352798052E-2</v>
      </c>
      <c r="Q3" s="14">
        <f>VLOOKUP(CAP[[#This Row],[Spe]],SpeedFactor[#All], 2, TRUE)</f>
        <v>29</v>
      </c>
      <c r="R3" s="14">
        <f>CAP[[#This Row],[Stat HP]]*CAP[[#This Row],[Stat Def]]</f>
        <v>174636</v>
      </c>
      <c r="S3" s="14">
        <f>CAP[[#This Row],[Stat HP]]*CAP[[#This Row],[Stat SpD]]</f>
        <v>112896</v>
      </c>
      <c r="T3" s="1">
        <f>CAP[[#This Row],[Stat Atk]]*(CAP[[#This Row],[Stat Atk]]*CAP[[#This Row],[Stat Spe]]+415)/(CAP[[#This Row],[Stat Atk]]*(1-CAP[[#This Row],[Stat Spe]])+415)</f>
        <v>146.43729143004344</v>
      </c>
      <c r="U3" s="4">
        <f>CAP[[#This Row],[Stat SpA]]*(CAP[[#This Row],[Stat SpA]]*CAP[[#This Row],[Stat Spe]]+415)/(CAP[[#This Row],[Stat SpA]]*(1-CAP[[#This Row],[Stat Spe]])+415)</f>
        <v>104.52642223004244</v>
      </c>
      <c r="V3" s="9">
        <f>(CAP[[#This Row],[RPT]] /432.441508090053)-22.8128616201416</f>
        <v>381.02441286192141</v>
      </c>
      <c r="W3" s="10">
        <f>(CAP[[#This Row],[RST]] /426.30249118172)-22.4239890939417</f>
        <v>242.40204954132355</v>
      </c>
      <c r="X3" s="10">
        <f>(CAP[[#This Row],[RPS]]/2.21869141127892)+2.84495101810441</f>
        <v>68.846599866437316</v>
      </c>
      <c r="Y3" s="11">
        <f>(CAP[[#This Row],[RSS]]/2.30100441716059)+11.4244456864885</f>
        <v>56.850878356716365</v>
      </c>
      <c r="Z3" s="5">
        <f>(MAX(CAP[[#This Row],[PS]],CAP[[#This Row],[SS]]) - MAX(CAP[[#This Row],[PT]],CAP[[#This Row],[ST]])) / 6.165301 - 0.490854</f>
        <v>-51.125496654995118</v>
      </c>
      <c r="AA3" s="1">
        <f>(CAP[[#This Row],[PT]] - CAP[[#This Row],[ST]] + CAP[[#This Row],[PS]] - CAP[[#This Row],[SS]]) / 6.8267</f>
        <v>22.063088290142943</v>
      </c>
      <c r="AB3" s="3">
        <f xml:space="preserve"> (CAP[[#This Row],[PT]] + CAP[[#This Row],[ST]] + CAP[[#This Row],[PS]] + CAP[[#This Row],[SS]]) /1.54532785176361-58.8447490566471</f>
        <v>425.92224700277075</v>
      </c>
      <c r="AC3"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Fantastic</v>
      </c>
      <c r="AD3" s="14">
        <f>IF(CAP[[#This Row],[Overall Rating]]&lt;=200,80,IF(CAP[[#This Row],[Overall Rating]]&lt;250,75,IF(CAP[[#This Row],[Overall Rating]]&lt;300,70,IF(CAP[[#This Row],[Overall Rating]]&lt;350,65,IF(CAP[[#This Row],[Overall Rating]]&lt;400,60,IF(CAP[[#This Row],[Overall Rating]]&lt;450,55,50))))))</f>
        <v>55</v>
      </c>
    </row>
    <row r="4" spans="1:30" x14ac:dyDescent="0.3">
      <c r="A4">
        <v>135</v>
      </c>
      <c r="B4" s="14" t="s">
        <v>715</v>
      </c>
      <c r="C4" s="14" t="s">
        <v>712</v>
      </c>
      <c r="D4" s="14" t="s">
        <v>716</v>
      </c>
      <c r="E4">
        <v>100</v>
      </c>
      <c r="F4">
        <v>80</v>
      </c>
      <c r="G4">
        <v>120</v>
      </c>
      <c r="H4">
        <v>40</v>
      </c>
      <c r="I4">
        <v>80</v>
      </c>
      <c r="J4">
        <v>40</v>
      </c>
      <c r="K4" s="14">
        <f>CAP[[#This Row],[HP]]*2+141</f>
        <v>341</v>
      </c>
      <c r="L4" s="14">
        <f>CAP[[#This Row],[Atk]]*2+36</f>
        <v>196</v>
      </c>
      <c r="M4">
        <f>CAP[[#This Row],[Def]]*2+36</f>
        <v>276</v>
      </c>
      <c r="N4">
        <f>CAP[[#This Row],[SpA]]*2+36</f>
        <v>116</v>
      </c>
      <c r="O4" s="14">
        <f>CAP[[#This Row],[SpD]]*2+36</f>
        <v>196</v>
      </c>
      <c r="P4" s="14">
        <f>CAP[[#This Row],[SPD Factor]]/822</f>
        <v>0.19343065693430658</v>
      </c>
      <c r="Q4" s="14">
        <f>VLOOKUP(CAP[[#This Row],[Spe]],SpeedFactor[#All], 2, TRUE)</f>
        <v>159</v>
      </c>
      <c r="R4" s="14">
        <f>CAP[[#This Row],[Stat HP]]*CAP[[#This Row],[Stat Def]]</f>
        <v>94116</v>
      </c>
      <c r="S4" s="14">
        <f>CAP[[#This Row],[Stat HP]]*CAP[[#This Row],[Stat SpD]]</f>
        <v>66836</v>
      </c>
      <c r="T4" s="1">
        <f>CAP[[#This Row],[Stat Atk]]*(CAP[[#This Row],[Stat Atk]]*CAP[[#This Row],[Stat Spe]]+415)/(CAP[[#This Row],[Stat Atk]]*(1-CAP[[#This Row],[Stat Spe]])+415)</f>
        <v>154.89923961636927</v>
      </c>
      <c r="U4" s="4">
        <f>CAP[[#This Row],[Stat SpA]]*(CAP[[#This Row],[Stat SpA]]*CAP[[#This Row],[Stat Spe]]+415)/(CAP[[#This Row],[Stat SpA]]*(1-CAP[[#This Row],[Stat Spe]])+415)</f>
        <v>99.777015486630418</v>
      </c>
      <c r="V4" s="9">
        <f>(CAP[[#This Row],[RPT]] /432.441508090053)-22.8128616201416</f>
        <v>194.82582069710023</v>
      </c>
      <c r="W4" s="10">
        <f>(CAP[[#This Row],[RST]] /426.30249118172)-22.4239890939417</f>
        <v>134.35670391756082</v>
      </c>
      <c r="X4" s="10">
        <f>(CAP[[#This Row],[RPS]]/2.21869141127892)+2.84495101810441</f>
        <v>72.66053638023493</v>
      </c>
      <c r="Y4" s="11">
        <f>(CAP[[#This Row],[RSS]]/2.30100441716059)+11.4244456864885</f>
        <v>54.786820283645497</v>
      </c>
      <c r="Z4" s="5">
        <f>(MAX(CAP[[#This Row],[PS]],CAP[[#This Row],[SS]]) - MAX(CAP[[#This Row],[PT]],CAP[[#This Row],[ST]])) / 6.165301 - 0.490854</f>
        <v>-20.305828859599764</v>
      </c>
      <c r="AA4" s="1">
        <f>(CAP[[#This Row],[PT]] - CAP[[#This Row],[ST]] + CAP[[#This Row],[PS]] - CAP[[#This Row],[SS]]) / 6.8267</f>
        <v>11.475944874702103</v>
      </c>
      <c r="AB4" s="3">
        <f xml:space="preserve"> (CAP[[#This Row],[PT]] + CAP[[#This Row],[ST]] + CAP[[#This Row],[PS]] + CAP[[#This Row],[SS]]) /1.54532785176361-58.8447490566471</f>
        <v>236.64586852163006</v>
      </c>
      <c r="AC4"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Above Average</v>
      </c>
      <c r="AD4" s="14">
        <f>IF(CAP[[#This Row],[Overall Rating]]&lt;=200,80,IF(CAP[[#This Row],[Overall Rating]]&lt;250,75,IF(CAP[[#This Row],[Overall Rating]]&lt;300,70,IF(CAP[[#This Row],[Overall Rating]]&lt;350,65,IF(CAP[[#This Row],[Overall Rating]]&lt;400,60,IF(CAP[[#This Row],[Overall Rating]]&lt;450,55,50))))))</f>
        <v>75</v>
      </c>
    </row>
    <row r="5" spans="1:30" x14ac:dyDescent="0.3">
      <c r="A5">
        <v>134</v>
      </c>
      <c r="B5" s="14" t="s">
        <v>711</v>
      </c>
      <c r="C5" s="14" t="s">
        <v>712</v>
      </c>
      <c r="D5" s="14"/>
      <c r="E5">
        <v>50</v>
      </c>
      <c r="F5">
        <v>40</v>
      </c>
      <c r="G5">
        <v>60</v>
      </c>
      <c r="H5">
        <v>20</v>
      </c>
      <c r="I5">
        <v>40</v>
      </c>
      <c r="J5">
        <v>20</v>
      </c>
      <c r="K5" s="14">
        <f>CAP[[#This Row],[HP]]*2+141</f>
        <v>241</v>
      </c>
      <c r="L5" s="14">
        <f>CAP[[#This Row],[Atk]]*2+36</f>
        <v>116</v>
      </c>
      <c r="M5">
        <f>CAP[[#This Row],[Def]]*2+36</f>
        <v>156</v>
      </c>
      <c r="N5">
        <f>CAP[[#This Row],[SpA]]*2+36</f>
        <v>76</v>
      </c>
      <c r="O5" s="14">
        <f>CAP[[#This Row],[SpD]]*2+36</f>
        <v>116</v>
      </c>
      <c r="P5" s="14">
        <f>CAP[[#This Row],[SPD Factor]]/822</f>
        <v>3.5279805352798052E-2</v>
      </c>
      <c r="Q5" s="14">
        <f>VLOOKUP(CAP[[#This Row],[Spe]],SpeedFactor[#All], 2, TRUE)</f>
        <v>29</v>
      </c>
      <c r="R5" s="14">
        <f>CAP[[#This Row],[Stat HP]]*CAP[[#This Row],[Stat Def]]</f>
        <v>37596</v>
      </c>
      <c r="S5" s="14">
        <f>CAP[[#This Row],[Stat HP]]*CAP[[#This Row],[Stat SpD]]</f>
        <v>27956</v>
      </c>
      <c r="T5" s="1">
        <f>CAP[[#This Row],[Stat Atk]]*(CAP[[#This Row],[Stat Atk]]*CAP[[#This Row],[Stat Spe]]+415)/(CAP[[#This Row],[Stat Atk]]*(1-CAP[[#This Row],[Stat Spe]])+415)</f>
        <v>92.264242077216835</v>
      </c>
      <c r="U5" s="4">
        <f>CAP[[#This Row],[Stat SpA]]*(CAP[[#This Row],[Stat SpA]]*CAP[[#This Row],[Stat Spe]]+415)/(CAP[[#This Row],[Stat SpA]]*(1-CAP[[#This Row],[Stat Spe]])+415)</f>
        <v>65.00626311042906</v>
      </c>
      <c r="V5" s="9">
        <f>(CAP[[#This Row],[RPT]] /432.441508090053)-22.8128616201416</f>
        <v>64.126063752792049</v>
      </c>
      <c r="W5" s="10">
        <f>(CAP[[#This Row],[RST]] /426.30249118172)-22.4239890939417</f>
        <v>43.153858979395494</v>
      </c>
      <c r="X5" s="10">
        <f>(CAP[[#This Row],[RPS]]/2.21869141127892)+2.84495101810441</f>
        <v>44.429932871904875</v>
      </c>
      <c r="Y5" s="11">
        <f>(CAP[[#This Row],[RSS]]/2.30100441716059)+11.4244456864885</f>
        <v>39.67570093207641</v>
      </c>
      <c r="Z5" s="5">
        <f>(MAX(CAP[[#This Row],[PS]],CAP[[#This Row],[SS]]) - MAX(CAP[[#This Row],[PT]],CAP[[#This Row],[ST]])) / 6.165301 - 0.490854</f>
        <v>-3.6855286607971247</v>
      </c>
      <c r="AA5" s="1">
        <f>(CAP[[#This Row],[PT]] - CAP[[#This Row],[ST]] + CAP[[#This Row],[PS]] - CAP[[#This Row],[SS]]) / 6.8267</f>
        <v>3.7685026020222088</v>
      </c>
      <c r="AB5" s="3">
        <f xml:space="preserve"> (CAP[[#This Row],[PT]] + CAP[[#This Row],[ST]] + CAP[[#This Row],[PS]] + CAP[[#This Row],[SS]]) /1.54532785176361-58.8447490566471</f>
        <v>65.003116830031558</v>
      </c>
      <c r="AC5"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Bad</v>
      </c>
      <c r="AD5" s="14">
        <f>IF(CAP[[#This Row],[Overall Rating]]&lt;=200,80,IF(CAP[[#This Row],[Overall Rating]]&lt;250,75,IF(CAP[[#This Row],[Overall Rating]]&lt;300,70,IF(CAP[[#This Row],[Overall Rating]]&lt;350,65,IF(CAP[[#This Row],[Overall Rating]]&lt;400,60,IF(CAP[[#This Row],[Overall Rating]]&lt;450,55,50))))))</f>
        <v>80</v>
      </c>
    </row>
    <row r="6" spans="1:30" x14ac:dyDescent="0.3">
      <c r="A6">
        <v>133</v>
      </c>
      <c r="B6" s="14" t="s">
        <v>708</v>
      </c>
      <c r="C6" s="14" t="s">
        <v>705</v>
      </c>
      <c r="D6" s="14" t="s">
        <v>51</v>
      </c>
      <c r="E6">
        <v>70</v>
      </c>
      <c r="F6">
        <v>90</v>
      </c>
      <c r="G6">
        <v>70</v>
      </c>
      <c r="H6">
        <v>90</v>
      </c>
      <c r="I6">
        <v>70</v>
      </c>
      <c r="J6">
        <v>150</v>
      </c>
      <c r="K6" s="14">
        <f>CAP[[#This Row],[HP]]*2+141</f>
        <v>281</v>
      </c>
      <c r="L6" s="14">
        <f>CAP[[#This Row],[Atk]]*2+36</f>
        <v>216</v>
      </c>
      <c r="M6">
        <f>CAP[[#This Row],[Def]]*2+36</f>
        <v>176</v>
      </c>
      <c r="N6">
        <f>CAP[[#This Row],[SpA]]*2+36</f>
        <v>216</v>
      </c>
      <c r="O6" s="14">
        <f>CAP[[#This Row],[SpD]]*2+36</f>
        <v>176</v>
      </c>
      <c r="P6" s="14">
        <f>CAP[[#This Row],[SPD Factor]]/822</f>
        <v>0.9975669099756691</v>
      </c>
      <c r="Q6" s="14">
        <f>VLOOKUP(CAP[[#This Row],[Spe]],SpeedFactor[#All], 2, TRUE)</f>
        <v>820</v>
      </c>
      <c r="R6" s="14">
        <f>CAP[[#This Row],[Stat HP]]*CAP[[#This Row],[Stat Def]]</f>
        <v>49456</v>
      </c>
      <c r="S6" s="14">
        <f>CAP[[#This Row],[Stat HP]]*CAP[[#This Row],[Stat SpD]]</f>
        <v>49456</v>
      </c>
      <c r="T6" s="1">
        <f>CAP[[#This Row],[Stat Atk]]*(CAP[[#This Row],[Stat Atk]]*CAP[[#This Row],[Stat Spe]]+415)/(CAP[[#This Row],[Stat Atk]]*(1-CAP[[#This Row],[Stat Spe]])+415)</f>
        <v>327.73552093031424</v>
      </c>
      <c r="U6" s="4">
        <f>CAP[[#This Row],[Stat SpA]]*(CAP[[#This Row],[Stat SpA]]*CAP[[#This Row],[Stat Spe]]+415)/(CAP[[#This Row],[Stat SpA]]*(1-CAP[[#This Row],[Stat Spe]])+415)</f>
        <v>327.73552093031424</v>
      </c>
      <c r="V6" s="9">
        <f>(CAP[[#This Row],[RPT]] /432.441508090053)-22.8128616201416</f>
        <v>91.551738157595565</v>
      </c>
      <c r="W6" s="10">
        <f>(CAP[[#This Row],[RST]] /426.30249118172)-22.4239890939417</f>
        <v>93.587530948802765</v>
      </c>
      <c r="X6" s="10">
        <f>(CAP[[#This Row],[RPS]]/2.21869141127892)+2.84495101810441</f>
        <v>150.56063570694434</v>
      </c>
      <c r="Y6" s="11">
        <f>(CAP[[#This Row],[RSS]]/2.30100441716059)+11.4244456864885</f>
        <v>153.85595015736462</v>
      </c>
      <c r="Z6" s="5">
        <f>(MAX(CAP[[#This Row],[PS]],CAP[[#This Row],[SS]]) - MAX(CAP[[#This Row],[PT]],CAP[[#This Row],[ST]])) / 6.165301 - 0.490854</f>
        <v>9.2845680286344248</v>
      </c>
      <c r="AA6" s="1">
        <f>(CAP[[#This Row],[PT]] - CAP[[#This Row],[ST]] + CAP[[#This Row],[PS]] - CAP[[#This Row],[SS]]) / 6.8267</f>
        <v>-0.78092009926135297</v>
      </c>
      <c r="AB6" s="3">
        <f xml:space="preserve"> (CAP[[#This Row],[PT]] + CAP[[#This Row],[ST]] + CAP[[#This Row],[PS]] + CAP[[#This Row],[SS]]) /1.54532785176361-58.8447490566471</f>
        <v>257.95265701611618</v>
      </c>
      <c r="AC6"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Good</v>
      </c>
      <c r="AD6" s="14">
        <f>IF(CAP[[#This Row],[Overall Rating]]&lt;=200,80,IF(CAP[[#This Row],[Overall Rating]]&lt;250,75,IF(CAP[[#This Row],[Overall Rating]]&lt;300,70,IF(CAP[[#This Row],[Overall Rating]]&lt;350,65,IF(CAP[[#This Row],[Overall Rating]]&lt;400,60,IF(CAP[[#This Row],[Overall Rating]]&lt;450,55,50))))))</f>
        <v>70</v>
      </c>
    </row>
    <row r="7" spans="1:30" x14ac:dyDescent="0.3">
      <c r="A7">
        <v>132</v>
      </c>
      <c r="B7" s="14" t="s">
        <v>704</v>
      </c>
      <c r="C7" s="14" t="s">
        <v>705</v>
      </c>
      <c r="D7" s="14"/>
      <c r="E7">
        <v>40</v>
      </c>
      <c r="F7">
        <v>60</v>
      </c>
      <c r="G7">
        <v>40</v>
      </c>
      <c r="H7">
        <v>60</v>
      </c>
      <c r="I7">
        <v>40</v>
      </c>
      <c r="J7">
        <v>100</v>
      </c>
      <c r="K7" s="14">
        <f>CAP[[#This Row],[HP]]*2+141</f>
        <v>221</v>
      </c>
      <c r="L7" s="14">
        <f>CAP[[#This Row],[Atk]]*2+36</f>
        <v>156</v>
      </c>
      <c r="M7">
        <f>CAP[[#This Row],[Def]]*2+36</f>
        <v>116</v>
      </c>
      <c r="N7">
        <f>CAP[[#This Row],[SpA]]*2+36</f>
        <v>156</v>
      </c>
      <c r="O7" s="14">
        <f>CAP[[#This Row],[SpD]]*2+36</f>
        <v>116</v>
      </c>
      <c r="P7" s="14">
        <f>CAP[[#This Row],[SPD Factor]]/822</f>
        <v>0.86496350364963503</v>
      </c>
      <c r="Q7" s="14">
        <f>VLOOKUP(CAP[[#This Row],[Spe]],SpeedFactor[#All], 2, TRUE)</f>
        <v>711</v>
      </c>
      <c r="R7" s="14">
        <f>CAP[[#This Row],[Stat HP]]*CAP[[#This Row],[Stat Def]]</f>
        <v>25636</v>
      </c>
      <c r="S7" s="14">
        <f>CAP[[#This Row],[Stat HP]]*CAP[[#This Row],[Stat SpD]]</f>
        <v>25636</v>
      </c>
      <c r="T7" s="1">
        <f>CAP[[#This Row],[Stat Atk]]*(CAP[[#This Row],[Stat Atk]]*CAP[[#This Row],[Stat Spe]]+415)/(CAP[[#This Row],[Stat Atk]]*(1-CAP[[#This Row],[Stat Spe]])+415)</f>
        <v>196.73584305585777</v>
      </c>
      <c r="U7" s="4">
        <f>CAP[[#This Row],[Stat SpA]]*(CAP[[#This Row],[Stat SpA]]*CAP[[#This Row],[Stat Spe]]+415)/(CAP[[#This Row],[Stat SpA]]*(1-CAP[[#This Row],[Stat Spe]])+415)</f>
        <v>196.73584305585777</v>
      </c>
      <c r="V7" s="9">
        <f>(CAP[[#This Row],[RPT]] /432.441508090053)-22.8128616201416</f>
        <v>36.469144201236389</v>
      </c>
      <c r="W7" s="10">
        <f>(CAP[[#This Row],[RST]] /426.30249118172)-22.4239890939417</f>
        <v>37.711713911068756</v>
      </c>
      <c r="X7" s="10">
        <f>(CAP[[#This Row],[RPS]]/2.21869141127892)+2.84495101810441</f>
        <v>91.516968251205498</v>
      </c>
      <c r="Y7" s="11">
        <f>(CAP[[#This Row],[RSS]]/2.30100441716059)+11.4244456864885</f>
        <v>96.924430644634427</v>
      </c>
      <c r="Z7" s="5">
        <f>(MAX(CAP[[#This Row],[PS]],CAP[[#This Row],[SS]]) - MAX(CAP[[#This Row],[PT]],CAP[[#This Row],[ST]])) / 6.165301 - 0.490854</f>
        <v>9.1133351115398362</v>
      </c>
      <c r="AA7" s="1">
        <f>(CAP[[#This Row],[PT]] - CAP[[#This Row],[ST]] + CAP[[#This Row],[PS]] - CAP[[#This Row],[SS]]) / 6.8267</f>
        <v>-0.97412103992577614</v>
      </c>
      <c r="AB7" s="3">
        <f xml:space="preserve"> (CAP[[#This Row],[PT]] + CAP[[#This Row],[ST]] + CAP[[#This Row],[PS]] + CAP[[#This Row],[SS]]) /1.54532785176361-58.8447490566471</f>
        <v>111.10123147326225</v>
      </c>
      <c r="AC7"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Poor</v>
      </c>
      <c r="AD7" s="14">
        <f>IF(CAP[[#This Row],[Overall Rating]]&lt;=200,80,IF(CAP[[#This Row],[Overall Rating]]&lt;250,75,IF(CAP[[#This Row],[Overall Rating]]&lt;300,70,IF(CAP[[#This Row],[Overall Rating]]&lt;350,65,IF(CAP[[#This Row],[Overall Rating]]&lt;400,60,IF(CAP[[#This Row],[Overall Rating]]&lt;450,55,50))))))</f>
        <v>80</v>
      </c>
    </row>
    <row r="8" spans="1:30" x14ac:dyDescent="0.3">
      <c r="A8">
        <v>131</v>
      </c>
      <c r="B8" s="14" t="s">
        <v>700</v>
      </c>
      <c r="C8" s="14" t="s">
        <v>697</v>
      </c>
      <c r="D8" s="14" t="s">
        <v>701</v>
      </c>
      <c r="E8">
        <v>120</v>
      </c>
      <c r="F8">
        <v>100</v>
      </c>
      <c r="G8">
        <v>150</v>
      </c>
      <c r="H8">
        <v>50</v>
      </c>
      <c r="I8">
        <v>150</v>
      </c>
      <c r="J8">
        <v>30</v>
      </c>
      <c r="K8" s="14">
        <f>CAP[[#This Row],[HP]]*2+141</f>
        <v>381</v>
      </c>
      <c r="L8" s="14">
        <f>CAP[[#This Row],[Atk]]*2+36</f>
        <v>236</v>
      </c>
      <c r="M8">
        <f>CAP[[#This Row],[Def]]*2+36</f>
        <v>336</v>
      </c>
      <c r="N8">
        <f>CAP[[#This Row],[SpA]]*2+36</f>
        <v>136</v>
      </c>
      <c r="O8" s="14">
        <f>CAP[[#This Row],[SpD]]*2+36</f>
        <v>336</v>
      </c>
      <c r="P8" s="14">
        <f>CAP[[#This Row],[SPD Factor]]/822</f>
        <v>0.10583941605839416</v>
      </c>
      <c r="Q8" s="14">
        <f>VLOOKUP(CAP[[#This Row],[Spe]],SpeedFactor[#All], 2, TRUE)</f>
        <v>87</v>
      </c>
      <c r="R8" s="14">
        <f>CAP[[#This Row],[Stat HP]]*CAP[[#This Row],[Stat Def]]</f>
        <v>128016</v>
      </c>
      <c r="S8" s="14">
        <f>CAP[[#This Row],[Stat HP]]*CAP[[#This Row],[Stat SpD]]</f>
        <v>128016</v>
      </c>
      <c r="T8" s="1">
        <f>CAP[[#This Row],[Stat Atk]]*(CAP[[#This Row],[Stat Atk]]*CAP[[#This Row],[Stat Spe]]+415)/(CAP[[#This Row],[Stat Atk]]*(1-CAP[[#This Row],[Stat Spe]])+415)</f>
        <v>165.86453681571734</v>
      </c>
      <c r="U8" s="4">
        <f>CAP[[#This Row],[Stat SpA]]*(CAP[[#This Row],[Stat SpA]]*CAP[[#This Row],[Stat Spe]]+415)/(CAP[[#This Row],[Stat SpA]]*(1-CAP[[#This Row],[Stat Spe]])+415)</f>
        <v>108.82774943889001</v>
      </c>
      <c r="V8" s="9">
        <f>(CAP[[#This Row],[RPT]] /432.441508090053)-22.8128616201416</f>
        <v>273.2179254460749</v>
      </c>
      <c r="W8" s="10">
        <f>(CAP[[#This Row],[RST]] /426.30249118172)-22.4239890939417</f>
        <v>277.86982257283228</v>
      </c>
      <c r="X8" s="10">
        <f>(CAP[[#This Row],[RPS]]/2.21869141127892)+2.84495101810441</f>
        <v>77.602772665824261</v>
      </c>
      <c r="Y8" s="11">
        <f>(CAP[[#This Row],[RSS]]/2.30100441716059)+11.4244456864885</f>
        <v>58.720204280981804</v>
      </c>
      <c r="Z8" s="5">
        <f>(MAX(CAP[[#This Row],[PS]],CAP[[#This Row],[SS]]) - MAX(CAP[[#This Row],[PT]],CAP[[#This Row],[ST]])) / 6.165301 - 0.490854</f>
        <v>-32.97378547520421</v>
      </c>
      <c r="AA8" s="1">
        <f>(CAP[[#This Row],[PT]] - CAP[[#This Row],[ST]] + CAP[[#This Row],[PS]] - CAP[[#This Row],[SS]]) / 6.8267</f>
        <v>2.0845608065514938</v>
      </c>
      <c r="AB8" s="3">
        <f xml:space="preserve"> (CAP[[#This Row],[PT]] + CAP[[#This Row],[ST]] + CAP[[#This Row],[PS]] + CAP[[#This Row],[SS]]) /1.54532785176361-58.8447490566471</f>
        <v>385.98689244984848</v>
      </c>
      <c r="AC8"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Excellent</v>
      </c>
      <c r="AD8" s="14">
        <f>IF(CAP[[#This Row],[Overall Rating]]&lt;=200,80,IF(CAP[[#This Row],[Overall Rating]]&lt;250,75,IF(CAP[[#This Row],[Overall Rating]]&lt;300,70,IF(CAP[[#This Row],[Overall Rating]]&lt;350,65,IF(CAP[[#This Row],[Overall Rating]]&lt;400,60,IF(CAP[[#This Row],[Overall Rating]]&lt;450,55,50))))))</f>
        <v>60</v>
      </c>
    </row>
    <row r="9" spans="1:30" x14ac:dyDescent="0.3">
      <c r="A9">
        <v>130</v>
      </c>
      <c r="B9" s="14" t="s">
        <v>696</v>
      </c>
      <c r="C9" s="14" t="s">
        <v>697</v>
      </c>
      <c r="D9" s="14"/>
      <c r="E9">
        <v>20</v>
      </c>
      <c r="F9">
        <v>20</v>
      </c>
      <c r="G9">
        <v>20</v>
      </c>
      <c r="H9">
        <v>20</v>
      </c>
      <c r="I9">
        <v>20</v>
      </c>
      <c r="J9">
        <v>20</v>
      </c>
      <c r="K9" s="14">
        <f>CAP[[#This Row],[HP]]*2+141</f>
        <v>181</v>
      </c>
      <c r="L9" s="14">
        <f>CAP[[#This Row],[Atk]]*2+36</f>
        <v>76</v>
      </c>
      <c r="M9">
        <f>CAP[[#This Row],[Def]]*2+36</f>
        <v>76</v>
      </c>
      <c r="N9">
        <f>CAP[[#This Row],[SpA]]*2+36</f>
        <v>76</v>
      </c>
      <c r="O9" s="14">
        <f>CAP[[#This Row],[SpD]]*2+36</f>
        <v>76</v>
      </c>
      <c r="P9" s="14">
        <f>CAP[[#This Row],[SPD Factor]]/822</f>
        <v>3.5279805352798052E-2</v>
      </c>
      <c r="Q9" s="14">
        <f>VLOOKUP(CAP[[#This Row],[Spe]],SpeedFactor[#All], 2, TRUE)</f>
        <v>29</v>
      </c>
      <c r="R9" s="14">
        <f>CAP[[#This Row],[Stat HP]]*CAP[[#This Row],[Stat Def]]</f>
        <v>13756</v>
      </c>
      <c r="S9" s="14">
        <f>CAP[[#This Row],[Stat HP]]*CAP[[#This Row],[Stat SpD]]</f>
        <v>13756</v>
      </c>
      <c r="T9" s="1">
        <f>CAP[[#This Row],[Stat Atk]]*(CAP[[#This Row],[Stat Atk]]*CAP[[#This Row],[Stat Spe]]+415)/(CAP[[#This Row],[Stat Atk]]*(1-CAP[[#This Row],[Stat Spe]])+415)</f>
        <v>65.00626311042906</v>
      </c>
      <c r="U9" s="4">
        <f>CAP[[#This Row],[Stat SpA]]*(CAP[[#This Row],[Stat SpA]]*CAP[[#This Row],[Stat Spe]]+415)/(CAP[[#This Row],[Stat SpA]]*(1-CAP[[#This Row],[Stat Spe]])+415)</f>
        <v>65.00626311042906</v>
      </c>
      <c r="V9" s="9">
        <f>(CAP[[#This Row],[RPT]] /432.441508090053)-22.8128616201416</f>
        <v>8.997220767082446</v>
      </c>
      <c r="W9" s="10">
        <f>(CAP[[#This Row],[RST]] /426.30249118172)-22.4239890939417</f>
        <v>9.844177957740456</v>
      </c>
      <c r="X9" s="10">
        <f>(CAP[[#This Row],[RPS]]/2.21869141127892)+2.84495101810441</f>
        <v>32.144322160915799</v>
      </c>
      <c r="Y9" s="11">
        <f>(CAP[[#This Row],[RSS]]/2.30100441716059)+11.4244456864885</f>
        <v>39.67570093207641</v>
      </c>
      <c r="Z9" s="5">
        <f>(MAX(CAP[[#This Row],[PS]],CAP[[#This Row],[SS]]) - MAX(CAP[[#This Row],[PT]],CAP[[#This Row],[ST]])) / 6.165301 - 0.490854</f>
        <v>4.3477618233533049</v>
      </c>
      <c r="AA9" s="1">
        <f>(CAP[[#This Row],[PT]] - CAP[[#This Row],[ST]] + CAP[[#This Row],[PS]] - CAP[[#This Row],[SS]]) / 6.8267</f>
        <v>-1.2272893142834198</v>
      </c>
      <c r="AB9" s="3">
        <f xml:space="preserve"> (CAP[[#This Row],[PT]] + CAP[[#This Row],[ST]] + CAP[[#This Row],[PS]] + CAP[[#This Row],[SS]]) /1.54532785176361-58.8447490566471</f>
        <v>-0.17666660776902887</v>
      </c>
      <c r="AC9"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Horrible</v>
      </c>
      <c r="AD9" s="14">
        <f>IF(CAP[[#This Row],[Overall Rating]]&lt;=200,80,IF(CAP[[#This Row],[Overall Rating]]&lt;250,75,IF(CAP[[#This Row],[Overall Rating]]&lt;300,70,IF(CAP[[#This Row],[Overall Rating]]&lt;350,65,IF(CAP[[#This Row],[Overall Rating]]&lt;400,60,IF(CAP[[#This Row],[Overall Rating]]&lt;450,55,50))))))</f>
        <v>80</v>
      </c>
    </row>
    <row r="10" spans="1:30" x14ac:dyDescent="0.3">
      <c r="A10">
        <v>129</v>
      </c>
      <c r="B10" s="14" t="s">
        <v>691</v>
      </c>
      <c r="C10" s="14" t="s">
        <v>37</v>
      </c>
      <c r="D10" s="14" t="s">
        <v>96</v>
      </c>
      <c r="E10">
        <v>110</v>
      </c>
      <c r="F10">
        <v>115</v>
      </c>
      <c r="G10">
        <v>80</v>
      </c>
      <c r="H10">
        <v>50</v>
      </c>
      <c r="I10">
        <v>80</v>
      </c>
      <c r="J10">
        <v>135</v>
      </c>
      <c r="K10" s="14">
        <f>CAP[[#This Row],[HP]]*2+141</f>
        <v>361</v>
      </c>
      <c r="L10" s="14">
        <f>CAP[[#This Row],[Atk]]*2+36</f>
        <v>266</v>
      </c>
      <c r="M10">
        <f>CAP[[#This Row],[Def]]*2+36</f>
        <v>196</v>
      </c>
      <c r="N10">
        <f>CAP[[#This Row],[SpA]]*2+36</f>
        <v>136</v>
      </c>
      <c r="O10" s="14">
        <f>CAP[[#This Row],[SpD]]*2+36</f>
        <v>196</v>
      </c>
      <c r="P10" s="14">
        <f>CAP[[#This Row],[SPD Factor]]/822</f>
        <v>0.98661800486618001</v>
      </c>
      <c r="Q10" s="14">
        <f>VLOOKUP(CAP[[#This Row],[Spe]],SpeedFactor[#All], 2, TRUE)</f>
        <v>811</v>
      </c>
      <c r="R10" s="14">
        <f>CAP[[#This Row],[Stat HP]]*CAP[[#This Row],[Stat Def]]</f>
        <v>70756</v>
      </c>
      <c r="S10" s="14">
        <f>CAP[[#This Row],[Stat HP]]*CAP[[#This Row],[Stat SpD]]</f>
        <v>70756</v>
      </c>
      <c r="T10" s="1">
        <f>CAP[[#This Row],[Stat Atk]]*(CAP[[#This Row],[Stat Atk]]*CAP[[#This Row],[Stat Spe]]+415)/(CAP[[#This Row],[Stat Atk]]*(1-CAP[[#This Row],[Stat Spe]])+415)</f>
        <v>430.52205454925939</v>
      </c>
      <c r="U10" s="4">
        <f>CAP[[#This Row],[Stat SpA]]*(CAP[[#This Row],[Stat SpA]]*CAP[[#This Row],[Stat Spe]]+415)/(CAP[[#This Row],[Stat SpA]]*(1-CAP[[#This Row],[Stat Spe]])+415)</f>
        <v>179.18644819715959</v>
      </c>
      <c r="V10" s="9">
        <f>(CAP[[#This Row],[RPT]] /432.441508090053)-22.8128616201416</f>
        <v>140.80695441580087</v>
      </c>
      <c r="W10" s="10">
        <f>(CAP[[#This Row],[RST]] /426.30249118172)-22.4239890939417</f>
        <v>143.55205248128533</v>
      </c>
      <c r="X10" s="10">
        <f>(CAP[[#This Row],[RPS]]/2.21869141127892)+2.84495101810441</f>
        <v>196.88818405207266</v>
      </c>
      <c r="Y10" s="11">
        <f>(CAP[[#This Row],[RSS]]/2.30100441716059)+11.4244456864885</f>
        <v>89.297589632154356</v>
      </c>
      <c r="Z10" s="5">
        <f>(MAX(CAP[[#This Row],[PS]],CAP[[#This Row],[SS]]) - MAX(CAP[[#This Row],[PT]],CAP[[#This Row],[ST]])) / 6.165301 - 0.490854</f>
        <v>8.1601642667135508</v>
      </c>
      <c r="AA10" s="1">
        <f>(CAP[[#This Row],[PT]] - CAP[[#This Row],[ST]] + CAP[[#This Row],[PS]] - CAP[[#This Row],[SS]]) / 6.8267</f>
        <v>15.35815201406739</v>
      </c>
      <c r="AB10" s="3">
        <f xml:space="preserve"> (CAP[[#This Row],[PT]] + CAP[[#This Row],[ST]] + CAP[[#This Row],[PS]] + CAP[[#This Row],[SS]]) /1.54532785176361-58.8447490566471</f>
        <v>310.3615523312281</v>
      </c>
      <c r="AC10"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Very Good</v>
      </c>
      <c r="AD10" s="14">
        <f>IF(CAP[[#This Row],[Overall Rating]]&lt;=200,80,IF(CAP[[#This Row],[Overall Rating]]&lt;250,75,IF(CAP[[#This Row],[Overall Rating]]&lt;300,70,IF(CAP[[#This Row],[Overall Rating]]&lt;350,65,IF(CAP[[#This Row],[Overall Rating]]&lt;400,60,IF(CAP[[#This Row],[Overall Rating]]&lt;450,55,50))))))</f>
        <v>65</v>
      </c>
    </row>
    <row r="11" spans="1:30" x14ac:dyDescent="0.3">
      <c r="A11">
        <v>128</v>
      </c>
      <c r="B11" s="14" t="s">
        <v>687</v>
      </c>
      <c r="C11" s="14" t="s">
        <v>89</v>
      </c>
      <c r="D11" s="14" t="s">
        <v>44</v>
      </c>
      <c r="E11">
        <v>60</v>
      </c>
      <c r="F11">
        <v>65</v>
      </c>
      <c r="G11">
        <v>130</v>
      </c>
      <c r="H11">
        <v>120</v>
      </c>
      <c r="I11">
        <v>130</v>
      </c>
      <c r="J11">
        <v>65</v>
      </c>
      <c r="K11" s="14">
        <f>CAP[[#This Row],[HP]]*2+141</f>
        <v>261</v>
      </c>
      <c r="L11" s="14">
        <f>CAP[[#This Row],[Atk]]*2+36</f>
        <v>166</v>
      </c>
      <c r="M11">
        <f>CAP[[#This Row],[Def]]*2+36</f>
        <v>296</v>
      </c>
      <c r="N11">
        <f>CAP[[#This Row],[SpA]]*2+36</f>
        <v>276</v>
      </c>
      <c r="O11" s="14">
        <f>CAP[[#This Row],[SpD]]*2+36</f>
        <v>296</v>
      </c>
      <c r="P11" s="14">
        <f>CAP[[#This Row],[SPD Factor]]/822</f>
        <v>0.5024330900243309</v>
      </c>
      <c r="Q11" s="14">
        <f>VLOOKUP(CAP[[#This Row],[Spe]],SpeedFactor[#All], 2, TRUE)</f>
        <v>413</v>
      </c>
      <c r="R11" s="14">
        <f>CAP[[#This Row],[Stat HP]]*CAP[[#This Row],[Stat Def]]</f>
        <v>77256</v>
      </c>
      <c r="S11" s="14">
        <f>CAP[[#This Row],[Stat HP]]*CAP[[#This Row],[Stat SpD]]</f>
        <v>77256</v>
      </c>
      <c r="T11" s="1">
        <f>CAP[[#This Row],[Stat Atk]]*(CAP[[#This Row],[Stat Atk]]*CAP[[#This Row],[Stat Spe]]+415)/(CAP[[#This Row],[Stat Atk]]*(1-CAP[[#This Row],[Stat Spe]])+415)</f>
        <v>166.26948051948051</v>
      </c>
      <c r="U11" s="4">
        <f>CAP[[#This Row],[Stat SpA]]*(CAP[[#This Row],[Stat SpA]]*CAP[[#This Row],[Stat Spe]]+415)/(CAP[[#This Row],[Stat SpA]]*(1-CAP[[#This Row],[Stat Spe]])+415)</f>
        <v>276.67113348927563</v>
      </c>
      <c r="V11" s="9">
        <f>(CAP[[#This Row],[RPT]] /432.441508090053)-22.8128616201416</f>
        <v>155.83788895468982</v>
      </c>
      <c r="W11" s="10">
        <f>(CAP[[#This Row],[RST]] /426.30249118172)-22.4239890939417</f>
        <v>158.79944168133869</v>
      </c>
      <c r="X11" s="10">
        <f>(CAP[[#This Row],[RPS]]/2.21869141127892)+2.84495101810441</f>
        <v>77.785287323655709</v>
      </c>
      <c r="Y11" s="11">
        <f>(CAP[[#This Row],[RSS]]/2.30100441716059)+11.4244456864885</f>
        <v>131.66373398419819</v>
      </c>
      <c r="Z11" s="5">
        <f>(MAX(CAP[[#This Row],[PS]],CAP[[#This Row],[SS]]) - MAX(CAP[[#This Row],[PT]],CAP[[#This Row],[ST]])) / 6.165301 - 0.490854</f>
        <v>-4.8922137547208973</v>
      </c>
      <c r="AA11" s="1">
        <f>(CAP[[#This Row],[PT]] - CAP[[#This Row],[ST]] + CAP[[#This Row],[PS]] - CAP[[#This Row],[SS]]) / 6.8267</f>
        <v>-8.3261311302959484</v>
      </c>
      <c r="AB11" s="3">
        <f xml:space="preserve"> (CAP[[#This Row],[PT]] + CAP[[#This Row],[ST]] + CAP[[#This Row],[PS]] + CAP[[#This Row],[SS]]) /1.54532785176361-58.8447490566471</f>
        <v>280.29775157567326</v>
      </c>
      <c r="AC11"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Good</v>
      </c>
      <c r="AD11" s="14">
        <f>IF(CAP[[#This Row],[Overall Rating]]&lt;=200,80,IF(CAP[[#This Row],[Overall Rating]]&lt;250,75,IF(CAP[[#This Row],[Overall Rating]]&lt;300,70,IF(CAP[[#This Row],[Overall Rating]]&lt;350,65,IF(CAP[[#This Row],[Overall Rating]]&lt;400,60,IF(CAP[[#This Row],[Overall Rating]]&lt;450,55,50))))))</f>
        <v>70</v>
      </c>
    </row>
    <row r="12" spans="1:30" x14ac:dyDescent="0.3">
      <c r="A12">
        <v>127</v>
      </c>
      <c r="B12" s="14" t="s">
        <v>683</v>
      </c>
      <c r="C12" s="14" t="s">
        <v>383</v>
      </c>
      <c r="D12" s="14" t="s">
        <v>150</v>
      </c>
      <c r="E12">
        <v>95</v>
      </c>
      <c r="F12">
        <v>95</v>
      </c>
      <c r="G12">
        <v>95</v>
      </c>
      <c r="H12">
        <v>95</v>
      </c>
      <c r="I12">
        <v>95</v>
      </c>
      <c r="J12">
        <v>95</v>
      </c>
      <c r="K12" s="14">
        <f>CAP[[#This Row],[HP]]*2+141</f>
        <v>331</v>
      </c>
      <c r="L12" s="14">
        <f>CAP[[#This Row],[Atk]]*2+36</f>
        <v>226</v>
      </c>
      <c r="M12">
        <f>CAP[[#This Row],[Def]]*2+36</f>
        <v>226</v>
      </c>
      <c r="N12">
        <f>CAP[[#This Row],[SpA]]*2+36</f>
        <v>226</v>
      </c>
      <c r="O12" s="14">
        <f>CAP[[#This Row],[SpD]]*2+36</f>
        <v>226</v>
      </c>
      <c r="P12" s="14">
        <f>CAP[[#This Row],[SPD Factor]]/822</f>
        <v>0.80900243309002429</v>
      </c>
      <c r="Q12" s="14">
        <f>VLOOKUP(CAP[[#This Row],[Spe]],SpeedFactor[#All], 2, TRUE)</f>
        <v>665</v>
      </c>
      <c r="R12" s="14">
        <f>CAP[[#This Row],[Stat HP]]*CAP[[#This Row],[Stat Def]]</f>
        <v>74806</v>
      </c>
      <c r="S12" s="14">
        <f>CAP[[#This Row],[Stat HP]]*CAP[[#This Row],[Stat SpD]]</f>
        <v>74806</v>
      </c>
      <c r="T12" s="1">
        <f>CAP[[#This Row],[Stat Atk]]*(CAP[[#This Row],[Stat Atk]]*CAP[[#This Row],[Stat Spe]]+415)/(CAP[[#This Row],[Stat Atk]]*(1-CAP[[#This Row],[Stat Spe]])+415)</f>
        <v>294.89479889116649</v>
      </c>
      <c r="U12" s="4">
        <f>CAP[[#This Row],[Stat SpA]]*(CAP[[#This Row],[Stat SpA]]*CAP[[#This Row],[Stat Spe]]+415)/(CAP[[#This Row],[Stat SpA]]*(1-CAP[[#This Row],[Stat Spe]])+415)</f>
        <v>294.89479889116649</v>
      </c>
      <c r="V12" s="9">
        <f>(CAP[[#This Row],[RPT]] /432.441508090053)-22.8128616201416</f>
        <v>150.17238285926246</v>
      </c>
      <c r="W12" s="10">
        <f>(CAP[[#This Row],[RST]] /426.30249118172)-22.4239890939417</f>
        <v>153.05234882901084</v>
      </c>
      <c r="X12" s="10">
        <f>(CAP[[#This Row],[RPS]]/2.21869141127892)+2.84495101810441</f>
        <v>135.75879266009298</v>
      </c>
      <c r="Y12" s="11">
        <f>(CAP[[#This Row],[RSS]]/2.30100441716059)+11.4244456864885</f>
        <v>139.58360813393085</v>
      </c>
      <c r="Z12" s="5">
        <f>(MAX(CAP[[#This Row],[PS]],CAP[[#This Row],[SS]]) - MAX(CAP[[#This Row],[PT]],CAP[[#This Row],[ST]])) / 6.165301 - 0.490854</f>
        <v>-2.6754579139175827</v>
      </c>
      <c r="AA12" s="1">
        <f>(CAP[[#This Row],[PT]] - CAP[[#This Row],[ST]] + CAP[[#This Row],[PS]] - CAP[[#This Row],[SS]]) / 6.8267</f>
        <v>-0.98214092366535166</v>
      </c>
      <c r="AB12" s="3">
        <f xml:space="preserve"> (CAP[[#This Row],[PT]] + CAP[[#This Row],[ST]] + CAP[[#This Row],[PS]] + CAP[[#This Row],[SS]]) /1.54532785176361-58.8447490566471</f>
        <v>315.55291149286393</v>
      </c>
      <c r="AC12"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Very Good</v>
      </c>
      <c r="AD12" s="14">
        <f>IF(CAP[[#This Row],[Overall Rating]]&lt;=200,80,IF(CAP[[#This Row],[Overall Rating]]&lt;250,75,IF(CAP[[#This Row],[Overall Rating]]&lt;300,70,IF(CAP[[#This Row],[Overall Rating]]&lt;350,65,IF(CAP[[#This Row],[Overall Rating]]&lt;400,60,IF(CAP[[#This Row],[Overall Rating]]&lt;450,55,50))))))</f>
        <v>65</v>
      </c>
    </row>
    <row r="13" spans="1:30" x14ac:dyDescent="0.3">
      <c r="A13">
        <v>126</v>
      </c>
      <c r="B13" s="14" t="s">
        <v>679</v>
      </c>
      <c r="C13" s="14" t="s">
        <v>51</v>
      </c>
      <c r="D13" s="14" t="s">
        <v>168</v>
      </c>
      <c r="E13">
        <v>80</v>
      </c>
      <c r="F13">
        <v>110</v>
      </c>
      <c r="G13">
        <v>70</v>
      </c>
      <c r="H13">
        <v>120</v>
      </c>
      <c r="I13">
        <v>70</v>
      </c>
      <c r="J13">
        <v>110</v>
      </c>
      <c r="K13" s="14">
        <f>CAP[[#This Row],[HP]]*2+141</f>
        <v>301</v>
      </c>
      <c r="L13" s="14">
        <f>CAP[[#This Row],[Atk]]*2+36</f>
        <v>256</v>
      </c>
      <c r="M13">
        <f>CAP[[#This Row],[Def]]*2+36</f>
        <v>176</v>
      </c>
      <c r="N13">
        <f>CAP[[#This Row],[SpA]]*2+36</f>
        <v>276</v>
      </c>
      <c r="O13" s="14">
        <f>CAP[[#This Row],[SpD]]*2+36</f>
        <v>176</v>
      </c>
      <c r="P13" s="14">
        <f>CAP[[#This Row],[SPD Factor]]/822</f>
        <v>0.92822384428223847</v>
      </c>
      <c r="Q13" s="14">
        <f>VLOOKUP(CAP[[#This Row],[Spe]],SpeedFactor[#All], 2, TRUE)</f>
        <v>763</v>
      </c>
      <c r="R13" s="14">
        <f>CAP[[#This Row],[Stat HP]]*CAP[[#This Row],[Stat Def]]</f>
        <v>52976</v>
      </c>
      <c r="S13" s="14">
        <f>CAP[[#This Row],[Stat HP]]*CAP[[#This Row],[Stat SpD]]</f>
        <v>52976</v>
      </c>
      <c r="T13" s="1">
        <f>CAP[[#This Row],[Stat Atk]]*(CAP[[#This Row],[Stat Atk]]*CAP[[#This Row],[Stat Spe]]+415)/(CAP[[#This Row],[Stat Atk]]*(1-CAP[[#This Row],[Stat Spe]])+415)</f>
        <v>385.51415081098378</v>
      </c>
      <c r="U13" s="4">
        <f>CAP[[#This Row],[Stat SpA]]*(CAP[[#This Row],[Stat SpA]]*CAP[[#This Row],[Stat Spe]]+415)/(CAP[[#This Row],[Stat SpA]]*(1-CAP[[#This Row],[Stat Spe]])+415)</f>
        <v>426.04421762997532</v>
      </c>
      <c r="V13" s="9">
        <f>(CAP[[#This Row],[RPT]] /432.441508090053)-22.8128616201416</f>
        <v>99.691567323270803</v>
      </c>
      <c r="W13" s="10">
        <f>(CAP[[#This Row],[RST]] /426.30249118172)-22.4239890939417</f>
        <v>101.84457863867782</v>
      </c>
      <c r="X13" s="10">
        <f>(CAP[[#This Row],[RPS]]/2.21869141127892)+2.84495101810441</f>
        <v>176.60239599273561</v>
      </c>
      <c r="Y13" s="11">
        <f>(CAP[[#This Row],[RSS]]/2.30100441716059)+11.4244456864885</f>
        <v>196.58020395126769</v>
      </c>
      <c r="Z13" s="5">
        <f>(MAX(CAP[[#This Row],[PS]],CAP[[#This Row],[SS]]) - MAX(CAP[[#This Row],[PT]],CAP[[#This Row],[ST]])) / 6.165301 - 0.490854</f>
        <v>14.875082766524436</v>
      </c>
      <c r="AA13" s="1">
        <f>(CAP[[#This Row],[PT]] - CAP[[#This Row],[ST]] + CAP[[#This Row],[PS]] - CAP[[#This Row],[SS]]) / 6.8267</f>
        <v>-3.2418034004627563</v>
      </c>
      <c r="AB13" s="3">
        <f xml:space="preserve"> (CAP[[#This Row],[PT]] + CAP[[#This Row],[ST]] + CAP[[#This Row],[PS]] + CAP[[#This Row],[SS]]) /1.54532785176361-58.8447490566471</f>
        <v>313.06257484879626</v>
      </c>
      <c r="AC13"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Very Good</v>
      </c>
      <c r="AD13" s="14">
        <f>IF(CAP[[#This Row],[Overall Rating]]&lt;=200,80,IF(CAP[[#This Row],[Overall Rating]]&lt;250,75,IF(CAP[[#This Row],[Overall Rating]]&lt;300,70,IF(CAP[[#This Row],[Overall Rating]]&lt;350,65,IF(CAP[[#This Row],[Overall Rating]]&lt;400,60,IF(CAP[[#This Row],[Overall Rating]]&lt;450,55,50))))))</f>
        <v>65</v>
      </c>
    </row>
    <row r="14" spans="1:30" x14ac:dyDescent="0.3">
      <c r="A14">
        <v>125</v>
      </c>
      <c r="B14" s="14" t="s">
        <v>676</v>
      </c>
      <c r="C14" s="14" t="s">
        <v>59</v>
      </c>
      <c r="D14" s="14" t="s">
        <v>28</v>
      </c>
      <c r="E14">
        <v>100</v>
      </c>
      <c r="F14">
        <v>80</v>
      </c>
      <c r="G14">
        <v>100</v>
      </c>
      <c r="H14">
        <v>110</v>
      </c>
      <c r="I14">
        <v>95</v>
      </c>
      <c r="J14">
        <v>75</v>
      </c>
      <c r="K14" s="14">
        <f>CAP[[#This Row],[HP]]*2+141</f>
        <v>341</v>
      </c>
      <c r="L14" s="14">
        <f>CAP[[#This Row],[Atk]]*2+36</f>
        <v>196</v>
      </c>
      <c r="M14">
        <f>CAP[[#This Row],[Def]]*2+36</f>
        <v>236</v>
      </c>
      <c r="N14">
        <f>CAP[[#This Row],[SpA]]*2+36</f>
        <v>256</v>
      </c>
      <c r="O14" s="14">
        <f>CAP[[#This Row],[SpD]]*2+36</f>
        <v>226</v>
      </c>
      <c r="P14" s="14">
        <f>CAP[[#This Row],[SPD Factor]]/822</f>
        <v>0.60948905109489049</v>
      </c>
      <c r="Q14" s="14">
        <f>VLOOKUP(CAP[[#This Row],[Spe]],SpeedFactor[#All], 2, TRUE)</f>
        <v>501</v>
      </c>
      <c r="R14" s="14">
        <f>CAP[[#This Row],[Stat HP]]*CAP[[#This Row],[Stat Def]]</f>
        <v>80476</v>
      </c>
      <c r="S14" s="14">
        <f>CAP[[#This Row],[Stat HP]]*CAP[[#This Row],[Stat SpD]]</f>
        <v>77066</v>
      </c>
      <c r="T14" s="1">
        <f>CAP[[#This Row],[Stat Atk]]*(CAP[[#This Row],[Stat Atk]]*CAP[[#This Row],[Stat Spe]]+415)/(CAP[[#This Row],[Stat Atk]]*(1-CAP[[#This Row],[Stat Spe]])+415)</f>
        <v>213.11409096984005</v>
      </c>
      <c r="U14" s="4">
        <f>CAP[[#This Row],[Stat SpA]]*(CAP[[#This Row],[Stat SpA]]*CAP[[#This Row],[Stat Spe]]+415)/(CAP[[#This Row],[Stat SpA]]*(1-CAP[[#This Row],[Stat Spe]])+415)</f>
        <v>283.86750010630607</v>
      </c>
      <c r="V14" s="9">
        <f>(CAP[[#This Row],[RPT]] /432.441508090053)-22.8128616201416</f>
        <v>163.28398268010864</v>
      </c>
      <c r="W14" s="10">
        <f>(CAP[[#This Row],[RST]] /426.30249118172)-22.4239890939417</f>
        <v>158.3537487662602</v>
      </c>
      <c r="X14" s="10">
        <f>(CAP[[#This Row],[RPS]]/2.21869141127892)+2.84495101810441</f>
        <v>98.898908718781101</v>
      </c>
      <c r="Y14" s="11">
        <f>(CAP[[#This Row],[RSS]]/2.30100441716059)+11.4244456864885</f>
        <v>134.79122325078146</v>
      </c>
      <c r="Z14" s="5">
        <f>(MAX(CAP[[#This Row],[PS]],CAP[[#This Row],[SS]]) - MAX(CAP[[#This Row],[PT]],CAP[[#This Row],[ST]])) / 6.165301 - 0.490854</f>
        <v>-5.1123249434830802</v>
      </c>
      <c r="AA14" s="1">
        <f>(CAP[[#This Row],[PT]] - CAP[[#This Row],[ST]] + CAP[[#This Row],[PS]] - CAP[[#This Row],[SS]]) / 6.8267</f>
        <v>-4.5354388823519294</v>
      </c>
      <c r="AB14" s="3">
        <f xml:space="preserve"> (CAP[[#This Row],[PT]] + CAP[[#This Row],[ST]] + CAP[[#This Row],[PS]] + CAP[[#This Row],[SS]]) /1.54532785176361-58.8447490566471</f>
        <v>300.51450456850557</v>
      </c>
      <c r="AC14"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Very Good</v>
      </c>
      <c r="AD14" s="14">
        <f>IF(CAP[[#This Row],[Overall Rating]]&lt;=200,80,IF(CAP[[#This Row],[Overall Rating]]&lt;250,75,IF(CAP[[#This Row],[Overall Rating]]&lt;300,70,IF(CAP[[#This Row],[Overall Rating]]&lt;350,65,IF(CAP[[#This Row],[Overall Rating]]&lt;400,60,IF(CAP[[#This Row],[Overall Rating]]&lt;450,55,50))))))</f>
        <v>65</v>
      </c>
    </row>
    <row r="15" spans="1:30" x14ac:dyDescent="0.3">
      <c r="A15">
        <v>124</v>
      </c>
      <c r="B15" s="14" t="s">
        <v>657</v>
      </c>
      <c r="C15" s="14" t="s">
        <v>37</v>
      </c>
      <c r="D15" s="14" t="s">
        <v>84</v>
      </c>
      <c r="E15">
        <v>95</v>
      </c>
      <c r="F15">
        <v>70</v>
      </c>
      <c r="G15">
        <v>70</v>
      </c>
      <c r="H15">
        <v>120</v>
      </c>
      <c r="I15">
        <v>90</v>
      </c>
      <c r="J15">
        <v>105</v>
      </c>
      <c r="K15" s="14">
        <f>CAP[[#This Row],[HP]]*2+141</f>
        <v>331</v>
      </c>
      <c r="L15" s="14">
        <f>CAP[[#This Row],[Atk]]*2+36</f>
        <v>176</v>
      </c>
      <c r="M15">
        <f>CAP[[#This Row],[Def]]*2+36</f>
        <v>176</v>
      </c>
      <c r="N15">
        <f>CAP[[#This Row],[SpA]]*2+36</f>
        <v>276</v>
      </c>
      <c r="O15" s="14">
        <f>CAP[[#This Row],[SpD]]*2+36</f>
        <v>216</v>
      </c>
      <c r="P15" s="14">
        <f>CAP[[#This Row],[SPD Factor]]/822</f>
        <v>0.8978102189781022</v>
      </c>
      <c r="Q15" s="14">
        <f>VLOOKUP(CAP[[#This Row],[Spe]],SpeedFactor[#All], 2, TRUE)</f>
        <v>738</v>
      </c>
      <c r="R15" s="14">
        <f>CAP[[#This Row],[Stat HP]]*CAP[[#This Row],[Stat Def]]</f>
        <v>58256</v>
      </c>
      <c r="S15" s="14">
        <f>CAP[[#This Row],[Stat HP]]*CAP[[#This Row],[Stat SpD]]</f>
        <v>71496</v>
      </c>
      <c r="T15" s="1">
        <f>CAP[[#This Row],[Stat Atk]]*(CAP[[#This Row],[Stat Atk]]*CAP[[#This Row],[Stat Spe]]+415)/(CAP[[#This Row],[Stat Atk]]*(1-CAP[[#This Row],[Stat Spe]])+415)</f>
        <v>232.91909843389132</v>
      </c>
      <c r="U15" s="4">
        <f>CAP[[#This Row],[Stat SpA]]*(CAP[[#This Row],[Stat SpA]]*CAP[[#This Row],[Stat Spe]]+415)/(CAP[[#This Row],[Stat SpA]]*(1-CAP[[#This Row],[Stat Spe]])+415)</f>
        <v>412.7477066486602</v>
      </c>
      <c r="V15" s="9">
        <f>(CAP[[#This Row],[RPT]] /432.441508090053)-22.8128616201416</f>
        <v>111.90131107178368</v>
      </c>
      <c r="W15" s="10">
        <f>(CAP[[#This Row],[RST]] /426.30249118172)-22.4239890939417</f>
        <v>145.28790909790678</v>
      </c>
      <c r="X15" s="10">
        <f>(CAP[[#This Row],[RPS]]/2.21869141127892)+2.84495101810441</f>
        <v>107.82534497907882</v>
      </c>
      <c r="Y15" s="11">
        <f>(CAP[[#This Row],[RSS]]/2.30100441716059)+11.4244456864885</f>
        <v>190.80163573898983</v>
      </c>
      <c r="Z15" s="5">
        <f>(MAX(CAP[[#This Row],[PS]],CAP[[#This Row],[SS]]) - MAX(CAP[[#This Row],[PT]],CAP[[#This Row],[ST]])) / 6.165301 - 0.490854</f>
        <v>6.8913851868755565</v>
      </c>
      <c r="AA15" s="1">
        <f>(CAP[[#This Row],[PT]] - CAP[[#This Row],[ST]] + CAP[[#This Row],[PS]] - CAP[[#This Row],[SS]]) / 6.8267</f>
        <v>-17.045261808199292</v>
      </c>
      <c r="AB15" s="3">
        <f xml:space="preserve"> (CAP[[#This Row],[PT]] + CAP[[#This Row],[ST]] + CAP[[#This Row],[PS]] + CAP[[#This Row],[SS]]) /1.54532785176361-58.8447490566471</f>
        <v>300.83051354438101</v>
      </c>
      <c r="AC15"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Very Good</v>
      </c>
      <c r="AD15" s="14">
        <f>IF(CAP[[#This Row],[Overall Rating]]&lt;=200,80,IF(CAP[[#This Row],[Overall Rating]]&lt;250,75,IF(CAP[[#This Row],[Overall Rating]]&lt;300,70,IF(CAP[[#This Row],[Overall Rating]]&lt;350,65,IF(CAP[[#This Row],[Overall Rating]]&lt;400,60,IF(CAP[[#This Row],[Overall Rating]]&lt;450,55,50))))))</f>
        <v>65</v>
      </c>
    </row>
    <row r="16" spans="1:30" x14ac:dyDescent="0.3">
      <c r="A16">
        <v>123</v>
      </c>
      <c r="B16" s="14" t="s">
        <v>641</v>
      </c>
      <c r="C16" s="14" t="s">
        <v>50</v>
      </c>
      <c r="D16" s="14" t="s">
        <v>59</v>
      </c>
      <c r="E16">
        <v>80</v>
      </c>
      <c r="F16">
        <v>70</v>
      </c>
      <c r="G16">
        <v>70</v>
      </c>
      <c r="H16">
        <v>100</v>
      </c>
      <c r="I16">
        <v>90</v>
      </c>
      <c r="J16">
        <v>110</v>
      </c>
      <c r="K16" s="14">
        <f>CAP[[#This Row],[HP]]*2+141</f>
        <v>301</v>
      </c>
      <c r="L16" s="14">
        <f>CAP[[#This Row],[Atk]]*2+36</f>
        <v>176</v>
      </c>
      <c r="M16">
        <f>CAP[[#This Row],[Def]]*2+36</f>
        <v>176</v>
      </c>
      <c r="N16">
        <f>CAP[[#This Row],[SpA]]*2+36</f>
        <v>236</v>
      </c>
      <c r="O16" s="14">
        <f>CAP[[#This Row],[SpD]]*2+36</f>
        <v>216</v>
      </c>
      <c r="P16" s="14">
        <f>CAP[[#This Row],[SPD Factor]]/822</f>
        <v>0.92822384428223847</v>
      </c>
      <c r="Q16" s="14">
        <f>VLOOKUP(CAP[[#This Row],[Spe]],SpeedFactor[#All], 2, TRUE)</f>
        <v>763</v>
      </c>
      <c r="R16" s="14">
        <f>CAP[[#This Row],[Stat HP]]*CAP[[#This Row],[Stat Def]]</f>
        <v>52976</v>
      </c>
      <c r="S16" s="14">
        <f>CAP[[#This Row],[Stat HP]]*CAP[[#This Row],[Stat SpD]]</f>
        <v>65016</v>
      </c>
      <c r="T16" s="1">
        <f>CAP[[#This Row],[Stat Atk]]*(CAP[[#This Row],[Stat Atk]]*CAP[[#This Row],[Stat Spe]]+415)/(CAP[[#This Row],[Stat Atk]]*(1-CAP[[#This Row],[Stat Spe]])+415)</f>
        <v>238.03765426128118</v>
      </c>
      <c r="U16" s="4">
        <f>CAP[[#This Row],[Stat SpA]]*(CAP[[#This Row],[Stat SpA]]*CAP[[#This Row],[Stat Spe]]+415)/(CAP[[#This Row],[Stat SpA]]*(1-CAP[[#This Row],[Stat Spe]])+415)</f>
        <v>346.43386076484143</v>
      </c>
      <c r="V16" s="9">
        <f>(CAP[[#This Row],[RPT]] /432.441508090053)-22.8128616201416</f>
        <v>99.691567323270803</v>
      </c>
      <c r="W16" s="10">
        <f>(CAP[[#This Row],[RST]] /426.30249118172)-22.4239890939417</f>
        <v>130.08743494154589</v>
      </c>
      <c r="X16" s="10">
        <f>(CAP[[#This Row],[RPS]]/2.21869141127892)+2.84495101810441</f>
        <v>110.13236063766442</v>
      </c>
      <c r="Y16" s="11">
        <f>(CAP[[#This Row],[RSS]]/2.30100441716059)+11.4244456864885</f>
        <v>161.98211440767088</v>
      </c>
      <c r="Z16" s="5">
        <f>(MAX(CAP[[#This Row],[PS]],CAP[[#This Row],[SS]]) - MAX(CAP[[#This Row],[PT]],CAP[[#This Row],[ST]])) / 6.165301 - 0.490854</f>
        <v>4.6824018501401605</v>
      </c>
      <c r="AA16" s="1">
        <f>(CAP[[#This Row],[PT]] - CAP[[#This Row],[ST]] + CAP[[#This Row],[PS]] - CAP[[#This Row],[SS]]) / 6.8267</f>
        <v>-12.047639619183727</v>
      </c>
      <c r="AB16" s="3">
        <f xml:space="preserve"> (CAP[[#This Row],[PT]] + CAP[[#This Row],[ST]] + CAP[[#This Row],[PS]] + CAP[[#This Row],[SS]]) /1.54532785176361-58.8447490566471</f>
        <v>265.93647891213931</v>
      </c>
      <c r="AC16"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Good</v>
      </c>
      <c r="AD16" s="14">
        <f>IF(CAP[[#This Row],[Overall Rating]]&lt;=200,80,IF(CAP[[#This Row],[Overall Rating]]&lt;250,75,IF(CAP[[#This Row],[Overall Rating]]&lt;300,70,IF(CAP[[#This Row],[Overall Rating]]&lt;350,65,IF(CAP[[#This Row],[Overall Rating]]&lt;400,60,IF(CAP[[#This Row],[Overall Rating]]&lt;450,55,50))))))</f>
        <v>70</v>
      </c>
    </row>
    <row r="17" spans="1:30" x14ac:dyDescent="0.3">
      <c r="A17">
        <v>122</v>
      </c>
      <c r="B17" s="14" t="s">
        <v>638</v>
      </c>
      <c r="C17" s="14" t="s">
        <v>44</v>
      </c>
      <c r="D17" s="14" t="s">
        <v>37</v>
      </c>
      <c r="E17">
        <v>65</v>
      </c>
      <c r="F17">
        <v>80</v>
      </c>
      <c r="G17">
        <v>100</v>
      </c>
      <c r="H17">
        <v>70</v>
      </c>
      <c r="I17">
        <v>140</v>
      </c>
      <c r="J17">
        <v>70</v>
      </c>
      <c r="K17" s="14">
        <f>CAP[[#This Row],[HP]]*2+141</f>
        <v>271</v>
      </c>
      <c r="L17" s="14">
        <f>CAP[[#This Row],[Atk]]*2+36</f>
        <v>196</v>
      </c>
      <c r="M17">
        <f>CAP[[#This Row],[Def]]*2+36</f>
        <v>236</v>
      </c>
      <c r="N17">
        <f>CAP[[#This Row],[SpA]]*2+36</f>
        <v>176</v>
      </c>
      <c r="O17" s="14">
        <f>CAP[[#This Row],[SpD]]*2+36</f>
        <v>316</v>
      </c>
      <c r="P17" s="14">
        <f>CAP[[#This Row],[SPD Factor]]/822</f>
        <v>0.57055961070559613</v>
      </c>
      <c r="Q17" s="14">
        <f>VLOOKUP(CAP[[#This Row],[Spe]],SpeedFactor[#All], 2, TRUE)</f>
        <v>469</v>
      </c>
      <c r="R17" s="14">
        <f>CAP[[#This Row],[Stat HP]]*CAP[[#This Row],[Stat Def]]</f>
        <v>63956</v>
      </c>
      <c r="S17" s="14">
        <f>CAP[[#This Row],[Stat HP]]*CAP[[#This Row],[Stat SpD]]</f>
        <v>85636</v>
      </c>
      <c r="T17" s="1">
        <f>CAP[[#This Row],[Stat Atk]]*(CAP[[#This Row],[Stat Atk]]*CAP[[#This Row],[Stat Spe]]+415)/(CAP[[#This Row],[Stat Atk]]*(1-CAP[[#This Row],[Stat Spe]])+415)</f>
        <v>206.86049356840306</v>
      </c>
      <c r="U17" s="4">
        <f>CAP[[#This Row],[Stat SpA]]*(CAP[[#This Row],[Stat SpA]]*CAP[[#This Row],[Stat Spe]]+415)/(CAP[[#This Row],[Stat SpA]]*(1-CAP[[#This Row],[Stat Spe]])+415)</f>
        <v>184.91046426853279</v>
      </c>
      <c r="V17" s="9">
        <f>(CAP[[#This Row],[RPT]] /432.441508090053)-22.8128616201416</f>
        <v>125.08228443665553</v>
      </c>
      <c r="W17" s="10">
        <f>(CAP[[#This Row],[RST]] /426.30249118172)-22.4239890939417</f>
        <v>178.45684498848436</v>
      </c>
      <c r="X17" s="10">
        <f>(CAP[[#This Row],[RPS]]/2.21869141127892)+2.84495101810441</f>
        <v>96.080311517905727</v>
      </c>
      <c r="Y17" s="11">
        <f>(CAP[[#This Row],[RSS]]/2.30100441716059)+11.4244456864885</f>
        <v>91.785205922103316</v>
      </c>
      <c r="Z17" s="5">
        <f>(MAX(CAP[[#This Row],[PS]],CAP[[#This Row],[SS]]) - MAX(CAP[[#This Row],[PT]],CAP[[#This Row],[ST]])) / 6.165301 - 0.490854</f>
        <v>-13.852169768780573</v>
      </c>
      <c r="AA17" s="1">
        <f>(CAP[[#This Row],[PT]] - CAP[[#This Row],[ST]] + CAP[[#This Row],[PS]] - CAP[[#This Row],[SS]]) / 6.8267</f>
        <v>-7.1893381803838494</v>
      </c>
      <c r="AB17" s="3">
        <f xml:space="preserve"> (CAP[[#This Row],[PT]] + CAP[[#This Row],[ST]] + CAP[[#This Row],[PS]] + CAP[[#This Row],[SS]]) /1.54532785176361-58.8447490566471</f>
        <v>259.14903220105293</v>
      </c>
      <c r="AC17"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Good</v>
      </c>
      <c r="AD17" s="14">
        <f>IF(CAP[[#This Row],[Overall Rating]]&lt;=200,80,IF(CAP[[#This Row],[Overall Rating]]&lt;250,75,IF(CAP[[#This Row],[Overall Rating]]&lt;300,70,IF(CAP[[#This Row],[Overall Rating]]&lt;350,65,IF(CAP[[#This Row],[Overall Rating]]&lt;400,60,IF(CAP[[#This Row],[Overall Rating]]&lt;450,55,50))))))</f>
        <v>70</v>
      </c>
    </row>
    <row r="18" spans="1:30" x14ac:dyDescent="0.3">
      <c r="A18">
        <v>121</v>
      </c>
      <c r="B18" s="14" t="s">
        <v>635</v>
      </c>
      <c r="C18" s="14" t="s">
        <v>187</v>
      </c>
      <c r="D18" s="14" t="s">
        <v>135</v>
      </c>
      <c r="E18">
        <v>80</v>
      </c>
      <c r="F18">
        <v>90</v>
      </c>
      <c r="G18">
        <v>100</v>
      </c>
      <c r="H18">
        <v>80</v>
      </c>
      <c r="I18">
        <v>100</v>
      </c>
      <c r="J18">
        <v>100</v>
      </c>
      <c r="K18" s="14">
        <f>CAP[[#This Row],[HP]]*2+141</f>
        <v>301</v>
      </c>
      <c r="L18" s="14">
        <f>CAP[[#This Row],[Atk]]*2+36</f>
        <v>216</v>
      </c>
      <c r="M18">
        <f>CAP[[#This Row],[Def]]*2+36</f>
        <v>236</v>
      </c>
      <c r="N18">
        <f>CAP[[#This Row],[SpA]]*2+36</f>
        <v>196</v>
      </c>
      <c r="O18" s="14">
        <f>CAP[[#This Row],[SpD]]*2+36</f>
        <v>236</v>
      </c>
      <c r="P18" s="14">
        <f>CAP[[#This Row],[SPD Factor]]/822</f>
        <v>0.86496350364963503</v>
      </c>
      <c r="Q18" s="14">
        <f>VLOOKUP(CAP[[#This Row],[Spe]],SpeedFactor[#All], 2, TRUE)</f>
        <v>711</v>
      </c>
      <c r="R18" s="14">
        <f>CAP[[#This Row],[Stat HP]]*CAP[[#This Row],[Stat Def]]</f>
        <v>71036</v>
      </c>
      <c r="S18" s="14">
        <f>CAP[[#This Row],[Stat HP]]*CAP[[#This Row],[Stat SpD]]</f>
        <v>71036</v>
      </c>
      <c r="T18" s="1">
        <f>CAP[[#This Row],[Stat Atk]]*(CAP[[#This Row],[Stat Atk]]*CAP[[#This Row],[Stat Spe]]+415)/(CAP[[#This Row],[Stat Atk]]*(1-CAP[[#This Row],[Stat Spe]])+415)</f>
        <v>292.67252797817622</v>
      </c>
      <c r="U18" s="4">
        <f>CAP[[#This Row],[Stat SpA]]*(CAP[[#This Row],[Stat SpA]]*CAP[[#This Row],[Stat Spe]]+415)/(CAP[[#This Row],[Stat SpA]]*(1-CAP[[#This Row],[Stat Spe]])+415)</f>
        <v>259.51746829582839</v>
      </c>
      <c r="V18" s="9">
        <f>(CAP[[#This Row],[RPT]] /432.441508090053)-22.8128616201416</f>
        <v>141.45444082670684</v>
      </c>
      <c r="W18" s="10">
        <f>(CAP[[#This Row],[RST]] /426.30249118172)-22.4239890939417</f>
        <v>144.20886309297993</v>
      </c>
      <c r="X18" s="10">
        <f>(CAP[[#This Row],[RPS]]/2.21869141127892)+2.84495101810441</f>
        <v>134.75717932094489</v>
      </c>
      <c r="Y18" s="11">
        <f>(CAP[[#This Row],[RSS]]/2.30100441716059)+11.4244456864885</f>
        <v>124.20887424315752</v>
      </c>
      <c r="Z18" s="5">
        <f>(MAX(CAP[[#This Row],[PS]],CAP[[#This Row],[SS]]) - MAX(CAP[[#This Row],[PT]],CAP[[#This Row],[ST]])) / 6.165301 - 0.490854</f>
        <v>-2.023898983859675</v>
      </c>
      <c r="AA18" s="1">
        <f>(CAP[[#This Row],[PT]] - CAP[[#This Row],[ST]] + CAP[[#This Row],[PS]] - CAP[[#This Row],[SS]]) / 6.8267</f>
        <v>1.1416764778757349</v>
      </c>
      <c r="AB18" s="3">
        <f xml:space="preserve"> (CAP[[#This Row],[PT]] + CAP[[#This Row],[ST]] + CAP[[#This Row],[PS]] + CAP[[#This Row],[SS]]) /1.54532785176361-58.8447490566471</f>
        <v>293.59137436028948</v>
      </c>
      <c r="AC18"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Good</v>
      </c>
      <c r="AD18" s="14">
        <f>IF(CAP[[#This Row],[Overall Rating]]&lt;=200,80,IF(CAP[[#This Row],[Overall Rating]]&lt;250,75,IF(CAP[[#This Row],[Overall Rating]]&lt;300,70,IF(CAP[[#This Row],[Overall Rating]]&lt;350,65,IF(CAP[[#This Row],[Overall Rating]]&lt;400,60,IF(CAP[[#This Row],[Overall Rating]]&lt;450,55,50))))))</f>
        <v>70</v>
      </c>
    </row>
    <row r="19" spans="1:30" x14ac:dyDescent="0.3">
      <c r="A19">
        <v>120</v>
      </c>
      <c r="B19" s="14" t="s">
        <v>632</v>
      </c>
      <c r="C19" s="14" t="s">
        <v>135</v>
      </c>
      <c r="D19" s="14" t="s">
        <v>134</v>
      </c>
      <c r="E19">
        <v>108</v>
      </c>
      <c r="F19">
        <v>90</v>
      </c>
      <c r="G19">
        <v>85</v>
      </c>
      <c r="H19">
        <v>130</v>
      </c>
      <c r="I19">
        <v>95</v>
      </c>
      <c r="J19">
        <v>92</v>
      </c>
      <c r="K19" s="14">
        <f>CAP[[#This Row],[HP]]*2+141</f>
        <v>357</v>
      </c>
      <c r="L19" s="14">
        <f>CAP[[#This Row],[Atk]]*2+36</f>
        <v>216</v>
      </c>
      <c r="M19">
        <f>CAP[[#This Row],[Def]]*2+36</f>
        <v>206</v>
      </c>
      <c r="N19">
        <f>CAP[[#This Row],[SpA]]*2+36</f>
        <v>296</v>
      </c>
      <c r="O19" s="14">
        <f>CAP[[#This Row],[SpD]]*2+36</f>
        <v>226</v>
      </c>
      <c r="P19" s="14">
        <f>CAP[[#This Row],[SPD Factor]]/822</f>
        <v>0.77007299270072993</v>
      </c>
      <c r="Q19" s="14">
        <f>VLOOKUP(CAP[[#This Row],[Spe]],SpeedFactor[#All], 2, TRUE)</f>
        <v>633</v>
      </c>
      <c r="R19" s="14">
        <f>CAP[[#This Row],[Stat HP]]*CAP[[#This Row],[Stat Def]]</f>
        <v>73542</v>
      </c>
      <c r="S19" s="14">
        <f>CAP[[#This Row],[Stat HP]]*CAP[[#This Row],[Stat SpD]]</f>
        <v>80682</v>
      </c>
      <c r="T19" s="1">
        <f>CAP[[#This Row],[Stat Atk]]*(CAP[[#This Row],[Stat Atk]]*CAP[[#This Row],[Stat Spe]]+415)/(CAP[[#This Row],[Stat Atk]]*(1-CAP[[#This Row],[Stat Spe]])+415)</f>
        <v>270.23497070327841</v>
      </c>
      <c r="U19" s="4">
        <f>CAP[[#This Row],[Stat SpA]]*(CAP[[#This Row],[Stat SpA]]*CAP[[#This Row],[Stat Spe]]+415)/(CAP[[#This Row],[Stat SpA]]*(1-CAP[[#This Row],[Stat Spe]])+415)</f>
        <v>393.97041357530338</v>
      </c>
      <c r="V19" s="9">
        <f>(CAP[[#This Row],[RPT]] /432.441508090053)-22.8128616201416</f>
        <v>147.24944420431544</v>
      </c>
      <c r="W19" s="10">
        <f>(CAP[[#This Row],[RST]] /426.30249118172)-22.4239890939417</f>
        <v>166.83598866585908</v>
      </c>
      <c r="X19" s="10">
        <f>(CAP[[#This Row],[RPS]]/2.21869141127892)+2.84495101810441</f>
        <v>124.64421040564893</v>
      </c>
      <c r="Y19" s="11">
        <f>(CAP[[#This Row],[RSS]]/2.30100441716059)+11.4244456864885</f>
        <v>182.64115897792053</v>
      </c>
      <c r="Z19" s="5">
        <f>(MAX(CAP[[#This Row],[PS]],CAP[[#This Row],[SS]]) - MAX(CAP[[#This Row],[PT]],CAP[[#This Row],[ST]])) / 6.165301 - 0.490854</f>
        <v>2.0727143175990026</v>
      </c>
      <c r="AA19" s="1">
        <f>(CAP[[#This Row],[PT]] - CAP[[#This Row],[ST]] + CAP[[#This Row],[PS]] - CAP[[#This Row],[SS]]) / 6.8267</f>
        <v>-11.364713995607721</v>
      </c>
      <c r="AB19" s="3">
        <f xml:space="preserve"> (CAP[[#This Row],[PT]] + CAP[[#This Row],[ST]] + CAP[[#This Row],[PS]] + CAP[[#This Row],[SS]]) /1.54532785176361-58.8447490566471</f>
        <v>343.2516743945983</v>
      </c>
      <c r="AC19"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Very Good</v>
      </c>
      <c r="AD19" s="14">
        <f>IF(CAP[[#This Row],[Overall Rating]]&lt;=200,80,IF(CAP[[#This Row],[Overall Rating]]&lt;250,75,IF(CAP[[#This Row],[Overall Rating]]&lt;300,70,IF(CAP[[#This Row],[Overall Rating]]&lt;350,65,IF(CAP[[#This Row],[Overall Rating]]&lt;400,60,IF(CAP[[#This Row],[Overall Rating]]&lt;450,55,50))))))</f>
        <v>65</v>
      </c>
    </row>
    <row r="20" spans="1:30" x14ac:dyDescent="0.3">
      <c r="A20">
        <v>119</v>
      </c>
      <c r="B20" s="14" t="s">
        <v>629</v>
      </c>
      <c r="C20" s="14" t="s">
        <v>231</v>
      </c>
      <c r="D20" s="14" t="s">
        <v>28</v>
      </c>
      <c r="E20">
        <v>75</v>
      </c>
      <c r="F20">
        <v>135</v>
      </c>
      <c r="G20">
        <v>60</v>
      </c>
      <c r="H20">
        <v>60</v>
      </c>
      <c r="I20">
        <v>60</v>
      </c>
      <c r="J20">
        <v>110</v>
      </c>
      <c r="K20" s="14">
        <f>CAP[[#This Row],[HP]]*2+141</f>
        <v>291</v>
      </c>
      <c r="L20" s="14">
        <f>CAP[[#This Row],[Atk]]*2+36</f>
        <v>306</v>
      </c>
      <c r="M20">
        <f>CAP[[#This Row],[Def]]*2+36</f>
        <v>156</v>
      </c>
      <c r="N20">
        <f>CAP[[#This Row],[SpA]]*2+36</f>
        <v>156</v>
      </c>
      <c r="O20" s="14">
        <f>CAP[[#This Row],[SpD]]*2+36</f>
        <v>156</v>
      </c>
      <c r="P20" s="14">
        <f>CAP[[#This Row],[SPD Factor]]/822</f>
        <v>0.92822384428223847</v>
      </c>
      <c r="Q20" s="14">
        <f>VLOOKUP(CAP[[#This Row],[Spe]],SpeedFactor[#All], 2, TRUE)</f>
        <v>763</v>
      </c>
      <c r="R20" s="14">
        <f>CAP[[#This Row],[Stat HP]]*CAP[[#This Row],[Stat Def]]</f>
        <v>45396</v>
      </c>
      <c r="S20" s="14">
        <f>CAP[[#This Row],[Stat HP]]*CAP[[#This Row],[Stat SpD]]</f>
        <v>45396</v>
      </c>
      <c r="T20" s="1">
        <f>CAP[[#This Row],[Stat Atk]]*(CAP[[#This Row],[Stat Atk]]*CAP[[#This Row],[Stat Spe]]+415)/(CAP[[#This Row],[Stat Atk]]*(1-CAP[[#This Row],[Stat Spe]])+415)</f>
        <v>489.52639315782443</v>
      </c>
      <c r="U20" s="4">
        <f>CAP[[#This Row],[Stat SpA]]*(CAP[[#This Row],[Stat SpA]]*CAP[[#This Row],[Stat Spe]]+415)/(CAP[[#This Row],[Stat SpA]]*(1-CAP[[#This Row],[Stat Spe]])+415)</f>
        <v>204.9034578430869</v>
      </c>
      <c r="V20" s="9">
        <f>(CAP[[#This Row],[RPT]] /432.441508090053)-22.8128616201416</f>
        <v>82.163185199458781</v>
      </c>
      <c r="W20" s="10">
        <f>(CAP[[#This Row],[RST]] /426.30249118172)-22.4239890939417</f>
        <v>84.063777079230974</v>
      </c>
      <c r="X20" s="10">
        <f>(CAP[[#This Row],[RPS]]/2.21869141127892)+2.84495101810441</f>
        <v>223.48239102858645</v>
      </c>
      <c r="Y20" s="11">
        <f>(CAP[[#This Row],[RSS]]/2.30100441716059)+11.4244456864885</f>
        <v>100.47401739306312</v>
      </c>
      <c r="Z20" s="5">
        <f>(MAX(CAP[[#This Row],[PS]],CAP[[#This Row],[SS]]) - MAX(CAP[[#This Row],[PT]],CAP[[#This Row],[ST]])) / 6.165301 - 0.490854</f>
        <v>22.122577842071532</v>
      </c>
      <c r="AA20" s="1">
        <f>(CAP[[#This Row],[PT]] - CAP[[#This Row],[ST]] + CAP[[#This Row],[PS]] - CAP[[#This Row],[SS]]) / 6.8267</f>
        <v>17.740311095514834</v>
      </c>
      <c r="AB20" s="3">
        <f xml:space="preserve"> (CAP[[#This Row],[PT]] + CAP[[#This Row],[ST]] + CAP[[#This Row],[PS]] + CAP[[#This Row],[SS]]) /1.54532785176361-58.8447490566471</f>
        <v>258.35872989503042</v>
      </c>
      <c r="AC20"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Good</v>
      </c>
      <c r="AD20" s="14">
        <f>IF(CAP[[#This Row],[Overall Rating]]&lt;=200,80,IF(CAP[[#This Row],[Overall Rating]]&lt;250,75,IF(CAP[[#This Row],[Overall Rating]]&lt;300,70,IF(CAP[[#This Row],[Overall Rating]]&lt;350,65,IF(CAP[[#This Row],[Overall Rating]]&lt;400,60,IF(CAP[[#This Row],[Overall Rating]]&lt;450,55,50))))))</f>
        <v>70</v>
      </c>
    </row>
    <row r="21" spans="1:30" x14ac:dyDescent="0.3">
      <c r="A21">
        <v>118</v>
      </c>
      <c r="B21" s="14" t="s">
        <v>626</v>
      </c>
      <c r="C21" s="14" t="s">
        <v>96</v>
      </c>
      <c r="D21" s="14" t="s">
        <v>51</v>
      </c>
      <c r="E21">
        <v>95</v>
      </c>
      <c r="F21">
        <v>100</v>
      </c>
      <c r="G21">
        <v>70</v>
      </c>
      <c r="H21">
        <v>100</v>
      </c>
      <c r="I21">
        <v>75</v>
      </c>
      <c r="J21">
        <v>110</v>
      </c>
      <c r="K21" s="14">
        <f>CAP[[#This Row],[HP]]*2+141</f>
        <v>331</v>
      </c>
      <c r="L21" s="14">
        <f>CAP[[#This Row],[Atk]]*2+36</f>
        <v>236</v>
      </c>
      <c r="M21">
        <f>CAP[[#This Row],[Def]]*2+36</f>
        <v>176</v>
      </c>
      <c r="N21">
        <f>CAP[[#This Row],[SpA]]*2+36</f>
        <v>236</v>
      </c>
      <c r="O21" s="14">
        <f>CAP[[#This Row],[SpD]]*2+36</f>
        <v>186</v>
      </c>
      <c r="P21" s="14">
        <f>CAP[[#This Row],[SPD Factor]]/822</f>
        <v>0.92822384428223847</v>
      </c>
      <c r="Q21" s="14">
        <f>VLOOKUP(CAP[[#This Row],[Spe]],SpeedFactor[#All], 2, TRUE)</f>
        <v>763</v>
      </c>
      <c r="R21" s="14">
        <f>CAP[[#This Row],[Stat HP]]*CAP[[#This Row],[Stat Def]]</f>
        <v>58256</v>
      </c>
      <c r="S21" s="14">
        <f>CAP[[#This Row],[Stat HP]]*CAP[[#This Row],[Stat SpD]]</f>
        <v>61566</v>
      </c>
      <c r="T21" s="1">
        <f>CAP[[#This Row],[Stat Atk]]*(CAP[[#This Row],[Stat Atk]]*CAP[[#This Row],[Stat Spe]]+415)/(CAP[[#This Row],[Stat Atk]]*(1-CAP[[#This Row],[Stat Spe]])+415)</f>
        <v>346.43386076484143</v>
      </c>
      <c r="U21" s="4">
        <f>CAP[[#This Row],[Stat SpA]]*(CAP[[#This Row],[Stat SpA]]*CAP[[#This Row],[Stat Spe]]+415)/(CAP[[#This Row],[Stat SpA]]*(1-CAP[[#This Row],[Stat Spe]])+415)</f>
        <v>346.43386076484143</v>
      </c>
      <c r="V21" s="9">
        <f>(CAP[[#This Row],[RPT]] /432.441508090053)-22.8128616201416</f>
        <v>111.90131107178368</v>
      </c>
      <c r="W21" s="10">
        <f>(CAP[[#This Row],[RST]] /426.30249118172)-22.4239890939417</f>
        <v>121.99458990459449</v>
      </c>
      <c r="X21" s="10">
        <f>(CAP[[#This Row],[RPS]]/2.21869141127892)+2.84495101810441</f>
        <v>158.98827901933672</v>
      </c>
      <c r="Y21" s="11">
        <f>(CAP[[#This Row],[RSS]]/2.30100441716059)+11.4244456864885</f>
        <v>161.98211440767088</v>
      </c>
      <c r="Z21" s="5">
        <f>(MAX(CAP[[#This Row],[PS]],CAP[[#This Row],[SS]]) - MAX(CAP[[#This Row],[PT]],CAP[[#This Row],[ST]])) / 6.165301 - 0.490854</f>
        <v>5.995045796794412</v>
      </c>
      <c r="AA21" s="1">
        <f>(CAP[[#This Row],[PT]] - CAP[[#This Row],[ST]] + CAP[[#This Row],[PS]] - CAP[[#This Row],[SS]]) / 6.8267</f>
        <v>-1.9170483866502055</v>
      </c>
      <c r="AB21" s="3">
        <f xml:space="preserve"> (CAP[[#This Row],[PT]] + CAP[[#This Row],[ST]] + CAP[[#This Row],[PS]] + CAP[[#This Row],[SS]]) /1.54532785176361-58.8447490566471</f>
        <v>300.21581778044384</v>
      </c>
      <c r="AC21"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Very Good</v>
      </c>
      <c r="AD21" s="14">
        <f>IF(CAP[[#This Row],[Overall Rating]]&lt;=200,80,IF(CAP[[#This Row],[Overall Rating]]&lt;250,75,IF(CAP[[#This Row],[Overall Rating]]&lt;300,70,IF(CAP[[#This Row],[Overall Rating]]&lt;350,65,IF(CAP[[#This Row],[Overall Rating]]&lt;400,60,IF(CAP[[#This Row],[Overall Rating]]&lt;450,55,50))))))</f>
        <v>65</v>
      </c>
    </row>
    <row r="22" spans="1:30" x14ac:dyDescent="0.3">
      <c r="A22">
        <v>117</v>
      </c>
      <c r="B22" s="14" t="s">
        <v>610</v>
      </c>
      <c r="C22" s="14" t="s">
        <v>96</v>
      </c>
      <c r="D22" s="14" t="s">
        <v>51</v>
      </c>
      <c r="E22">
        <v>95</v>
      </c>
      <c r="F22">
        <v>70</v>
      </c>
      <c r="G22">
        <v>80</v>
      </c>
      <c r="H22">
        <v>115</v>
      </c>
      <c r="I22">
        <v>85</v>
      </c>
      <c r="J22">
        <v>85</v>
      </c>
      <c r="K22" s="14">
        <f>CAP[[#This Row],[HP]]*2+141</f>
        <v>331</v>
      </c>
      <c r="L22" s="14">
        <f>CAP[[#This Row],[Atk]]*2+36</f>
        <v>176</v>
      </c>
      <c r="M22">
        <f>CAP[[#This Row],[Def]]*2+36</f>
        <v>196</v>
      </c>
      <c r="N22">
        <f>CAP[[#This Row],[SpA]]*2+36</f>
        <v>266</v>
      </c>
      <c r="O22" s="14">
        <f>CAP[[#This Row],[SpD]]*2+36</f>
        <v>206</v>
      </c>
      <c r="P22" s="14">
        <f>CAP[[#This Row],[SPD Factor]]/822</f>
        <v>0.71289537712895379</v>
      </c>
      <c r="Q22" s="14">
        <f>VLOOKUP(CAP[[#This Row],[Spe]],SpeedFactor[#All], 2, TRUE)</f>
        <v>586</v>
      </c>
      <c r="R22" s="14">
        <f>CAP[[#This Row],[Stat HP]]*CAP[[#This Row],[Stat Def]]</f>
        <v>64876</v>
      </c>
      <c r="S22" s="14">
        <f>CAP[[#This Row],[Stat HP]]*CAP[[#This Row],[Stat SpD]]</f>
        <v>68186</v>
      </c>
      <c r="T22" s="1">
        <f>CAP[[#This Row],[Stat Atk]]*(CAP[[#This Row],[Stat Atk]]*CAP[[#This Row],[Stat Spe]]+415)/(CAP[[#This Row],[Stat Atk]]*(1-CAP[[#This Row],[Stat Spe]])+415)</f>
        <v>204.33175667553425</v>
      </c>
      <c r="U22" s="4">
        <f>CAP[[#This Row],[Stat SpA]]*(CAP[[#This Row],[Stat SpA]]*CAP[[#This Row],[Stat Spe]]+415)/(CAP[[#This Row],[Stat SpA]]*(1-CAP[[#This Row],[Stat Spe]])+415)</f>
        <v>327.31278069649869</v>
      </c>
      <c r="V22" s="9">
        <f>(CAP[[#This Row],[RPT]] /432.441508090053)-22.8128616201416</f>
        <v>127.20973978677517</v>
      </c>
      <c r="W22" s="10">
        <f>(CAP[[#This Row],[RST]] /426.30249118172)-22.4239890939417</f>
        <v>137.52346936680266</v>
      </c>
      <c r="X22" s="10">
        <f>(CAP[[#This Row],[RPS]]/2.21869141127892)+2.84495101810441</f>
        <v>94.940569019235681</v>
      </c>
      <c r="Y22" s="11">
        <f>(CAP[[#This Row],[RSS]]/2.30100441716059)+11.4244456864885</f>
        <v>153.67223028674516</v>
      </c>
      <c r="Z22" s="5">
        <f>(MAX(CAP[[#This Row],[PS]],CAP[[#This Row],[SS]]) - MAX(CAP[[#This Row],[PT]],CAP[[#This Row],[ST]])) / 6.165301 - 0.490854</f>
        <v>2.1284440553492039</v>
      </c>
      <c r="AA22" s="1">
        <f>(CAP[[#This Row],[PT]] - CAP[[#This Row],[ST]] + CAP[[#This Row],[PS]] - CAP[[#This Row],[SS]]) / 6.8267</f>
        <v>-10.114021540061373</v>
      </c>
      <c r="AB22" s="3">
        <f xml:space="preserve"> (CAP[[#This Row],[PT]] + CAP[[#This Row],[ST]] + CAP[[#This Row],[PS]] + CAP[[#This Row],[SS]]) /1.54532785176361-58.8447490566471</f>
        <v>273.34754779071835</v>
      </c>
      <c r="AC22"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Good</v>
      </c>
      <c r="AD22" s="14">
        <f>IF(CAP[[#This Row],[Overall Rating]]&lt;=200,80,IF(CAP[[#This Row],[Overall Rating]]&lt;250,75,IF(CAP[[#This Row],[Overall Rating]]&lt;300,70,IF(CAP[[#This Row],[Overall Rating]]&lt;350,65,IF(CAP[[#This Row],[Overall Rating]]&lt;400,60,IF(CAP[[#This Row],[Overall Rating]]&lt;450,55,50))))))</f>
        <v>70</v>
      </c>
    </row>
    <row r="23" spans="1:30" x14ac:dyDescent="0.3">
      <c r="A23">
        <v>116</v>
      </c>
      <c r="B23" s="14" t="s">
        <v>622</v>
      </c>
      <c r="C23" s="14" t="s">
        <v>21</v>
      </c>
      <c r="D23" s="14" t="s">
        <v>89</v>
      </c>
      <c r="E23">
        <v>85</v>
      </c>
      <c r="F23">
        <v>50</v>
      </c>
      <c r="G23">
        <v>85</v>
      </c>
      <c r="H23">
        <v>130</v>
      </c>
      <c r="I23">
        <v>120</v>
      </c>
      <c r="J23">
        <v>60</v>
      </c>
      <c r="K23" s="14">
        <f>CAP[[#This Row],[HP]]*2+141</f>
        <v>311</v>
      </c>
      <c r="L23" s="14">
        <f>CAP[[#This Row],[Atk]]*2+36</f>
        <v>136</v>
      </c>
      <c r="M23">
        <f>CAP[[#This Row],[Def]]*2+36</f>
        <v>206</v>
      </c>
      <c r="N23">
        <f>CAP[[#This Row],[SpA]]*2+36</f>
        <v>296</v>
      </c>
      <c r="O23" s="14">
        <f>CAP[[#This Row],[SpD]]*2+36</f>
        <v>276</v>
      </c>
      <c r="P23" s="14">
        <f>CAP[[#This Row],[SPD Factor]]/822</f>
        <v>0.44525547445255476</v>
      </c>
      <c r="Q23" s="14">
        <f>VLOOKUP(CAP[[#This Row],[Spe]],SpeedFactor[#All], 2, TRUE)</f>
        <v>366</v>
      </c>
      <c r="R23" s="14">
        <f>CAP[[#This Row],[Stat HP]]*CAP[[#This Row],[Stat Def]]</f>
        <v>64066</v>
      </c>
      <c r="S23" s="14">
        <f>CAP[[#This Row],[Stat HP]]*CAP[[#This Row],[Stat SpD]]</f>
        <v>85836</v>
      </c>
      <c r="T23" s="1">
        <f>CAP[[#This Row],[Stat Atk]]*(CAP[[#This Row],[Stat Atk]]*CAP[[#This Row],[Stat Spe]]+415)/(CAP[[#This Row],[Stat Atk]]*(1-CAP[[#This Row],[Stat Spe]])+415)</f>
        <v>131.87087556369156</v>
      </c>
      <c r="U23" s="4">
        <f>CAP[[#This Row],[Stat SpA]]*(CAP[[#This Row],[Stat SpA]]*CAP[[#This Row],[Stat Spe]]+415)/(CAP[[#This Row],[Stat SpA]]*(1-CAP[[#This Row],[Stat Spe]])+415)</f>
        <v>279.43763783695232</v>
      </c>
      <c r="V23" s="9">
        <f>(CAP[[#This Row],[RPT]] /432.441508090053)-22.8128616201416</f>
        <v>125.33665409808287</v>
      </c>
      <c r="W23" s="10">
        <f>(CAP[[#This Row],[RST]] /426.30249118172)-22.4239890939417</f>
        <v>178.9259954254091</v>
      </c>
      <c r="X23" s="10">
        <f>(CAP[[#This Row],[RPS]]/2.21869141127892)+2.84495101810441</f>
        <v>62.281281322225993</v>
      </c>
      <c r="Y23" s="11">
        <f>(CAP[[#This Row],[RSS]]/2.30100441716059)+11.4244456864885</f>
        <v>132.86603691201722</v>
      </c>
      <c r="Z23" s="5">
        <f>(MAX(CAP[[#This Row],[PS]],CAP[[#This Row],[SS]]) - MAX(CAP[[#This Row],[PT]],CAP[[#This Row],[ST]])) / 6.165301 - 0.490854</f>
        <v>-7.9616909491435814</v>
      </c>
      <c r="AA23" s="1">
        <f>(CAP[[#This Row],[PT]] - CAP[[#This Row],[ST]] + CAP[[#This Row],[PS]] - CAP[[#This Row],[SS]]) / 6.8267</f>
        <v>-18.189476162291804</v>
      </c>
      <c r="AB23" s="3">
        <f xml:space="preserve"> (CAP[[#This Row],[PT]] + CAP[[#This Row],[ST]] + CAP[[#This Row],[PS]] + CAP[[#This Row],[SS]]) /1.54532785176361-58.8447490566471</f>
        <v>264.32937039495152</v>
      </c>
      <c r="AC23"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Good</v>
      </c>
      <c r="AD23" s="14">
        <f>IF(CAP[[#This Row],[Overall Rating]]&lt;=200,80,IF(CAP[[#This Row],[Overall Rating]]&lt;250,75,IF(CAP[[#This Row],[Overall Rating]]&lt;300,70,IF(CAP[[#This Row],[Overall Rating]]&lt;350,65,IF(CAP[[#This Row],[Overall Rating]]&lt;400,60,IF(CAP[[#This Row],[Overall Rating]]&lt;450,55,50))))))</f>
        <v>70</v>
      </c>
    </row>
    <row r="24" spans="1:30" x14ac:dyDescent="0.3">
      <c r="A24">
        <v>115</v>
      </c>
      <c r="B24" s="14" t="s">
        <v>607</v>
      </c>
      <c r="C24" s="14" t="s">
        <v>21</v>
      </c>
      <c r="D24" s="14" t="s">
        <v>89</v>
      </c>
      <c r="E24">
        <v>85</v>
      </c>
      <c r="F24">
        <v>60</v>
      </c>
      <c r="G24">
        <v>75</v>
      </c>
      <c r="H24">
        <v>110</v>
      </c>
      <c r="I24">
        <v>100</v>
      </c>
      <c r="J24">
        <v>70</v>
      </c>
      <c r="K24" s="14">
        <f>CAP[[#This Row],[HP]]*2+141</f>
        <v>311</v>
      </c>
      <c r="L24" s="14">
        <f>CAP[[#This Row],[Atk]]*2+36</f>
        <v>156</v>
      </c>
      <c r="M24">
        <f>CAP[[#This Row],[Def]]*2+36</f>
        <v>186</v>
      </c>
      <c r="N24">
        <f>CAP[[#This Row],[SpA]]*2+36</f>
        <v>256</v>
      </c>
      <c r="O24" s="14">
        <f>CAP[[#This Row],[SpD]]*2+36</f>
        <v>236</v>
      </c>
      <c r="P24" s="14">
        <f>CAP[[#This Row],[SPD Factor]]/822</f>
        <v>0.57055961070559613</v>
      </c>
      <c r="Q24" s="14">
        <f>VLOOKUP(CAP[[#This Row],[Spe]],SpeedFactor[#All], 2, TRUE)</f>
        <v>469</v>
      </c>
      <c r="R24" s="14">
        <f>CAP[[#This Row],[Stat HP]]*CAP[[#This Row],[Stat Def]]</f>
        <v>57846</v>
      </c>
      <c r="S24" s="14">
        <f>CAP[[#This Row],[Stat HP]]*CAP[[#This Row],[Stat SpD]]</f>
        <v>73396</v>
      </c>
      <c r="T24" s="1">
        <f>CAP[[#This Row],[Stat Atk]]*(CAP[[#This Row],[Stat Atk]]*CAP[[#This Row],[Stat Spe]]+415)/(CAP[[#This Row],[Stat Atk]]*(1-CAP[[#This Row],[Stat Spe]])+415)</f>
        <v>163.12516469038206</v>
      </c>
      <c r="U24" s="4">
        <f>CAP[[#This Row],[Stat SpA]]*(CAP[[#This Row],[Stat SpA]]*CAP[[#This Row],[Stat Spe]]+415)/(CAP[[#This Row],[Stat SpA]]*(1-CAP[[#This Row],[Stat Spe]])+415)</f>
        <v>273.61810251727701</v>
      </c>
      <c r="V24" s="9">
        <f>(CAP[[#This Row],[RPT]] /432.441508090053)-22.8128616201416</f>
        <v>110.9532059700999</v>
      </c>
      <c r="W24" s="10">
        <f>(CAP[[#This Row],[RST]] /426.30249118172)-22.4239890939417</f>
        <v>149.74483824869162</v>
      </c>
      <c r="X24" s="10">
        <f>(CAP[[#This Row],[RPS]]/2.21869141127892)+2.84495101810441</f>
        <v>76.36809347095766</v>
      </c>
      <c r="Y24" s="11">
        <f>(CAP[[#This Row],[RSS]]/2.30100441716059)+11.4244456864885</f>
        <v>130.33690864252154</v>
      </c>
      <c r="Z24" s="5">
        <f>(MAX(CAP[[#This Row],[PS]],CAP[[#This Row],[SS]]) - MAX(CAP[[#This Row],[PT]],CAP[[#This Row],[ST]])) / 6.165301 - 0.490854</f>
        <v>-3.6387829666749583</v>
      </c>
      <c r="AA24" s="1">
        <f>(CAP[[#This Row],[PT]] - CAP[[#This Row],[ST]] + CAP[[#This Row],[PS]] - CAP[[#This Row],[SS]]) / 6.8267</f>
        <v>-13.587889822338113</v>
      </c>
      <c r="AB24" s="3">
        <f xml:space="preserve"> (CAP[[#This Row],[PT]] + CAP[[#This Row],[ST]] + CAP[[#This Row],[PS]] + CAP[[#This Row],[SS]]) /1.54532785176361-58.8447490566471</f>
        <v>243.61731153382601</v>
      </c>
      <c r="AC24"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Above Average</v>
      </c>
      <c r="AD24" s="14">
        <f>IF(CAP[[#This Row],[Overall Rating]]&lt;=200,80,IF(CAP[[#This Row],[Overall Rating]]&lt;250,75,IF(CAP[[#This Row],[Overall Rating]]&lt;300,70,IF(CAP[[#This Row],[Overall Rating]]&lt;350,65,IF(CAP[[#This Row],[Overall Rating]]&lt;400,60,IF(CAP[[#This Row],[Overall Rating]]&lt;450,55,50))))))</f>
        <v>75</v>
      </c>
    </row>
    <row r="25" spans="1:30" x14ac:dyDescent="0.3">
      <c r="A25">
        <v>114</v>
      </c>
      <c r="B25" s="14" t="s">
        <v>594</v>
      </c>
      <c r="C25" s="14" t="s">
        <v>51</v>
      </c>
      <c r="D25" s="14" t="s">
        <v>383</v>
      </c>
      <c r="E25">
        <v>85</v>
      </c>
      <c r="F25">
        <v>95</v>
      </c>
      <c r="G25">
        <v>85</v>
      </c>
      <c r="H25">
        <v>120</v>
      </c>
      <c r="I25">
        <v>85</v>
      </c>
      <c r="J25">
        <v>130</v>
      </c>
      <c r="K25" s="14">
        <f>CAP[[#This Row],[HP]]*2+141</f>
        <v>311</v>
      </c>
      <c r="L25" s="14">
        <f>CAP[[#This Row],[Atk]]*2+36</f>
        <v>226</v>
      </c>
      <c r="M25">
        <f>CAP[[#This Row],[Def]]*2+36</f>
        <v>206</v>
      </c>
      <c r="N25">
        <f>CAP[[#This Row],[SpA]]*2+36</f>
        <v>276</v>
      </c>
      <c r="O25" s="14">
        <f>CAP[[#This Row],[SpD]]*2+36</f>
        <v>206</v>
      </c>
      <c r="P25" s="14">
        <f>CAP[[#This Row],[SPD Factor]]/822</f>
        <v>0.98418491484184911</v>
      </c>
      <c r="Q25" s="14">
        <f>VLOOKUP(CAP[[#This Row],[Spe]],SpeedFactor[#All], 2, TRUE)</f>
        <v>809</v>
      </c>
      <c r="R25" s="14">
        <f>CAP[[#This Row],[Stat HP]]*CAP[[#This Row],[Stat Def]]</f>
        <v>64066</v>
      </c>
      <c r="S25" s="14">
        <f>CAP[[#This Row],[Stat HP]]*CAP[[#This Row],[Stat SpD]]</f>
        <v>64066</v>
      </c>
      <c r="T25" s="1">
        <f>CAP[[#This Row],[Stat Atk]]*(CAP[[#This Row],[Stat Atk]]*CAP[[#This Row],[Stat Spe]]+415)/(CAP[[#This Row],[Stat Atk]]*(1-CAP[[#This Row],[Stat Spe]])+415)</f>
        <v>344.16413034632689</v>
      </c>
      <c r="U25" s="4">
        <f>CAP[[#This Row],[Stat SpA]]*(CAP[[#This Row],[Stat SpA]]*CAP[[#This Row],[Stat Spe]]+415)/(CAP[[#This Row],[Stat SpA]]*(1-CAP[[#This Row],[Stat Spe]])+415)</f>
        <v>451.90057960419824</v>
      </c>
      <c r="V25" s="9">
        <f>(CAP[[#This Row],[RPT]] /432.441508090053)-22.8128616201416</f>
        <v>125.33665409808287</v>
      </c>
      <c r="W25" s="10">
        <f>(CAP[[#This Row],[RST]] /426.30249118172)-22.4239890939417</f>
        <v>127.85897036615346</v>
      </c>
      <c r="X25" s="10">
        <f>(CAP[[#This Row],[RPS]]/2.21869141127892)+2.84495101810441</f>
        <v>157.96527491566727</v>
      </c>
      <c r="Y25" s="11">
        <f>(CAP[[#This Row],[RSS]]/2.30100441716059)+11.4244456864885</f>
        <v>207.81719323359567</v>
      </c>
      <c r="Z25" s="5">
        <f>(MAX(CAP[[#This Row],[PS]],CAP[[#This Row],[SS]]) - MAX(CAP[[#This Row],[PT]],CAP[[#This Row],[ST]])) / 6.165301 - 0.490854</f>
        <v>12.478216426154734</v>
      </c>
      <c r="AA25" s="1">
        <f>(CAP[[#This Row],[PT]] - CAP[[#This Row],[ST]] + CAP[[#This Row],[PS]] - CAP[[#This Row],[SS]]) / 6.8267</f>
        <v>-7.6719695586445837</v>
      </c>
      <c r="AB25" s="3">
        <f xml:space="preserve"> (CAP[[#This Row],[PT]] + CAP[[#This Row],[ST]] + CAP[[#This Row],[PS]] + CAP[[#This Row],[SS]]) /1.54532785176361-58.8447490566471</f>
        <v>341.7033235786119</v>
      </c>
      <c r="AC25"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Very Good</v>
      </c>
      <c r="AD25" s="14">
        <f>IF(CAP[[#This Row],[Overall Rating]]&lt;=200,80,IF(CAP[[#This Row],[Overall Rating]]&lt;250,75,IF(CAP[[#This Row],[Overall Rating]]&lt;300,70,IF(CAP[[#This Row],[Overall Rating]]&lt;350,65,IF(CAP[[#This Row],[Overall Rating]]&lt;400,60,IF(CAP[[#This Row],[Overall Rating]]&lt;450,55,50))))))</f>
        <v>65</v>
      </c>
    </row>
    <row r="26" spans="1:30" x14ac:dyDescent="0.3">
      <c r="A26">
        <v>113</v>
      </c>
      <c r="B26" s="14" t="s">
        <v>588</v>
      </c>
      <c r="C26" s="14" t="s">
        <v>51</v>
      </c>
      <c r="D26" s="14" t="s">
        <v>383</v>
      </c>
      <c r="E26">
        <v>60</v>
      </c>
      <c r="F26">
        <v>70</v>
      </c>
      <c r="G26">
        <v>60</v>
      </c>
      <c r="H26">
        <v>85</v>
      </c>
      <c r="I26">
        <v>60</v>
      </c>
      <c r="J26">
        <v>100</v>
      </c>
      <c r="K26" s="14">
        <f>CAP[[#This Row],[HP]]*2+141</f>
        <v>261</v>
      </c>
      <c r="L26" s="14">
        <f>CAP[[#This Row],[Atk]]*2+36</f>
        <v>176</v>
      </c>
      <c r="M26">
        <f>CAP[[#This Row],[Def]]*2+36</f>
        <v>156</v>
      </c>
      <c r="N26">
        <f>CAP[[#This Row],[SpA]]*2+36</f>
        <v>206</v>
      </c>
      <c r="O26" s="14">
        <f>CAP[[#This Row],[SpD]]*2+36</f>
        <v>156</v>
      </c>
      <c r="P26" s="14">
        <f>CAP[[#This Row],[SPD Factor]]/822</f>
        <v>0.86496350364963503</v>
      </c>
      <c r="Q26" s="14">
        <f>VLOOKUP(CAP[[#This Row],[Spe]],SpeedFactor[#All], 2, TRUE)</f>
        <v>711</v>
      </c>
      <c r="R26" s="14">
        <f>CAP[[#This Row],[Stat HP]]*CAP[[#This Row],[Stat Def]]</f>
        <v>40716</v>
      </c>
      <c r="S26" s="14">
        <f>CAP[[#This Row],[Stat HP]]*CAP[[#This Row],[Stat SpD]]</f>
        <v>40716</v>
      </c>
      <c r="T26" s="1">
        <f>CAP[[#This Row],[Stat Atk]]*(CAP[[#This Row],[Stat Atk]]*CAP[[#This Row],[Stat Spe]]+415)/(CAP[[#This Row],[Stat Atk]]*(1-CAP[[#This Row],[Stat Spe]])+415)</f>
        <v>227.53133369932291</v>
      </c>
      <c r="U26" s="4">
        <f>CAP[[#This Row],[Stat SpA]]*(CAP[[#This Row],[Stat SpA]]*CAP[[#This Row],[Stat Spe]]+415)/(CAP[[#This Row],[Stat SpA]]*(1-CAP[[#This Row],[Stat Spe]])+415)</f>
        <v>275.95021923317836</v>
      </c>
      <c r="V26" s="9">
        <f>(CAP[[#This Row],[RPT]] /432.441508090053)-22.8128616201416</f>
        <v>71.340912331458739</v>
      </c>
      <c r="W26" s="10">
        <f>(CAP[[#This Row],[RST]] /426.30249118172)-22.4239890939417</f>
        <v>73.085656855192553</v>
      </c>
      <c r="X26" s="10">
        <f>(CAP[[#This Row],[RPS]]/2.21869141127892)+2.84495101810441</f>
        <v>105.39699252448364</v>
      </c>
      <c r="Y26" s="11">
        <f>(CAP[[#This Row],[RSS]]/2.30100441716059)+11.4244456864885</f>
        <v>131.35042982418844</v>
      </c>
      <c r="Z26" s="5">
        <f>(MAX(CAP[[#This Row],[PS]],CAP[[#This Row],[SS]]) - MAX(CAP[[#This Row],[PT]],CAP[[#This Row],[ST]])) / 6.165301 - 0.490854</f>
        <v>8.9595804506449692</v>
      </c>
      <c r="AA26" s="1">
        <f>(CAP[[#This Row],[PT]] - CAP[[#This Row],[ST]] + CAP[[#This Row],[PS]] - CAP[[#This Row],[SS]]) / 6.8267</f>
        <v>-4.0573310418560382</v>
      </c>
      <c r="AB26" s="3">
        <f xml:space="preserve"> (CAP[[#This Row],[PT]] + CAP[[#This Row],[ST]] + CAP[[#This Row],[PS]] + CAP[[#This Row],[SS]]) /1.54532785176361-58.8447490566471</f>
        <v>187.81746640805665</v>
      </c>
      <c r="AC26"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Below Average</v>
      </c>
      <c r="AD26" s="14">
        <f>IF(CAP[[#This Row],[Overall Rating]]&lt;=200,80,IF(CAP[[#This Row],[Overall Rating]]&lt;250,75,IF(CAP[[#This Row],[Overall Rating]]&lt;300,70,IF(CAP[[#This Row],[Overall Rating]]&lt;350,65,IF(CAP[[#This Row],[Overall Rating]]&lt;400,60,IF(CAP[[#This Row],[Overall Rating]]&lt;450,55,50))))))</f>
        <v>80</v>
      </c>
    </row>
    <row r="27" spans="1:30" x14ac:dyDescent="0.3">
      <c r="A27">
        <v>112</v>
      </c>
      <c r="B27" s="14" t="s">
        <v>586</v>
      </c>
      <c r="C27" s="14" t="s">
        <v>21</v>
      </c>
      <c r="D27" s="14" t="s">
        <v>383</v>
      </c>
      <c r="E27">
        <v>85</v>
      </c>
      <c r="F27">
        <v>100</v>
      </c>
      <c r="G27">
        <v>85</v>
      </c>
      <c r="H27">
        <v>110</v>
      </c>
      <c r="I27">
        <v>85</v>
      </c>
      <c r="J27">
        <v>130</v>
      </c>
      <c r="K27" s="14">
        <f>CAP[[#This Row],[HP]]*2+141</f>
        <v>311</v>
      </c>
      <c r="L27" s="14">
        <f>CAP[[#This Row],[Atk]]*2+36</f>
        <v>236</v>
      </c>
      <c r="M27">
        <f>CAP[[#This Row],[Def]]*2+36</f>
        <v>206</v>
      </c>
      <c r="N27">
        <f>CAP[[#This Row],[SpA]]*2+36</f>
        <v>256</v>
      </c>
      <c r="O27" s="14">
        <f>CAP[[#This Row],[SpD]]*2+36</f>
        <v>206</v>
      </c>
      <c r="P27" s="14">
        <f>CAP[[#This Row],[SPD Factor]]/822</f>
        <v>0.98418491484184911</v>
      </c>
      <c r="Q27" s="14">
        <f>VLOOKUP(CAP[[#This Row],[Spe]],SpeedFactor[#All], 2, TRUE)</f>
        <v>809</v>
      </c>
      <c r="R27" s="14">
        <f>CAP[[#This Row],[Stat HP]]*CAP[[#This Row],[Stat Def]]</f>
        <v>64066</v>
      </c>
      <c r="S27" s="14">
        <f>CAP[[#This Row],[Stat HP]]*CAP[[#This Row],[Stat SpD]]</f>
        <v>64066</v>
      </c>
      <c r="T27" s="1">
        <f>CAP[[#This Row],[Stat Atk]]*(CAP[[#This Row],[Stat Atk]]*CAP[[#This Row],[Stat Spe]]+415)/(CAP[[#This Row],[Stat Atk]]*(1-CAP[[#This Row],[Stat Spe]])+415)</f>
        <v>364.80381640799766</v>
      </c>
      <c r="U27" s="4">
        <f>CAP[[#This Row],[Stat SpA]]*(CAP[[#This Row],[Stat SpA]]*CAP[[#This Row],[Stat Spe]]+415)/(CAP[[#This Row],[Stat SpA]]*(1-CAP[[#This Row],[Stat Spe]])+415)</f>
        <v>407.44562181746397</v>
      </c>
      <c r="V27" s="9">
        <f>(CAP[[#This Row],[RPT]] /432.441508090053)-22.8128616201416</f>
        <v>125.33665409808287</v>
      </c>
      <c r="W27" s="10">
        <f>(CAP[[#This Row],[RST]] /426.30249118172)-22.4239890939417</f>
        <v>127.85897036615346</v>
      </c>
      <c r="X27" s="10">
        <f>(CAP[[#This Row],[RPS]]/2.21869141127892)+2.84495101810441</f>
        <v>167.26791428081151</v>
      </c>
      <c r="Y27" s="11">
        <f>(CAP[[#This Row],[RSS]]/2.30100441716059)+11.4244456864885</f>
        <v>188.49738773683305</v>
      </c>
      <c r="Z27" s="5">
        <f>(MAX(CAP[[#This Row],[PS]],CAP[[#This Row],[SS]]) - MAX(CAP[[#This Row],[PT]],CAP[[#This Row],[ST]])) / 6.165301 - 0.490854</f>
        <v>9.3445810210443234</v>
      </c>
      <c r="AA27" s="1">
        <f>(CAP[[#This Row],[PT]] - CAP[[#This Row],[ST]] + CAP[[#This Row],[PS]] - CAP[[#This Row],[SS]]) / 6.8267</f>
        <v>-3.479249084344139</v>
      </c>
      <c r="AB27" s="3">
        <f xml:space="preserve"> (CAP[[#This Row],[PT]] + CAP[[#This Row],[ST]] + CAP[[#This Row],[PS]] + CAP[[#This Row],[SS]]) /1.54532785176361-58.8447490566471</f>
        <v>335.22109644461818</v>
      </c>
      <c r="AC27"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Very Good</v>
      </c>
      <c r="AD27" s="14">
        <f>IF(CAP[[#This Row],[Overall Rating]]&lt;=200,80,IF(CAP[[#This Row],[Overall Rating]]&lt;250,75,IF(CAP[[#This Row],[Overall Rating]]&lt;300,70,IF(CAP[[#This Row],[Overall Rating]]&lt;350,65,IF(CAP[[#This Row],[Overall Rating]]&lt;400,60,IF(CAP[[#This Row],[Overall Rating]]&lt;450,55,50))))))</f>
        <v>65</v>
      </c>
    </row>
    <row r="28" spans="1:30" x14ac:dyDescent="0.3">
      <c r="A28">
        <v>111</v>
      </c>
      <c r="B28" s="14" t="s">
        <v>580</v>
      </c>
      <c r="C28" s="14" t="s">
        <v>21</v>
      </c>
      <c r="D28" s="14" t="s">
        <v>383</v>
      </c>
      <c r="E28">
        <v>60</v>
      </c>
      <c r="F28">
        <v>75</v>
      </c>
      <c r="G28">
        <v>60</v>
      </c>
      <c r="H28">
        <v>80</v>
      </c>
      <c r="I28">
        <v>60</v>
      </c>
      <c r="J28">
        <v>100</v>
      </c>
      <c r="K28" s="14">
        <f>CAP[[#This Row],[HP]]*2+141</f>
        <v>261</v>
      </c>
      <c r="L28" s="14">
        <f>CAP[[#This Row],[Atk]]*2+36</f>
        <v>186</v>
      </c>
      <c r="M28">
        <f>CAP[[#This Row],[Def]]*2+36</f>
        <v>156</v>
      </c>
      <c r="N28">
        <f>CAP[[#This Row],[SpA]]*2+36</f>
        <v>196</v>
      </c>
      <c r="O28" s="14">
        <f>CAP[[#This Row],[SpD]]*2+36</f>
        <v>156</v>
      </c>
      <c r="P28" s="14">
        <f>CAP[[#This Row],[SPD Factor]]/822</f>
        <v>0.86496350364963503</v>
      </c>
      <c r="Q28" s="14">
        <f>VLOOKUP(CAP[[#This Row],[Spe]],SpeedFactor[#All], 2, TRUE)</f>
        <v>711</v>
      </c>
      <c r="R28" s="14">
        <f>CAP[[#This Row],[Stat HP]]*CAP[[#This Row],[Stat Def]]</f>
        <v>40716</v>
      </c>
      <c r="S28" s="14">
        <f>CAP[[#This Row],[Stat HP]]*CAP[[#This Row],[Stat SpD]]</f>
        <v>40716</v>
      </c>
      <c r="T28" s="1">
        <f>CAP[[#This Row],[Stat Atk]]*(CAP[[#This Row],[Stat Atk]]*CAP[[#This Row],[Stat Spe]]+415)/(CAP[[#This Row],[Stat Atk]]*(1-CAP[[#This Row],[Stat Spe]])+415)</f>
        <v>243.37694042722569</v>
      </c>
      <c r="U28" s="4">
        <f>CAP[[#This Row],[Stat SpA]]*(CAP[[#This Row],[Stat SpA]]*CAP[[#This Row],[Stat Spe]]+415)/(CAP[[#This Row],[Stat SpA]]*(1-CAP[[#This Row],[Stat Spe]])+415)</f>
        <v>259.51746829582839</v>
      </c>
      <c r="V28" s="9">
        <f>(CAP[[#This Row],[RPT]] /432.441508090053)-22.8128616201416</f>
        <v>71.340912331458739</v>
      </c>
      <c r="W28" s="10">
        <f>(CAP[[#This Row],[RST]] /426.30249118172)-22.4239890939417</f>
        <v>73.085656855192553</v>
      </c>
      <c r="X28" s="10">
        <f>(CAP[[#This Row],[RPS]]/2.21869141127892)+2.84495101810441</f>
        <v>112.53886301956474</v>
      </c>
      <c r="Y28" s="11">
        <f>(CAP[[#This Row],[RSS]]/2.30100441716059)+11.4244456864885</f>
        <v>124.20887424315752</v>
      </c>
      <c r="Z28" s="5">
        <f>(MAX(CAP[[#This Row],[PS]],CAP[[#This Row],[SS]]) - MAX(CAP[[#This Row],[PT]],CAP[[#This Row],[ST]])) / 6.165301 - 0.490854</f>
        <v>7.8012338296071784</v>
      </c>
      <c r="AA28" s="1">
        <f>(CAP[[#This Row],[PT]] - CAP[[#This Row],[ST]] + CAP[[#This Row],[PS]] - CAP[[#This Row],[SS]]) / 6.8267</f>
        <v>-1.9650425164906318</v>
      </c>
      <c r="AB28" s="3">
        <f xml:space="preserve"> (CAP[[#This Row],[PT]] + CAP[[#This Row],[ST]] + CAP[[#This Row],[PS]] + CAP[[#This Row],[SS]]) /1.54532785176361-58.8447490566471</f>
        <v>187.81767019267744</v>
      </c>
      <c r="AC28"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Below Average</v>
      </c>
      <c r="AD28" s="14">
        <f>IF(CAP[[#This Row],[Overall Rating]]&lt;=200,80,IF(CAP[[#This Row],[Overall Rating]]&lt;250,75,IF(CAP[[#This Row],[Overall Rating]]&lt;300,70,IF(CAP[[#This Row],[Overall Rating]]&lt;350,65,IF(CAP[[#This Row],[Overall Rating]]&lt;400,60,IF(CAP[[#This Row],[Overall Rating]]&lt;450,55,50))))))</f>
        <v>80</v>
      </c>
    </row>
    <row r="29" spans="1:30" x14ac:dyDescent="0.3">
      <c r="A29">
        <v>110</v>
      </c>
      <c r="B29" s="14" t="s">
        <v>578</v>
      </c>
      <c r="C29" s="14" t="s">
        <v>37</v>
      </c>
      <c r="D29" s="14" t="s">
        <v>383</v>
      </c>
      <c r="E29">
        <v>85</v>
      </c>
      <c r="F29">
        <v>110</v>
      </c>
      <c r="G29">
        <v>85</v>
      </c>
      <c r="H29">
        <v>100</v>
      </c>
      <c r="I29">
        <v>85</v>
      </c>
      <c r="J29">
        <v>130</v>
      </c>
      <c r="K29" s="14">
        <f>CAP[[#This Row],[HP]]*2+141</f>
        <v>311</v>
      </c>
      <c r="L29" s="14">
        <f>CAP[[#This Row],[Atk]]*2+36</f>
        <v>256</v>
      </c>
      <c r="M29">
        <f>CAP[[#This Row],[Def]]*2+36</f>
        <v>206</v>
      </c>
      <c r="N29">
        <f>CAP[[#This Row],[SpA]]*2+36</f>
        <v>236</v>
      </c>
      <c r="O29" s="14">
        <f>CAP[[#This Row],[SpD]]*2+36</f>
        <v>206</v>
      </c>
      <c r="P29" s="14">
        <f>CAP[[#This Row],[SPD Factor]]/822</f>
        <v>0.98418491484184911</v>
      </c>
      <c r="Q29" s="14">
        <f>VLOOKUP(CAP[[#This Row],[Spe]],SpeedFactor[#All], 2, TRUE)</f>
        <v>809</v>
      </c>
      <c r="R29" s="14">
        <f>CAP[[#This Row],[Stat HP]]*CAP[[#This Row],[Stat Def]]</f>
        <v>64066</v>
      </c>
      <c r="S29" s="14">
        <f>CAP[[#This Row],[Stat HP]]*CAP[[#This Row],[Stat SpD]]</f>
        <v>64066</v>
      </c>
      <c r="T29" s="1">
        <f>CAP[[#This Row],[Stat Atk]]*(CAP[[#This Row],[Stat Atk]]*CAP[[#This Row],[Stat Spe]]+415)/(CAP[[#This Row],[Stat Atk]]*(1-CAP[[#This Row],[Stat Spe]])+415)</f>
        <v>407.44562181746397</v>
      </c>
      <c r="U29" s="4">
        <f>CAP[[#This Row],[Stat SpA]]*(CAP[[#This Row],[Stat SpA]]*CAP[[#This Row],[Stat Spe]]+415)/(CAP[[#This Row],[Stat SpA]]*(1-CAP[[#This Row],[Stat Spe]])+415)</f>
        <v>364.80381640799766</v>
      </c>
      <c r="V29" s="9">
        <f>(CAP[[#This Row],[RPT]] /432.441508090053)-22.8128616201416</f>
        <v>125.33665409808287</v>
      </c>
      <c r="W29" s="10">
        <f>(CAP[[#This Row],[RST]] /426.30249118172)-22.4239890939417</f>
        <v>127.85897036615346</v>
      </c>
      <c r="X29" s="10">
        <f>(CAP[[#This Row],[RPS]]/2.21869141127892)+2.84495101810441</f>
        <v>186.48726366517963</v>
      </c>
      <c r="Y29" s="11">
        <f>(CAP[[#This Row],[RSS]]/2.30100441716059)+11.4244456864885</f>
        <v>169.96556524598978</v>
      </c>
      <c r="Z29" s="5">
        <f>(MAX(CAP[[#This Row],[PS]],CAP[[#This Row],[SS]]) - MAX(CAP[[#This Row],[PT]],CAP[[#This Row],[ST]])) / 6.165301 - 0.490854</f>
        <v>9.0185427511117719</v>
      </c>
      <c r="AA29" s="1">
        <f>(CAP[[#This Row],[PT]] - CAP[[#This Row],[ST]] + CAP[[#This Row],[PS]] - CAP[[#This Row],[SS]]) / 6.8267</f>
        <v>2.0506807317033484</v>
      </c>
      <c r="AB29" s="3">
        <f xml:space="preserve"> (CAP[[#This Row],[PT]] + CAP[[#This Row],[ST]] + CAP[[#This Row],[PS]] + CAP[[#This Row],[SS]]) /1.54532785176361-58.8447490566471</f>
        <v>335.66600326017851</v>
      </c>
      <c r="AC29"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Very Good</v>
      </c>
      <c r="AD29" s="14">
        <f>IF(CAP[[#This Row],[Overall Rating]]&lt;=200,80,IF(CAP[[#This Row],[Overall Rating]]&lt;250,75,IF(CAP[[#This Row],[Overall Rating]]&lt;300,70,IF(CAP[[#This Row],[Overall Rating]]&lt;350,65,IF(CAP[[#This Row],[Overall Rating]]&lt;400,60,IF(CAP[[#This Row],[Overall Rating]]&lt;450,55,50))))))</f>
        <v>65</v>
      </c>
    </row>
    <row r="30" spans="1:30" x14ac:dyDescent="0.3">
      <c r="A30">
        <v>109</v>
      </c>
      <c r="B30" s="14" t="s">
        <v>572</v>
      </c>
      <c r="C30" s="14" t="s">
        <v>37</v>
      </c>
      <c r="D30" s="14" t="s">
        <v>383</v>
      </c>
      <c r="E30">
        <v>60</v>
      </c>
      <c r="F30">
        <v>80</v>
      </c>
      <c r="G30">
        <v>60</v>
      </c>
      <c r="H30">
        <v>75</v>
      </c>
      <c r="I30">
        <v>60</v>
      </c>
      <c r="J30">
        <v>100</v>
      </c>
      <c r="K30" s="14">
        <f>CAP[[#This Row],[HP]]*2+141</f>
        <v>261</v>
      </c>
      <c r="L30" s="14">
        <f>CAP[[#This Row],[Atk]]*2+36</f>
        <v>196</v>
      </c>
      <c r="M30">
        <f>CAP[[#This Row],[Def]]*2+36</f>
        <v>156</v>
      </c>
      <c r="N30">
        <f>CAP[[#This Row],[SpA]]*2+36</f>
        <v>186</v>
      </c>
      <c r="O30" s="14">
        <f>CAP[[#This Row],[SpD]]*2+36</f>
        <v>156</v>
      </c>
      <c r="P30" s="14">
        <f>CAP[[#This Row],[SPD Factor]]/822</f>
        <v>0.86496350364963503</v>
      </c>
      <c r="Q30" s="14">
        <f>VLOOKUP(CAP[[#This Row],[Spe]],SpeedFactor[#All], 2, TRUE)</f>
        <v>711</v>
      </c>
      <c r="R30" s="14">
        <f>CAP[[#This Row],[Stat HP]]*CAP[[#This Row],[Stat Def]]</f>
        <v>40716</v>
      </c>
      <c r="S30" s="14">
        <f>CAP[[#This Row],[Stat HP]]*CAP[[#This Row],[Stat SpD]]</f>
        <v>40716</v>
      </c>
      <c r="T30" s="1">
        <f>CAP[[#This Row],[Stat Atk]]*(CAP[[#This Row],[Stat Atk]]*CAP[[#This Row],[Stat Spe]]+415)/(CAP[[#This Row],[Stat Atk]]*(1-CAP[[#This Row],[Stat Spe]])+415)</f>
        <v>259.51746829582839</v>
      </c>
      <c r="U30" s="4">
        <f>CAP[[#This Row],[Stat SpA]]*(CAP[[#This Row],[Stat SpA]]*CAP[[#This Row],[Stat Spe]]+415)/(CAP[[#This Row],[Stat SpA]]*(1-CAP[[#This Row],[Stat Spe]])+415)</f>
        <v>243.37694042722569</v>
      </c>
      <c r="V30" s="9">
        <f>(CAP[[#This Row],[RPT]] /432.441508090053)-22.8128616201416</f>
        <v>71.340912331458739</v>
      </c>
      <c r="W30" s="10">
        <f>(CAP[[#This Row],[RST]] /426.30249118172)-22.4239890939417</f>
        <v>73.085656855192553</v>
      </c>
      <c r="X30" s="10">
        <f>(CAP[[#This Row],[RPS]]/2.21869141127892)+2.84495101810441</f>
        <v>119.81365922896586</v>
      </c>
      <c r="Y30" s="11">
        <f>(CAP[[#This Row],[RSS]]/2.30100441716059)+11.4244456864885</f>
        <v>117.19431670983478</v>
      </c>
      <c r="Z30" s="5">
        <f>(MAX(CAP[[#This Row],[PS]],CAP[[#This Row],[SS]]) - MAX(CAP[[#This Row],[PT]],CAP[[#This Row],[ST]])) / 6.165301 - 0.490854</f>
        <v>7.0883383822978487</v>
      </c>
      <c r="AA30" s="1">
        <f>(CAP[[#This Row],[PT]] - CAP[[#This Row],[ST]] + CAP[[#This Row],[PS]] - CAP[[#This Row],[SS]]) / 6.8267</f>
        <v>0.12811431517384189</v>
      </c>
      <c r="AB30" s="3">
        <f xml:space="preserve"> (CAP[[#This Row],[PT]] + CAP[[#This Row],[ST]] + CAP[[#This Row],[PS]] + CAP[[#This Row],[SS]]) /1.54532785176361-58.8447490566471</f>
        <v>187.98607372968826</v>
      </c>
      <c r="AC30"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Below Average</v>
      </c>
      <c r="AD30" s="14">
        <f>IF(CAP[[#This Row],[Overall Rating]]&lt;=200,80,IF(CAP[[#This Row],[Overall Rating]]&lt;250,75,IF(CAP[[#This Row],[Overall Rating]]&lt;300,70,IF(CAP[[#This Row],[Overall Rating]]&lt;350,65,IF(CAP[[#This Row],[Overall Rating]]&lt;400,60,IF(CAP[[#This Row],[Overall Rating]]&lt;450,55,50))))))</f>
        <v>80</v>
      </c>
    </row>
    <row r="31" spans="1:30" x14ac:dyDescent="0.3">
      <c r="A31">
        <v>108</v>
      </c>
      <c r="B31" s="14" t="s">
        <v>570</v>
      </c>
      <c r="C31" s="14" t="s">
        <v>59</v>
      </c>
      <c r="D31" s="14" t="s">
        <v>96</v>
      </c>
      <c r="E31">
        <v>90</v>
      </c>
      <c r="F31">
        <v>110</v>
      </c>
      <c r="G31">
        <v>120</v>
      </c>
      <c r="H31">
        <v>90</v>
      </c>
      <c r="I31">
        <v>110</v>
      </c>
      <c r="J31">
        <v>65</v>
      </c>
      <c r="K31" s="14">
        <f>CAP[[#This Row],[HP]]*2+141</f>
        <v>321</v>
      </c>
      <c r="L31" s="14">
        <f>CAP[[#This Row],[Atk]]*2+36</f>
        <v>256</v>
      </c>
      <c r="M31">
        <f>CAP[[#This Row],[Def]]*2+36</f>
        <v>276</v>
      </c>
      <c r="N31">
        <f>CAP[[#This Row],[SpA]]*2+36</f>
        <v>216</v>
      </c>
      <c r="O31" s="14">
        <f>CAP[[#This Row],[SpD]]*2+36</f>
        <v>256</v>
      </c>
      <c r="P31" s="14">
        <f>CAP[[#This Row],[SPD Factor]]/822</f>
        <v>0.5024330900243309</v>
      </c>
      <c r="Q31" s="14">
        <f>VLOOKUP(CAP[[#This Row],[Spe]],SpeedFactor[#All], 2, TRUE)</f>
        <v>413</v>
      </c>
      <c r="R31" s="14">
        <f>CAP[[#This Row],[Stat HP]]*CAP[[#This Row],[Stat Def]]</f>
        <v>88596</v>
      </c>
      <c r="S31" s="14">
        <f>CAP[[#This Row],[Stat HP]]*CAP[[#This Row],[Stat SpD]]</f>
        <v>82176</v>
      </c>
      <c r="T31" s="1">
        <f>CAP[[#This Row],[Stat Atk]]*(CAP[[#This Row],[Stat Atk]]*CAP[[#This Row],[Stat Spe]]+415)/(CAP[[#This Row],[Stat Atk]]*(1-CAP[[#This Row],[Stat Spe]])+415)</f>
        <v>256.58798566282519</v>
      </c>
      <c r="U31" s="4">
        <f>CAP[[#This Row],[Stat SpA]]*(CAP[[#This Row],[Stat SpA]]*CAP[[#This Row],[Stat Spe]]+415)/(CAP[[#This Row],[Stat SpA]]*(1-CAP[[#This Row],[Stat Spe]])+415)</f>
        <v>216.43454085695527</v>
      </c>
      <c r="V31" s="9">
        <f>(CAP[[#This Row],[RPT]] /432.441508090053)-22.8128616201416</f>
        <v>182.06108859638221</v>
      </c>
      <c r="W31" s="10">
        <f>(CAP[[#This Row],[RST]] /426.30249118172)-22.4239890939417</f>
        <v>170.34054242968676</v>
      </c>
      <c r="X31" s="10">
        <f>(CAP[[#This Row],[RPS]]/2.21869141127892)+2.84495101810441</f>
        <v>118.49329416237259</v>
      </c>
      <c r="Y31" s="11">
        <f>(CAP[[#This Row],[RSS]]/2.30100441716059)+11.4244456864885</f>
        <v>105.48534328530003</v>
      </c>
      <c r="Z31" s="5">
        <f>(MAX(CAP[[#This Row],[PS]],CAP[[#This Row],[SS]]) - MAX(CAP[[#This Row],[PT]],CAP[[#This Row],[ST]])) / 6.165301 - 0.490854</f>
        <v>-10.801428363524119</v>
      </c>
      <c r="AA31" s="1">
        <f>(CAP[[#This Row],[PT]] - CAP[[#This Row],[ST]] + CAP[[#This Row],[PS]] - CAP[[#This Row],[SS]]) / 6.8267</f>
        <v>3.6223207470326808</v>
      </c>
      <c r="AB31" s="3">
        <f xml:space="preserve"> (CAP[[#This Row],[PT]] + CAP[[#This Row],[ST]] + CAP[[#This Row],[PS]] + CAP[[#This Row],[SS]]) /1.54532785176361-58.8447490566471</f>
        <v>314.13776582907497</v>
      </c>
      <c r="AC31"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Very Good</v>
      </c>
      <c r="AD31" s="14">
        <f>IF(CAP[[#This Row],[Overall Rating]]&lt;=200,80,IF(CAP[[#This Row],[Overall Rating]]&lt;250,75,IF(CAP[[#This Row],[Overall Rating]]&lt;300,70,IF(CAP[[#This Row],[Overall Rating]]&lt;350,65,IF(CAP[[#This Row],[Overall Rating]]&lt;400,60,IF(CAP[[#This Row],[Overall Rating]]&lt;450,55,50))))))</f>
        <v>65</v>
      </c>
    </row>
    <row r="32" spans="1:30" x14ac:dyDescent="0.3">
      <c r="A32">
        <v>107</v>
      </c>
      <c r="B32" s="14" t="s">
        <v>564</v>
      </c>
      <c r="C32" s="14" t="s">
        <v>59</v>
      </c>
      <c r="D32" s="14" t="s">
        <v>96</v>
      </c>
      <c r="E32">
        <v>60</v>
      </c>
      <c r="F32">
        <v>75</v>
      </c>
      <c r="G32">
        <v>85</v>
      </c>
      <c r="H32">
        <v>65</v>
      </c>
      <c r="I32">
        <v>80</v>
      </c>
      <c r="J32">
        <v>55</v>
      </c>
      <c r="K32" s="14">
        <f>CAP[[#This Row],[HP]]*2+141</f>
        <v>261</v>
      </c>
      <c r="L32" s="14">
        <f>CAP[[#This Row],[Atk]]*2+36</f>
        <v>186</v>
      </c>
      <c r="M32">
        <f>CAP[[#This Row],[Def]]*2+36</f>
        <v>206</v>
      </c>
      <c r="N32">
        <f>CAP[[#This Row],[SpA]]*2+36</f>
        <v>166</v>
      </c>
      <c r="O32" s="14">
        <f>CAP[[#This Row],[SpD]]*2+36</f>
        <v>196</v>
      </c>
      <c r="P32" s="14">
        <f>CAP[[#This Row],[SPD Factor]]/822</f>
        <v>0.36739659367396593</v>
      </c>
      <c r="Q32" s="14">
        <f>VLOOKUP(CAP[[#This Row],[Spe]],SpeedFactor[#All], 2, TRUE)</f>
        <v>302</v>
      </c>
      <c r="R32" s="14">
        <f>CAP[[#This Row],[Stat HP]]*CAP[[#This Row],[Stat Def]]</f>
        <v>53766</v>
      </c>
      <c r="S32" s="14">
        <f>CAP[[#This Row],[Stat HP]]*CAP[[#This Row],[Stat SpD]]</f>
        <v>51156</v>
      </c>
      <c r="T32" s="1">
        <f>CAP[[#This Row],[Stat Atk]]*(CAP[[#This Row],[Stat Atk]]*CAP[[#This Row],[Stat Spe]]+415)/(CAP[[#This Row],[Stat Atk]]*(1-CAP[[#This Row],[Stat Spe]])+415)</f>
        <v>168.77508735868446</v>
      </c>
      <c r="U32" s="4">
        <f>CAP[[#This Row],[Stat SpA]]*(CAP[[#This Row],[Stat SpA]]*CAP[[#This Row],[Stat Spe]]+415)/(CAP[[#This Row],[Stat SpA]]*(1-CAP[[#This Row],[Stat Spe]])+415)</f>
        <v>151.94640776699032</v>
      </c>
      <c r="V32" s="9">
        <f>(CAP[[#This Row],[RPT]] /432.441508090053)-22.8128616201416</f>
        <v>101.5184039826127</v>
      </c>
      <c r="W32" s="10">
        <f>(CAP[[#This Row],[RST]] /426.30249118172)-22.4239890939417</f>
        <v>97.575309662662875</v>
      </c>
      <c r="X32" s="10">
        <f>(CAP[[#This Row],[RPS]]/2.21869141127892)+2.84495101810441</f>
        <v>78.914604734119592</v>
      </c>
      <c r="Y32" s="11">
        <f>(CAP[[#This Row],[RSS]]/2.30100441716059)+11.4244456864885</f>
        <v>77.459263626773136</v>
      </c>
      <c r="Z32" s="5">
        <f>(MAX(CAP[[#This Row],[PS]],CAP[[#This Row],[SS]]) - MAX(CAP[[#This Row],[PT]],CAP[[#This Row],[ST]])) / 6.165301 - 0.490854</f>
        <v>-4.1571468944577239</v>
      </c>
      <c r="AA32" s="1">
        <f>(CAP[[#This Row],[PT]] - CAP[[#This Row],[ST]] + CAP[[#This Row],[PS]] - CAP[[#This Row],[SS]]) / 6.8267</f>
        <v>0.79078257830229504</v>
      </c>
      <c r="AB32" s="3">
        <f xml:space="preserve"> (CAP[[#This Row],[PT]] + CAP[[#This Row],[ST]] + CAP[[#This Row],[PS]] + CAP[[#This Row],[SS]]) /1.54532785176361-58.8447490566471</f>
        <v>171.18254359875277</v>
      </c>
      <c r="AC32"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Below Average</v>
      </c>
      <c r="AD32" s="14">
        <f>IF(CAP[[#This Row],[Overall Rating]]&lt;=200,80,IF(CAP[[#This Row],[Overall Rating]]&lt;250,75,IF(CAP[[#This Row],[Overall Rating]]&lt;300,70,IF(CAP[[#This Row],[Overall Rating]]&lt;350,65,IF(CAP[[#This Row],[Overall Rating]]&lt;400,60,IF(CAP[[#This Row],[Overall Rating]]&lt;450,55,50))))))</f>
        <v>80</v>
      </c>
    </row>
    <row r="33" spans="1:30" x14ac:dyDescent="0.3">
      <c r="A33">
        <v>106</v>
      </c>
      <c r="B33" s="14" t="s">
        <v>558</v>
      </c>
      <c r="C33" s="14" t="s">
        <v>187</v>
      </c>
      <c r="D33" s="14" t="s">
        <v>168</v>
      </c>
      <c r="E33">
        <v>80</v>
      </c>
      <c r="F33">
        <v>90</v>
      </c>
      <c r="G33">
        <v>80</v>
      </c>
      <c r="H33">
        <v>110</v>
      </c>
      <c r="I33">
        <v>80</v>
      </c>
      <c r="J33">
        <v>120</v>
      </c>
      <c r="K33" s="14">
        <f>CAP[[#This Row],[HP]]*2+141</f>
        <v>301</v>
      </c>
      <c r="L33" s="14">
        <f>CAP[[#This Row],[Atk]]*2+36</f>
        <v>216</v>
      </c>
      <c r="M33">
        <f>CAP[[#This Row],[Def]]*2+36</f>
        <v>196</v>
      </c>
      <c r="N33">
        <f>CAP[[#This Row],[SpA]]*2+36</f>
        <v>256</v>
      </c>
      <c r="O33" s="14">
        <f>CAP[[#This Row],[SpD]]*2+36</f>
        <v>196</v>
      </c>
      <c r="P33" s="14">
        <f>CAP[[#This Row],[SPD Factor]]/822</f>
        <v>0.96228710462287104</v>
      </c>
      <c r="Q33" s="14">
        <f>VLOOKUP(CAP[[#This Row],[Spe]],SpeedFactor[#All], 2, TRUE)</f>
        <v>791</v>
      </c>
      <c r="R33" s="14">
        <f>CAP[[#This Row],[Stat HP]]*CAP[[#This Row],[Stat Def]]</f>
        <v>58996</v>
      </c>
      <c r="S33" s="14">
        <f>CAP[[#This Row],[Stat HP]]*CAP[[#This Row],[Stat SpD]]</f>
        <v>58996</v>
      </c>
      <c r="T33" s="1">
        <f>CAP[[#This Row],[Stat Atk]]*(CAP[[#This Row],[Stat Atk]]*CAP[[#This Row],[Stat Spe]]+415)/(CAP[[#This Row],[Stat Atk]]*(1-CAP[[#This Row],[Stat Spe]])+415)</f>
        <v>317.94338548584636</v>
      </c>
      <c r="U33" s="4">
        <f>CAP[[#This Row],[Stat SpA]]*(CAP[[#This Row],[Stat SpA]]*CAP[[#This Row],[Stat Spe]]+415)/(CAP[[#This Row],[Stat SpA]]*(1-CAP[[#This Row],[Stat Spe]])+415)</f>
        <v>398.68751468203726</v>
      </c>
      <c r="V33" s="9">
        <f>(CAP[[#This Row],[RPT]] /432.441508090053)-22.8128616201416</f>
        <v>113.6125251577495</v>
      </c>
      <c r="W33" s="10">
        <f>(CAP[[#This Row],[RST]] /426.30249118172)-22.4239890939417</f>
        <v>115.96600679011185</v>
      </c>
      <c r="X33" s="10">
        <f>(CAP[[#This Row],[RPS]]/2.21869141127892)+2.84495101810441</f>
        <v>146.14716234391213</v>
      </c>
      <c r="Y33" s="11">
        <f>(CAP[[#This Row],[RSS]]/2.30100441716059)+11.4244456864885</f>
        <v>184.69117725322428</v>
      </c>
      <c r="Z33" s="5">
        <f>(MAX(CAP[[#This Row],[PS]],CAP[[#This Row],[SS]]) - MAX(CAP[[#This Row],[PT]],CAP[[#This Row],[ST]])) / 6.165301 - 0.490854</f>
        <v>10.656236865979199</v>
      </c>
      <c r="AA33" s="1">
        <f>(CAP[[#This Row],[PT]] - CAP[[#This Row],[ST]] + CAP[[#This Row],[PS]] - CAP[[#This Row],[SS]]) / 6.8267</f>
        <v>-5.9908149679456422</v>
      </c>
      <c r="AB33" s="3">
        <f xml:space="preserve"> (CAP[[#This Row],[PT]] + CAP[[#This Row],[ST]] + CAP[[#This Row],[PS]] + CAP[[#This Row],[SS]]) /1.54532785176361-58.8447490566471</f>
        <v>303.80766214879407</v>
      </c>
      <c r="AC33"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Very Good</v>
      </c>
      <c r="AD33" s="14">
        <f>IF(CAP[[#This Row],[Overall Rating]]&lt;=200,80,IF(CAP[[#This Row],[Overall Rating]]&lt;250,75,IF(CAP[[#This Row],[Overall Rating]]&lt;300,70,IF(CAP[[#This Row],[Overall Rating]]&lt;350,65,IF(CAP[[#This Row],[Overall Rating]]&lt;400,60,IF(CAP[[#This Row],[Overall Rating]]&lt;450,55,50))))))</f>
        <v>65</v>
      </c>
    </row>
    <row r="34" spans="1:30" x14ac:dyDescent="0.3">
      <c r="A34">
        <v>105</v>
      </c>
      <c r="B34" s="14" t="s">
        <v>508</v>
      </c>
      <c r="C34" s="14" t="s">
        <v>187</v>
      </c>
      <c r="D34" s="14" t="s">
        <v>168</v>
      </c>
      <c r="E34">
        <v>55</v>
      </c>
      <c r="F34">
        <v>65</v>
      </c>
      <c r="G34">
        <v>55</v>
      </c>
      <c r="H34">
        <v>80</v>
      </c>
      <c r="I34">
        <v>55</v>
      </c>
      <c r="J34">
        <v>90</v>
      </c>
      <c r="K34" s="14">
        <f>CAP[[#This Row],[HP]]*2+141</f>
        <v>251</v>
      </c>
      <c r="L34" s="14">
        <f>CAP[[#This Row],[Atk]]*2+36</f>
        <v>166</v>
      </c>
      <c r="M34">
        <f>CAP[[#This Row],[Def]]*2+36</f>
        <v>146</v>
      </c>
      <c r="N34">
        <f>CAP[[#This Row],[SpA]]*2+36</f>
        <v>196</v>
      </c>
      <c r="O34" s="14">
        <f>CAP[[#This Row],[SpD]]*2+36</f>
        <v>146</v>
      </c>
      <c r="P34" s="14">
        <f>CAP[[#This Row],[SPD Factor]]/822</f>
        <v>0.76034063260340634</v>
      </c>
      <c r="Q34" s="14">
        <f>VLOOKUP(CAP[[#This Row],[Spe]],SpeedFactor[#All], 2, TRUE)</f>
        <v>625</v>
      </c>
      <c r="R34" s="14">
        <f>CAP[[#This Row],[Stat HP]]*CAP[[#This Row],[Stat Def]]</f>
        <v>36646</v>
      </c>
      <c r="S34" s="14">
        <f>CAP[[#This Row],[Stat HP]]*CAP[[#This Row],[Stat SpD]]</f>
        <v>36646</v>
      </c>
      <c r="T34" s="1">
        <f>CAP[[#This Row],[Stat Atk]]*(CAP[[#This Row],[Stat Atk]]*CAP[[#This Row],[Stat Spe]]+415)/(CAP[[#This Row],[Stat Atk]]*(1-CAP[[#This Row],[Stat Spe]])+415)</f>
        <v>197.5488454706927</v>
      </c>
      <c r="U34" s="4">
        <f>CAP[[#This Row],[Stat SpA]]*(CAP[[#This Row],[Stat SpA]]*CAP[[#This Row],[Stat Spe]]+415)/(CAP[[#This Row],[Stat SpA]]*(1-CAP[[#This Row],[Stat Spe]])+415)</f>
        <v>239.29794439382528</v>
      </c>
      <c r="V34" s="9">
        <f>(CAP[[#This Row],[RPT]] /432.441508090053)-22.8128616201416</f>
        <v>61.929234858646737</v>
      </c>
      <c r="W34" s="10">
        <f>(CAP[[#This Row],[RST]] /426.30249118172)-22.4239890939417</f>
        <v>63.538445463774522</v>
      </c>
      <c r="X34" s="10">
        <f>(CAP[[#This Row],[RPS]]/2.21869141127892)+2.84495101810441</f>
        <v>91.883401550898256</v>
      </c>
      <c r="Y34" s="11">
        <f>(CAP[[#This Row],[RSS]]/2.30100441716059)+11.4244456864885</f>
        <v>115.4216143182271</v>
      </c>
      <c r="Z34" s="5">
        <f>(MAX(CAP[[#This Row],[PS]],CAP[[#This Row],[SS]]) - MAX(CAP[[#This Row],[PT]],CAP[[#This Row],[ST]])) / 6.165301 - 0.490854</f>
        <v>7.9244965002355245</v>
      </c>
      <c r="AA34" s="1">
        <f>(CAP[[#This Row],[PT]] - CAP[[#This Row],[ST]] + CAP[[#This Row],[PS]] - CAP[[#This Row],[SS]]) / 6.8267</f>
        <v>-3.6836866088236819</v>
      </c>
      <c r="AB34" s="3">
        <f xml:space="preserve"> (CAP[[#This Row],[PT]] + CAP[[#This Row],[ST]] + CAP[[#This Row],[PS]] + CAP[[#This Row],[SS]]) /1.54532785176361-58.8447490566471</f>
        <v>156.49641353986522</v>
      </c>
      <c r="AC34"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Below Average</v>
      </c>
      <c r="AD34" s="14">
        <f>IF(CAP[[#This Row],[Overall Rating]]&lt;=200,80,IF(CAP[[#This Row],[Overall Rating]]&lt;250,75,IF(CAP[[#This Row],[Overall Rating]]&lt;300,70,IF(CAP[[#This Row],[Overall Rating]]&lt;350,65,IF(CAP[[#This Row],[Overall Rating]]&lt;400,60,IF(CAP[[#This Row],[Overall Rating]]&lt;450,55,50))))))</f>
        <v>80</v>
      </c>
    </row>
    <row r="35" spans="1:30" x14ac:dyDescent="0.3">
      <c r="A35">
        <v>104</v>
      </c>
      <c r="B35" s="14" t="s">
        <v>507</v>
      </c>
      <c r="C35" s="14" t="s">
        <v>134</v>
      </c>
      <c r="D35" s="14"/>
      <c r="E35">
        <v>100</v>
      </c>
      <c r="F35">
        <v>110</v>
      </c>
      <c r="G35">
        <v>100</v>
      </c>
      <c r="H35">
        <v>60</v>
      </c>
      <c r="I35">
        <v>70</v>
      </c>
      <c r="J35">
        <v>85</v>
      </c>
      <c r="K35" s="14">
        <f>CAP[[#This Row],[HP]]*2+141</f>
        <v>341</v>
      </c>
      <c r="L35" s="14">
        <f>CAP[[#This Row],[Atk]]*2+36</f>
        <v>256</v>
      </c>
      <c r="M35">
        <f>CAP[[#This Row],[Def]]*2+36</f>
        <v>236</v>
      </c>
      <c r="N35">
        <f>CAP[[#This Row],[SpA]]*2+36</f>
        <v>156</v>
      </c>
      <c r="O35" s="14">
        <f>CAP[[#This Row],[SpD]]*2+36</f>
        <v>176</v>
      </c>
      <c r="P35" s="14">
        <f>CAP[[#This Row],[SPD Factor]]/822</f>
        <v>0.71289537712895379</v>
      </c>
      <c r="Q35" s="14">
        <f>VLOOKUP(CAP[[#This Row],[Spe]],SpeedFactor[#All], 2, TRUE)</f>
        <v>586</v>
      </c>
      <c r="R35" s="14">
        <f>CAP[[#This Row],[Stat HP]]*CAP[[#This Row],[Stat Def]]</f>
        <v>80476</v>
      </c>
      <c r="S35" s="14">
        <f>CAP[[#This Row],[Stat HP]]*CAP[[#This Row],[Stat SpD]]</f>
        <v>60016</v>
      </c>
      <c r="T35" s="1">
        <f>CAP[[#This Row],[Stat Atk]]*(CAP[[#This Row],[Stat Atk]]*CAP[[#This Row],[Stat Spe]]+415)/(CAP[[#This Row],[Stat Atk]]*(1-CAP[[#This Row],[Stat Spe]])+415)</f>
        <v>313.12321875949459</v>
      </c>
      <c r="U35" s="4">
        <f>CAP[[#This Row],[Stat SpA]]*(CAP[[#This Row],[Stat SpA]]*CAP[[#This Row],[Stat Spe]]+415)/(CAP[[#This Row],[Stat SpA]]*(1-CAP[[#This Row],[Stat Spe]])+415)</f>
        <v>178.53655284088202</v>
      </c>
      <c r="V35" s="9">
        <f>(CAP[[#This Row],[RPT]] /432.441508090053)-22.8128616201416</f>
        <v>163.28398268010864</v>
      </c>
      <c r="W35" s="10">
        <f>(CAP[[#This Row],[RST]] /426.30249118172)-22.4239890939417</f>
        <v>118.35867401842792</v>
      </c>
      <c r="X35" s="10">
        <f>(CAP[[#This Row],[RPS]]/2.21869141127892)+2.84495101810441</f>
        <v>143.97463546529889</v>
      </c>
      <c r="Y35" s="11">
        <f>(CAP[[#This Row],[RSS]]/2.30100441716059)+11.4244456864885</f>
        <v>89.01514977613725</v>
      </c>
      <c r="Z35" s="5">
        <f>(MAX(CAP[[#This Row],[PS]],CAP[[#This Row],[SS]]) - MAX(CAP[[#This Row],[PT]],CAP[[#This Row],[ST]])) / 6.165301 - 0.490854</f>
        <v>-3.6227930918318094</v>
      </c>
      <c r="AA35" s="1">
        <f>(CAP[[#This Row],[PT]] - CAP[[#This Row],[ST]] + CAP[[#This Row],[PS]] - CAP[[#This Row],[SS]]) / 6.8267</f>
        <v>14.631490229663289</v>
      </c>
      <c r="AB35" s="3">
        <f xml:space="preserve"> (CAP[[#This Row],[PT]] + CAP[[#This Row],[ST]] + CAP[[#This Row],[PS]] + CAP[[#This Row],[SS]]) /1.54532785176361-58.8447490566471</f>
        <v>274.1800141692579</v>
      </c>
      <c r="AC35"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Good</v>
      </c>
      <c r="AD35" s="14">
        <f>IF(CAP[[#This Row],[Overall Rating]]&lt;=200,80,IF(CAP[[#This Row],[Overall Rating]]&lt;250,75,IF(CAP[[#This Row],[Overall Rating]]&lt;300,70,IF(CAP[[#This Row],[Overall Rating]]&lt;350,65,IF(CAP[[#This Row],[Overall Rating]]&lt;400,60,IF(CAP[[#This Row],[Overall Rating]]&lt;450,55,50))))))</f>
        <v>70</v>
      </c>
    </row>
    <row r="36" spans="1:30" x14ac:dyDescent="0.3">
      <c r="A36">
        <v>103</v>
      </c>
      <c r="B36" s="14" t="s">
        <v>505</v>
      </c>
      <c r="C36" s="14" t="s">
        <v>134</v>
      </c>
      <c r="D36" s="14"/>
      <c r="E36">
        <v>60</v>
      </c>
      <c r="F36">
        <v>70</v>
      </c>
      <c r="G36">
        <v>65</v>
      </c>
      <c r="H36">
        <v>40</v>
      </c>
      <c r="I36">
        <v>50</v>
      </c>
      <c r="J36">
        <v>55</v>
      </c>
      <c r="K36" s="14">
        <f>CAP[[#This Row],[HP]]*2+141</f>
        <v>261</v>
      </c>
      <c r="L36" s="14">
        <f>CAP[[#This Row],[Atk]]*2+36</f>
        <v>176</v>
      </c>
      <c r="M36">
        <f>CAP[[#This Row],[Def]]*2+36</f>
        <v>166</v>
      </c>
      <c r="N36">
        <f>CAP[[#This Row],[SpA]]*2+36</f>
        <v>116</v>
      </c>
      <c r="O36" s="14">
        <f>CAP[[#This Row],[SpD]]*2+36</f>
        <v>136</v>
      </c>
      <c r="P36" s="14">
        <f>CAP[[#This Row],[SPD Factor]]/822</f>
        <v>0.36739659367396593</v>
      </c>
      <c r="Q36" s="14">
        <f>VLOOKUP(CAP[[#This Row],[Spe]],SpeedFactor[#All], 2, TRUE)</f>
        <v>302</v>
      </c>
      <c r="R36" s="14">
        <f>CAP[[#This Row],[Stat HP]]*CAP[[#This Row],[Stat Def]]</f>
        <v>43326</v>
      </c>
      <c r="S36" s="14">
        <f>CAP[[#This Row],[Stat HP]]*CAP[[#This Row],[Stat SpD]]</f>
        <v>35496</v>
      </c>
      <c r="T36" s="1">
        <f>CAP[[#This Row],[Stat Atk]]*(CAP[[#This Row],[Stat Atk]]*CAP[[#This Row],[Stat Spe]]+415)/(CAP[[#This Row],[Stat Atk]]*(1-CAP[[#This Row],[Stat Spe]])+415)</f>
        <v>160.39207673639197</v>
      </c>
      <c r="U36" s="4">
        <f>CAP[[#This Row],[Stat SpA]]*(CAP[[#This Row],[Stat SpA]]*CAP[[#This Row],[Stat Spe]]+415)/(CAP[[#This Row],[Stat SpA]]*(1-CAP[[#This Row],[Stat Spe]])+415)</f>
        <v>108.6929679910325</v>
      </c>
      <c r="V36" s="9">
        <f>(CAP[[#This Row],[RPT]] /432.441508090053)-22.8128616201416</f>
        <v>77.376410661689533</v>
      </c>
      <c r="W36" s="10">
        <f>(CAP[[#This Row],[RST]] /426.30249118172)-22.4239890939417</f>
        <v>60.840830451457393</v>
      </c>
      <c r="X36" s="10">
        <f>(CAP[[#This Row],[RPS]]/2.21869141127892)+2.84495101810441</f>
        <v>75.13624665346147</v>
      </c>
      <c r="Y36" s="11">
        <f>(CAP[[#This Row],[RSS]]/2.30100441716059)+11.4244456864885</f>
        <v>58.661629231385049</v>
      </c>
      <c r="Z36" s="5">
        <f>(MAX(CAP[[#This Row],[PS]],CAP[[#This Row],[SS]]) - MAX(CAP[[#This Row],[PT]],CAP[[#This Row],[ST]])) / 6.165301 - 0.490854</f>
        <v>-0.854204306534598</v>
      </c>
      <c r="AA36" s="1">
        <f>(CAP[[#This Row],[PT]] - CAP[[#This Row],[ST]] + CAP[[#This Row],[PS]] - CAP[[#This Row],[SS]]) / 6.8267</f>
        <v>4.8354545581772399</v>
      </c>
      <c r="AB36" s="3">
        <f xml:space="preserve"> (CAP[[#This Row],[PT]] + CAP[[#This Row],[ST]] + CAP[[#This Row],[PS]] + CAP[[#This Row],[SS]]) /1.54532785176361-58.8447490566471</f>
        <v>117.17946269075357</v>
      </c>
      <c r="AC36"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Poor</v>
      </c>
      <c r="AD36" s="14">
        <f>IF(CAP[[#This Row],[Overall Rating]]&lt;=200,80,IF(CAP[[#This Row],[Overall Rating]]&lt;250,75,IF(CAP[[#This Row],[Overall Rating]]&lt;300,70,IF(CAP[[#This Row],[Overall Rating]]&lt;350,65,IF(CAP[[#This Row],[Overall Rating]]&lt;400,60,IF(CAP[[#This Row],[Overall Rating]]&lt;450,55,50))))))</f>
        <v>80</v>
      </c>
    </row>
    <row r="37" spans="1:30" x14ac:dyDescent="0.3">
      <c r="A37">
        <v>102</v>
      </c>
      <c r="B37" s="14" t="s">
        <v>504</v>
      </c>
      <c r="C37" s="14" t="s">
        <v>59</v>
      </c>
      <c r="D37" s="14" t="s">
        <v>84</v>
      </c>
      <c r="E37">
        <v>70</v>
      </c>
      <c r="F37">
        <v>70</v>
      </c>
      <c r="G37">
        <v>80</v>
      </c>
      <c r="H37">
        <v>110</v>
      </c>
      <c r="I37">
        <v>90</v>
      </c>
      <c r="J37">
        <v>80</v>
      </c>
      <c r="K37" s="14">
        <f>CAP[[#This Row],[HP]]*2+141</f>
        <v>281</v>
      </c>
      <c r="L37" s="14">
        <f>CAP[[#This Row],[Atk]]*2+36</f>
        <v>176</v>
      </c>
      <c r="M37">
        <f>CAP[[#This Row],[Def]]*2+36</f>
        <v>196</v>
      </c>
      <c r="N37">
        <f>CAP[[#This Row],[SpA]]*2+36</f>
        <v>256</v>
      </c>
      <c r="O37" s="14">
        <f>CAP[[#This Row],[SpD]]*2+36</f>
        <v>216</v>
      </c>
      <c r="P37" s="14">
        <f>CAP[[#This Row],[SPD Factor]]/822</f>
        <v>0.66423357664233573</v>
      </c>
      <c r="Q37" s="14">
        <f>VLOOKUP(CAP[[#This Row],[Spe]],SpeedFactor[#All], 2, TRUE)</f>
        <v>546</v>
      </c>
      <c r="R37" s="14">
        <f>CAP[[#This Row],[Stat HP]]*CAP[[#This Row],[Stat Def]]</f>
        <v>55076</v>
      </c>
      <c r="S37" s="14">
        <f>CAP[[#This Row],[Stat HP]]*CAP[[#This Row],[Stat SpD]]</f>
        <v>60696</v>
      </c>
      <c r="T37" s="1">
        <f>CAP[[#This Row],[Stat Atk]]*(CAP[[#This Row],[Stat Atk]]*CAP[[#This Row],[Stat Spe]]+415)/(CAP[[#This Row],[Stat Atk]]*(1-CAP[[#This Row],[Stat Spe]])+415)</f>
        <v>197.4611014457052</v>
      </c>
      <c r="U37" s="4">
        <f>CAP[[#This Row],[Stat SpA]]*(CAP[[#This Row],[Stat SpA]]*CAP[[#This Row],[Stat Spe]]+415)/(CAP[[#This Row],[Stat SpA]]*(1-CAP[[#This Row],[Stat Spe]])+415)</f>
        <v>298.97066923110549</v>
      </c>
      <c r="V37" s="9">
        <f>(CAP[[#This Row],[RPT]] /432.441508090053)-22.8128616201416</f>
        <v>104.5477154050657</v>
      </c>
      <c r="W37" s="10">
        <f>(CAP[[#This Row],[RST]] /426.30249118172)-22.4239890939417</f>
        <v>119.95378550397196</v>
      </c>
      <c r="X37" s="10">
        <f>(CAP[[#This Row],[RPS]]/2.21869141127892)+2.84495101810441</f>
        <v>91.843853903784549</v>
      </c>
      <c r="Y37" s="11">
        <f>(CAP[[#This Row],[RSS]]/2.30100441716059)+11.4244456864885</f>
        <v>141.35495212160063</v>
      </c>
      <c r="Z37" s="5">
        <f>(MAX(CAP[[#This Row],[PS]],CAP[[#This Row],[SS]]) - MAX(CAP[[#This Row],[PT]],CAP[[#This Row],[ST]])) / 6.165301 - 0.490854</f>
        <v>2.9803741878254888</v>
      </c>
      <c r="AA37" s="1">
        <f>(CAP[[#This Row],[PT]] - CAP[[#This Row],[ST]] + CAP[[#This Row],[PS]] - CAP[[#This Row],[SS]]) / 6.8267</f>
        <v>-9.5093043954945049</v>
      </c>
      <c r="AB37" s="3">
        <f xml:space="preserve"> (CAP[[#This Row],[PT]] + CAP[[#This Row],[ST]] + CAP[[#This Row],[PS]] + CAP[[#This Row],[SS]]) /1.54532785176361-58.8447490566471</f>
        <v>237.33855367233105</v>
      </c>
      <c r="AC37"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Above Average</v>
      </c>
      <c r="AD37" s="14">
        <f>IF(CAP[[#This Row],[Overall Rating]]&lt;=200,80,IF(CAP[[#This Row],[Overall Rating]]&lt;250,75,IF(CAP[[#This Row],[Overall Rating]]&lt;300,70,IF(CAP[[#This Row],[Overall Rating]]&lt;350,65,IF(CAP[[#This Row],[Overall Rating]]&lt;400,60,IF(CAP[[#This Row],[Overall Rating]]&lt;450,55,50))))))</f>
        <v>75</v>
      </c>
    </row>
    <row r="38" spans="1:30" x14ac:dyDescent="0.3">
      <c r="A38">
        <v>101</v>
      </c>
      <c r="B38" s="14" t="s">
        <v>503</v>
      </c>
      <c r="C38" s="14" t="s">
        <v>135</v>
      </c>
      <c r="D38" s="14" t="s">
        <v>50</v>
      </c>
      <c r="E38">
        <v>100</v>
      </c>
      <c r="F38">
        <v>125</v>
      </c>
      <c r="G38">
        <v>100</v>
      </c>
      <c r="H38">
        <v>95</v>
      </c>
      <c r="I38">
        <v>90</v>
      </c>
      <c r="J38">
        <v>110</v>
      </c>
      <c r="K38" s="14">
        <f>CAP[[#This Row],[HP]]*2+141</f>
        <v>341</v>
      </c>
      <c r="L38" s="14">
        <f>CAP[[#This Row],[Atk]]*2+36</f>
        <v>286</v>
      </c>
      <c r="M38">
        <f>CAP[[#This Row],[Def]]*2+36</f>
        <v>236</v>
      </c>
      <c r="N38">
        <f>CAP[[#This Row],[SpA]]*2+36</f>
        <v>226</v>
      </c>
      <c r="O38" s="14">
        <f>CAP[[#This Row],[SpD]]*2+36</f>
        <v>216</v>
      </c>
      <c r="P38" s="14">
        <f>CAP[[#This Row],[SPD Factor]]/822</f>
        <v>0.92822384428223847</v>
      </c>
      <c r="Q38" s="14">
        <f>VLOOKUP(CAP[[#This Row],[Spe]],SpeedFactor[#All], 2, TRUE)</f>
        <v>763</v>
      </c>
      <c r="R38" s="14">
        <f>CAP[[#This Row],[Stat HP]]*CAP[[#This Row],[Stat Def]]</f>
        <v>80476</v>
      </c>
      <c r="S38" s="14">
        <f>CAP[[#This Row],[Stat HP]]*CAP[[#This Row],[Stat SpD]]</f>
        <v>73656</v>
      </c>
      <c r="T38" s="1">
        <f>CAP[[#This Row],[Stat Atk]]*(CAP[[#This Row],[Stat Atk]]*CAP[[#This Row],[Stat Spe]]+415)/(CAP[[#This Row],[Stat Atk]]*(1-CAP[[#This Row],[Stat Spe]])+415)</f>
        <v>446.8484374476264</v>
      </c>
      <c r="U38" s="4">
        <f>CAP[[#This Row],[Stat SpA]]*(CAP[[#This Row],[Stat SpA]]*CAP[[#This Row],[Stat Spe]]+415)/(CAP[[#This Row],[Stat SpA]]*(1-CAP[[#This Row],[Stat Spe]])+415)</f>
        <v>327.44190665342609</v>
      </c>
      <c r="V38" s="9">
        <f>(CAP[[#This Row],[RPT]] /432.441508090053)-22.8128616201416</f>
        <v>163.28398268010864</v>
      </c>
      <c r="W38" s="10">
        <f>(CAP[[#This Row],[RST]] /426.30249118172)-22.4239890939417</f>
        <v>150.35473381669374</v>
      </c>
      <c r="X38" s="10">
        <f>(CAP[[#This Row],[RPS]]/2.21869141127892)+2.84495101810441</f>
        <v>204.24674812068102</v>
      </c>
      <c r="Y38" s="11">
        <f>(CAP[[#This Row],[RSS]]/2.30100441716059)+11.4244456864885</f>
        <v>153.72834750058638</v>
      </c>
      <c r="Z38" s="5">
        <f>(MAX(CAP[[#This Row],[PS]],CAP[[#This Row],[SS]]) - MAX(CAP[[#This Row],[PT]],CAP[[#This Row],[ST]])) / 6.165301 - 0.490854</f>
        <v>6.1532280067945395</v>
      </c>
      <c r="AA38" s="1">
        <f>(CAP[[#This Row],[PT]] - CAP[[#This Row],[ST]] + CAP[[#This Row],[PS]] - CAP[[#This Row],[SS]]) / 6.8267</f>
        <v>9.2940438987372431</v>
      </c>
      <c r="AB38" s="3">
        <f xml:space="preserve"> (CAP[[#This Row],[PT]] + CAP[[#This Row],[ST]] + CAP[[#This Row],[PS]] + CAP[[#This Row],[SS]]) /1.54532785176361-58.8447490566471</f>
        <v>375.76452259505351</v>
      </c>
      <c r="AC38"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Excellent</v>
      </c>
      <c r="AD38" s="14">
        <f>IF(CAP[[#This Row],[Overall Rating]]&lt;=200,80,IF(CAP[[#This Row],[Overall Rating]]&lt;250,75,IF(CAP[[#This Row],[Overall Rating]]&lt;300,70,IF(CAP[[#This Row],[Overall Rating]]&lt;350,65,IF(CAP[[#This Row],[Overall Rating]]&lt;400,60,IF(CAP[[#This Row],[Overall Rating]]&lt;450,55,50))))))</f>
        <v>60</v>
      </c>
    </row>
    <row r="39" spans="1:30" x14ac:dyDescent="0.3">
      <c r="A39">
        <v>100</v>
      </c>
      <c r="B39" s="14" t="s">
        <v>502</v>
      </c>
      <c r="C39" s="14" t="s">
        <v>135</v>
      </c>
      <c r="D39" s="14" t="s">
        <v>50</v>
      </c>
      <c r="E39">
        <v>70</v>
      </c>
      <c r="F39">
        <v>90</v>
      </c>
      <c r="G39">
        <v>75</v>
      </c>
      <c r="H39">
        <v>75</v>
      </c>
      <c r="I39">
        <v>65</v>
      </c>
      <c r="J39">
        <v>90</v>
      </c>
      <c r="K39" s="14">
        <f>CAP[[#This Row],[HP]]*2+141</f>
        <v>281</v>
      </c>
      <c r="L39" s="14">
        <f>CAP[[#This Row],[Atk]]*2+36</f>
        <v>216</v>
      </c>
      <c r="M39">
        <f>CAP[[#This Row],[Def]]*2+36</f>
        <v>186</v>
      </c>
      <c r="N39">
        <f>CAP[[#This Row],[SpA]]*2+36</f>
        <v>186</v>
      </c>
      <c r="O39" s="14">
        <f>CAP[[#This Row],[SpD]]*2+36</f>
        <v>166</v>
      </c>
      <c r="P39" s="14">
        <f>CAP[[#This Row],[SPD Factor]]/822</f>
        <v>0.76034063260340634</v>
      </c>
      <c r="Q39" s="14">
        <f>VLOOKUP(CAP[[#This Row],[Spe]],SpeedFactor[#All], 2, TRUE)</f>
        <v>625</v>
      </c>
      <c r="R39" s="14">
        <f>CAP[[#This Row],[Stat HP]]*CAP[[#This Row],[Stat Def]]</f>
        <v>52266</v>
      </c>
      <c r="S39" s="14">
        <f>CAP[[#This Row],[Stat HP]]*CAP[[#This Row],[Stat SpD]]</f>
        <v>46646</v>
      </c>
      <c r="T39" s="1">
        <f>CAP[[#This Row],[Stat Atk]]*(CAP[[#This Row],[Stat Atk]]*CAP[[#This Row],[Stat Spe]]+415)/(CAP[[#This Row],[Stat Atk]]*(1-CAP[[#This Row],[Stat Spe]])+415)</f>
        <v>268.04509984831191</v>
      </c>
      <c r="U39" s="4">
        <f>CAP[[#This Row],[Stat SpA]]*(CAP[[#This Row],[Stat SpA]]*CAP[[#This Row],[Stat Spe]]+415)/(CAP[[#This Row],[Stat SpA]]*(1-CAP[[#This Row],[Stat Spe]])+415)</f>
        <v>225.19583240684855</v>
      </c>
      <c r="V39" s="9">
        <f>(CAP[[#This Row],[RPT]] /432.441508090053)-22.8128616201416</f>
        <v>98.049726781330634</v>
      </c>
      <c r="W39" s="10">
        <f>(CAP[[#This Row],[RST]] /426.30249118172)-22.4239890939417</f>
        <v>86.995967310010457</v>
      </c>
      <c r="X39" s="10">
        <f>(CAP[[#This Row],[RPS]]/2.21869141127892)+2.84495101810441</f>
        <v>123.65720029516936</v>
      </c>
      <c r="Y39" s="11">
        <f>(CAP[[#This Row],[RSS]]/2.30100441716059)+11.4244456864885</f>
        <v>109.29293769257397</v>
      </c>
      <c r="Z39" s="5">
        <f>(MAX(CAP[[#This Row],[PS]],CAP[[#This Row],[SS]]) - MAX(CAP[[#This Row],[PT]],CAP[[#This Row],[ST]])) / 6.165301 - 0.490854</f>
        <v>3.6626291006367286</v>
      </c>
      <c r="AA39" s="1">
        <f>(CAP[[#This Row],[PT]] - CAP[[#This Row],[ST]] + CAP[[#This Row],[PS]] - CAP[[#This Row],[SS]]) / 6.8267</f>
        <v>3.7233248969363775</v>
      </c>
      <c r="AB39" s="3">
        <f xml:space="preserve"> (CAP[[#This Row],[PT]] + CAP[[#This Row],[ST]] + CAP[[#This Row],[PS]] + CAP[[#This Row],[SS]]) /1.54532785176361-58.8447490566471</f>
        <v>211.64531659644098</v>
      </c>
      <c r="AC39"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Above Average</v>
      </c>
      <c r="AD39" s="14">
        <f>IF(CAP[[#This Row],[Overall Rating]]&lt;=200,80,IF(CAP[[#This Row],[Overall Rating]]&lt;250,75,IF(CAP[[#This Row],[Overall Rating]]&lt;300,70,IF(CAP[[#This Row],[Overall Rating]]&lt;350,65,IF(CAP[[#This Row],[Overall Rating]]&lt;400,60,IF(CAP[[#This Row],[Overall Rating]]&lt;450,55,50))))))</f>
        <v>75</v>
      </c>
    </row>
    <row r="40" spans="1:30" x14ac:dyDescent="0.3">
      <c r="A40">
        <v>99</v>
      </c>
      <c r="B40" s="14" t="s">
        <v>501</v>
      </c>
      <c r="C40" s="14" t="s">
        <v>51</v>
      </c>
      <c r="D40" s="14" t="s">
        <v>28</v>
      </c>
      <c r="E40">
        <v>85</v>
      </c>
      <c r="F40">
        <v>95</v>
      </c>
      <c r="G40">
        <v>80</v>
      </c>
      <c r="H40">
        <v>105</v>
      </c>
      <c r="I40">
        <v>90</v>
      </c>
      <c r="J40">
        <v>125</v>
      </c>
      <c r="K40" s="14">
        <f>CAP[[#This Row],[HP]]*2+141</f>
        <v>311</v>
      </c>
      <c r="L40" s="14">
        <f>CAP[[#This Row],[Atk]]*2+36</f>
        <v>226</v>
      </c>
      <c r="M40">
        <f>CAP[[#This Row],[Def]]*2+36</f>
        <v>196</v>
      </c>
      <c r="N40">
        <f>CAP[[#This Row],[SpA]]*2+36</f>
        <v>246</v>
      </c>
      <c r="O40" s="14">
        <f>CAP[[#This Row],[SpD]]*2+36</f>
        <v>216</v>
      </c>
      <c r="P40" s="14">
        <f>CAP[[#This Row],[SPD Factor]]/822</f>
        <v>0.97201946472019463</v>
      </c>
      <c r="Q40" s="14">
        <f>VLOOKUP(CAP[[#This Row],[Spe]],SpeedFactor[#All], 2, TRUE)</f>
        <v>799</v>
      </c>
      <c r="R40" s="14">
        <f>CAP[[#This Row],[Stat HP]]*CAP[[#This Row],[Stat Def]]</f>
        <v>60956</v>
      </c>
      <c r="S40" s="14">
        <f>CAP[[#This Row],[Stat HP]]*CAP[[#This Row],[Stat SpD]]</f>
        <v>67176</v>
      </c>
      <c r="T40" s="1">
        <f>CAP[[#This Row],[Stat Atk]]*(CAP[[#This Row],[Stat Atk]]*CAP[[#This Row],[Stat Spe]]+415)/(CAP[[#This Row],[Stat Atk]]*(1-CAP[[#This Row],[Stat Spe]])+415)</f>
        <v>340.44346399944561</v>
      </c>
      <c r="U40" s="4">
        <f>CAP[[#This Row],[Stat SpA]]*(CAP[[#This Row],[Stat SpA]]*CAP[[#This Row],[Stat Spe]]+415)/(CAP[[#This Row],[Stat SpA]]*(1-CAP[[#This Row],[Stat Spe]])+415)</f>
        <v>381.41534309145641</v>
      </c>
      <c r="V40" s="9">
        <f>(CAP[[#This Row],[RPT]] /432.441508090053)-22.8128616201416</f>
        <v>118.14493003409137</v>
      </c>
      <c r="W40" s="10">
        <f>(CAP[[#This Row],[RST]] /426.30249118172)-22.4239890939417</f>
        <v>135.15425966033285</v>
      </c>
      <c r="X40" s="10">
        <f>(CAP[[#This Row],[RPS]]/2.21869141127892)+2.84495101810441</f>
        <v>156.28831058977366</v>
      </c>
      <c r="Y40" s="11">
        <f>(CAP[[#This Row],[RSS]]/2.30100441716059)+11.4244456864885</f>
        <v>177.18481548278731</v>
      </c>
      <c r="Z40" s="5">
        <f>(MAX(CAP[[#This Row],[PS]],CAP[[#This Row],[SS]]) - MAX(CAP[[#This Row],[PT]],CAP[[#This Row],[ST]])) / 6.165301 - 0.490854</f>
        <v>6.326421559206997</v>
      </c>
      <c r="AA40" s="1">
        <f>(CAP[[#This Row],[PT]] - CAP[[#This Row],[ST]] + CAP[[#This Row],[PS]] - CAP[[#This Row],[SS]]) / 6.8267</f>
        <v>-5.5525853661732816</v>
      </c>
      <c r="AB40" s="3">
        <f xml:space="preserve"> (CAP[[#This Row],[PT]] + CAP[[#This Row],[ST]] + CAP[[#This Row],[PS]] + CAP[[#This Row],[SS]]) /1.54532785176361-58.8447490566471</f>
        <v>320.86258301358612</v>
      </c>
      <c r="AC40"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Very Good</v>
      </c>
      <c r="AD40" s="14">
        <f>IF(CAP[[#This Row],[Overall Rating]]&lt;=200,80,IF(CAP[[#This Row],[Overall Rating]]&lt;250,75,IF(CAP[[#This Row],[Overall Rating]]&lt;300,70,IF(CAP[[#This Row],[Overall Rating]]&lt;350,65,IF(CAP[[#This Row],[Overall Rating]]&lt;400,60,IF(CAP[[#This Row],[Overall Rating]]&lt;450,55,50))))))</f>
        <v>65</v>
      </c>
    </row>
    <row r="41" spans="1:30" x14ac:dyDescent="0.3">
      <c r="A41">
        <v>98</v>
      </c>
      <c r="B41" s="14" t="s">
        <v>500</v>
      </c>
      <c r="C41" s="14" t="s">
        <v>51</v>
      </c>
      <c r="D41" s="14" t="s">
        <v>28</v>
      </c>
      <c r="E41">
        <v>55</v>
      </c>
      <c r="F41">
        <v>65</v>
      </c>
      <c r="G41">
        <v>55</v>
      </c>
      <c r="H41">
        <v>70</v>
      </c>
      <c r="I41">
        <v>60</v>
      </c>
      <c r="J41">
        <v>100</v>
      </c>
      <c r="K41" s="14">
        <f>CAP[[#This Row],[HP]]*2+141</f>
        <v>251</v>
      </c>
      <c r="L41" s="14">
        <f>CAP[[#This Row],[Atk]]*2+36</f>
        <v>166</v>
      </c>
      <c r="M41">
        <f>CAP[[#This Row],[Def]]*2+36</f>
        <v>146</v>
      </c>
      <c r="N41">
        <f>CAP[[#This Row],[SpA]]*2+36</f>
        <v>176</v>
      </c>
      <c r="O41" s="14">
        <f>CAP[[#This Row],[SpD]]*2+36</f>
        <v>156</v>
      </c>
      <c r="P41" s="14">
        <f>CAP[[#This Row],[SPD Factor]]/822</f>
        <v>0.86496350364963503</v>
      </c>
      <c r="Q41" s="14">
        <f>VLOOKUP(CAP[[#This Row],[Spe]],SpeedFactor[#All], 2, TRUE)</f>
        <v>711</v>
      </c>
      <c r="R41" s="14">
        <f>CAP[[#This Row],[Stat HP]]*CAP[[#This Row],[Stat Def]]</f>
        <v>36646</v>
      </c>
      <c r="S41" s="14">
        <f>CAP[[#This Row],[Stat HP]]*CAP[[#This Row],[Stat SpD]]</f>
        <v>39156</v>
      </c>
      <c r="T41" s="1">
        <f>CAP[[#This Row],[Stat Atk]]*(CAP[[#This Row],[Stat Atk]]*CAP[[#This Row],[Stat Spe]]+415)/(CAP[[#This Row],[Stat Atk]]*(1-CAP[[#This Row],[Stat Spe]])+415)</f>
        <v>211.98337950138503</v>
      </c>
      <c r="U41" s="4">
        <f>CAP[[#This Row],[Stat SpA]]*(CAP[[#This Row],[Stat SpA]]*CAP[[#This Row],[Stat Spe]]+415)/(CAP[[#This Row],[Stat SpA]]*(1-CAP[[#This Row],[Stat Spe]])+415)</f>
        <v>227.53133369932291</v>
      </c>
      <c r="V41" s="9">
        <f>(CAP[[#This Row],[RPT]] /432.441508090053)-22.8128616201416</f>
        <v>61.929234858646737</v>
      </c>
      <c r="W41" s="10">
        <f>(CAP[[#This Row],[RST]] /426.30249118172)-22.4239890939417</f>
        <v>69.426283447179742</v>
      </c>
      <c r="X41" s="10">
        <f>(CAP[[#This Row],[RPS]]/2.21869141127892)+2.84495101810441</f>
        <v>98.389278824913504</v>
      </c>
      <c r="Y41" s="11">
        <f>(CAP[[#This Row],[RSS]]/2.30100441716059)+11.4244456864885</f>
        <v>110.30792978692047</v>
      </c>
      <c r="Z41" s="5">
        <f>(MAX(CAP[[#This Row],[PS]],CAP[[#This Row],[SS]]) - MAX(CAP[[#This Row],[PT]],CAP[[#This Row],[ST]])) / 6.165301 - 0.490854</f>
        <v>6.1400706441886168</v>
      </c>
      <c r="AA41" s="1">
        <f>(CAP[[#This Row],[PT]] - CAP[[#This Row],[ST]] + CAP[[#This Row],[PS]] - CAP[[#This Row],[SS]]) / 6.8267</f>
        <v>-2.8440827267259392</v>
      </c>
      <c r="AB41" s="3">
        <f xml:space="preserve"> (CAP[[#This Row],[PT]] + CAP[[#This Row],[ST]] + CAP[[#This Row],[PS]] + CAP[[#This Row],[SS]]) /1.54532785176361-58.8447490566471</f>
        <v>161.20740785592926</v>
      </c>
      <c r="AC41"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Below Average</v>
      </c>
      <c r="AD41" s="14">
        <f>IF(CAP[[#This Row],[Overall Rating]]&lt;=200,80,IF(CAP[[#This Row],[Overall Rating]]&lt;250,75,IF(CAP[[#This Row],[Overall Rating]]&lt;300,70,IF(CAP[[#This Row],[Overall Rating]]&lt;350,65,IF(CAP[[#This Row],[Overall Rating]]&lt;400,60,IF(CAP[[#This Row],[Overall Rating]]&lt;450,55,50))))))</f>
        <v>80</v>
      </c>
    </row>
    <row r="42" spans="1:30" x14ac:dyDescent="0.3">
      <c r="A42">
        <v>97</v>
      </c>
      <c r="B42" s="14" t="s">
        <v>499</v>
      </c>
      <c r="C42" s="14" t="s">
        <v>37</v>
      </c>
      <c r="D42" s="14" t="s">
        <v>150</v>
      </c>
      <c r="E42">
        <v>75</v>
      </c>
      <c r="F42">
        <v>85</v>
      </c>
      <c r="G42">
        <v>75</v>
      </c>
      <c r="H42">
        <v>110</v>
      </c>
      <c r="I42">
        <v>75</v>
      </c>
      <c r="J42">
        <v>110</v>
      </c>
      <c r="K42" s="14">
        <f>CAP[[#This Row],[HP]]*2+141</f>
        <v>291</v>
      </c>
      <c r="L42" s="14">
        <f>CAP[[#This Row],[Atk]]*2+36</f>
        <v>206</v>
      </c>
      <c r="M42">
        <f>CAP[[#This Row],[Def]]*2+36</f>
        <v>186</v>
      </c>
      <c r="N42">
        <f>CAP[[#This Row],[SpA]]*2+36</f>
        <v>256</v>
      </c>
      <c r="O42" s="14">
        <f>CAP[[#This Row],[SpD]]*2+36</f>
        <v>186</v>
      </c>
      <c r="P42" s="14">
        <f>CAP[[#This Row],[SPD Factor]]/822</f>
        <v>0.92822384428223847</v>
      </c>
      <c r="Q42" s="14">
        <f>VLOOKUP(CAP[[#This Row],[Spe]],SpeedFactor[#All], 2, TRUE)</f>
        <v>763</v>
      </c>
      <c r="R42" s="14">
        <f>CAP[[#This Row],[Stat HP]]*CAP[[#This Row],[Stat Def]]</f>
        <v>54126</v>
      </c>
      <c r="S42" s="14">
        <f>CAP[[#This Row],[Stat HP]]*CAP[[#This Row],[Stat SpD]]</f>
        <v>54126</v>
      </c>
      <c r="T42" s="1">
        <f>CAP[[#This Row],[Stat Atk]]*(CAP[[#This Row],[Stat Atk]]*CAP[[#This Row],[Stat Spe]]+415)/(CAP[[#This Row],[Stat Atk]]*(1-CAP[[#This Row],[Stat Spe]])+415)</f>
        <v>290.56353528605882</v>
      </c>
      <c r="U42" s="4">
        <f>CAP[[#This Row],[Stat SpA]]*(CAP[[#This Row],[Stat SpA]]*CAP[[#This Row],[Stat Spe]]+415)/(CAP[[#This Row],[Stat SpA]]*(1-CAP[[#This Row],[Stat Spe]])+415)</f>
        <v>385.51415081098378</v>
      </c>
      <c r="V42" s="9">
        <f>(CAP[[#This Row],[RPT]] /432.441508090053)-22.8128616201416</f>
        <v>102.35088651092039</v>
      </c>
      <c r="W42" s="10">
        <f>(CAP[[#This Row],[RST]] /426.30249118172)-22.4239890939417</f>
        <v>104.54219365099495</v>
      </c>
      <c r="X42" s="10">
        <f>(CAP[[#This Row],[RPS]]/2.21869141127892)+2.84495101810441</f>
        <v>133.80662230278719</v>
      </c>
      <c r="Y42" s="11">
        <f>(CAP[[#This Row],[RSS]]/2.30100441716059)+11.4244456864885</f>
        <v>178.9661278909509</v>
      </c>
      <c r="Z42" s="5">
        <f>(MAX(CAP[[#This Row],[PS]],CAP[[#This Row],[SS]]) - MAX(CAP[[#This Row],[PT]],CAP[[#This Row],[ST]])) / 6.165301 - 0.490854</f>
        <v>11.580565422986153</v>
      </c>
      <c r="AA42" s="1">
        <f>(CAP[[#This Row],[PT]] - CAP[[#This Row],[ST]] + CAP[[#This Row],[PS]] - CAP[[#This Row],[SS]]) / 6.8267</f>
        <v>-6.9361203404629252</v>
      </c>
      <c r="AB42" s="3">
        <f xml:space="preserve"> (CAP[[#This Row],[PT]] + CAP[[#This Row],[ST]] + CAP[[#This Row],[PS]] + CAP[[#This Row],[SS]]) /1.54532785176361-58.8447490566471</f>
        <v>277.43717957266176</v>
      </c>
      <c r="AC42"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Good</v>
      </c>
      <c r="AD42" s="14">
        <f>IF(CAP[[#This Row],[Overall Rating]]&lt;=200,80,IF(CAP[[#This Row],[Overall Rating]]&lt;250,75,IF(CAP[[#This Row],[Overall Rating]]&lt;300,70,IF(CAP[[#This Row],[Overall Rating]]&lt;350,65,IF(CAP[[#This Row],[Overall Rating]]&lt;400,60,IF(CAP[[#This Row],[Overall Rating]]&lt;450,55,50))))))</f>
        <v>70</v>
      </c>
    </row>
    <row r="43" spans="1:30" x14ac:dyDescent="0.3">
      <c r="A43">
        <v>96</v>
      </c>
      <c r="B43" s="14" t="s">
        <v>498</v>
      </c>
      <c r="C43" s="14" t="s">
        <v>37</v>
      </c>
      <c r="D43" s="14" t="s">
        <v>150</v>
      </c>
      <c r="E43">
        <v>50</v>
      </c>
      <c r="F43">
        <v>60</v>
      </c>
      <c r="G43">
        <v>50</v>
      </c>
      <c r="H43">
        <v>80</v>
      </c>
      <c r="I43">
        <v>50</v>
      </c>
      <c r="J43">
        <v>90</v>
      </c>
      <c r="K43" s="14">
        <f>CAP[[#This Row],[HP]]*2+141</f>
        <v>241</v>
      </c>
      <c r="L43" s="14">
        <f>CAP[[#This Row],[Atk]]*2+36</f>
        <v>156</v>
      </c>
      <c r="M43">
        <f>CAP[[#This Row],[Def]]*2+36</f>
        <v>136</v>
      </c>
      <c r="N43">
        <f>CAP[[#This Row],[SpA]]*2+36</f>
        <v>196</v>
      </c>
      <c r="O43" s="14">
        <f>CAP[[#This Row],[SpD]]*2+36</f>
        <v>136</v>
      </c>
      <c r="P43" s="14">
        <f>CAP[[#This Row],[SPD Factor]]/822</f>
        <v>0.76034063260340634</v>
      </c>
      <c r="Q43" s="14">
        <f>VLOOKUP(CAP[[#This Row],[Spe]],SpeedFactor[#All], 2, TRUE)</f>
        <v>625</v>
      </c>
      <c r="R43" s="14">
        <f>CAP[[#This Row],[Stat HP]]*CAP[[#This Row],[Stat Def]]</f>
        <v>32776</v>
      </c>
      <c r="S43" s="14">
        <f>CAP[[#This Row],[Stat HP]]*CAP[[#This Row],[Stat SpD]]</f>
        <v>32776</v>
      </c>
      <c r="T43" s="1">
        <f>CAP[[#This Row],[Stat Atk]]*(CAP[[#This Row],[Stat Atk]]*CAP[[#This Row],[Stat Spe]]+415)/(CAP[[#This Row],[Stat Atk]]*(1-CAP[[#This Row],[Stat Spe]])+415)</f>
        <v>184.00987463091144</v>
      </c>
      <c r="U43" s="4">
        <f>CAP[[#This Row],[Stat SpA]]*(CAP[[#This Row],[Stat SpA]]*CAP[[#This Row],[Stat Spe]]+415)/(CAP[[#This Row],[Stat SpA]]*(1-CAP[[#This Row],[Stat Spe]])+415)</f>
        <v>239.29794439382528</v>
      </c>
      <c r="V43" s="9">
        <f>(CAP[[#This Row],[RPT]] /432.441508090053)-22.8128616201416</f>
        <v>52.980047679339009</v>
      </c>
      <c r="W43" s="10">
        <f>(CAP[[#This Row],[RST]] /426.30249118172)-22.4239890939417</f>
        <v>54.460384509281212</v>
      </c>
      <c r="X43" s="10">
        <f>(CAP[[#This Row],[RPS]]/2.21869141127892)+2.84495101810441</f>
        <v>85.781169049814665</v>
      </c>
      <c r="Y43" s="11">
        <f>(CAP[[#This Row],[RSS]]/2.30100441716059)+11.4244456864885</f>
        <v>115.4216143182271</v>
      </c>
      <c r="Z43" s="5">
        <f>(MAX(CAP[[#This Row],[PS]],CAP[[#This Row],[SS]]) - MAX(CAP[[#This Row],[PT]],CAP[[#This Row],[ST]])) / 6.165301 - 0.490854</f>
        <v>9.3969405795259444</v>
      </c>
      <c r="AA43" s="1">
        <f>(CAP[[#This Row],[PT]] - CAP[[#This Row],[ST]] + CAP[[#This Row],[PS]] - CAP[[#This Row],[SS]]) / 6.8267</f>
        <v>-4.5586860559794102</v>
      </c>
      <c r="AB43" s="3">
        <f xml:space="preserve"> (CAP[[#This Row],[PT]] + CAP[[#This Row],[ST]] + CAP[[#This Row],[PS]] + CAP[[#This Row],[SS]]) /1.54532785176361-58.8447490566471</f>
        <v>140.88194014035531</v>
      </c>
      <c r="AC43"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Poor</v>
      </c>
      <c r="AD43" s="14">
        <f>IF(CAP[[#This Row],[Overall Rating]]&lt;=200,80,IF(CAP[[#This Row],[Overall Rating]]&lt;250,75,IF(CAP[[#This Row],[Overall Rating]]&lt;300,70,IF(CAP[[#This Row],[Overall Rating]]&lt;350,65,IF(CAP[[#This Row],[Overall Rating]]&lt;400,60,IF(CAP[[#This Row],[Overall Rating]]&lt;450,55,50))))))</f>
        <v>80</v>
      </c>
    </row>
    <row r="44" spans="1:30" x14ac:dyDescent="0.3">
      <c r="A44">
        <v>95</v>
      </c>
      <c r="B44" s="14" t="s">
        <v>497</v>
      </c>
      <c r="C44" s="14" t="s">
        <v>84</v>
      </c>
      <c r="D44" s="14" t="s">
        <v>89</v>
      </c>
      <c r="E44">
        <v>85</v>
      </c>
      <c r="F44">
        <v>65</v>
      </c>
      <c r="G44">
        <v>95</v>
      </c>
      <c r="H44">
        <v>130</v>
      </c>
      <c r="I44">
        <v>110</v>
      </c>
      <c r="J44">
        <v>115</v>
      </c>
      <c r="K44" s="14">
        <f>CAP[[#This Row],[HP]]*2+141</f>
        <v>311</v>
      </c>
      <c r="L44" s="14">
        <f>CAP[[#This Row],[Atk]]*2+36</f>
        <v>166</v>
      </c>
      <c r="M44">
        <f>CAP[[#This Row],[Def]]*2+36</f>
        <v>226</v>
      </c>
      <c r="N44">
        <f>CAP[[#This Row],[SpA]]*2+36</f>
        <v>296</v>
      </c>
      <c r="O44" s="14">
        <f>CAP[[#This Row],[SpD]]*2+36</f>
        <v>256</v>
      </c>
      <c r="P44" s="14">
        <f>CAP[[#This Row],[SPD Factor]]/822</f>
        <v>0.95133819951338194</v>
      </c>
      <c r="Q44" s="14">
        <f>VLOOKUP(CAP[[#This Row],[Spe]],SpeedFactor[#All], 2, TRUE)</f>
        <v>782</v>
      </c>
      <c r="R44" s="14">
        <f>CAP[[#This Row],[Stat HP]]*CAP[[#This Row],[Stat Def]]</f>
        <v>70286</v>
      </c>
      <c r="S44" s="14">
        <f>CAP[[#This Row],[Stat HP]]*CAP[[#This Row],[Stat SpD]]</f>
        <v>79616</v>
      </c>
      <c r="T44" s="1">
        <f>CAP[[#This Row],[Stat Atk]]*(CAP[[#This Row],[Stat Atk]]*CAP[[#This Row],[Stat Spe]]+415)/(CAP[[#This Row],[Stat Atk]]*(1-CAP[[#This Row],[Stat Spe]])+415)</f>
        <v>224.79331742243434</v>
      </c>
      <c r="U44" s="4">
        <f>CAP[[#This Row],[Stat SpA]]*(CAP[[#This Row],[Stat SpA]]*CAP[[#This Row],[Stat Spe]]+415)/(CAP[[#This Row],[Stat SpA]]*(1-CAP[[#This Row],[Stat Spe]])+415)</f>
        <v>480.18299572201602</v>
      </c>
      <c r="V44" s="9">
        <f>(CAP[[#This Row],[RPT]] /432.441508090053)-22.8128616201416</f>
        <v>139.72010222606582</v>
      </c>
      <c r="W44" s="10">
        <f>(CAP[[#This Row],[RST]] /426.30249118172)-22.4239890939417</f>
        <v>164.33541683705033</v>
      </c>
      <c r="X44" s="10">
        <f>(CAP[[#This Row],[RPS]]/2.21869141127892)+2.84495101810441</f>
        <v>104.16292443237781</v>
      </c>
      <c r="Y44" s="11">
        <f>(CAP[[#This Row],[RSS]]/2.30100441716059)+11.4244456864885</f>
        <v>220.10852822925725</v>
      </c>
      <c r="Z44" s="5">
        <f>(MAX(CAP[[#This Row],[PS]],CAP[[#This Row],[SS]]) - MAX(CAP[[#This Row],[PT]],CAP[[#This Row],[ST]])) / 6.165301 - 0.490854</f>
        <v>8.5554377207459797</v>
      </c>
      <c r="AA44" s="1">
        <f>(CAP[[#This Row],[PT]] - CAP[[#This Row],[ST]] + CAP[[#This Row],[PS]] - CAP[[#This Row],[SS]]) / 6.8267</f>
        <v>-20.589877745889513</v>
      </c>
      <c r="AB44" s="3">
        <f xml:space="preserve"> (CAP[[#This Row],[PT]] + CAP[[#This Row],[ST]] + CAP[[#This Row],[PS]] + CAP[[#This Row],[SS]]) /1.54532785176361-58.8447490566471</f>
        <v>347.75309424739424</v>
      </c>
      <c r="AC44"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Very Good</v>
      </c>
      <c r="AD44" s="14">
        <f>IF(CAP[[#This Row],[Overall Rating]]&lt;=200,80,IF(CAP[[#This Row],[Overall Rating]]&lt;250,75,IF(CAP[[#This Row],[Overall Rating]]&lt;300,70,IF(CAP[[#This Row],[Overall Rating]]&lt;350,65,IF(CAP[[#This Row],[Overall Rating]]&lt;400,60,IF(CAP[[#This Row],[Overall Rating]]&lt;450,55,50))))))</f>
        <v>65</v>
      </c>
    </row>
    <row r="45" spans="1:30" x14ac:dyDescent="0.3">
      <c r="A45">
        <v>94</v>
      </c>
      <c r="B45" s="14" t="s">
        <v>495</v>
      </c>
      <c r="C45" s="14" t="s">
        <v>84</v>
      </c>
      <c r="D45" s="14"/>
      <c r="E45">
        <v>60</v>
      </c>
      <c r="F45">
        <v>50</v>
      </c>
      <c r="G45">
        <v>70</v>
      </c>
      <c r="H45">
        <v>90</v>
      </c>
      <c r="I45">
        <v>80</v>
      </c>
      <c r="J45">
        <v>100</v>
      </c>
      <c r="K45" s="14">
        <f>CAP[[#This Row],[HP]]*2+141</f>
        <v>261</v>
      </c>
      <c r="L45" s="14">
        <f>CAP[[#This Row],[Atk]]*2+36</f>
        <v>136</v>
      </c>
      <c r="M45">
        <f>CAP[[#This Row],[Def]]*2+36</f>
        <v>176</v>
      </c>
      <c r="N45">
        <f>CAP[[#This Row],[SpA]]*2+36</f>
        <v>216</v>
      </c>
      <c r="O45" s="14">
        <f>CAP[[#This Row],[SpD]]*2+36</f>
        <v>196</v>
      </c>
      <c r="P45" s="14">
        <f>CAP[[#This Row],[SPD Factor]]/822</f>
        <v>0.86496350364963503</v>
      </c>
      <c r="Q45" s="14">
        <f>VLOOKUP(CAP[[#This Row],[Spe]],SpeedFactor[#All], 2, TRUE)</f>
        <v>711</v>
      </c>
      <c r="R45" s="14">
        <f>CAP[[#This Row],[Stat HP]]*CAP[[#This Row],[Stat Def]]</f>
        <v>45936</v>
      </c>
      <c r="S45" s="14">
        <f>CAP[[#This Row],[Stat HP]]*CAP[[#This Row],[Stat SpD]]</f>
        <v>51156</v>
      </c>
      <c r="T45" s="1">
        <f>CAP[[#This Row],[Stat Atk]]*(CAP[[#This Row],[Stat Atk]]*CAP[[#This Row],[Stat Spe]]+415)/(CAP[[#This Row],[Stat Atk]]*(1-CAP[[#This Row],[Stat Spe]])+415)</f>
        <v>167.15325664044738</v>
      </c>
      <c r="U45" s="4">
        <f>CAP[[#This Row],[Stat SpA]]*(CAP[[#This Row],[Stat SpA]]*CAP[[#This Row],[Stat Spe]]+415)/(CAP[[#This Row],[Stat SpA]]*(1-CAP[[#This Row],[Stat Spe]])+415)</f>
        <v>292.67252797817622</v>
      </c>
      <c r="V45" s="9">
        <f>(CAP[[#This Row],[RPT]] /432.441508090053)-22.8128616201416</f>
        <v>83.411908991920328</v>
      </c>
      <c r="W45" s="10">
        <f>(CAP[[#This Row],[RST]] /426.30249118172)-22.4239890939417</f>
        <v>97.575309662662875</v>
      </c>
      <c r="X45" s="10">
        <f>(CAP[[#This Row],[RPS]]/2.21869141127892)+2.84495101810441</f>
        <v>78.183619474072898</v>
      </c>
      <c r="Y45" s="11">
        <f>(CAP[[#This Row],[RSS]]/2.30100441716059)+11.4244456864885</f>
        <v>138.61782514958853</v>
      </c>
      <c r="Z45" s="5">
        <f>(MAX(CAP[[#This Row],[PS]],CAP[[#This Row],[SS]]) - MAX(CAP[[#This Row],[PT]],CAP[[#This Row],[ST]])) / 6.165301 - 0.490854</f>
        <v>6.1661633113892815</v>
      </c>
      <c r="AA45" s="1">
        <f>(CAP[[#This Row],[PT]] - CAP[[#This Row],[ST]] + CAP[[#This Row],[PS]] - CAP[[#This Row],[SS]]) / 6.8267</f>
        <v>-10.927330386022263</v>
      </c>
      <c r="AB45" s="3">
        <f xml:space="preserve"> (CAP[[#This Row],[PT]] + CAP[[#This Row],[ST]] + CAP[[#This Row],[PS]] + CAP[[#This Row],[SS]]) /1.54532785176361-58.8447490566471</f>
        <v>198.56901775294421</v>
      </c>
      <c r="AC45"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Below Average</v>
      </c>
      <c r="AD45" s="14">
        <f>IF(CAP[[#This Row],[Overall Rating]]&lt;=200,80,IF(CAP[[#This Row],[Overall Rating]]&lt;250,75,IF(CAP[[#This Row],[Overall Rating]]&lt;300,70,IF(CAP[[#This Row],[Overall Rating]]&lt;350,65,IF(CAP[[#This Row],[Overall Rating]]&lt;400,60,IF(CAP[[#This Row],[Overall Rating]]&lt;450,55,50))))))</f>
        <v>80</v>
      </c>
    </row>
    <row r="46" spans="1:30" x14ac:dyDescent="0.3">
      <c r="A46">
        <v>93</v>
      </c>
      <c r="B46" s="14" t="s">
        <v>494</v>
      </c>
      <c r="C46" s="14" t="s">
        <v>37</v>
      </c>
      <c r="D46" s="14" t="s">
        <v>135</v>
      </c>
      <c r="E46">
        <v>90</v>
      </c>
      <c r="F46">
        <v>115</v>
      </c>
      <c r="G46">
        <v>80</v>
      </c>
      <c r="H46">
        <v>95</v>
      </c>
      <c r="I46">
        <v>80</v>
      </c>
      <c r="J46">
        <v>100</v>
      </c>
      <c r="K46" s="14">
        <f>CAP[[#This Row],[HP]]*2+141</f>
        <v>321</v>
      </c>
      <c r="L46" s="14">
        <f>CAP[[#This Row],[Atk]]*2+36</f>
        <v>266</v>
      </c>
      <c r="M46">
        <f>CAP[[#This Row],[Def]]*2+36</f>
        <v>196</v>
      </c>
      <c r="N46">
        <f>CAP[[#This Row],[SpA]]*2+36</f>
        <v>226</v>
      </c>
      <c r="O46" s="14">
        <f>CAP[[#This Row],[SpD]]*2+36</f>
        <v>196</v>
      </c>
      <c r="P46" s="14">
        <f>CAP[[#This Row],[SPD Factor]]/822</f>
        <v>0.86496350364963503</v>
      </c>
      <c r="Q46" s="14">
        <f>VLOOKUP(CAP[[#This Row],[Spe]],SpeedFactor[#All], 2, TRUE)</f>
        <v>711</v>
      </c>
      <c r="R46" s="14">
        <f>CAP[[#This Row],[Stat HP]]*CAP[[#This Row],[Stat Def]]</f>
        <v>62916</v>
      </c>
      <c r="S46" s="14">
        <f>CAP[[#This Row],[Stat HP]]*CAP[[#This Row],[Stat SpD]]</f>
        <v>62916</v>
      </c>
      <c r="T46" s="1">
        <f>CAP[[#This Row],[Stat Atk]]*(CAP[[#This Row],[Stat Atk]]*CAP[[#This Row],[Stat Spe]]+415)/(CAP[[#This Row],[Stat Atk]]*(1-CAP[[#This Row],[Stat Spe]])+415)</f>
        <v>380.53638953638955</v>
      </c>
      <c r="U46" s="4">
        <f>CAP[[#This Row],[Stat SpA]]*(CAP[[#This Row],[Stat SpA]]*CAP[[#This Row],[Stat Spe]]+415)/(CAP[[#This Row],[Stat SpA]]*(1-CAP[[#This Row],[Stat Spe]])+415)</f>
        <v>309.68176158332784</v>
      </c>
      <c r="V46" s="9">
        <f>(CAP[[#This Row],[RPT]] /432.441508090053)-22.8128616201416</f>
        <v>122.67733491043327</v>
      </c>
      <c r="W46" s="10">
        <f>(CAP[[#This Row],[RST]] /426.30249118172)-22.4239890939417</f>
        <v>125.16135535383633</v>
      </c>
      <c r="X46" s="10">
        <f>(CAP[[#This Row],[RPS]]/2.21869141127892)+2.84495101810441</f>
        <v>174.35883870969511</v>
      </c>
      <c r="Y46" s="11">
        <f>(CAP[[#This Row],[RSS]]/2.30100441716059)+11.4244456864885</f>
        <v>146.00991595927971</v>
      </c>
      <c r="Z46" s="5">
        <f>(MAX(CAP[[#This Row],[PS]],CAP[[#This Row],[SS]]) - MAX(CAP[[#This Row],[PT]],CAP[[#This Row],[ST]])) / 6.165301 - 0.490854</f>
        <v>7.4888834622680678</v>
      </c>
      <c r="AA46" s="1">
        <f>(CAP[[#This Row],[PT]] - CAP[[#This Row],[ST]] + CAP[[#This Row],[PS]] - CAP[[#This Row],[SS]]) / 6.8267</f>
        <v>3.788785548949321</v>
      </c>
      <c r="AB46" s="3">
        <f xml:space="preserve"> (CAP[[#This Row],[PT]] + CAP[[#This Row],[ST]] + CAP[[#This Row],[PS]] + CAP[[#This Row],[SS]]) /1.54532785176361-58.8447490566471</f>
        <v>308.84903468301434</v>
      </c>
      <c r="AC46"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Very Good</v>
      </c>
      <c r="AD46" s="14">
        <f>IF(CAP[[#This Row],[Overall Rating]]&lt;=200,80,IF(CAP[[#This Row],[Overall Rating]]&lt;250,75,IF(CAP[[#This Row],[Overall Rating]]&lt;300,70,IF(CAP[[#This Row],[Overall Rating]]&lt;350,65,IF(CAP[[#This Row],[Overall Rating]]&lt;400,60,IF(CAP[[#This Row],[Overall Rating]]&lt;450,55,50))))))</f>
        <v>65</v>
      </c>
    </row>
    <row r="47" spans="1:30" x14ac:dyDescent="0.3">
      <c r="A47">
        <v>92</v>
      </c>
      <c r="B47" s="14" t="s">
        <v>493</v>
      </c>
      <c r="C47" s="14" t="s">
        <v>50</v>
      </c>
      <c r="D47" s="14" t="s">
        <v>28</v>
      </c>
      <c r="E47">
        <v>80</v>
      </c>
      <c r="F47">
        <v>70</v>
      </c>
      <c r="G47">
        <v>65</v>
      </c>
      <c r="H47">
        <v>105</v>
      </c>
      <c r="I47">
        <v>75</v>
      </c>
      <c r="J47">
        <v>90</v>
      </c>
      <c r="K47" s="14">
        <f>CAP[[#This Row],[HP]]*2+141</f>
        <v>301</v>
      </c>
      <c r="L47" s="14">
        <f>CAP[[#This Row],[Atk]]*2+36</f>
        <v>176</v>
      </c>
      <c r="M47">
        <f>CAP[[#This Row],[Def]]*2+36</f>
        <v>166</v>
      </c>
      <c r="N47">
        <f>CAP[[#This Row],[SpA]]*2+36</f>
        <v>246</v>
      </c>
      <c r="O47" s="14">
        <f>CAP[[#This Row],[SpD]]*2+36</f>
        <v>186</v>
      </c>
      <c r="P47" s="14">
        <f>CAP[[#This Row],[SPD Factor]]/822</f>
        <v>0.76034063260340634</v>
      </c>
      <c r="Q47" s="14">
        <f>VLOOKUP(CAP[[#This Row],[Spe]],SpeedFactor[#All], 2, TRUE)</f>
        <v>625</v>
      </c>
      <c r="R47" s="14">
        <f>CAP[[#This Row],[Stat HP]]*CAP[[#This Row],[Stat Def]]</f>
        <v>49966</v>
      </c>
      <c r="S47" s="14">
        <f>CAP[[#This Row],[Stat HP]]*CAP[[#This Row],[Stat SpD]]</f>
        <v>55986</v>
      </c>
      <c r="T47" s="1">
        <f>CAP[[#This Row],[Stat Atk]]*(CAP[[#This Row],[Stat Atk]]*CAP[[#This Row],[Stat Spe]]+415)/(CAP[[#This Row],[Stat Atk]]*(1-CAP[[#This Row],[Stat Spe]])+415)</f>
        <v>211.27849239759237</v>
      </c>
      <c r="U47" s="4">
        <f>CAP[[#This Row],[Stat SpA]]*(CAP[[#This Row],[Stat SpA]]*CAP[[#This Row],[Stat Spe]]+415)/(CAP[[#This Row],[Stat SpA]]*(1-CAP[[#This Row],[Stat Spe]])+415)</f>
        <v>312.48198114951026</v>
      </c>
      <c r="V47" s="9">
        <f>(CAP[[#This Row],[RPT]] /432.441508090053)-22.8128616201416</f>
        <v>92.731088406031461</v>
      </c>
      <c r="W47" s="10">
        <f>(CAP[[#This Row],[RST]] /426.30249118172)-22.4239890939417</f>
        <v>108.90529271439483</v>
      </c>
      <c r="X47" s="10">
        <f>(CAP[[#This Row],[RPS]]/2.21869141127892)+2.84495101810441</f>
        <v>98.071574839487994</v>
      </c>
      <c r="Y47" s="11">
        <f>(CAP[[#This Row],[RSS]]/2.30100441716059)+11.4244456864885</f>
        <v>147.22687127900824</v>
      </c>
      <c r="Z47" s="5">
        <f>(MAX(CAP[[#This Row],[PS]],CAP[[#This Row],[SS]]) - MAX(CAP[[#This Row],[PT]],CAP[[#This Row],[ST]])) / 6.165301 - 0.490854</f>
        <v>5.7248325600906433</v>
      </c>
      <c r="AA47" s="1">
        <f>(CAP[[#This Row],[PT]] - CAP[[#This Row],[ST]] + CAP[[#This Row],[PS]] - CAP[[#This Row],[SS]]) / 6.8267</f>
        <v>-9.5697043590436977</v>
      </c>
      <c r="AB47" s="3">
        <f xml:space="preserve"> (CAP[[#This Row],[PT]] + CAP[[#This Row],[ST]] + CAP[[#This Row],[PS]] + CAP[[#This Row],[SS]]) /1.54532785176361-58.8447490566471</f>
        <v>230.37208394669051</v>
      </c>
      <c r="AC47"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Above Average</v>
      </c>
      <c r="AD47" s="14">
        <f>IF(CAP[[#This Row],[Overall Rating]]&lt;=200,80,IF(CAP[[#This Row],[Overall Rating]]&lt;250,75,IF(CAP[[#This Row],[Overall Rating]]&lt;300,70,IF(CAP[[#This Row],[Overall Rating]]&lt;350,65,IF(CAP[[#This Row],[Overall Rating]]&lt;400,60,IF(CAP[[#This Row],[Overall Rating]]&lt;450,55,50))))))</f>
        <v>75</v>
      </c>
    </row>
    <row r="48" spans="1:30" x14ac:dyDescent="0.3">
      <c r="A48">
        <v>91</v>
      </c>
      <c r="B48" s="14" t="s">
        <v>492</v>
      </c>
      <c r="C48" s="14" t="s">
        <v>135</v>
      </c>
      <c r="D48" s="14" t="s">
        <v>44</v>
      </c>
      <c r="E48">
        <v>85</v>
      </c>
      <c r="F48">
        <v>105</v>
      </c>
      <c r="G48">
        <v>100</v>
      </c>
      <c r="H48">
        <v>75</v>
      </c>
      <c r="I48">
        <v>80</v>
      </c>
      <c r="J48">
        <v>90</v>
      </c>
      <c r="K48" s="14">
        <f>CAP[[#This Row],[HP]]*2+141</f>
        <v>311</v>
      </c>
      <c r="L48" s="14">
        <f>CAP[[#This Row],[Atk]]*2+36</f>
        <v>246</v>
      </c>
      <c r="M48">
        <f>CAP[[#This Row],[Def]]*2+36</f>
        <v>236</v>
      </c>
      <c r="N48">
        <f>CAP[[#This Row],[SpA]]*2+36</f>
        <v>186</v>
      </c>
      <c r="O48" s="14">
        <f>CAP[[#This Row],[SpD]]*2+36</f>
        <v>196</v>
      </c>
      <c r="P48" s="14">
        <f>CAP[[#This Row],[SPD Factor]]/822</f>
        <v>0.76034063260340634</v>
      </c>
      <c r="Q48" s="14">
        <f>VLOOKUP(CAP[[#This Row],[Spe]],SpeedFactor[#All], 2, TRUE)</f>
        <v>625</v>
      </c>
      <c r="R48" s="14">
        <f>CAP[[#This Row],[Stat HP]]*CAP[[#This Row],[Stat Def]]</f>
        <v>73396</v>
      </c>
      <c r="S48" s="14">
        <f>CAP[[#This Row],[Stat HP]]*CAP[[#This Row],[Stat SpD]]</f>
        <v>60956</v>
      </c>
      <c r="T48" s="1">
        <f>CAP[[#This Row],[Stat Atk]]*(CAP[[#This Row],[Stat Atk]]*CAP[[#This Row],[Stat Spe]]+415)/(CAP[[#This Row],[Stat Atk]]*(1-CAP[[#This Row],[Stat Spe]])+415)</f>
        <v>312.48198114951026</v>
      </c>
      <c r="U48" s="4">
        <f>CAP[[#This Row],[Stat SpA]]*(CAP[[#This Row],[Stat SpA]]*CAP[[#This Row],[Stat Spe]]+415)/(CAP[[#This Row],[Stat SpA]]*(1-CAP[[#This Row],[Stat Spe]])+415)</f>
        <v>225.19583240684855</v>
      </c>
      <c r="V48" s="9">
        <f>(CAP[[#This Row],[RPT]] /432.441508090053)-22.8128616201416</f>
        <v>146.91182629005729</v>
      </c>
      <c r="W48" s="10">
        <f>(CAP[[#This Row],[RST]] /426.30249118172)-22.4239890939417</f>
        <v>120.5636810719741</v>
      </c>
      <c r="X48" s="10">
        <f>(CAP[[#This Row],[RPS]]/2.21869141127892)+2.84495101810441</f>
        <v>143.68561933321106</v>
      </c>
      <c r="Y48" s="11">
        <f>(CAP[[#This Row],[RSS]]/2.30100441716059)+11.4244456864885</f>
        <v>109.29293769257397</v>
      </c>
      <c r="Z48" s="5">
        <f>(MAX(CAP[[#This Row],[PS]],CAP[[#This Row],[SS]]) - MAX(CAP[[#This Row],[PT]],CAP[[#This Row],[ST]])) / 6.165301 - 0.490854</f>
        <v>-1.0141385820254722</v>
      </c>
      <c r="AA48" s="1">
        <f>(CAP[[#This Row],[PT]] - CAP[[#This Row],[ST]] + CAP[[#This Row],[PS]] - CAP[[#This Row],[SS]]) / 6.8267</f>
        <v>8.8975386143700916</v>
      </c>
      <c r="AB48" s="3">
        <f xml:space="preserve"> (CAP[[#This Row],[PT]] + CAP[[#This Row],[ST]] + CAP[[#This Row],[PS]] + CAP[[#This Row],[SS]]) /1.54532785176361-58.8447490566471</f>
        <v>277.94725517329465</v>
      </c>
      <c r="AC48"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Good</v>
      </c>
      <c r="AD48" s="14">
        <f>IF(CAP[[#This Row],[Overall Rating]]&lt;=200,80,IF(CAP[[#This Row],[Overall Rating]]&lt;250,75,IF(CAP[[#This Row],[Overall Rating]]&lt;300,70,IF(CAP[[#This Row],[Overall Rating]]&lt;350,65,IF(CAP[[#This Row],[Overall Rating]]&lt;400,60,IF(CAP[[#This Row],[Overall Rating]]&lt;450,55,50))))))</f>
        <v>70</v>
      </c>
    </row>
    <row r="49" spans="1:30" x14ac:dyDescent="0.3">
      <c r="A49">
        <v>90</v>
      </c>
      <c r="B49" s="14" t="s">
        <v>491</v>
      </c>
      <c r="C49" s="14" t="s">
        <v>135</v>
      </c>
      <c r="D49" s="14"/>
      <c r="E49">
        <v>58</v>
      </c>
      <c r="F49">
        <v>70</v>
      </c>
      <c r="G49">
        <v>55</v>
      </c>
      <c r="H49">
        <v>60</v>
      </c>
      <c r="I49">
        <v>50</v>
      </c>
      <c r="J49">
        <v>62</v>
      </c>
      <c r="K49" s="14">
        <f>CAP[[#This Row],[HP]]*2+141</f>
        <v>257</v>
      </c>
      <c r="L49" s="14">
        <f>CAP[[#This Row],[Atk]]*2+36</f>
        <v>176</v>
      </c>
      <c r="M49">
        <f>CAP[[#This Row],[Def]]*2+36</f>
        <v>146</v>
      </c>
      <c r="N49">
        <f>CAP[[#This Row],[SpA]]*2+36</f>
        <v>156</v>
      </c>
      <c r="O49" s="14">
        <f>CAP[[#This Row],[SpD]]*2+36</f>
        <v>136</v>
      </c>
      <c r="P49" s="14">
        <f>CAP[[#This Row],[SPD Factor]]/822</f>
        <v>0.4489051094890511</v>
      </c>
      <c r="Q49" s="14">
        <f>VLOOKUP(CAP[[#This Row],[Spe]],SpeedFactor[#All], 2, TRUE)</f>
        <v>369</v>
      </c>
      <c r="R49" s="14">
        <f>CAP[[#This Row],[Stat HP]]*CAP[[#This Row],[Stat Def]]</f>
        <v>37522</v>
      </c>
      <c r="S49" s="14">
        <f>CAP[[#This Row],[Stat HP]]*CAP[[#This Row],[Stat SpD]]</f>
        <v>34952</v>
      </c>
      <c r="T49" s="1">
        <f>CAP[[#This Row],[Stat Atk]]*(CAP[[#This Row],[Stat Atk]]*CAP[[#This Row],[Stat Spe]]+415)/(CAP[[#This Row],[Stat Atk]]*(1-CAP[[#This Row],[Stat Spe]])+415)</f>
        <v>169.81743010706697</v>
      </c>
      <c r="U49" s="4">
        <f>CAP[[#This Row],[Stat SpA]]*(CAP[[#This Row],[Stat SpA]]*CAP[[#This Row],[Stat Spe]]+415)/(CAP[[#This Row],[Stat SpA]]*(1-CAP[[#This Row],[Stat Spe]])+415)</f>
        <v>151.03585738638847</v>
      </c>
      <c r="V49" s="9">
        <f>(CAP[[#This Row],[RPT]] /432.441508090053)-22.8128616201416</f>
        <v>63.954942344195459</v>
      </c>
      <c r="W49" s="10">
        <f>(CAP[[#This Row],[RST]] /426.30249118172)-22.4239890939417</f>
        <v>59.564741263022157</v>
      </c>
      <c r="X49" s="10">
        <f>(CAP[[#This Row],[RPS]]/2.21869141127892)+2.84495101810441</f>
        <v>79.384405420724164</v>
      </c>
      <c r="Y49" s="11">
        <f>(CAP[[#This Row],[RSS]]/2.30100441716059)+11.4244456864885</f>
        <v>77.063544968516297</v>
      </c>
      <c r="Z49" s="5">
        <f>(MAX(CAP[[#This Row],[PS]],CAP[[#This Row],[SS]]) - MAX(CAP[[#This Row],[PT]],CAP[[#This Row],[ST]])) / 6.165301 - 0.490854</f>
        <v>2.0117753244285566</v>
      </c>
      <c r="AA49" s="1">
        <f>(CAP[[#This Row],[PT]] - CAP[[#This Row],[ST]] + CAP[[#This Row],[PS]] - CAP[[#This Row],[SS]]) / 6.8267</f>
        <v>0.98306085420205513</v>
      </c>
      <c r="AB49" s="3">
        <f xml:space="preserve"> (CAP[[#This Row],[PT]] + CAP[[#This Row],[ST]] + CAP[[#This Row],[PS]] + CAP[[#This Row],[SS]]) /1.54532785176361-58.8447490566471</f>
        <v>122.3256308578443</v>
      </c>
      <c r="AC49"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Poor</v>
      </c>
      <c r="AD49" s="14">
        <f>IF(CAP[[#This Row],[Overall Rating]]&lt;=200,80,IF(CAP[[#This Row],[Overall Rating]]&lt;250,75,IF(CAP[[#This Row],[Overall Rating]]&lt;300,70,IF(CAP[[#This Row],[Overall Rating]]&lt;350,65,IF(CAP[[#This Row],[Overall Rating]]&lt;400,60,IF(CAP[[#This Row],[Overall Rating]]&lt;450,55,50))))))</f>
        <v>80</v>
      </c>
    </row>
    <row r="50" spans="1:30" x14ac:dyDescent="0.3">
      <c r="A50">
        <v>89</v>
      </c>
      <c r="B50" s="14" t="s">
        <v>489</v>
      </c>
      <c r="C50" s="14" t="s">
        <v>21</v>
      </c>
      <c r="D50" s="14"/>
      <c r="E50">
        <v>70</v>
      </c>
      <c r="F50">
        <v>60</v>
      </c>
      <c r="G50">
        <v>85</v>
      </c>
      <c r="H50">
        <v>100</v>
      </c>
      <c r="I50">
        <v>85</v>
      </c>
      <c r="J50">
        <v>90</v>
      </c>
      <c r="K50" s="14">
        <f>CAP[[#This Row],[HP]]*2+141</f>
        <v>281</v>
      </c>
      <c r="L50" s="14">
        <f>CAP[[#This Row],[Atk]]*2+36</f>
        <v>156</v>
      </c>
      <c r="M50">
        <f>CAP[[#This Row],[Def]]*2+36</f>
        <v>206</v>
      </c>
      <c r="N50">
        <f>CAP[[#This Row],[SpA]]*2+36</f>
        <v>236</v>
      </c>
      <c r="O50" s="14">
        <f>CAP[[#This Row],[SpD]]*2+36</f>
        <v>206</v>
      </c>
      <c r="P50" s="14">
        <f>CAP[[#This Row],[SPD Factor]]/822</f>
        <v>0.76034063260340634</v>
      </c>
      <c r="Q50" s="14">
        <f>VLOOKUP(CAP[[#This Row],[Spe]],SpeedFactor[#All], 2, TRUE)</f>
        <v>625</v>
      </c>
      <c r="R50" s="14">
        <f>CAP[[#This Row],[Stat HP]]*CAP[[#This Row],[Stat Def]]</f>
        <v>57886</v>
      </c>
      <c r="S50" s="14">
        <f>CAP[[#This Row],[Stat HP]]*CAP[[#This Row],[Stat SpD]]</f>
        <v>57886</v>
      </c>
      <c r="T50" s="1">
        <f>CAP[[#This Row],[Stat Atk]]*(CAP[[#This Row],[Stat Atk]]*CAP[[#This Row],[Stat Spe]]+415)/(CAP[[#This Row],[Stat Atk]]*(1-CAP[[#This Row],[Stat Spe]])+415)</f>
        <v>184.00987463091144</v>
      </c>
      <c r="U50" s="4">
        <f>CAP[[#This Row],[Stat SpA]]*(CAP[[#This Row],[Stat SpA]]*CAP[[#This Row],[Stat Spe]]+415)/(CAP[[#This Row],[Stat SpA]]*(1-CAP[[#This Row],[Stat Spe]])+415)</f>
        <v>297.49776844451549</v>
      </c>
      <c r="V50" s="9">
        <f>(CAP[[#This Row],[RPT]] /432.441508090053)-22.8128616201416</f>
        <v>111.04570402880077</v>
      </c>
      <c r="W50" s="10">
        <f>(CAP[[#This Row],[RST]] /426.30249118172)-22.4239890939417</f>
        <v>113.36222186517965</v>
      </c>
      <c r="X50" s="10">
        <f>(CAP[[#This Row],[RPS]]/2.21869141127892)+2.84495101810441</f>
        <v>85.781169049814665</v>
      </c>
      <c r="Y50" s="11">
        <f>(CAP[[#This Row],[RSS]]/2.30100441716059)+11.4244456864885</f>
        <v>140.71484001420731</v>
      </c>
      <c r="Z50" s="5">
        <f>(MAX(CAP[[#This Row],[PS]],CAP[[#This Row],[SS]]) - MAX(CAP[[#This Row],[PT]],CAP[[#This Row],[ST]])) / 6.165301 - 0.490854</f>
        <v>3.945688214082923</v>
      </c>
      <c r="AA50" s="1">
        <f>(CAP[[#This Row],[PT]] - CAP[[#This Row],[ST]] + CAP[[#This Row],[PS]] - CAP[[#This Row],[SS]]) / 6.8267</f>
        <v>-8.3862171767869587</v>
      </c>
      <c r="AB50" s="3">
        <f xml:space="preserve"> (CAP[[#This Row],[PT]] + CAP[[#This Row],[ST]] + CAP[[#This Row],[PS]] + CAP[[#This Row],[SS]]) /1.54532785176361-58.8447490566471</f>
        <v>232.94054067550059</v>
      </c>
      <c r="AC50"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Above Average</v>
      </c>
      <c r="AD50" s="14">
        <f>IF(CAP[[#This Row],[Overall Rating]]&lt;=200,80,IF(CAP[[#This Row],[Overall Rating]]&lt;250,75,IF(CAP[[#This Row],[Overall Rating]]&lt;300,70,IF(CAP[[#This Row],[Overall Rating]]&lt;350,65,IF(CAP[[#This Row],[Overall Rating]]&lt;400,60,IF(CAP[[#This Row],[Overall Rating]]&lt;450,55,50))))))</f>
        <v>75</v>
      </c>
    </row>
    <row r="51" spans="1:30" x14ac:dyDescent="0.3">
      <c r="A51">
        <v>88</v>
      </c>
      <c r="B51" s="14" t="s">
        <v>488</v>
      </c>
      <c r="C51" s="14" t="s">
        <v>150</v>
      </c>
      <c r="D51" s="14" t="s">
        <v>96</v>
      </c>
      <c r="E51">
        <v>60</v>
      </c>
      <c r="F51">
        <v>80</v>
      </c>
      <c r="G51">
        <v>110</v>
      </c>
      <c r="H51">
        <v>50</v>
      </c>
      <c r="I51">
        <v>105</v>
      </c>
      <c r="J51">
        <v>45</v>
      </c>
      <c r="K51" s="14">
        <f>CAP[[#This Row],[HP]]*2+141</f>
        <v>261</v>
      </c>
      <c r="L51" s="14">
        <f>CAP[[#This Row],[Atk]]*2+36</f>
        <v>196</v>
      </c>
      <c r="M51">
        <f>CAP[[#This Row],[Def]]*2+36</f>
        <v>256</v>
      </c>
      <c r="N51">
        <f>CAP[[#This Row],[SpA]]*2+36</f>
        <v>136</v>
      </c>
      <c r="O51" s="14">
        <f>CAP[[#This Row],[SpD]]*2+36</f>
        <v>246</v>
      </c>
      <c r="P51" s="14">
        <f>CAP[[#This Row],[SPD Factor]]/822</f>
        <v>0.24939172749391728</v>
      </c>
      <c r="Q51" s="14">
        <f>VLOOKUP(CAP[[#This Row],[Spe]],SpeedFactor[#All], 2, TRUE)</f>
        <v>205</v>
      </c>
      <c r="R51" s="14">
        <f>CAP[[#This Row],[Stat HP]]*CAP[[#This Row],[Stat Def]]</f>
        <v>66816</v>
      </c>
      <c r="S51" s="14">
        <f>CAP[[#This Row],[Stat HP]]*CAP[[#This Row],[Stat SpD]]</f>
        <v>64206</v>
      </c>
      <c r="T51" s="1">
        <f>CAP[[#This Row],[Stat Atk]]*(CAP[[#This Row],[Stat Atk]]*CAP[[#This Row],[Stat Spe]]+415)/(CAP[[#This Row],[Stat Atk]]*(1-CAP[[#This Row],[Stat Spe]])+415)</f>
        <v>161.74617259155696</v>
      </c>
      <c r="U51" s="4">
        <f>CAP[[#This Row],[Stat SpA]]*(CAP[[#This Row],[Stat SpA]]*CAP[[#This Row],[Stat Spe]]+415)/(CAP[[#This Row],[Stat SpA]]*(1-CAP[[#This Row],[Stat Spe]])+415)</f>
        <v>118.07153175450897</v>
      </c>
      <c r="V51" s="9">
        <f>(CAP[[#This Row],[RPT]] /432.441508090053)-22.8128616201416</f>
        <v>131.69589563376664</v>
      </c>
      <c r="W51" s="10">
        <f>(CAP[[#This Row],[RST]] /426.30249118172)-22.4239890939417</f>
        <v>128.18737567200077</v>
      </c>
      <c r="X51" s="10">
        <f>(CAP[[#This Row],[RPS]]/2.21869141127892)+2.84495101810441</f>
        <v>75.746559492949331</v>
      </c>
      <c r="Y51" s="11">
        <f>(CAP[[#This Row],[RSS]]/2.30100441716059)+11.4244456864885</f>
        <v>62.737485711073816</v>
      </c>
      <c r="Z51" s="5">
        <f>(MAX(CAP[[#This Row],[PS]],CAP[[#This Row],[SS]]) - MAX(CAP[[#This Row],[PT]],CAP[[#This Row],[ST]])) / 6.165301 - 0.490854</f>
        <v>-9.565729037052904</v>
      </c>
      <c r="AA51" s="1">
        <f>(CAP[[#This Row],[PT]] - CAP[[#This Row],[ST]] + CAP[[#This Row],[PS]] - CAP[[#This Row],[SS]]) / 6.8267</f>
        <v>2.4195575817952135</v>
      </c>
      <c r="AB51" s="3">
        <f xml:space="preserve"> (CAP[[#This Row],[PT]] + CAP[[#This Row],[ST]] + CAP[[#This Row],[PS]] + CAP[[#This Row],[SS]]) /1.54532785176361-58.8447490566471</f>
        <v>198.94347112922003</v>
      </c>
      <c r="AC51"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Below Average</v>
      </c>
      <c r="AD51" s="14">
        <f>IF(CAP[[#This Row],[Overall Rating]]&lt;=200,80,IF(CAP[[#This Row],[Overall Rating]]&lt;250,75,IF(CAP[[#This Row],[Overall Rating]]&lt;300,70,IF(CAP[[#This Row],[Overall Rating]]&lt;350,65,IF(CAP[[#This Row],[Overall Rating]]&lt;400,60,IF(CAP[[#This Row],[Overall Rating]]&lt;450,55,50))))))</f>
        <v>80</v>
      </c>
    </row>
    <row r="52" spans="1:30" x14ac:dyDescent="0.3">
      <c r="A52">
        <v>87</v>
      </c>
      <c r="B52" s="14" t="s">
        <v>487</v>
      </c>
      <c r="C52" s="14" t="s">
        <v>51</v>
      </c>
      <c r="D52" s="14" t="s">
        <v>28</v>
      </c>
      <c r="E52">
        <v>90</v>
      </c>
      <c r="F52">
        <v>95</v>
      </c>
      <c r="G52">
        <v>85</v>
      </c>
      <c r="H52">
        <v>130</v>
      </c>
      <c r="I52">
        <v>100</v>
      </c>
      <c r="J52">
        <v>130</v>
      </c>
      <c r="K52" s="14">
        <f>CAP[[#This Row],[HP]]*2+141</f>
        <v>321</v>
      </c>
      <c r="L52" s="14">
        <f>CAP[[#This Row],[Atk]]*2+36</f>
        <v>226</v>
      </c>
      <c r="M52">
        <f>CAP[[#This Row],[Def]]*2+36</f>
        <v>206</v>
      </c>
      <c r="N52">
        <f>CAP[[#This Row],[SpA]]*2+36</f>
        <v>296</v>
      </c>
      <c r="O52" s="14">
        <f>CAP[[#This Row],[SpD]]*2+36</f>
        <v>236</v>
      </c>
      <c r="P52" s="14">
        <f>CAP[[#This Row],[SPD Factor]]/822</f>
        <v>0.98418491484184911</v>
      </c>
      <c r="Q52" s="14">
        <f>VLOOKUP(CAP[[#This Row],[Spe]],SpeedFactor[#All], 2, TRUE)</f>
        <v>809</v>
      </c>
      <c r="R52" s="14">
        <f>CAP[[#This Row],[Stat HP]]*CAP[[#This Row],[Stat Def]]</f>
        <v>66126</v>
      </c>
      <c r="S52" s="14">
        <f>CAP[[#This Row],[Stat HP]]*CAP[[#This Row],[Stat SpD]]</f>
        <v>75756</v>
      </c>
      <c r="T52" s="1">
        <f>CAP[[#This Row],[Stat Atk]]*(CAP[[#This Row],[Stat Atk]]*CAP[[#This Row],[Stat Spe]]+415)/(CAP[[#This Row],[Stat Atk]]*(1-CAP[[#This Row],[Stat Spe]])+415)</f>
        <v>344.16413034632689</v>
      </c>
      <c r="U52" s="4">
        <f>CAP[[#This Row],[Stat SpA]]*(CAP[[#This Row],[Stat SpA]]*CAP[[#This Row],[Stat Spe]]+415)/(CAP[[#This Row],[Stat SpA]]*(1-CAP[[#This Row],[Stat Spe]])+415)</f>
        <v>498.16459020575223</v>
      </c>
      <c r="V52" s="9">
        <f>(CAP[[#This Row],[RPT]] /432.441508090053)-22.8128616201416</f>
        <v>130.10030412117689</v>
      </c>
      <c r="W52" s="10">
        <f>(CAP[[#This Row],[RST]] /426.30249118172)-22.4239890939417</f>
        <v>155.28081340440326</v>
      </c>
      <c r="X52" s="10">
        <f>(CAP[[#This Row],[RPS]]/2.21869141127892)+2.84495101810441</f>
        <v>157.96527491566727</v>
      </c>
      <c r="Y52" s="11">
        <f>(CAP[[#This Row],[RSS]]/2.30100441716059)+11.4244456864885</f>
        <v>227.92320009586984</v>
      </c>
      <c r="Z52" s="5">
        <f>(MAX(CAP[[#This Row],[PS]],CAP[[#This Row],[SS]]) - MAX(CAP[[#This Row],[PT]],CAP[[#This Row],[ST]])) / 6.165301 - 0.490854</f>
        <v>11.291601826806604</v>
      </c>
      <c r="AA52" s="1">
        <f>(CAP[[#This Row],[PT]] - CAP[[#This Row],[ST]] + CAP[[#This Row],[PS]] - CAP[[#This Row],[SS]]) / 6.8267</f>
        <v>-13.936226062875027</v>
      </c>
      <c r="AB52" s="3">
        <f xml:space="preserve"> (CAP[[#This Row],[PT]] + CAP[[#This Row],[ST]] + CAP[[#This Row],[PS]] + CAP[[#This Row],[SS]]) /1.54532785176361-58.8447490566471</f>
        <v>375.54177401742339</v>
      </c>
      <c r="AC52"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Excellent</v>
      </c>
      <c r="AD52" s="14">
        <f>IF(CAP[[#This Row],[Overall Rating]]&lt;=200,80,IF(CAP[[#This Row],[Overall Rating]]&lt;250,75,IF(CAP[[#This Row],[Overall Rating]]&lt;300,70,IF(CAP[[#This Row],[Overall Rating]]&lt;350,65,IF(CAP[[#This Row],[Overall Rating]]&lt;400,60,IF(CAP[[#This Row],[Overall Rating]]&lt;450,55,50))))))</f>
        <v>60</v>
      </c>
    </row>
    <row r="53" spans="1:30" x14ac:dyDescent="0.3">
      <c r="A53">
        <v>86</v>
      </c>
      <c r="B53" s="14" t="s">
        <v>486</v>
      </c>
      <c r="C53" s="14" t="s">
        <v>51</v>
      </c>
      <c r="D53" s="14" t="s">
        <v>28</v>
      </c>
      <c r="E53">
        <v>65</v>
      </c>
      <c r="F53">
        <v>70</v>
      </c>
      <c r="G53">
        <v>60</v>
      </c>
      <c r="H53">
        <v>105</v>
      </c>
      <c r="I53">
        <v>80</v>
      </c>
      <c r="J53">
        <v>110</v>
      </c>
      <c r="K53" s="14">
        <f>CAP[[#This Row],[HP]]*2+141</f>
        <v>271</v>
      </c>
      <c r="L53" s="14">
        <f>CAP[[#This Row],[Atk]]*2+36</f>
        <v>176</v>
      </c>
      <c r="M53">
        <f>CAP[[#This Row],[Def]]*2+36</f>
        <v>156</v>
      </c>
      <c r="N53">
        <f>CAP[[#This Row],[SpA]]*2+36</f>
        <v>246</v>
      </c>
      <c r="O53" s="14">
        <f>CAP[[#This Row],[SpD]]*2+36</f>
        <v>196</v>
      </c>
      <c r="P53" s="14">
        <f>CAP[[#This Row],[SPD Factor]]/822</f>
        <v>0.92822384428223847</v>
      </c>
      <c r="Q53" s="14">
        <f>VLOOKUP(CAP[[#This Row],[Spe]],SpeedFactor[#All], 2, TRUE)</f>
        <v>763</v>
      </c>
      <c r="R53" s="14">
        <f>CAP[[#This Row],[Stat HP]]*CAP[[#This Row],[Stat Def]]</f>
        <v>42276</v>
      </c>
      <c r="S53" s="14">
        <f>CAP[[#This Row],[Stat HP]]*CAP[[#This Row],[Stat SpD]]</f>
        <v>53116</v>
      </c>
      <c r="T53" s="1">
        <f>CAP[[#This Row],[Stat Atk]]*(CAP[[#This Row],[Stat Atk]]*CAP[[#This Row],[Stat Spe]]+415)/(CAP[[#This Row],[Stat Atk]]*(1-CAP[[#This Row],[Stat Spe]])+415)</f>
        <v>238.03765426128118</v>
      </c>
      <c r="U53" s="4">
        <f>CAP[[#This Row],[Stat SpA]]*(CAP[[#This Row],[Stat SpA]]*CAP[[#This Row],[Stat Spe]]+415)/(CAP[[#This Row],[Stat SpA]]*(1-CAP[[#This Row],[Stat Spe]])+415)</f>
        <v>365.79188176940988</v>
      </c>
      <c r="V53" s="9">
        <f>(CAP[[#This Row],[RPT]] /432.441508090053)-22.8128616201416</f>
        <v>74.948336620792091</v>
      </c>
      <c r="W53" s="10">
        <f>(CAP[[#This Row],[RST]] /426.30249118172)-22.4239890939417</f>
        <v>102.17298394452511</v>
      </c>
      <c r="X53" s="10">
        <f>(CAP[[#This Row],[RPS]]/2.21869141127892)+2.84495101810441</f>
        <v>110.13236063766442</v>
      </c>
      <c r="Y53" s="11">
        <f>(CAP[[#This Row],[RSS]]/2.30100441716059)+11.4244456864885</f>
        <v>170.39497135840026</v>
      </c>
      <c r="Z53" s="5">
        <f>(MAX(CAP[[#This Row],[PS]],CAP[[#This Row],[SS]]) - MAX(CAP[[#This Row],[PT]],CAP[[#This Row],[ST]])) / 6.165301 - 0.490854</f>
        <v>10.574621540265614</v>
      </c>
      <c r="AA53" s="1">
        <f>(CAP[[#This Row],[PT]] - CAP[[#This Row],[ST]] + CAP[[#This Row],[PS]] - CAP[[#This Row],[SS]]) / 6.8267</f>
        <v>-12.81545373965003</v>
      </c>
      <c r="AB53" s="3">
        <f xml:space="preserve"> (CAP[[#This Row],[PT]] + CAP[[#This Row],[ST]] + CAP[[#This Row],[PS]] + CAP[[#This Row],[SS]]) /1.54532785176361-58.8447490566471</f>
        <v>237.30512751426244</v>
      </c>
      <c r="AC53"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Above Average</v>
      </c>
      <c r="AD53" s="14">
        <f>IF(CAP[[#This Row],[Overall Rating]]&lt;=200,80,IF(CAP[[#This Row],[Overall Rating]]&lt;250,75,IF(CAP[[#This Row],[Overall Rating]]&lt;300,70,IF(CAP[[#This Row],[Overall Rating]]&lt;350,65,IF(CAP[[#This Row],[Overall Rating]]&lt;400,60,IF(CAP[[#This Row],[Overall Rating]]&lt;450,55,50))))))</f>
        <v>75</v>
      </c>
    </row>
    <row r="54" spans="1:30" x14ac:dyDescent="0.3">
      <c r="A54">
        <v>85</v>
      </c>
      <c r="B54" s="14" t="s">
        <v>460</v>
      </c>
      <c r="C54" s="14" t="s">
        <v>134</v>
      </c>
      <c r="D54" s="14" t="s">
        <v>231</v>
      </c>
      <c r="E54">
        <v>95</v>
      </c>
      <c r="F54">
        <v>130</v>
      </c>
      <c r="G54">
        <v>120</v>
      </c>
      <c r="H54">
        <v>60</v>
      </c>
      <c r="I54">
        <v>100</v>
      </c>
      <c r="J54">
        <v>90</v>
      </c>
      <c r="K54" s="14">
        <f>CAP[[#This Row],[HP]]*2+141</f>
        <v>331</v>
      </c>
      <c r="L54" s="14">
        <f>CAP[[#This Row],[Atk]]*2+36</f>
        <v>296</v>
      </c>
      <c r="M54">
        <f>CAP[[#This Row],[Def]]*2+36</f>
        <v>276</v>
      </c>
      <c r="N54">
        <f>CAP[[#This Row],[SpA]]*2+36</f>
        <v>156</v>
      </c>
      <c r="O54" s="14">
        <f>CAP[[#This Row],[SpD]]*2+36</f>
        <v>236</v>
      </c>
      <c r="P54" s="14">
        <f>CAP[[#This Row],[SPD Factor]]/822</f>
        <v>0.76034063260340634</v>
      </c>
      <c r="Q54" s="14">
        <f>VLOOKUP(CAP[[#This Row],[Spe]],SpeedFactor[#All], 2, TRUE)</f>
        <v>625</v>
      </c>
      <c r="R54" s="14">
        <f>CAP[[#This Row],[Stat HP]]*CAP[[#This Row],[Stat Def]]</f>
        <v>91356</v>
      </c>
      <c r="S54" s="14">
        <f>CAP[[#This Row],[Stat HP]]*CAP[[#This Row],[Stat SpD]]</f>
        <v>78116</v>
      </c>
      <c r="T54" s="1">
        <f>CAP[[#This Row],[Stat Atk]]*(CAP[[#This Row],[Stat Atk]]*CAP[[#This Row],[Stat Spe]]+415)/(CAP[[#This Row],[Stat Atk]]*(1-CAP[[#This Row],[Stat Spe]])+415)</f>
        <v>389.88008271538803</v>
      </c>
      <c r="U54" s="4">
        <f>CAP[[#This Row],[Stat SpA]]*(CAP[[#This Row],[Stat SpA]]*CAP[[#This Row],[Stat Spe]]+415)/(CAP[[#This Row],[Stat SpA]]*(1-CAP[[#This Row],[Stat Spe]])+415)</f>
        <v>184.00987463091144</v>
      </c>
      <c r="V54" s="9">
        <f>(CAP[[#This Row],[RPT]] /432.441508090053)-22.8128616201416</f>
        <v>188.4434546467412</v>
      </c>
      <c r="W54" s="10">
        <f>(CAP[[#This Row],[RST]] /426.30249118172)-22.4239890939417</f>
        <v>160.81678856011496</v>
      </c>
      <c r="X54" s="10">
        <f>(CAP[[#This Row],[RPS]]/2.21869141127892)+2.84495101810441</f>
        <v>178.57019191163161</v>
      </c>
      <c r="Y54" s="11">
        <f>(CAP[[#This Row],[RSS]]/2.30100441716059)+11.4244456864885</f>
        <v>91.393816131234217</v>
      </c>
      <c r="Z54" s="5">
        <f>(MAX(CAP[[#This Row],[PS]],CAP[[#This Row],[SS]]) - MAX(CAP[[#This Row],[PT]],CAP[[#This Row],[ST]])) / 6.165301 - 0.490854</f>
        <v>-2.092278283276614</v>
      </c>
      <c r="AA54" s="1">
        <f>(CAP[[#This Row],[PT]] - CAP[[#This Row],[ST]] + CAP[[#This Row],[PS]] - CAP[[#This Row],[SS]]) / 6.8267</f>
        <v>16.816769722856378</v>
      </c>
      <c r="AB54" s="3">
        <f xml:space="preserve"> (CAP[[#This Row],[PT]] + CAP[[#This Row],[ST]] + CAP[[#This Row],[PS]] + CAP[[#This Row],[SS]]) /1.54532785176361-58.8447490566471</f>
        <v>341.86261575466489</v>
      </c>
      <c r="AC54"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Very Good</v>
      </c>
      <c r="AD54" s="14">
        <f>IF(CAP[[#This Row],[Overall Rating]]&lt;=200,80,IF(CAP[[#This Row],[Overall Rating]]&lt;250,75,IF(CAP[[#This Row],[Overall Rating]]&lt;300,70,IF(CAP[[#This Row],[Overall Rating]]&lt;350,65,IF(CAP[[#This Row],[Overall Rating]]&lt;400,60,IF(CAP[[#This Row],[Overall Rating]]&lt;450,55,50))))))</f>
        <v>65</v>
      </c>
    </row>
    <row r="55" spans="1:30" x14ac:dyDescent="0.3">
      <c r="A55">
        <v>84</v>
      </c>
      <c r="B55" s="14" t="s">
        <v>455</v>
      </c>
      <c r="C55" s="14" t="s">
        <v>134</v>
      </c>
      <c r="D55" s="14" t="s">
        <v>231</v>
      </c>
      <c r="E55">
        <v>70</v>
      </c>
      <c r="F55">
        <v>95</v>
      </c>
      <c r="G55">
        <v>90</v>
      </c>
      <c r="H55">
        <v>40</v>
      </c>
      <c r="I55">
        <v>80</v>
      </c>
      <c r="J55">
        <v>70</v>
      </c>
      <c r="K55" s="14">
        <f>CAP[[#This Row],[HP]]*2+141</f>
        <v>281</v>
      </c>
      <c r="L55" s="14">
        <f>CAP[[#This Row],[Atk]]*2+36</f>
        <v>226</v>
      </c>
      <c r="M55">
        <f>CAP[[#This Row],[Def]]*2+36</f>
        <v>216</v>
      </c>
      <c r="N55">
        <f>CAP[[#This Row],[SpA]]*2+36</f>
        <v>116</v>
      </c>
      <c r="O55" s="14">
        <f>CAP[[#This Row],[SpD]]*2+36</f>
        <v>196</v>
      </c>
      <c r="P55" s="14">
        <f>CAP[[#This Row],[SPD Factor]]/822</f>
        <v>0.57055961070559613</v>
      </c>
      <c r="Q55" s="14">
        <f>VLOOKUP(CAP[[#This Row],[Spe]],SpeedFactor[#All], 2, TRUE)</f>
        <v>469</v>
      </c>
      <c r="R55" s="14">
        <f>CAP[[#This Row],[Stat HP]]*CAP[[#This Row],[Stat Def]]</f>
        <v>60696</v>
      </c>
      <c r="S55" s="14">
        <f>CAP[[#This Row],[Stat HP]]*CAP[[#This Row],[Stat SpD]]</f>
        <v>55076</v>
      </c>
      <c r="T55" s="1">
        <f>CAP[[#This Row],[Stat Atk]]*(CAP[[#This Row],[Stat Atk]]*CAP[[#This Row],[Stat Spe]]+415)/(CAP[[#This Row],[Stat Atk]]*(1-CAP[[#This Row],[Stat Spe]])+415)</f>
        <v>240.0762731998442</v>
      </c>
      <c r="U55" s="4">
        <f>CAP[[#This Row],[Stat SpA]]*(CAP[[#This Row],[Stat SpA]]*CAP[[#This Row],[Stat Spe]]+415)/(CAP[[#This Row],[Stat SpA]]*(1-CAP[[#This Row],[Stat Spe]])+415)</f>
        <v>120.08528101591823</v>
      </c>
      <c r="V55" s="9">
        <f>(CAP[[#This Row],[RPT]] /432.441508090053)-22.8128616201416</f>
        <v>117.54369265253584</v>
      </c>
      <c r="W55" s="10">
        <f>(CAP[[#This Row],[RST]] /426.30249118172)-22.4239890939417</f>
        <v>106.77065822638737</v>
      </c>
      <c r="X55" s="10">
        <f>(CAP[[#This Row],[RPS]]/2.21869141127892)+2.84495101810441</f>
        <v>111.05119907017446</v>
      </c>
      <c r="Y55" s="11">
        <f>(CAP[[#This Row],[RSS]]/2.30100441716059)+11.4244456864885</f>
        <v>63.612646682687341</v>
      </c>
      <c r="Z55" s="5">
        <f>(MAX(CAP[[#This Row],[PS]],CAP[[#This Row],[SS]]) - MAX(CAP[[#This Row],[PT]],CAP[[#This Row],[ST]])) / 6.165301 - 0.490854</f>
        <v>-1.5439240094547495</v>
      </c>
      <c r="AA55" s="1">
        <f>(CAP[[#This Row],[PT]] - CAP[[#This Row],[ST]] + CAP[[#This Row],[PS]] - CAP[[#This Row],[SS]]) / 6.8267</f>
        <v>8.5270462761855068</v>
      </c>
      <c r="AB55" s="3">
        <f xml:space="preserve"> (CAP[[#This Row],[PT]] + CAP[[#This Row],[ST]] + CAP[[#This Row],[PS]] + CAP[[#This Row],[SS]]) /1.54532785176361-58.8447490566471</f>
        <v>199.33877890892342</v>
      </c>
      <c r="AC55"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Below Average</v>
      </c>
      <c r="AD55" s="14">
        <f>IF(CAP[[#This Row],[Overall Rating]]&lt;=200,80,IF(CAP[[#This Row],[Overall Rating]]&lt;250,75,IF(CAP[[#This Row],[Overall Rating]]&lt;300,70,IF(CAP[[#This Row],[Overall Rating]]&lt;350,65,IF(CAP[[#This Row],[Overall Rating]]&lt;400,60,IF(CAP[[#This Row],[Overall Rating]]&lt;450,55,50))))))</f>
        <v>80</v>
      </c>
    </row>
    <row r="56" spans="1:30" x14ac:dyDescent="0.3">
      <c r="A56">
        <v>83</v>
      </c>
      <c r="B56" s="14" t="s">
        <v>453</v>
      </c>
      <c r="C56" s="14" t="s">
        <v>21</v>
      </c>
      <c r="D56" s="14" t="s">
        <v>28</v>
      </c>
      <c r="E56">
        <v>85</v>
      </c>
      <c r="F56">
        <v>65</v>
      </c>
      <c r="G56">
        <v>70</v>
      </c>
      <c r="H56">
        <v>110</v>
      </c>
      <c r="I56">
        <v>80</v>
      </c>
      <c r="J56">
        <v>130</v>
      </c>
      <c r="K56" s="14">
        <f>CAP[[#This Row],[HP]]*2+141</f>
        <v>311</v>
      </c>
      <c r="L56" s="14">
        <f>CAP[[#This Row],[Atk]]*2+36</f>
        <v>166</v>
      </c>
      <c r="M56">
        <f>CAP[[#This Row],[Def]]*2+36</f>
        <v>176</v>
      </c>
      <c r="N56">
        <f>CAP[[#This Row],[SpA]]*2+36</f>
        <v>256</v>
      </c>
      <c r="O56" s="14">
        <f>CAP[[#This Row],[SpD]]*2+36</f>
        <v>196</v>
      </c>
      <c r="P56" s="14">
        <f>CAP[[#This Row],[SPD Factor]]/822</f>
        <v>0.98418491484184911</v>
      </c>
      <c r="Q56" s="14">
        <f>VLOOKUP(CAP[[#This Row],[Spe]],SpeedFactor[#All], 2, TRUE)</f>
        <v>809</v>
      </c>
      <c r="R56" s="14">
        <f>CAP[[#This Row],[Stat HP]]*CAP[[#This Row],[Stat Def]]</f>
        <v>54736</v>
      </c>
      <c r="S56" s="14">
        <f>CAP[[#This Row],[Stat HP]]*CAP[[#This Row],[Stat SpD]]</f>
        <v>60956</v>
      </c>
      <c r="T56" s="1">
        <f>CAP[[#This Row],[Stat Atk]]*(CAP[[#This Row],[Stat Atk]]*CAP[[#This Row],[Stat Spe]]+415)/(CAP[[#This Row],[Stat Atk]]*(1-CAP[[#This Row],[Stat Spe]])+415)</f>
        <v>229.8955512572534</v>
      </c>
      <c r="U56" s="4">
        <f>CAP[[#This Row],[Stat SpA]]*(CAP[[#This Row],[Stat SpA]]*CAP[[#This Row],[Stat Spe]]+415)/(CAP[[#This Row],[Stat SpA]]*(1-CAP[[#This Row],[Stat Spe]])+415)</f>
        <v>407.44562181746397</v>
      </c>
      <c r="V56" s="9">
        <f>(CAP[[#This Row],[RPT]] /432.441508090053)-22.8128616201416</f>
        <v>103.76148190610843</v>
      </c>
      <c r="W56" s="10">
        <f>(CAP[[#This Row],[RST]] /426.30249118172)-22.4239890939417</f>
        <v>120.5636810719741</v>
      </c>
      <c r="X56" s="10">
        <f>(CAP[[#This Row],[RPS]]/2.21869141127892)+2.84495101810441</f>
        <v>106.46258350568624</v>
      </c>
      <c r="Y56" s="11">
        <f>(CAP[[#This Row],[RSS]]/2.30100441716059)+11.4244456864885</f>
        <v>188.49738773683305</v>
      </c>
      <c r="Z56" s="5">
        <f>(MAX(CAP[[#This Row],[PS]],CAP[[#This Row],[SS]]) - MAX(CAP[[#This Row],[PT]],CAP[[#This Row],[ST]])) / 6.165301 - 0.490854</f>
        <v>10.527862955564528</v>
      </c>
      <c r="AA56" s="1">
        <f>(CAP[[#This Row],[PT]] - CAP[[#This Row],[ST]] + CAP[[#This Row],[PS]] - CAP[[#This Row],[SS]]) / 6.8267</f>
        <v>-14.478005976095696</v>
      </c>
      <c r="AB56" s="3">
        <f xml:space="preserve"> (CAP[[#This Row],[PT]] + CAP[[#This Row],[ST]] + CAP[[#This Row],[PS]] + CAP[[#This Row],[SS]]) /1.54532785176361-58.8447490566471</f>
        <v>277.19082658380103</v>
      </c>
      <c r="AC56"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Good</v>
      </c>
      <c r="AD56" s="14">
        <f>IF(CAP[[#This Row],[Overall Rating]]&lt;=200,80,IF(CAP[[#This Row],[Overall Rating]]&lt;250,75,IF(CAP[[#This Row],[Overall Rating]]&lt;300,70,IF(CAP[[#This Row],[Overall Rating]]&lt;350,65,IF(CAP[[#This Row],[Overall Rating]]&lt;400,60,IF(CAP[[#This Row],[Overall Rating]]&lt;450,55,50))))))</f>
        <v>70</v>
      </c>
    </row>
    <row r="57" spans="1:30" x14ac:dyDescent="0.3">
      <c r="A57">
        <v>82</v>
      </c>
      <c r="B57" s="14" t="s">
        <v>448</v>
      </c>
      <c r="C57" s="14" t="s">
        <v>21</v>
      </c>
      <c r="D57" s="14" t="s">
        <v>28</v>
      </c>
      <c r="E57">
        <v>65</v>
      </c>
      <c r="F57">
        <v>45</v>
      </c>
      <c r="G57">
        <v>50</v>
      </c>
      <c r="H57">
        <v>80</v>
      </c>
      <c r="I57">
        <v>60</v>
      </c>
      <c r="J57">
        <v>100</v>
      </c>
      <c r="K57" s="14">
        <f>CAP[[#This Row],[HP]]*2+141</f>
        <v>271</v>
      </c>
      <c r="L57" s="14">
        <f>CAP[[#This Row],[Atk]]*2+36</f>
        <v>126</v>
      </c>
      <c r="M57">
        <f>CAP[[#This Row],[Def]]*2+36</f>
        <v>136</v>
      </c>
      <c r="N57">
        <f>CAP[[#This Row],[SpA]]*2+36</f>
        <v>196</v>
      </c>
      <c r="O57" s="14">
        <f>CAP[[#This Row],[SpD]]*2+36</f>
        <v>156</v>
      </c>
      <c r="P57" s="14">
        <f>CAP[[#This Row],[SPD Factor]]/822</f>
        <v>0.86496350364963503</v>
      </c>
      <c r="Q57" s="14">
        <f>VLOOKUP(CAP[[#This Row],[Spe]],SpeedFactor[#All], 2, TRUE)</f>
        <v>711</v>
      </c>
      <c r="R57" s="14">
        <f>CAP[[#This Row],[Stat HP]]*CAP[[#This Row],[Stat Def]]</f>
        <v>36856</v>
      </c>
      <c r="S57" s="14">
        <f>CAP[[#This Row],[Stat HP]]*CAP[[#This Row],[Stat SpD]]</f>
        <v>42276</v>
      </c>
      <c r="T57" s="1">
        <f>CAP[[#This Row],[Stat Atk]]*(CAP[[#This Row],[Stat Atk]]*CAP[[#This Row],[Stat Spe]]+415)/(CAP[[#This Row],[Stat Atk]]*(1-CAP[[#This Row],[Stat Spe]])+415)</f>
        <v>152.823911060048</v>
      </c>
      <c r="U57" s="4">
        <f>CAP[[#This Row],[Stat SpA]]*(CAP[[#This Row],[Stat SpA]]*CAP[[#This Row],[Stat Spe]]+415)/(CAP[[#This Row],[Stat SpA]]*(1-CAP[[#This Row],[Stat Spe]])+415)</f>
        <v>259.51746829582839</v>
      </c>
      <c r="V57" s="9">
        <f>(CAP[[#This Row],[RPT]] /432.441508090053)-22.8128616201416</f>
        <v>62.414849666826228</v>
      </c>
      <c r="W57" s="10">
        <f>(CAP[[#This Row],[RST]] /426.30249118172)-22.4239890939417</f>
        <v>76.745030263205351</v>
      </c>
      <c r="X57" s="10">
        <f>(CAP[[#This Row],[RPS]]/2.21869141127892)+2.84495101810441</f>
        <v>71.725152330983576</v>
      </c>
      <c r="Y57" s="11">
        <f>(CAP[[#This Row],[RSS]]/2.30100441716059)+11.4244456864885</f>
        <v>124.20887424315752</v>
      </c>
      <c r="Z57" s="5">
        <f>(MAX(CAP[[#This Row],[PS]],CAP[[#This Row],[SS]]) - MAX(CAP[[#This Row],[PT]],CAP[[#This Row],[ST]])) / 6.165301 - 0.490854</f>
        <v>7.2076904798156933</v>
      </c>
      <c r="AA57" s="1">
        <f>(CAP[[#This Row],[PT]] - CAP[[#This Row],[ST]] + CAP[[#This Row],[PS]] - CAP[[#This Row],[SS]]) / 6.8267</f>
        <v>-9.7871449614825714</v>
      </c>
      <c r="AB57" s="3">
        <f xml:space="preserve"> (CAP[[#This Row],[PT]] + CAP[[#This Row],[ST]] + CAP[[#This Row],[PS]] + CAP[[#This Row],[SS]]) /1.54532785176361-58.8447490566471</f>
        <v>157.99849629206369</v>
      </c>
      <c r="AC57"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Below Average</v>
      </c>
      <c r="AD57" s="14">
        <f>IF(CAP[[#This Row],[Overall Rating]]&lt;=200,80,IF(CAP[[#This Row],[Overall Rating]]&lt;250,75,IF(CAP[[#This Row],[Overall Rating]]&lt;300,70,IF(CAP[[#This Row],[Overall Rating]]&lt;350,65,IF(CAP[[#This Row],[Overall Rating]]&lt;400,60,IF(CAP[[#This Row],[Overall Rating]]&lt;450,55,50))))))</f>
        <v>80</v>
      </c>
    </row>
    <row r="58" spans="1:30" x14ac:dyDescent="0.3">
      <c r="A58">
        <v>81</v>
      </c>
      <c r="B58" s="14" t="s">
        <v>446</v>
      </c>
      <c r="C58" s="14" t="s">
        <v>168</v>
      </c>
      <c r="D58" s="14" t="s">
        <v>50</v>
      </c>
      <c r="E58">
        <v>90</v>
      </c>
      <c r="F58">
        <v>70</v>
      </c>
      <c r="G58">
        <v>100</v>
      </c>
      <c r="H58">
        <v>120</v>
      </c>
      <c r="I58">
        <v>100</v>
      </c>
      <c r="J58">
        <v>50</v>
      </c>
      <c r="K58" s="14">
        <f>CAP[[#This Row],[HP]]*2+141</f>
        <v>321</v>
      </c>
      <c r="L58" s="14">
        <f>CAP[[#This Row],[Atk]]*2+36</f>
        <v>176</v>
      </c>
      <c r="M58">
        <f>CAP[[#This Row],[Def]]*2+36</f>
        <v>236</v>
      </c>
      <c r="N58">
        <f>CAP[[#This Row],[SpA]]*2+36</f>
        <v>276</v>
      </c>
      <c r="O58" s="14">
        <f>CAP[[#This Row],[SpD]]*2+36</f>
        <v>236</v>
      </c>
      <c r="P58" s="14">
        <f>CAP[[#This Row],[SPD Factor]]/822</f>
        <v>0.31995133819951338</v>
      </c>
      <c r="Q58" s="14">
        <f>VLOOKUP(CAP[[#This Row],[Spe]],SpeedFactor[#All], 2, TRUE)</f>
        <v>263</v>
      </c>
      <c r="R58" s="14">
        <f>CAP[[#This Row],[Stat HP]]*CAP[[#This Row],[Stat Def]]</f>
        <v>75756</v>
      </c>
      <c r="S58" s="14">
        <f>CAP[[#This Row],[Stat HP]]*CAP[[#This Row],[Stat SpD]]</f>
        <v>75756</v>
      </c>
      <c r="T58" s="1">
        <f>CAP[[#This Row],[Stat Atk]]*(CAP[[#This Row],[Stat Atk]]*CAP[[#This Row],[Stat Spe]]+415)/(CAP[[#This Row],[Stat Atk]]*(1-CAP[[#This Row],[Stat Spe]])+415)</f>
        <v>155.13855758860925</v>
      </c>
      <c r="U58" s="4">
        <f>CAP[[#This Row],[Stat SpA]]*(CAP[[#This Row],[Stat SpA]]*CAP[[#This Row],[Stat Spe]]+415)/(CAP[[#This Row],[Stat SpA]]*(1-CAP[[#This Row],[Stat Spe]])+415)</f>
        <v>230.48635686516732</v>
      </c>
      <c r="V58" s="9">
        <f>(CAP[[#This Row],[RPT]] /432.441508090053)-22.8128616201416</f>
        <v>152.36921175340774</v>
      </c>
      <c r="W58" s="10">
        <f>(CAP[[#This Row],[RST]] /426.30249118172)-22.4239890939417</f>
        <v>155.28081340440326</v>
      </c>
      <c r="X58" s="10">
        <f>(CAP[[#This Row],[RPS]]/2.21869141127892)+2.84495101810441</f>
        <v>72.768400849815237</v>
      </c>
      <c r="Y58" s="11">
        <f>(CAP[[#This Row],[RSS]]/2.30100441716059)+11.4244456864885</f>
        <v>111.59216163967409</v>
      </c>
      <c r="Z58" s="5">
        <f>(MAX(CAP[[#This Row],[PS]],CAP[[#This Row],[SS]]) - MAX(CAP[[#This Row],[PT]],CAP[[#This Row],[ST]])) / 6.165301 - 0.490854</f>
        <v>-7.5770695415816958</v>
      </c>
      <c r="AA58" s="1">
        <f>(CAP[[#This Row],[PT]] - CAP[[#This Row],[ST]] + CAP[[#This Row],[PS]] - CAP[[#This Row],[SS]]) / 6.8267</f>
        <v>-6.1135486312353517</v>
      </c>
      <c r="AB58" s="3">
        <f xml:space="preserve"> (CAP[[#This Row],[PT]] + CAP[[#This Row],[ST]] + CAP[[#This Row],[PS]] + CAP[[#This Row],[SS]]) /1.54532785176361-58.8447490566471</f>
        <v>259.54114367530087</v>
      </c>
      <c r="AC58"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Good</v>
      </c>
      <c r="AD58" s="14">
        <f>IF(CAP[[#This Row],[Overall Rating]]&lt;=200,80,IF(CAP[[#This Row],[Overall Rating]]&lt;250,75,IF(CAP[[#This Row],[Overall Rating]]&lt;300,70,IF(CAP[[#This Row],[Overall Rating]]&lt;350,65,IF(CAP[[#This Row],[Overall Rating]]&lt;400,60,IF(CAP[[#This Row],[Overall Rating]]&lt;450,55,50))))))</f>
        <v>70</v>
      </c>
    </row>
    <row r="59" spans="1:30" x14ac:dyDescent="0.3">
      <c r="A59">
        <v>80</v>
      </c>
      <c r="B59" s="14" t="s">
        <v>440</v>
      </c>
      <c r="C59" s="14" t="s">
        <v>168</v>
      </c>
      <c r="D59" s="14" t="s">
        <v>50</v>
      </c>
      <c r="E59">
        <v>70</v>
      </c>
      <c r="F59">
        <v>50</v>
      </c>
      <c r="G59">
        <v>70</v>
      </c>
      <c r="H59">
        <v>95</v>
      </c>
      <c r="I59">
        <v>80</v>
      </c>
      <c r="J59">
        <v>40</v>
      </c>
      <c r="K59" s="14">
        <f>CAP[[#This Row],[HP]]*2+141</f>
        <v>281</v>
      </c>
      <c r="L59" s="14">
        <f>CAP[[#This Row],[Atk]]*2+36</f>
        <v>136</v>
      </c>
      <c r="M59">
        <f>CAP[[#This Row],[Def]]*2+36</f>
        <v>176</v>
      </c>
      <c r="N59">
        <f>CAP[[#This Row],[SpA]]*2+36</f>
        <v>226</v>
      </c>
      <c r="O59" s="14">
        <f>CAP[[#This Row],[SpD]]*2+36</f>
        <v>196</v>
      </c>
      <c r="P59" s="14">
        <f>CAP[[#This Row],[SPD Factor]]/822</f>
        <v>0.19343065693430658</v>
      </c>
      <c r="Q59" s="14">
        <f>VLOOKUP(CAP[[#This Row],[Spe]],SpeedFactor[#All], 2, TRUE)</f>
        <v>159</v>
      </c>
      <c r="R59" s="14">
        <f>CAP[[#This Row],[Stat HP]]*CAP[[#This Row],[Stat Def]]</f>
        <v>49456</v>
      </c>
      <c r="S59" s="14">
        <f>CAP[[#This Row],[Stat HP]]*CAP[[#This Row],[Stat SpD]]</f>
        <v>55076</v>
      </c>
      <c r="T59" s="1">
        <f>CAP[[#This Row],[Stat Atk]]*(CAP[[#This Row],[Stat Atk]]*CAP[[#This Row],[Stat Spe]]+415)/(CAP[[#This Row],[Stat Atk]]*(1-CAP[[#This Row],[Stat Spe]])+415)</f>
        <v>114.38621092608822</v>
      </c>
      <c r="U59" s="4">
        <f>CAP[[#This Row],[Stat SpA]]*(CAP[[#This Row],[Stat SpA]]*CAP[[#This Row],[Stat Spe]]+415)/(CAP[[#This Row],[Stat SpA]]*(1-CAP[[#This Row],[Stat Spe]])+415)</f>
        <v>173.56826514151638</v>
      </c>
      <c r="V59" s="9">
        <f>(CAP[[#This Row],[RPT]] /432.441508090053)-22.8128616201416</f>
        <v>91.551738157595565</v>
      </c>
      <c r="W59" s="10">
        <f>(CAP[[#This Row],[RST]] /426.30249118172)-22.4239890939417</f>
        <v>106.77065822638737</v>
      </c>
      <c r="X59" s="10">
        <f>(CAP[[#This Row],[RPS]]/2.21869141127892)+2.84495101810441</f>
        <v>54.400660994081917</v>
      </c>
      <c r="Y59" s="11">
        <f>(CAP[[#This Row],[RSS]]/2.30100441716059)+11.4244456864885</f>
        <v>86.855967611030209</v>
      </c>
      <c r="Z59" s="5">
        <f>(MAX(CAP[[#This Row],[PS]],CAP[[#This Row],[SS]]) - MAX(CAP[[#This Row],[PT]],CAP[[#This Row],[ST]])) / 6.165301 - 0.490854</f>
        <v>-3.7209786306315231</v>
      </c>
      <c r="AA59" s="1">
        <f>(CAP[[#This Row],[PT]] - CAP[[#This Row],[ST]] + CAP[[#This Row],[PS]] - CAP[[#This Row],[SS]]) / 6.8267</f>
        <v>-6.9834952005713005</v>
      </c>
      <c r="AB59" s="3">
        <f xml:space="preserve"> (CAP[[#This Row],[PT]] + CAP[[#This Row],[ST]] + CAP[[#This Row],[PS]] + CAP[[#This Row],[SS]]) /1.54532785176361-58.8447490566471</f>
        <v>160.90086971386137</v>
      </c>
      <c r="AC59"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Below Average</v>
      </c>
      <c r="AD59" s="14">
        <f>IF(CAP[[#This Row],[Overall Rating]]&lt;=200,80,IF(CAP[[#This Row],[Overall Rating]]&lt;250,75,IF(CAP[[#This Row],[Overall Rating]]&lt;300,70,IF(CAP[[#This Row],[Overall Rating]]&lt;350,65,IF(CAP[[#This Row],[Overall Rating]]&lt;400,60,IF(CAP[[#This Row],[Overall Rating]]&lt;450,55,50))))))</f>
        <v>80</v>
      </c>
    </row>
    <row r="60" spans="1:30" x14ac:dyDescent="0.3">
      <c r="A60">
        <v>79</v>
      </c>
      <c r="B60" s="14" t="s">
        <v>438</v>
      </c>
      <c r="C60" s="14" t="s">
        <v>135</v>
      </c>
      <c r="D60" s="14" t="s">
        <v>383</v>
      </c>
      <c r="E60">
        <v>95</v>
      </c>
      <c r="F60">
        <v>130</v>
      </c>
      <c r="G60">
        <v>80</v>
      </c>
      <c r="H60">
        <v>90</v>
      </c>
      <c r="I60">
        <v>80</v>
      </c>
      <c r="J60">
        <v>100</v>
      </c>
      <c r="K60" s="14">
        <f>CAP[[#This Row],[HP]]*2+141</f>
        <v>331</v>
      </c>
      <c r="L60" s="14">
        <f>CAP[[#This Row],[Atk]]*2+36</f>
        <v>296</v>
      </c>
      <c r="M60">
        <f>CAP[[#This Row],[Def]]*2+36</f>
        <v>196</v>
      </c>
      <c r="N60">
        <f>CAP[[#This Row],[SpA]]*2+36</f>
        <v>216</v>
      </c>
      <c r="O60" s="14">
        <f>CAP[[#This Row],[SpD]]*2+36</f>
        <v>196</v>
      </c>
      <c r="P60" s="14">
        <f>CAP[[#This Row],[SPD Factor]]/822</f>
        <v>0.86496350364963503</v>
      </c>
      <c r="Q60" s="14">
        <f>VLOOKUP(CAP[[#This Row],[Spe]],SpeedFactor[#All], 2, TRUE)</f>
        <v>711</v>
      </c>
      <c r="R60" s="14">
        <f>CAP[[#This Row],[Stat HP]]*CAP[[#This Row],[Stat Def]]</f>
        <v>64876</v>
      </c>
      <c r="S60" s="14">
        <f>CAP[[#This Row],[Stat HP]]*CAP[[#This Row],[Stat SpD]]</f>
        <v>64876</v>
      </c>
      <c r="T60" s="1">
        <f>CAP[[#This Row],[Stat Atk]]*(CAP[[#This Row],[Stat Atk]]*CAP[[#This Row],[Stat Spe]]+415)/(CAP[[#This Row],[Stat Atk]]*(1-CAP[[#This Row],[Stat Spe]])+415)</f>
        <v>436.56568962474535</v>
      </c>
      <c r="U60" s="4">
        <f>CAP[[#This Row],[Stat SpA]]*(CAP[[#This Row],[Stat SpA]]*CAP[[#This Row],[Stat Spe]]+415)/(CAP[[#This Row],[Stat SpA]]*(1-CAP[[#This Row],[Stat Spe]])+415)</f>
        <v>292.67252797817622</v>
      </c>
      <c r="V60" s="9">
        <f>(CAP[[#This Row],[RPT]] /432.441508090053)-22.8128616201416</f>
        <v>127.20973978677517</v>
      </c>
      <c r="W60" s="10">
        <f>(CAP[[#This Row],[RST]] /426.30249118172)-22.4239890939417</f>
        <v>129.7590296356986</v>
      </c>
      <c r="X60" s="10">
        <f>(CAP[[#This Row],[RPS]]/2.21869141127892)+2.84495101810441</f>
        <v>199.61214784657</v>
      </c>
      <c r="Y60" s="11">
        <f>(CAP[[#This Row],[RSS]]/2.30100441716059)+11.4244456864885</f>
        <v>138.61782514958853</v>
      </c>
      <c r="Z60" s="5">
        <f>(MAX(CAP[[#This Row],[PS]],CAP[[#This Row],[SS]]) - MAX(CAP[[#This Row],[PT]],CAP[[#This Row],[ST]])) / 6.165301 - 0.490854</f>
        <v>10.839187827782844</v>
      </c>
      <c r="AA60" s="1">
        <f>(CAP[[#This Row],[PT]] - CAP[[#This Row],[ST]] + CAP[[#This Row],[PS]] - CAP[[#This Row],[SS]]) / 6.8267</f>
        <v>8.5612423056613078</v>
      </c>
      <c r="AB60" s="3">
        <f xml:space="preserve"> (CAP[[#This Row],[PT]] + CAP[[#This Row],[ST]] + CAP[[#This Row],[PS]] + CAP[[#This Row],[SS]]) /1.54532785176361-58.8447490566471</f>
        <v>326.3154237438107</v>
      </c>
      <c r="AC60"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Very Good</v>
      </c>
      <c r="AD60" s="14">
        <f>IF(CAP[[#This Row],[Overall Rating]]&lt;=200,80,IF(CAP[[#This Row],[Overall Rating]]&lt;250,75,IF(CAP[[#This Row],[Overall Rating]]&lt;300,70,IF(CAP[[#This Row],[Overall Rating]]&lt;350,65,IF(CAP[[#This Row],[Overall Rating]]&lt;400,60,IF(CAP[[#This Row],[Overall Rating]]&lt;450,55,50))))))</f>
        <v>65</v>
      </c>
    </row>
    <row r="61" spans="1:30" x14ac:dyDescent="0.3">
      <c r="A61">
        <v>78</v>
      </c>
      <c r="B61" s="14" t="s">
        <v>436</v>
      </c>
      <c r="C61" s="14" t="s">
        <v>135</v>
      </c>
      <c r="D61" s="14" t="s">
        <v>383</v>
      </c>
      <c r="E61">
        <v>75</v>
      </c>
      <c r="F61">
        <v>100</v>
      </c>
      <c r="G61">
        <v>60</v>
      </c>
      <c r="H61">
        <v>70</v>
      </c>
      <c r="I61">
        <v>60</v>
      </c>
      <c r="J61">
        <v>80</v>
      </c>
      <c r="K61" s="14">
        <f>CAP[[#This Row],[HP]]*2+141</f>
        <v>291</v>
      </c>
      <c r="L61" s="14">
        <f>CAP[[#This Row],[Atk]]*2+36</f>
        <v>236</v>
      </c>
      <c r="M61">
        <f>CAP[[#This Row],[Def]]*2+36</f>
        <v>156</v>
      </c>
      <c r="N61">
        <f>CAP[[#This Row],[SpA]]*2+36</f>
        <v>176</v>
      </c>
      <c r="O61" s="14">
        <f>CAP[[#This Row],[SpD]]*2+36</f>
        <v>156</v>
      </c>
      <c r="P61" s="14">
        <f>CAP[[#This Row],[SPD Factor]]/822</f>
        <v>0.66423357664233573</v>
      </c>
      <c r="Q61" s="14">
        <f>VLOOKUP(CAP[[#This Row],[Spe]],SpeedFactor[#All], 2, TRUE)</f>
        <v>546</v>
      </c>
      <c r="R61" s="14">
        <f>CAP[[#This Row],[Stat HP]]*CAP[[#This Row],[Stat Def]]</f>
        <v>45396</v>
      </c>
      <c r="S61" s="14">
        <f>CAP[[#This Row],[Stat HP]]*CAP[[#This Row],[Stat SpD]]</f>
        <v>45396</v>
      </c>
      <c r="T61" s="1">
        <f>CAP[[#This Row],[Stat Atk]]*(CAP[[#This Row],[Stat Atk]]*CAP[[#This Row],[Stat Spe]]+415)/(CAP[[#This Row],[Stat Atk]]*(1-CAP[[#This Row],[Stat Spe]])+415)</f>
        <v>273.01496064155003</v>
      </c>
      <c r="U61" s="4">
        <f>CAP[[#This Row],[Stat SpA]]*(CAP[[#This Row],[Stat SpA]]*CAP[[#This Row],[Stat Spe]]+415)/(CAP[[#This Row],[Stat SpA]]*(1-CAP[[#This Row],[Stat Spe]])+415)</f>
        <v>197.4611014457052</v>
      </c>
      <c r="V61" s="9">
        <f>(CAP[[#This Row],[RPT]] /432.441508090053)-22.8128616201416</f>
        <v>82.163185199458781</v>
      </c>
      <c r="W61" s="10">
        <f>(CAP[[#This Row],[RST]] /426.30249118172)-22.4239890939417</f>
        <v>84.063777079230974</v>
      </c>
      <c r="X61" s="10">
        <f>(CAP[[#This Row],[RPS]]/2.21869141127892)+2.84495101810441</f>
        <v>125.89719670385124</v>
      </c>
      <c r="Y61" s="11">
        <f>(CAP[[#This Row],[RSS]]/2.30100441716059)+11.4244456864885</f>
        <v>97.239622733983992</v>
      </c>
      <c r="Z61" s="5">
        <f>(MAX(CAP[[#This Row],[PS]],CAP[[#This Row],[SS]]) - MAX(CAP[[#This Row],[PT]],CAP[[#This Row],[ST]])) / 6.165301 - 0.490854</f>
        <v>6.2944464459344749</v>
      </c>
      <c r="AA61" s="1">
        <f>(CAP[[#This Row],[PT]] - CAP[[#This Row],[ST]] + CAP[[#This Row],[PS]] - CAP[[#This Row],[SS]]) / 6.8267</f>
        <v>3.9194606603622617</v>
      </c>
      <c r="AB61" s="3">
        <f xml:space="preserve"> (CAP[[#This Row],[PT]] + CAP[[#This Row],[ST]] + CAP[[#This Row],[PS]] + CAP[[#This Row],[SS]]) /1.54532785176361-58.8447490566471</f>
        <v>193.11717686875602</v>
      </c>
      <c r="AC61"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Below Average</v>
      </c>
      <c r="AD61" s="14">
        <f>IF(CAP[[#This Row],[Overall Rating]]&lt;=200,80,IF(CAP[[#This Row],[Overall Rating]]&lt;250,75,IF(CAP[[#This Row],[Overall Rating]]&lt;300,70,IF(CAP[[#This Row],[Overall Rating]]&lt;350,65,IF(CAP[[#This Row],[Overall Rating]]&lt;400,60,IF(CAP[[#This Row],[Overall Rating]]&lt;450,55,50))))))</f>
        <v>80</v>
      </c>
    </row>
    <row r="62" spans="1:30" x14ac:dyDescent="0.3">
      <c r="A62">
        <v>77</v>
      </c>
      <c r="B62" s="14" t="s">
        <v>430</v>
      </c>
      <c r="C62" s="14" t="s">
        <v>135</v>
      </c>
      <c r="D62" s="14" t="s">
        <v>383</v>
      </c>
      <c r="E62">
        <v>50</v>
      </c>
      <c r="F62">
        <v>65</v>
      </c>
      <c r="G62">
        <v>40</v>
      </c>
      <c r="H62">
        <v>50</v>
      </c>
      <c r="I62">
        <v>40</v>
      </c>
      <c r="J62">
        <v>60</v>
      </c>
      <c r="K62" s="14">
        <f>CAP[[#This Row],[HP]]*2+141</f>
        <v>241</v>
      </c>
      <c r="L62" s="14">
        <f>CAP[[#This Row],[Atk]]*2+36</f>
        <v>166</v>
      </c>
      <c r="M62">
        <f>CAP[[#This Row],[Def]]*2+36</f>
        <v>116</v>
      </c>
      <c r="N62">
        <f>CAP[[#This Row],[SpA]]*2+36</f>
        <v>136</v>
      </c>
      <c r="O62" s="14">
        <f>CAP[[#This Row],[SpD]]*2+36</f>
        <v>116</v>
      </c>
      <c r="P62" s="14">
        <f>CAP[[#This Row],[SPD Factor]]/822</f>
        <v>0.44525547445255476</v>
      </c>
      <c r="Q62" s="14">
        <f>VLOOKUP(CAP[[#This Row],[Spe]],SpeedFactor[#All], 2, TRUE)</f>
        <v>366</v>
      </c>
      <c r="R62" s="14">
        <f>CAP[[#This Row],[Stat HP]]*CAP[[#This Row],[Stat Def]]</f>
        <v>27956</v>
      </c>
      <c r="S62" s="14">
        <f>CAP[[#This Row],[Stat HP]]*CAP[[#This Row],[Stat SpD]]</f>
        <v>27956</v>
      </c>
      <c r="T62" s="1">
        <f>CAP[[#This Row],[Stat Atk]]*(CAP[[#This Row],[Stat Atk]]*CAP[[#This Row],[Stat Spe]]+415)/(CAP[[#This Row],[Stat Atk]]*(1-CAP[[#This Row],[Stat Spe]])+415)</f>
        <v>160.05017921146953</v>
      </c>
      <c r="U62" s="4">
        <f>CAP[[#This Row],[Stat SpA]]*(CAP[[#This Row],[Stat SpA]]*CAP[[#This Row],[Stat Spe]]+415)/(CAP[[#This Row],[Stat SpA]]*(1-CAP[[#This Row],[Stat Spe]])+415)</f>
        <v>131.87087556369156</v>
      </c>
      <c r="V62" s="9">
        <f>(CAP[[#This Row],[RPT]] /432.441508090053)-22.8128616201416</f>
        <v>41.834031605885983</v>
      </c>
      <c r="W62" s="10">
        <f>(CAP[[#This Row],[RST]] /426.30249118172)-22.4239890939417</f>
        <v>43.153858979395494</v>
      </c>
      <c r="X62" s="10">
        <f>(CAP[[#This Row],[RPS]]/2.21869141127892)+2.84495101810441</f>
        <v>74.98214792518209</v>
      </c>
      <c r="Y62" s="11">
        <f>(CAP[[#This Row],[RSS]]/2.30100441716059)+11.4244456864885</f>
        <v>68.73458146033397</v>
      </c>
      <c r="Z62" s="5">
        <f>(MAX(CAP[[#This Row],[PS]],CAP[[#This Row],[SS]]) - MAX(CAP[[#This Row],[PT]],CAP[[#This Row],[ST]])) / 6.165301 - 0.490854</f>
        <v>4.6716334350476316</v>
      </c>
      <c r="AA62" s="1">
        <f>(CAP[[#This Row],[PT]] - CAP[[#This Row],[ST]] + CAP[[#This Row],[PS]] - CAP[[#This Row],[SS]]) / 6.8267</f>
        <v>0.72183325638135687</v>
      </c>
      <c r="AB62" s="3">
        <f xml:space="preserve"> (CAP[[#This Row],[PT]] + CAP[[#This Row],[ST]] + CAP[[#This Row],[PS]] + CAP[[#This Row],[SS]]) /1.54532785176361-58.8447490566471</f>
        <v>89.152725854445507</v>
      </c>
      <c r="AC62"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Bad</v>
      </c>
      <c r="AD62" s="14">
        <f>IF(CAP[[#This Row],[Overall Rating]]&lt;=200,80,IF(CAP[[#This Row],[Overall Rating]]&lt;250,75,IF(CAP[[#This Row],[Overall Rating]]&lt;300,70,IF(CAP[[#This Row],[Overall Rating]]&lt;350,65,IF(CAP[[#This Row],[Overall Rating]]&lt;400,60,IF(CAP[[#This Row],[Overall Rating]]&lt;450,55,50))))))</f>
        <v>80</v>
      </c>
    </row>
    <row r="63" spans="1:30" x14ac:dyDescent="0.3">
      <c r="A63">
        <v>76</v>
      </c>
      <c r="B63" s="14" t="s">
        <v>390</v>
      </c>
      <c r="C63" s="14" t="s">
        <v>187</v>
      </c>
      <c r="D63" s="14"/>
      <c r="E63">
        <v>75</v>
      </c>
      <c r="F63">
        <v>100</v>
      </c>
      <c r="G63">
        <v>65</v>
      </c>
      <c r="H63">
        <v>100</v>
      </c>
      <c r="I63">
        <v>65</v>
      </c>
      <c r="J63">
        <v>95</v>
      </c>
      <c r="K63" s="14">
        <f>CAP[[#This Row],[HP]]*2+141</f>
        <v>291</v>
      </c>
      <c r="L63" s="14">
        <f>CAP[[#This Row],[Atk]]*2+36</f>
        <v>236</v>
      </c>
      <c r="M63">
        <f>CAP[[#This Row],[Def]]*2+36</f>
        <v>166</v>
      </c>
      <c r="N63">
        <f>CAP[[#This Row],[SpA]]*2+36</f>
        <v>236</v>
      </c>
      <c r="O63" s="14">
        <f>CAP[[#This Row],[SpD]]*2+36</f>
        <v>166</v>
      </c>
      <c r="P63" s="14">
        <f>CAP[[#This Row],[SPD Factor]]/822</f>
        <v>0.80900243309002429</v>
      </c>
      <c r="Q63" s="14">
        <f>VLOOKUP(CAP[[#This Row],[Spe]],SpeedFactor[#All], 2, TRUE)</f>
        <v>665</v>
      </c>
      <c r="R63" s="14">
        <f>CAP[[#This Row],[Stat HP]]*CAP[[#This Row],[Stat Def]]</f>
        <v>48306</v>
      </c>
      <c r="S63" s="14">
        <f>CAP[[#This Row],[Stat HP]]*CAP[[#This Row],[Stat SpD]]</f>
        <v>48306</v>
      </c>
      <c r="T63" s="1">
        <f>CAP[[#This Row],[Stat Atk]]*(CAP[[#This Row],[Stat Atk]]*CAP[[#This Row],[Stat Spe]]+415)/(CAP[[#This Row],[Stat Atk]]*(1-CAP[[#This Row],[Stat Spe]])+415)</f>
        <v>310.81468710832348</v>
      </c>
      <c r="U63" s="4">
        <f>CAP[[#This Row],[Stat SpA]]*(CAP[[#This Row],[Stat SpA]]*CAP[[#This Row],[Stat Spe]]+415)/(CAP[[#This Row],[Stat SpA]]*(1-CAP[[#This Row],[Stat Spe]])+415)</f>
        <v>310.81468710832348</v>
      </c>
      <c r="V63" s="9">
        <f>(CAP[[#This Row],[RPT]] /432.441508090053)-22.8128616201416</f>
        <v>88.892418969945979</v>
      </c>
      <c r="W63" s="10">
        <f>(CAP[[#This Row],[RST]] /426.30249118172)-22.4239890939417</f>
        <v>90.889915936485622</v>
      </c>
      <c r="X63" s="10">
        <f>(CAP[[#This Row],[RPS]]/2.21869141127892)+2.84495101810441</f>
        <v>142.9341430203219</v>
      </c>
      <c r="Y63" s="11">
        <f>(CAP[[#This Row],[RSS]]/2.30100441716059)+11.4244456864885</f>
        <v>146.50227725878284</v>
      </c>
      <c r="Z63" s="5">
        <f>(MAX(CAP[[#This Row],[PS]],CAP[[#This Row],[SS]]) - MAX(CAP[[#This Row],[PT]],CAP[[#This Row],[ST]])) / 6.165301 - 0.490854</f>
        <v>8.5293643676510218</v>
      </c>
      <c r="AA63" s="1">
        <f>(CAP[[#This Row],[PT]] - CAP[[#This Row],[ST]] + CAP[[#This Row],[PS]] - CAP[[#This Row],[SS]]) / 6.8267</f>
        <v>-0.81527402771479418</v>
      </c>
      <c r="AB63" s="3">
        <f xml:space="preserve"> (CAP[[#This Row],[PT]] + CAP[[#This Row],[ST]] + CAP[[#This Row],[PS]] + CAP[[#This Row],[SS]]) /1.54532785176361-58.8447490566471</f>
        <v>244.79227829003474</v>
      </c>
      <c r="AC63"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Above Average</v>
      </c>
      <c r="AD63" s="14">
        <f>IF(CAP[[#This Row],[Overall Rating]]&lt;=200,80,IF(CAP[[#This Row],[Overall Rating]]&lt;250,75,IF(CAP[[#This Row],[Overall Rating]]&lt;300,70,IF(CAP[[#This Row],[Overall Rating]]&lt;350,65,IF(CAP[[#This Row],[Overall Rating]]&lt;400,60,IF(CAP[[#This Row],[Overall Rating]]&lt;450,55,50))))))</f>
        <v>75</v>
      </c>
    </row>
    <row r="64" spans="1:30" x14ac:dyDescent="0.3">
      <c r="A64">
        <v>75</v>
      </c>
      <c r="B64" s="14" t="s">
        <v>382</v>
      </c>
      <c r="C64" s="14" t="s">
        <v>383</v>
      </c>
      <c r="D64" s="14" t="s">
        <v>84</v>
      </c>
      <c r="E64">
        <v>60</v>
      </c>
      <c r="F64">
        <v>60</v>
      </c>
      <c r="G64">
        <v>60</v>
      </c>
      <c r="H64">
        <v>60</v>
      </c>
      <c r="I64">
        <v>60</v>
      </c>
      <c r="J64">
        <v>60</v>
      </c>
      <c r="K64" s="14">
        <f>CAP[[#This Row],[HP]]*2+141</f>
        <v>261</v>
      </c>
      <c r="L64" s="14">
        <f>CAP[[#This Row],[Atk]]*2+36</f>
        <v>156</v>
      </c>
      <c r="M64">
        <f>CAP[[#This Row],[Def]]*2+36</f>
        <v>156</v>
      </c>
      <c r="N64">
        <f>CAP[[#This Row],[SpA]]*2+36</f>
        <v>156</v>
      </c>
      <c r="O64" s="14">
        <f>CAP[[#This Row],[SpD]]*2+36</f>
        <v>156</v>
      </c>
      <c r="P64" s="14">
        <f>CAP[[#This Row],[SPD Factor]]/822</f>
        <v>0.44525547445255476</v>
      </c>
      <c r="Q64" s="14">
        <f>VLOOKUP(CAP[[#This Row],[Spe]],SpeedFactor[#All], 2, TRUE)</f>
        <v>366</v>
      </c>
      <c r="R64" s="14">
        <f>CAP[[#This Row],[Stat HP]]*CAP[[#This Row],[Stat Def]]</f>
        <v>40716</v>
      </c>
      <c r="S64" s="14">
        <f>CAP[[#This Row],[Stat HP]]*CAP[[#This Row],[Stat SpD]]</f>
        <v>40716</v>
      </c>
      <c r="T64" s="1">
        <f>CAP[[#This Row],[Stat Atk]]*(CAP[[#This Row],[Stat Atk]]*CAP[[#This Row],[Stat Spe]]+415)/(CAP[[#This Row],[Stat Atk]]*(1-CAP[[#This Row],[Stat Spe]])+415)</f>
        <v>150.68731353058462</v>
      </c>
      <c r="U64" s="4">
        <f>CAP[[#This Row],[Stat SpA]]*(CAP[[#This Row],[Stat SpA]]*CAP[[#This Row],[Stat Spe]]+415)/(CAP[[#This Row],[Stat SpA]]*(1-CAP[[#This Row],[Stat Spe]])+415)</f>
        <v>150.68731353058462</v>
      </c>
      <c r="V64" s="9">
        <f>(CAP[[#This Row],[RPT]] /432.441508090053)-22.8128616201416</f>
        <v>71.340912331458739</v>
      </c>
      <c r="W64" s="10">
        <f>(CAP[[#This Row],[RST]] /426.30249118172)-22.4239890939417</f>
        <v>73.085656855192553</v>
      </c>
      <c r="X64" s="10">
        <f>(CAP[[#This Row],[RPS]]/2.21869141127892)+2.84495101810441</f>
        <v>70.762153367449585</v>
      </c>
      <c r="Y64" s="11">
        <f>(CAP[[#This Row],[RSS]]/2.30100441716059)+11.4244456864885</f>
        <v>76.912070311099541</v>
      </c>
      <c r="Z64" s="5">
        <f>(MAX(CAP[[#This Row],[PS]],CAP[[#This Row],[SS]]) - MAX(CAP[[#This Row],[PT]],CAP[[#This Row],[ST]])) / 6.165301 - 0.490854</f>
        <v>0.12978292525425561</v>
      </c>
      <c r="AA64" s="1">
        <f>(CAP[[#This Row],[PT]] - CAP[[#This Row],[ST]] + CAP[[#This Row],[PS]] - CAP[[#This Row],[SS]]) / 6.8267</f>
        <v>-1.1564389042119576</v>
      </c>
      <c r="AB64" s="3">
        <f xml:space="preserve"> (CAP[[#This Row],[PT]] + CAP[[#This Row],[ST]] + CAP[[#This Row],[PS]] + CAP[[#This Row],[SS]]) /1.54532785176361-58.8447490566471</f>
        <v>130.17714201445443</v>
      </c>
      <c r="AC64"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Poor</v>
      </c>
      <c r="AD64" s="14">
        <f>IF(CAP[[#This Row],[Overall Rating]]&lt;=200,80,IF(CAP[[#This Row],[Overall Rating]]&lt;250,75,IF(CAP[[#This Row],[Overall Rating]]&lt;300,70,IF(CAP[[#This Row],[Overall Rating]]&lt;350,65,IF(CAP[[#This Row],[Overall Rating]]&lt;400,60,IF(CAP[[#This Row],[Overall Rating]]&lt;450,55,50))))))</f>
        <v>80</v>
      </c>
    </row>
    <row r="65" spans="1:30" x14ac:dyDescent="0.3">
      <c r="A65">
        <v>74</v>
      </c>
      <c r="B65" s="14" t="s">
        <v>376</v>
      </c>
      <c r="C65" s="14" t="s">
        <v>134</v>
      </c>
      <c r="D65" s="14" t="s">
        <v>168</v>
      </c>
      <c r="E65">
        <v>85</v>
      </c>
      <c r="F65">
        <v>120</v>
      </c>
      <c r="G65">
        <v>90</v>
      </c>
      <c r="H65">
        <v>70</v>
      </c>
      <c r="I65">
        <v>85</v>
      </c>
      <c r="J65">
        <v>70</v>
      </c>
      <c r="K65" s="14">
        <f>CAP[[#This Row],[HP]]*2+141</f>
        <v>311</v>
      </c>
      <c r="L65" s="14">
        <f>CAP[[#This Row],[Atk]]*2+36</f>
        <v>276</v>
      </c>
      <c r="M65">
        <f>CAP[[#This Row],[Def]]*2+36</f>
        <v>216</v>
      </c>
      <c r="N65">
        <f>CAP[[#This Row],[SpA]]*2+36</f>
        <v>176</v>
      </c>
      <c r="O65" s="14">
        <f>CAP[[#This Row],[SpD]]*2+36</f>
        <v>206</v>
      </c>
      <c r="P65" s="14">
        <f>CAP[[#This Row],[SPD Factor]]/822</f>
        <v>0.57055961070559613</v>
      </c>
      <c r="Q65" s="14">
        <f>VLOOKUP(CAP[[#This Row],[Spe]],SpeedFactor[#All], 2, TRUE)</f>
        <v>469</v>
      </c>
      <c r="R65" s="14">
        <f>CAP[[#This Row],[Stat HP]]*CAP[[#This Row],[Stat Def]]</f>
        <v>67176</v>
      </c>
      <c r="S65" s="14">
        <f>CAP[[#This Row],[Stat HP]]*CAP[[#This Row],[Stat SpD]]</f>
        <v>64066</v>
      </c>
      <c r="T65" s="1">
        <f>CAP[[#This Row],[Stat Atk]]*(CAP[[#This Row],[Stat Atk]]*CAP[[#This Row],[Stat Spe]]+415)/(CAP[[#This Row],[Stat Atk]]*(1-CAP[[#This Row],[Stat Spe]])+415)</f>
        <v>296.14879673840176</v>
      </c>
      <c r="U65" s="4">
        <f>CAP[[#This Row],[Stat SpA]]*(CAP[[#This Row],[Stat SpA]]*CAP[[#This Row],[Stat Spe]]+415)/(CAP[[#This Row],[Stat SpA]]*(1-CAP[[#This Row],[Stat Spe]])+415)</f>
        <v>184.91046426853279</v>
      </c>
      <c r="V65" s="9">
        <f>(CAP[[#This Row],[RPT]] /432.441508090053)-22.8128616201416</f>
        <v>132.52837816207435</v>
      </c>
      <c r="W65" s="10">
        <f>(CAP[[#This Row],[RST]] /426.30249118172)-22.4239890939417</f>
        <v>127.85897036615346</v>
      </c>
      <c r="X65" s="10">
        <f>(CAP[[#This Row],[RPS]]/2.21869141127892)+2.84495101810441</f>
        <v>136.32398971312182</v>
      </c>
      <c r="Y65" s="11">
        <f>(CAP[[#This Row],[RSS]]/2.30100441716059)+11.4244456864885</f>
        <v>91.785205922103316</v>
      </c>
      <c r="Z65" s="5">
        <f>(MAX(CAP[[#This Row],[PS]],CAP[[#This Row],[SS]]) - MAX(CAP[[#This Row],[PT]],CAP[[#This Row],[ST]])) / 6.165301 - 0.490854</f>
        <v>0.12478691534987041</v>
      </c>
      <c r="AA65" s="1">
        <f>(CAP[[#This Row],[PT]] - CAP[[#This Row],[ST]] + CAP[[#This Row],[PS]] - CAP[[#This Row],[SS]]) / 6.8267</f>
        <v>7.2081959932235788</v>
      </c>
      <c r="AB65" s="3">
        <f xml:space="preserve"> (CAP[[#This Row],[PT]] + CAP[[#This Row],[ST]] + CAP[[#This Row],[PS]] + CAP[[#This Row],[SS]]) /1.54532785176361-58.8447490566471</f>
        <v>257.2671644159243</v>
      </c>
      <c r="AC65"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Good</v>
      </c>
      <c r="AD65" s="14">
        <f>IF(CAP[[#This Row],[Overall Rating]]&lt;=200,80,IF(CAP[[#This Row],[Overall Rating]]&lt;250,75,IF(CAP[[#This Row],[Overall Rating]]&lt;300,70,IF(CAP[[#This Row],[Overall Rating]]&lt;350,65,IF(CAP[[#This Row],[Overall Rating]]&lt;400,60,IF(CAP[[#This Row],[Overall Rating]]&lt;450,55,50))))))</f>
        <v>70</v>
      </c>
    </row>
    <row r="66" spans="1:30" x14ac:dyDescent="0.3">
      <c r="A66">
        <v>73</v>
      </c>
      <c r="B66" s="14" t="s">
        <v>369</v>
      </c>
      <c r="C66" s="14" t="s">
        <v>66</v>
      </c>
      <c r="D66" s="14" t="s">
        <v>150</v>
      </c>
      <c r="E66">
        <v>65</v>
      </c>
      <c r="F66">
        <v>90</v>
      </c>
      <c r="G66">
        <v>50</v>
      </c>
      <c r="H66">
        <v>110</v>
      </c>
      <c r="I66">
        <v>60</v>
      </c>
      <c r="J66">
        <v>125</v>
      </c>
      <c r="K66" s="14">
        <f>CAP[[#This Row],[HP]]*2+141</f>
        <v>271</v>
      </c>
      <c r="L66" s="14">
        <f>CAP[[#This Row],[Atk]]*2+36</f>
        <v>216</v>
      </c>
      <c r="M66">
        <f>CAP[[#This Row],[Def]]*2+36</f>
        <v>136</v>
      </c>
      <c r="N66">
        <f>CAP[[#This Row],[SpA]]*2+36</f>
        <v>256</v>
      </c>
      <c r="O66" s="14">
        <f>CAP[[#This Row],[SpD]]*2+36</f>
        <v>156</v>
      </c>
      <c r="P66" s="14">
        <f>CAP[[#This Row],[SPD Factor]]/822</f>
        <v>0.97201946472019463</v>
      </c>
      <c r="Q66" s="14">
        <f>VLOOKUP(CAP[[#This Row],[Spe]],SpeedFactor[#All], 2, TRUE)</f>
        <v>799</v>
      </c>
      <c r="R66" s="14">
        <f>CAP[[#This Row],[Stat HP]]*CAP[[#This Row],[Stat Def]]</f>
        <v>36856</v>
      </c>
      <c r="S66" s="14">
        <f>CAP[[#This Row],[Stat HP]]*CAP[[#This Row],[Stat SpD]]</f>
        <v>42276</v>
      </c>
      <c r="T66" s="1">
        <f>CAP[[#This Row],[Stat Atk]]*(CAP[[#This Row],[Stat Atk]]*CAP[[#This Row],[Stat Spe]]+415)/(CAP[[#This Row],[Stat Atk]]*(1-CAP[[#This Row],[Stat Spe]])+415)</f>
        <v>320.60926096076832</v>
      </c>
      <c r="U66" s="4">
        <f>CAP[[#This Row],[Stat SpA]]*(CAP[[#This Row],[Stat SpA]]*CAP[[#This Row],[Stat Spe]]+415)/(CAP[[#This Row],[Stat SpA]]*(1-CAP[[#This Row],[Stat Spe]])+415)</f>
        <v>402.55129128748371</v>
      </c>
      <c r="V66" s="9">
        <f>(CAP[[#This Row],[RPT]] /432.441508090053)-22.8128616201416</f>
        <v>62.414849666826228</v>
      </c>
      <c r="W66" s="10">
        <f>(CAP[[#This Row],[RST]] /426.30249118172)-22.4239890939417</f>
        <v>76.745030263205351</v>
      </c>
      <c r="X66" s="10">
        <f>(CAP[[#This Row],[RPS]]/2.21869141127892)+2.84495101810441</f>
        <v>147.34871541315363</v>
      </c>
      <c r="Y66" s="11">
        <f>(CAP[[#This Row],[RSS]]/2.30100441716059)+11.4244456864885</f>
        <v>186.37034682657708</v>
      </c>
      <c r="Z66" s="5">
        <f>(MAX(CAP[[#This Row],[PS]],CAP[[#This Row],[SS]]) - MAX(CAP[[#This Row],[PT]],CAP[[#This Row],[ST]])) / 6.165301 - 0.490854</f>
        <v>17.290162135849933</v>
      </c>
      <c r="AA66" s="1">
        <f>(CAP[[#This Row],[PT]] - CAP[[#This Row],[ST]] + CAP[[#This Row],[PS]] - CAP[[#This Row],[SS]]) / 6.8267</f>
        <v>-7.8151686773701181</v>
      </c>
      <c r="AB66" s="3">
        <f xml:space="preserve"> (CAP[[#This Row],[PT]] + CAP[[#This Row],[ST]] + CAP[[#This Row],[PS]] + CAP[[#This Row],[SS]]) /1.54532785176361-58.8447490566471</f>
        <v>247.16082874361564</v>
      </c>
      <c r="AC66"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Above Average</v>
      </c>
      <c r="AD66" s="14">
        <f>IF(CAP[[#This Row],[Overall Rating]]&lt;=200,80,IF(CAP[[#This Row],[Overall Rating]]&lt;250,75,IF(CAP[[#This Row],[Overall Rating]]&lt;300,70,IF(CAP[[#This Row],[Overall Rating]]&lt;350,65,IF(CAP[[#This Row],[Overall Rating]]&lt;400,60,IF(CAP[[#This Row],[Overall Rating]]&lt;450,55,50))))))</f>
        <v>75</v>
      </c>
    </row>
    <row r="67" spans="1:30" x14ac:dyDescent="0.3">
      <c r="A67">
        <v>72</v>
      </c>
      <c r="B67" s="14" t="s">
        <v>364</v>
      </c>
      <c r="C67" s="14" t="s">
        <v>135</v>
      </c>
      <c r="D67" s="14" t="s">
        <v>37</v>
      </c>
      <c r="E67">
        <v>90</v>
      </c>
      <c r="F67">
        <v>100</v>
      </c>
      <c r="G67">
        <v>80</v>
      </c>
      <c r="H67">
        <v>120</v>
      </c>
      <c r="I67">
        <v>80</v>
      </c>
      <c r="J67">
        <v>80</v>
      </c>
      <c r="K67" s="14">
        <f>CAP[[#This Row],[HP]]*2+141</f>
        <v>321</v>
      </c>
      <c r="L67" s="14">
        <f>CAP[[#This Row],[Atk]]*2+36</f>
        <v>236</v>
      </c>
      <c r="M67">
        <f>CAP[[#This Row],[Def]]*2+36</f>
        <v>196</v>
      </c>
      <c r="N67">
        <f>CAP[[#This Row],[SpA]]*2+36</f>
        <v>276</v>
      </c>
      <c r="O67" s="14">
        <f>CAP[[#This Row],[SpD]]*2+36</f>
        <v>196</v>
      </c>
      <c r="P67" s="14">
        <f>CAP[[#This Row],[SPD Factor]]/822</f>
        <v>0.66423357664233573</v>
      </c>
      <c r="Q67" s="14">
        <f>VLOOKUP(CAP[[#This Row],[Spe]],SpeedFactor[#All], 2, TRUE)</f>
        <v>546</v>
      </c>
      <c r="R67" s="14">
        <f>CAP[[#This Row],[Stat HP]]*CAP[[#This Row],[Stat Def]]</f>
        <v>62916</v>
      </c>
      <c r="S67" s="14">
        <f>CAP[[#This Row],[Stat HP]]*CAP[[#This Row],[Stat SpD]]</f>
        <v>62916</v>
      </c>
      <c r="T67" s="1">
        <f>CAP[[#This Row],[Stat Atk]]*(CAP[[#This Row],[Stat Atk]]*CAP[[#This Row],[Stat Spe]]+415)/(CAP[[#This Row],[Stat Atk]]*(1-CAP[[#This Row],[Stat Spe]])+415)</f>
        <v>273.01496064155003</v>
      </c>
      <c r="U67" s="4">
        <f>CAP[[#This Row],[Stat SpA]]*(CAP[[#This Row],[Stat SpA]]*CAP[[#This Row],[Stat Spe]]+415)/(CAP[[#This Row],[Stat SpA]]*(1-CAP[[#This Row],[Stat Spe]])+415)</f>
        <v>325.28642291268284</v>
      </c>
      <c r="V67" s="9">
        <f>(CAP[[#This Row],[RPT]] /432.441508090053)-22.8128616201416</f>
        <v>122.67733491043327</v>
      </c>
      <c r="W67" s="10">
        <f>(CAP[[#This Row],[RST]] /426.30249118172)-22.4239890939417</f>
        <v>125.16135535383633</v>
      </c>
      <c r="X67" s="10">
        <f>(CAP[[#This Row],[RPS]]/2.21869141127892)+2.84495101810441</f>
        <v>125.89719670385124</v>
      </c>
      <c r="Y67" s="11">
        <f>(CAP[[#This Row],[RSS]]/2.30100441716059)+11.4244456864885</f>
        <v>152.79158974181462</v>
      </c>
      <c r="Z67" s="5">
        <f>(MAX(CAP[[#This Row],[PS]],CAP[[#This Row],[SS]]) - MAX(CAP[[#This Row],[PT]],CAP[[#This Row],[ST]])) / 6.165301 - 0.490854</f>
        <v>3.9907170357009805</v>
      </c>
      <c r="AA67" s="1">
        <f>(CAP[[#This Row],[PT]] - CAP[[#This Row],[ST]] + CAP[[#This Row],[PS]] - CAP[[#This Row],[SS]]) / 6.8267</f>
        <v>-4.3034575243333437</v>
      </c>
      <c r="AB67" s="3">
        <f xml:space="preserve"> (CAP[[#This Row],[PT]] + CAP[[#This Row],[ST]] + CAP[[#This Row],[PS]] + CAP[[#This Row],[SS]]) /1.54532785176361-58.8447490566471</f>
        <v>281.87743239438566</v>
      </c>
      <c r="AC67"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Good</v>
      </c>
      <c r="AD67" s="14">
        <f>IF(CAP[[#This Row],[Overall Rating]]&lt;=200,80,IF(CAP[[#This Row],[Overall Rating]]&lt;250,75,IF(CAP[[#This Row],[Overall Rating]]&lt;300,70,IF(CAP[[#This Row],[Overall Rating]]&lt;350,65,IF(CAP[[#This Row],[Overall Rating]]&lt;400,60,IF(CAP[[#This Row],[Overall Rating]]&lt;450,55,50))))))</f>
        <v>70</v>
      </c>
    </row>
    <row r="68" spans="1:30" x14ac:dyDescent="0.3">
      <c r="A68">
        <v>71</v>
      </c>
      <c r="B68" s="14" t="s">
        <v>358</v>
      </c>
      <c r="C68" s="14" t="s">
        <v>187</v>
      </c>
      <c r="D68" s="14" t="s">
        <v>134</v>
      </c>
      <c r="E68">
        <v>70</v>
      </c>
      <c r="F68">
        <v>95</v>
      </c>
      <c r="G68">
        <v>110</v>
      </c>
      <c r="H68">
        <v>40</v>
      </c>
      <c r="I68">
        <v>85</v>
      </c>
      <c r="J68">
        <v>100</v>
      </c>
      <c r="K68" s="14">
        <f>CAP[[#This Row],[HP]]*2+141</f>
        <v>281</v>
      </c>
      <c r="L68" s="14">
        <f>CAP[[#This Row],[Atk]]*2+36</f>
        <v>226</v>
      </c>
      <c r="M68">
        <f>CAP[[#This Row],[Def]]*2+36</f>
        <v>256</v>
      </c>
      <c r="N68">
        <f>CAP[[#This Row],[SpA]]*2+36</f>
        <v>116</v>
      </c>
      <c r="O68" s="14">
        <f>CAP[[#This Row],[SpD]]*2+36</f>
        <v>206</v>
      </c>
      <c r="P68" s="14">
        <f>CAP[[#This Row],[SPD Factor]]/822</f>
        <v>0.86496350364963503</v>
      </c>
      <c r="Q68" s="14">
        <f>VLOOKUP(CAP[[#This Row],[Spe]],SpeedFactor[#All], 2, TRUE)</f>
        <v>711</v>
      </c>
      <c r="R68" s="14">
        <f>CAP[[#This Row],[Stat HP]]*CAP[[#This Row],[Stat Def]]</f>
        <v>71936</v>
      </c>
      <c r="S68" s="14">
        <f>CAP[[#This Row],[Stat HP]]*CAP[[#This Row],[Stat SpD]]</f>
        <v>57886</v>
      </c>
      <c r="T68" s="1">
        <f>CAP[[#This Row],[Stat Atk]]*(CAP[[#This Row],[Stat Atk]]*CAP[[#This Row],[Stat Spe]]+415)/(CAP[[#This Row],[Stat Atk]]*(1-CAP[[#This Row],[Stat Spe]])+415)</f>
        <v>309.68176158332784</v>
      </c>
      <c r="U68" s="4">
        <f>CAP[[#This Row],[Stat SpA]]*(CAP[[#This Row],[Stat SpA]]*CAP[[#This Row],[Stat Spe]]+415)/(CAP[[#This Row],[Stat SpA]]*(1-CAP[[#This Row],[Stat Spe]])+415)</f>
        <v>138.80639311198115</v>
      </c>
      <c r="V68" s="9">
        <f>(CAP[[#This Row],[RPT]] /432.441508090053)-22.8128616201416</f>
        <v>143.53564714747608</v>
      </c>
      <c r="W68" s="10">
        <f>(CAP[[#This Row],[RST]] /426.30249118172)-22.4239890939417</f>
        <v>113.36222186517965</v>
      </c>
      <c r="X68" s="10">
        <f>(CAP[[#This Row],[RPS]]/2.21869141127892)+2.84495101810441</f>
        <v>142.42351521546524</v>
      </c>
      <c r="Y68" s="11">
        <f>(CAP[[#This Row],[RSS]]/2.30100441716059)+11.4244456864885</f>
        <v>71.748707594367175</v>
      </c>
      <c r="Z68" s="5">
        <f>(MAX(CAP[[#This Row],[PS]],CAP[[#This Row],[SS]]) - MAX(CAP[[#This Row],[PT]],CAP[[#This Row],[ST]])) / 6.165301 - 0.490854</f>
        <v>-0.67123966681672798</v>
      </c>
      <c r="AA68" s="1">
        <f>(CAP[[#This Row],[PT]] - CAP[[#This Row],[ST]] + CAP[[#This Row],[PS]] - CAP[[#This Row],[SS]]) / 6.8267</f>
        <v>14.772618234783208</v>
      </c>
      <c r="AB68" s="3">
        <f xml:space="preserve"> (CAP[[#This Row],[PT]] + CAP[[#This Row],[ST]] + CAP[[#This Row],[PS]] + CAP[[#This Row],[SS]]) /1.54532785176361-58.8447490566471</f>
        <v>245.99030020806265</v>
      </c>
      <c r="AC68"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Above Average</v>
      </c>
      <c r="AD68" s="14">
        <f>IF(CAP[[#This Row],[Overall Rating]]&lt;=200,80,IF(CAP[[#This Row],[Overall Rating]]&lt;250,75,IF(CAP[[#This Row],[Overall Rating]]&lt;300,70,IF(CAP[[#This Row],[Overall Rating]]&lt;350,65,IF(CAP[[#This Row],[Overall Rating]]&lt;400,60,IF(CAP[[#This Row],[Overall Rating]]&lt;450,55,50))))))</f>
        <v>75</v>
      </c>
    </row>
    <row r="69" spans="1:30" x14ac:dyDescent="0.3">
      <c r="A69">
        <v>70</v>
      </c>
      <c r="B69" s="14" t="s">
        <v>351</v>
      </c>
      <c r="C69" s="14" t="s">
        <v>231</v>
      </c>
      <c r="D69" s="14"/>
      <c r="E69">
        <v>80</v>
      </c>
      <c r="F69">
        <v>110</v>
      </c>
      <c r="G69">
        <v>75</v>
      </c>
      <c r="H69">
        <v>60</v>
      </c>
      <c r="I69">
        <v>80</v>
      </c>
      <c r="J69">
        <v>95</v>
      </c>
      <c r="K69" s="14">
        <f>CAP[[#This Row],[HP]]*2+141</f>
        <v>301</v>
      </c>
      <c r="L69" s="14">
        <f>CAP[[#This Row],[Atk]]*2+36</f>
        <v>256</v>
      </c>
      <c r="M69">
        <f>CAP[[#This Row],[Def]]*2+36</f>
        <v>186</v>
      </c>
      <c r="N69">
        <f>CAP[[#This Row],[SpA]]*2+36</f>
        <v>156</v>
      </c>
      <c r="O69" s="14">
        <f>CAP[[#This Row],[SpD]]*2+36</f>
        <v>196</v>
      </c>
      <c r="P69" s="14">
        <f>CAP[[#This Row],[SPD Factor]]/822</f>
        <v>0.80900243309002429</v>
      </c>
      <c r="Q69" s="14">
        <f>VLOOKUP(CAP[[#This Row],[Spe]],SpeedFactor[#All], 2, TRUE)</f>
        <v>665</v>
      </c>
      <c r="R69" s="14">
        <f>CAP[[#This Row],[Stat HP]]*CAP[[#This Row],[Stat Def]]</f>
        <v>55986</v>
      </c>
      <c r="S69" s="14">
        <f>CAP[[#This Row],[Stat HP]]*CAP[[#This Row],[Stat SpD]]</f>
        <v>58996</v>
      </c>
      <c r="T69" s="1">
        <f>CAP[[#This Row],[Stat Atk]]*(CAP[[#This Row],[Stat Atk]]*CAP[[#This Row],[Stat Spe]]+415)/(CAP[[#This Row],[Stat Atk]]*(1-CAP[[#This Row],[Stat Spe]])+415)</f>
        <v>343.30754585363547</v>
      </c>
      <c r="U69" s="4">
        <f>CAP[[#This Row],[Stat SpA]]*(CAP[[#This Row],[Stat SpA]]*CAP[[#This Row],[Stat Spe]]+415)/(CAP[[#This Row],[Stat SpA]]*(1-CAP[[#This Row],[Stat Spe]])+415)</f>
        <v>189.81275743800973</v>
      </c>
      <c r="V69" s="9">
        <f>(CAP[[#This Row],[RPT]] /432.441508090053)-22.8128616201416</f>
        <v>106.65204624051015</v>
      </c>
      <c r="W69" s="10">
        <f>(CAP[[#This Row],[RST]] /426.30249118172)-22.4239890939417</f>
        <v>115.96600679011185</v>
      </c>
      <c r="X69" s="10">
        <f>(CAP[[#This Row],[RPS]]/2.21869141127892)+2.84495101810441</f>
        <v>157.57919847063442</v>
      </c>
      <c r="Y69" s="11">
        <f>(CAP[[#This Row],[RSS]]/2.30100441716059)+11.4244456864885</f>
        <v>93.915707338318029</v>
      </c>
      <c r="Z69" s="5">
        <f>(MAX(CAP[[#This Row],[PS]],CAP[[#This Row],[SS]]) - MAX(CAP[[#This Row],[PT]],CAP[[#This Row],[ST]])) / 6.165301 - 0.490854</f>
        <v>6.2587258956973191</v>
      </c>
      <c r="AA69" s="1">
        <f>(CAP[[#This Row],[PT]] - CAP[[#This Row],[ST]] + CAP[[#This Row],[PS]] - CAP[[#This Row],[SS]]) / 6.8267</f>
        <v>7.9613181453285931</v>
      </c>
      <c r="AB69" s="3">
        <f xml:space="preserve"> (CAP[[#This Row],[PT]] + CAP[[#This Row],[ST]] + CAP[[#This Row],[PS]] + CAP[[#This Row],[SS]]) /1.54532785176361-58.8447490566471</f>
        <v>247.95937558168879</v>
      </c>
      <c r="AC69"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Above Average</v>
      </c>
      <c r="AD69" s="14">
        <f>IF(CAP[[#This Row],[Overall Rating]]&lt;=200,80,IF(CAP[[#This Row],[Overall Rating]]&lt;250,75,IF(CAP[[#This Row],[Overall Rating]]&lt;300,70,IF(CAP[[#This Row],[Overall Rating]]&lt;350,65,IF(CAP[[#This Row],[Overall Rating]]&lt;400,60,IF(CAP[[#This Row],[Overall Rating]]&lt;450,55,50))))))</f>
        <v>75</v>
      </c>
    </row>
    <row r="70" spans="1:30" x14ac:dyDescent="0.3">
      <c r="A70">
        <v>69</v>
      </c>
      <c r="B70" s="14" t="s">
        <v>347</v>
      </c>
      <c r="C70" s="14" t="s">
        <v>89</v>
      </c>
      <c r="D70" s="14" t="s">
        <v>84</v>
      </c>
      <c r="E70">
        <v>95</v>
      </c>
      <c r="F70">
        <v>95</v>
      </c>
      <c r="G70">
        <v>80</v>
      </c>
      <c r="H70">
        <v>120</v>
      </c>
      <c r="I70">
        <v>100</v>
      </c>
      <c r="J70">
        <v>90</v>
      </c>
      <c r="K70" s="14">
        <f>CAP[[#This Row],[HP]]*2+141</f>
        <v>331</v>
      </c>
      <c r="L70" s="14">
        <f>CAP[[#This Row],[Atk]]*2+36</f>
        <v>226</v>
      </c>
      <c r="M70">
        <f>CAP[[#This Row],[Def]]*2+36</f>
        <v>196</v>
      </c>
      <c r="N70">
        <f>CAP[[#This Row],[SpA]]*2+36</f>
        <v>276</v>
      </c>
      <c r="O70" s="14">
        <f>CAP[[#This Row],[SpD]]*2+36</f>
        <v>236</v>
      </c>
      <c r="P70" s="14">
        <f>CAP[[#This Row],[SPD Factor]]/822</f>
        <v>0.76034063260340634</v>
      </c>
      <c r="Q70" s="14">
        <f>VLOOKUP(CAP[[#This Row],[Spe]],SpeedFactor[#All], 2, TRUE)</f>
        <v>625</v>
      </c>
      <c r="R70" s="14">
        <f>CAP[[#This Row],[Stat HP]]*CAP[[#This Row],[Stat Def]]</f>
        <v>64876</v>
      </c>
      <c r="S70" s="14">
        <f>CAP[[#This Row],[Stat HP]]*CAP[[#This Row],[Stat SpD]]</f>
        <v>78116</v>
      </c>
      <c r="T70" s="1">
        <f>CAP[[#This Row],[Stat Atk]]*(CAP[[#This Row],[Stat Atk]]*CAP[[#This Row],[Stat Spe]]+415)/(CAP[[#This Row],[Stat Atk]]*(1-CAP[[#This Row],[Stat Spe]])+415)</f>
        <v>282.68459647557904</v>
      </c>
      <c r="U70" s="4">
        <f>CAP[[#This Row],[Stat SpA]]*(CAP[[#This Row],[Stat SpA]]*CAP[[#This Row],[Stat Spe]]+415)/(CAP[[#This Row],[Stat SpA]]*(1-CAP[[#This Row],[Stat Spe]])+415)</f>
        <v>358.4353050047788</v>
      </c>
      <c r="V70" s="9">
        <f>(CAP[[#This Row],[RPT]] /432.441508090053)-22.8128616201416</f>
        <v>127.20973978677517</v>
      </c>
      <c r="W70" s="10">
        <f>(CAP[[#This Row],[RST]] /426.30249118172)-22.4239890939417</f>
        <v>160.81678856011496</v>
      </c>
      <c r="X70" s="10">
        <f>(CAP[[#This Row],[RPS]]/2.21869141127892)+2.84495101810441</f>
        <v>130.25545751690191</v>
      </c>
      <c r="Y70" s="11">
        <f>(CAP[[#This Row],[RSS]]/2.30100441716059)+11.4244456864885</f>
        <v>167.19785591187321</v>
      </c>
      <c r="Z70" s="5">
        <f>(MAX(CAP[[#This Row],[PS]],CAP[[#This Row],[SS]]) - MAX(CAP[[#This Row],[PT]],CAP[[#This Row],[ST]])) / 6.165301 - 0.490854</f>
        <v>0.54414288851497228</v>
      </c>
      <c r="AA70" s="1">
        <f>(CAP[[#This Row],[PT]] - CAP[[#This Row],[ST]] + CAP[[#This Row],[PS]] - CAP[[#This Row],[SS]]) / 6.8267</f>
        <v>-10.334341214395106</v>
      </c>
      <c r="AB70" s="3">
        <f xml:space="preserve"> (CAP[[#This Row],[PT]] + CAP[[#This Row],[ST]] + CAP[[#This Row],[PS]] + CAP[[#This Row],[SS]]) /1.54532785176361-58.8447490566471</f>
        <v>320.02620774872247</v>
      </c>
      <c r="AC70"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Very Good</v>
      </c>
      <c r="AD70" s="14">
        <f>IF(CAP[[#This Row],[Overall Rating]]&lt;=200,80,IF(CAP[[#This Row],[Overall Rating]]&lt;250,75,IF(CAP[[#This Row],[Overall Rating]]&lt;300,70,IF(CAP[[#This Row],[Overall Rating]]&lt;350,65,IF(CAP[[#This Row],[Overall Rating]]&lt;400,60,IF(CAP[[#This Row],[Overall Rating]]&lt;450,55,50))))))</f>
        <v>65</v>
      </c>
    </row>
    <row r="71" spans="1:30" x14ac:dyDescent="0.3">
      <c r="A71">
        <v>68</v>
      </c>
      <c r="B71" s="14" t="s">
        <v>345</v>
      </c>
      <c r="C71" s="14" t="s">
        <v>89</v>
      </c>
      <c r="D71" s="14"/>
      <c r="E71">
        <v>70</v>
      </c>
      <c r="F71">
        <v>75</v>
      </c>
      <c r="G71">
        <v>60</v>
      </c>
      <c r="H71">
        <v>95</v>
      </c>
      <c r="I71">
        <v>85</v>
      </c>
      <c r="J71">
        <v>65</v>
      </c>
      <c r="K71" s="14">
        <f>CAP[[#This Row],[HP]]*2+141</f>
        <v>281</v>
      </c>
      <c r="L71" s="14">
        <f>CAP[[#This Row],[Atk]]*2+36</f>
        <v>186</v>
      </c>
      <c r="M71">
        <f>CAP[[#This Row],[Def]]*2+36</f>
        <v>156</v>
      </c>
      <c r="N71">
        <f>CAP[[#This Row],[SpA]]*2+36</f>
        <v>226</v>
      </c>
      <c r="O71" s="14">
        <f>CAP[[#This Row],[SpD]]*2+36</f>
        <v>206</v>
      </c>
      <c r="P71" s="14">
        <f>CAP[[#This Row],[SPD Factor]]/822</f>
        <v>0.5024330900243309</v>
      </c>
      <c r="Q71" s="14">
        <f>VLOOKUP(CAP[[#This Row],[Spe]],SpeedFactor[#All], 2, TRUE)</f>
        <v>413</v>
      </c>
      <c r="R71" s="14">
        <f>CAP[[#This Row],[Stat HP]]*CAP[[#This Row],[Stat Def]]</f>
        <v>43836</v>
      </c>
      <c r="S71" s="14">
        <f>CAP[[#This Row],[Stat HP]]*CAP[[#This Row],[Stat SpD]]</f>
        <v>57886</v>
      </c>
      <c r="T71" s="1">
        <f>CAP[[#This Row],[Stat Atk]]*(CAP[[#This Row],[Stat Atk]]*CAP[[#This Row],[Stat Spe]]+415)/(CAP[[#This Row],[Stat Atk]]*(1-CAP[[#This Row],[Stat Spe]])+415)</f>
        <v>186.3316938476141</v>
      </c>
      <c r="U71" s="4">
        <f>CAP[[#This Row],[Stat SpA]]*(CAP[[#This Row],[Stat SpA]]*CAP[[#This Row],[Stat Spe]]+415)/(CAP[[#This Row],[Stat SpA]]*(1-CAP[[#This Row],[Stat Spe]])+415)</f>
        <v>226.47121993523447</v>
      </c>
      <c r="V71" s="9">
        <f>(CAP[[#This Row],[RPT]] /432.441508090053)-22.8128616201416</f>
        <v>78.555760910125429</v>
      </c>
      <c r="W71" s="10">
        <f>(CAP[[#This Row],[RST]] /426.30249118172)-22.4239890939417</f>
        <v>113.36222186517965</v>
      </c>
      <c r="X71" s="10">
        <f>(CAP[[#This Row],[RPS]]/2.21869141127892)+2.84495101810441</f>
        <v>86.827650414865928</v>
      </c>
      <c r="Y71" s="11">
        <f>(CAP[[#This Row],[RSS]]/2.30100441716059)+11.4244456864885</f>
        <v>109.84721195596705</v>
      </c>
      <c r="Z71" s="5">
        <f>(MAX(CAP[[#This Row],[PS]],CAP[[#This Row],[SS]]) - MAX(CAP[[#This Row],[PT]],CAP[[#This Row],[ST]])) / 6.165301 - 0.490854</f>
        <v>-1.0609818671086122</v>
      </c>
      <c r="AA71" s="1">
        <f>(CAP[[#This Row],[PT]] - CAP[[#This Row],[ST]] + CAP[[#This Row],[PS]] - CAP[[#This Row],[SS]]) / 6.8267</f>
        <v>-8.4705674038928542</v>
      </c>
      <c r="AB71" s="3">
        <f xml:space="preserve"> (CAP[[#This Row],[PT]] + CAP[[#This Row],[ST]] + CAP[[#This Row],[PS]] + CAP[[#This Row],[SS]]) /1.54532785176361-58.8447490566471</f>
        <v>192.618294661005</v>
      </c>
      <c r="AC71"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Below Average</v>
      </c>
      <c r="AD71" s="14">
        <f>IF(CAP[[#This Row],[Overall Rating]]&lt;=200,80,IF(CAP[[#This Row],[Overall Rating]]&lt;250,75,IF(CAP[[#This Row],[Overall Rating]]&lt;300,70,IF(CAP[[#This Row],[Overall Rating]]&lt;350,65,IF(CAP[[#This Row],[Overall Rating]]&lt;400,60,IF(CAP[[#This Row],[Overall Rating]]&lt;450,55,50))))))</f>
        <v>80</v>
      </c>
    </row>
    <row r="72" spans="1:30" x14ac:dyDescent="0.3">
      <c r="A72">
        <v>67</v>
      </c>
      <c r="B72" s="14" t="s">
        <v>339</v>
      </c>
      <c r="C72" s="14" t="s">
        <v>89</v>
      </c>
      <c r="D72" s="14"/>
      <c r="E72">
        <v>45</v>
      </c>
      <c r="F72">
        <v>50</v>
      </c>
      <c r="G72">
        <v>40</v>
      </c>
      <c r="H72">
        <v>60</v>
      </c>
      <c r="I72">
        <v>55</v>
      </c>
      <c r="J72">
        <v>40</v>
      </c>
      <c r="K72" s="14">
        <f>CAP[[#This Row],[HP]]*2+141</f>
        <v>231</v>
      </c>
      <c r="L72" s="14">
        <f>CAP[[#This Row],[Atk]]*2+36</f>
        <v>136</v>
      </c>
      <c r="M72">
        <f>CAP[[#This Row],[Def]]*2+36</f>
        <v>116</v>
      </c>
      <c r="N72">
        <f>CAP[[#This Row],[SpA]]*2+36</f>
        <v>156</v>
      </c>
      <c r="O72" s="14">
        <f>CAP[[#This Row],[SpD]]*2+36</f>
        <v>146</v>
      </c>
      <c r="P72" s="14">
        <f>CAP[[#This Row],[SPD Factor]]/822</f>
        <v>0.19343065693430658</v>
      </c>
      <c r="Q72" s="14">
        <f>VLOOKUP(CAP[[#This Row],[Spe]],SpeedFactor[#All], 2, TRUE)</f>
        <v>159</v>
      </c>
      <c r="R72" s="14">
        <f>CAP[[#This Row],[Stat HP]]*CAP[[#This Row],[Stat Def]]</f>
        <v>26796</v>
      </c>
      <c r="S72" s="14">
        <f>CAP[[#This Row],[Stat HP]]*CAP[[#This Row],[Stat SpD]]</f>
        <v>33726</v>
      </c>
      <c r="T72" s="1">
        <f>CAP[[#This Row],[Stat Atk]]*(CAP[[#This Row],[Stat Atk]]*CAP[[#This Row],[Stat Spe]]+415)/(CAP[[#This Row],[Stat Atk]]*(1-CAP[[#This Row],[Stat Spe]])+415)</f>
        <v>114.38621092608822</v>
      </c>
      <c r="U72" s="4">
        <f>CAP[[#This Row],[Stat SpA]]*(CAP[[#This Row],[Stat SpA]]*CAP[[#This Row],[Stat Spe]]+415)/(CAP[[#This Row],[Stat SpA]]*(1-CAP[[#This Row],[Stat Spe]])+415)</f>
        <v>128.41002523855155</v>
      </c>
      <c r="V72" s="9">
        <f>(CAP[[#This Row],[RPT]] /432.441508090053)-22.8128616201416</f>
        <v>39.151587903561193</v>
      </c>
      <c r="W72" s="10">
        <f>(CAP[[#This Row],[RST]] /426.30249118172)-22.4239890939417</f>
        <v>56.688849084673635</v>
      </c>
      <c r="X72" s="10">
        <f>(CAP[[#This Row],[RPS]]/2.21869141127892)+2.84495101810441</f>
        <v>54.400660994081917</v>
      </c>
      <c r="Y72" s="11">
        <f>(CAP[[#This Row],[RSS]]/2.30100441716059)+11.4244456864885</f>
        <v>67.230520755656727</v>
      </c>
      <c r="Z72" s="5">
        <f>(MAX(CAP[[#This Row],[PS]],CAP[[#This Row],[SS]]) - MAX(CAP[[#This Row],[PT]],CAP[[#This Row],[ST]])) / 6.165301 - 0.490854</f>
        <v>1.2189849309756475</v>
      </c>
      <c r="AA72" s="1">
        <f>(CAP[[#This Row],[PT]] - CAP[[#This Row],[ST]] + CAP[[#This Row],[PS]] - CAP[[#This Row],[SS]]) / 6.8267</f>
        <v>-4.4482870116875288</v>
      </c>
      <c r="AB72" s="3">
        <f xml:space="preserve"> (CAP[[#This Row],[PT]] + CAP[[#This Row],[ST]] + CAP[[#This Row],[PS]] + CAP[[#This Row],[SS]]) /1.54532785176361-58.8447490566471</f>
        <v>81.883717391287135</v>
      </c>
      <c r="AC72"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Bad</v>
      </c>
      <c r="AD72" s="14">
        <f>IF(CAP[[#This Row],[Overall Rating]]&lt;=200,80,IF(CAP[[#This Row],[Overall Rating]]&lt;250,75,IF(CAP[[#This Row],[Overall Rating]]&lt;300,70,IF(CAP[[#This Row],[Overall Rating]]&lt;350,65,IF(CAP[[#This Row],[Overall Rating]]&lt;400,60,IF(CAP[[#This Row],[Overall Rating]]&lt;450,55,50))))))</f>
        <v>80</v>
      </c>
    </row>
    <row r="73" spans="1:30" x14ac:dyDescent="0.3">
      <c r="A73">
        <v>66</v>
      </c>
      <c r="B73" s="14" t="s">
        <v>334</v>
      </c>
      <c r="C73" s="14" t="s">
        <v>21</v>
      </c>
      <c r="D73" s="14" t="s">
        <v>89</v>
      </c>
      <c r="E73">
        <v>100</v>
      </c>
      <c r="F73">
        <v>100</v>
      </c>
      <c r="G73">
        <v>100</v>
      </c>
      <c r="H73">
        <v>100</v>
      </c>
      <c r="I73">
        <v>100</v>
      </c>
      <c r="J73">
        <v>100</v>
      </c>
      <c r="K73" s="14">
        <f>CAP[[#This Row],[HP]]*2+141</f>
        <v>341</v>
      </c>
      <c r="L73" s="14">
        <f>CAP[[#This Row],[Atk]]*2+36</f>
        <v>236</v>
      </c>
      <c r="M73">
        <f>CAP[[#This Row],[Def]]*2+36</f>
        <v>236</v>
      </c>
      <c r="N73">
        <f>CAP[[#This Row],[SpA]]*2+36</f>
        <v>236</v>
      </c>
      <c r="O73" s="14">
        <f>CAP[[#This Row],[SpD]]*2+36</f>
        <v>236</v>
      </c>
      <c r="P73" s="14">
        <f>CAP[[#This Row],[SPD Factor]]/822</f>
        <v>0.86496350364963503</v>
      </c>
      <c r="Q73" s="14">
        <f>VLOOKUP(CAP[[#This Row],[Spe]],SpeedFactor[#All], 2, TRUE)</f>
        <v>711</v>
      </c>
      <c r="R73" s="14">
        <f>CAP[[#This Row],[Stat HP]]*CAP[[#This Row],[Stat Def]]</f>
        <v>80476</v>
      </c>
      <c r="S73" s="14">
        <f>CAP[[#This Row],[Stat HP]]*CAP[[#This Row],[Stat SpD]]</f>
        <v>80476</v>
      </c>
      <c r="T73" s="1">
        <f>CAP[[#This Row],[Stat Atk]]*(CAP[[#This Row],[Stat Atk]]*CAP[[#This Row],[Stat Spe]]+415)/(CAP[[#This Row],[Stat Atk]]*(1-CAP[[#This Row],[Stat Spe]])+415)</f>
        <v>326.9753189265121</v>
      </c>
      <c r="U73" s="4">
        <f>CAP[[#This Row],[Stat SpA]]*(CAP[[#This Row],[Stat SpA]]*CAP[[#This Row],[Stat Spe]]+415)/(CAP[[#This Row],[Stat SpA]]*(1-CAP[[#This Row],[Stat Spe]])+415)</f>
        <v>326.9753189265121</v>
      </c>
      <c r="V73" s="9">
        <f>(CAP[[#This Row],[RPT]] /432.441508090053)-22.8128616201416</f>
        <v>163.28398268010864</v>
      </c>
      <c r="W73" s="10">
        <f>(CAP[[#This Row],[RST]] /426.30249118172)-22.4239890939417</f>
        <v>166.35276371582665</v>
      </c>
      <c r="X73" s="10">
        <f>(CAP[[#This Row],[RPS]]/2.21869141127892)+2.84495101810441</f>
        <v>150.21800040401868</v>
      </c>
      <c r="Y73" s="11">
        <f>(CAP[[#This Row],[RSS]]/2.30100441716059)+11.4244456864885</f>
        <v>153.52557182426247</v>
      </c>
      <c r="Z73" s="5">
        <f>(MAX(CAP[[#This Row],[PS]],CAP[[#This Row],[SS]]) - MAX(CAP[[#This Row],[PT]],CAP[[#This Row],[ST]])) / 6.165301 - 0.490854</f>
        <v>-2.5713999281816382</v>
      </c>
      <c r="AA73" s="1">
        <f>(CAP[[#This Row],[PT]] - CAP[[#This Row],[ST]] + CAP[[#This Row],[PS]] - CAP[[#This Row],[SS]]) / 6.8267</f>
        <v>-0.93403144359087231</v>
      </c>
      <c r="AB73" s="3">
        <f xml:space="preserve"> (CAP[[#This Row],[PT]] + CAP[[#This Row],[ST]] + CAP[[#This Row],[PS]] + CAP[[#This Row],[SS]]) /1.54532785176361-58.8447490566471</f>
        <v>351.02317502261496</v>
      </c>
      <c r="AC73"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Excellent</v>
      </c>
      <c r="AD73" s="14">
        <f>IF(CAP[[#This Row],[Overall Rating]]&lt;=200,80,IF(CAP[[#This Row],[Overall Rating]]&lt;250,75,IF(CAP[[#This Row],[Overall Rating]]&lt;300,70,IF(CAP[[#This Row],[Overall Rating]]&lt;350,65,IF(CAP[[#This Row],[Overall Rating]]&lt;400,60,IF(CAP[[#This Row],[Overall Rating]]&lt;450,55,50))))))</f>
        <v>60</v>
      </c>
    </row>
    <row r="74" spans="1:30" x14ac:dyDescent="0.3">
      <c r="A74">
        <v>65</v>
      </c>
      <c r="B74" s="14" t="s">
        <v>328</v>
      </c>
      <c r="C74" s="14" t="s">
        <v>89</v>
      </c>
      <c r="D74" s="14" t="s">
        <v>84</v>
      </c>
      <c r="E74">
        <v>100</v>
      </c>
      <c r="F74">
        <v>100</v>
      </c>
      <c r="G74">
        <v>100</v>
      </c>
      <c r="H74">
        <v>100</v>
      </c>
      <c r="I74">
        <v>100</v>
      </c>
      <c r="J74">
        <v>100</v>
      </c>
      <c r="K74" s="14">
        <f>CAP[[#This Row],[HP]]*2+141</f>
        <v>341</v>
      </c>
      <c r="L74" s="14">
        <f>CAP[[#This Row],[Atk]]*2+36</f>
        <v>236</v>
      </c>
      <c r="M74">
        <f>CAP[[#This Row],[Def]]*2+36</f>
        <v>236</v>
      </c>
      <c r="N74">
        <f>CAP[[#This Row],[SpA]]*2+36</f>
        <v>236</v>
      </c>
      <c r="O74" s="14">
        <f>CAP[[#This Row],[SpD]]*2+36</f>
        <v>236</v>
      </c>
      <c r="P74" s="14">
        <f>CAP[[#This Row],[SPD Factor]]/822</f>
        <v>0.86496350364963503</v>
      </c>
      <c r="Q74" s="14">
        <f>VLOOKUP(CAP[[#This Row],[Spe]],SpeedFactor[#All], 2, TRUE)</f>
        <v>711</v>
      </c>
      <c r="R74" s="14">
        <f>CAP[[#This Row],[Stat HP]]*CAP[[#This Row],[Stat Def]]</f>
        <v>80476</v>
      </c>
      <c r="S74" s="14">
        <f>CAP[[#This Row],[Stat HP]]*CAP[[#This Row],[Stat SpD]]</f>
        <v>80476</v>
      </c>
      <c r="T74" s="1">
        <f>CAP[[#This Row],[Stat Atk]]*(CAP[[#This Row],[Stat Atk]]*CAP[[#This Row],[Stat Spe]]+415)/(CAP[[#This Row],[Stat Atk]]*(1-CAP[[#This Row],[Stat Spe]])+415)</f>
        <v>326.9753189265121</v>
      </c>
      <c r="U74" s="4">
        <f>CAP[[#This Row],[Stat SpA]]*(CAP[[#This Row],[Stat SpA]]*CAP[[#This Row],[Stat Spe]]+415)/(CAP[[#This Row],[Stat SpA]]*(1-CAP[[#This Row],[Stat Spe]])+415)</f>
        <v>326.9753189265121</v>
      </c>
      <c r="V74" s="9">
        <f>(CAP[[#This Row],[RPT]] /432.441508090053)-22.8128616201416</f>
        <v>163.28398268010864</v>
      </c>
      <c r="W74" s="10">
        <f>(CAP[[#This Row],[RST]] /426.30249118172)-22.4239890939417</f>
        <v>166.35276371582665</v>
      </c>
      <c r="X74" s="10">
        <f>(CAP[[#This Row],[RPS]]/2.21869141127892)+2.84495101810441</f>
        <v>150.21800040401868</v>
      </c>
      <c r="Y74" s="11">
        <f>(CAP[[#This Row],[RSS]]/2.30100441716059)+11.4244456864885</f>
        <v>153.52557182426247</v>
      </c>
      <c r="Z74" s="5">
        <f>(MAX(CAP[[#This Row],[PS]],CAP[[#This Row],[SS]]) - MAX(CAP[[#This Row],[PT]],CAP[[#This Row],[ST]])) / 6.165301 - 0.490854</f>
        <v>-2.5713999281816382</v>
      </c>
      <c r="AA74" s="1">
        <f>(CAP[[#This Row],[PT]] - CAP[[#This Row],[ST]] + CAP[[#This Row],[PS]] - CAP[[#This Row],[SS]]) / 6.8267</f>
        <v>-0.93403144359087231</v>
      </c>
      <c r="AB74" s="3">
        <f xml:space="preserve"> (CAP[[#This Row],[PT]] + CAP[[#This Row],[ST]] + CAP[[#This Row],[PS]] + CAP[[#This Row],[SS]]) /1.54532785176361-58.8447490566471</f>
        <v>351.02317502261496</v>
      </c>
      <c r="AC74"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Excellent</v>
      </c>
      <c r="AD74" s="14">
        <f>IF(CAP[[#This Row],[Overall Rating]]&lt;=200,80,IF(CAP[[#This Row],[Overall Rating]]&lt;250,75,IF(CAP[[#This Row],[Overall Rating]]&lt;300,70,IF(CAP[[#This Row],[Overall Rating]]&lt;350,65,IF(CAP[[#This Row],[Overall Rating]]&lt;400,60,IF(CAP[[#This Row],[Overall Rating]]&lt;450,55,50))))))</f>
        <v>60</v>
      </c>
    </row>
    <row r="75" spans="1:30" x14ac:dyDescent="0.3">
      <c r="A75">
        <v>64</v>
      </c>
      <c r="B75" s="14" t="s">
        <v>323</v>
      </c>
      <c r="C75" s="14" t="s">
        <v>37</v>
      </c>
      <c r="D75" s="14" t="s">
        <v>50</v>
      </c>
      <c r="E75">
        <v>110</v>
      </c>
      <c r="F75">
        <v>130</v>
      </c>
      <c r="G75">
        <v>90</v>
      </c>
      <c r="H75">
        <v>105</v>
      </c>
      <c r="I75">
        <v>100</v>
      </c>
      <c r="J75">
        <v>65</v>
      </c>
      <c r="K75" s="14">
        <f>CAP[[#This Row],[HP]]*2+141</f>
        <v>361</v>
      </c>
      <c r="L75" s="14">
        <f>CAP[[#This Row],[Atk]]*2+36</f>
        <v>296</v>
      </c>
      <c r="M75">
        <f>CAP[[#This Row],[Def]]*2+36</f>
        <v>216</v>
      </c>
      <c r="N75">
        <f>CAP[[#This Row],[SpA]]*2+36</f>
        <v>246</v>
      </c>
      <c r="O75" s="14">
        <f>CAP[[#This Row],[SpD]]*2+36</f>
        <v>236</v>
      </c>
      <c r="P75" s="14">
        <f>CAP[[#This Row],[SPD Factor]]/822</f>
        <v>0.5024330900243309</v>
      </c>
      <c r="Q75" s="14">
        <f>VLOOKUP(CAP[[#This Row],[Spe]],SpeedFactor[#All], 2, TRUE)</f>
        <v>413</v>
      </c>
      <c r="R75" s="14">
        <f>CAP[[#This Row],[Stat HP]]*CAP[[#This Row],[Stat Def]]</f>
        <v>77976</v>
      </c>
      <c r="S75" s="14">
        <f>CAP[[#This Row],[Stat HP]]*CAP[[#This Row],[Stat SpD]]</f>
        <v>85196</v>
      </c>
      <c r="T75" s="1">
        <f>CAP[[#This Row],[Stat Atk]]*(CAP[[#This Row],[Stat Atk]]*CAP[[#This Row],[Stat Spe]]+415)/(CAP[[#This Row],[Stat Atk]]*(1-CAP[[#This Row],[Stat Spe]])+415)</f>
        <v>296.75826168232385</v>
      </c>
      <c r="U75" s="4">
        <f>CAP[[#This Row],[Stat SpA]]*(CAP[[#This Row],[Stat SpA]]*CAP[[#This Row],[Stat Spe]]+415)/(CAP[[#This Row],[Stat SpA]]*(1-CAP[[#This Row],[Stat Spe]])+415)</f>
        <v>246.5479734869065</v>
      </c>
      <c r="V75" s="9">
        <f>(CAP[[#This Row],[RPT]] /432.441508090053)-22.8128616201416</f>
        <v>157.5028540113052</v>
      </c>
      <c r="W75" s="10">
        <f>(CAP[[#This Row],[RST]] /426.30249118172)-22.4239890939417</f>
        <v>177.42471402724999</v>
      </c>
      <c r="X75" s="10">
        <f>(CAP[[#This Row],[RPS]]/2.21869141127892)+2.84495101810441</f>
        <v>136.5986853922162</v>
      </c>
      <c r="Y75" s="11">
        <f>(CAP[[#This Row],[RSS]]/2.30100441716059)+11.4244456864885</f>
        <v>118.57242491164077</v>
      </c>
      <c r="Z75" s="5">
        <f>(MAX(CAP[[#This Row],[PS]],CAP[[#This Row],[SS]]) - MAX(CAP[[#This Row],[PT]],CAP[[#This Row],[ST]])) / 6.165301 - 0.490854</f>
        <v>-7.1127575591342236</v>
      </c>
      <c r="AA75" s="1">
        <f>(CAP[[#This Row],[PT]] - CAP[[#This Row],[ST]] + CAP[[#This Row],[PS]] - CAP[[#This Row],[SS]]) / 6.8267</f>
        <v>-0.2776743573570476</v>
      </c>
      <c r="AB75" s="3">
        <f xml:space="preserve"> (CAP[[#This Row],[PT]] + CAP[[#This Row],[ST]] + CAP[[#This Row],[PS]] + CAP[[#This Row],[SS]]) /1.54532785176361-58.8447490566471</f>
        <v>323.01511172885557</v>
      </c>
      <c r="AC75"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Very Good</v>
      </c>
      <c r="AD75" s="14">
        <f>IF(CAP[[#This Row],[Overall Rating]]&lt;=200,80,IF(CAP[[#This Row],[Overall Rating]]&lt;250,75,IF(CAP[[#This Row],[Overall Rating]]&lt;300,70,IF(CAP[[#This Row],[Overall Rating]]&lt;350,65,IF(CAP[[#This Row],[Overall Rating]]&lt;400,60,IF(CAP[[#This Row],[Overall Rating]]&lt;450,55,50))))))</f>
        <v>65</v>
      </c>
    </row>
    <row r="76" spans="1:30" x14ac:dyDescent="0.3">
      <c r="A76">
        <v>63</v>
      </c>
      <c r="B76" s="14" t="s">
        <v>318</v>
      </c>
      <c r="C76" s="14" t="s">
        <v>84</v>
      </c>
      <c r="D76" s="14" t="s">
        <v>96</v>
      </c>
      <c r="E76">
        <v>100</v>
      </c>
      <c r="F76">
        <v>110</v>
      </c>
      <c r="G76">
        <v>140</v>
      </c>
      <c r="H76">
        <v>80</v>
      </c>
      <c r="I76">
        <v>140</v>
      </c>
      <c r="J76">
        <v>30</v>
      </c>
      <c r="K76" s="14">
        <f>CAP[[#This Row],[HP]]*2+141</f>
        <v>341</v>
      </c>
      <c r="L76" s="14">
        <f>CAP[[#This Row],[Atk]]*2+36</f>
        <v>256</v>
      </c>
      <c r="M76">
        <f>CAP[[#This Row],[Def]]*2+36</f>
        <v>316</v>
      </c>
      <c r="N76">
        <f>CAP[[#This Row],[SpA]]*2+36</f>
        <v>196</v>
      </c>
      <c r="O76" s="14">
        <f>CAP[[#This Row],[SpD]]*2+36</f>
        <v>316</v>
      </c>
      <c r="P76" s="14">
        <f>CAP[[#This Row],[SPD Factor]]/822</f>
        <v>0.10583941605839416</v>
      </c>
      <c r="Q76" s="14">
        <f>VLOOKUP(CAP[[#This Row],[Spe]],SpeedFactor[#All], 2, TRUE)</f>
        <v>87</v>
      </c>
      <c r="R76" s="14">
        <f>CAP[[#This Row],[Stat HP]]*CAP[[#This Row],[Stat Def]]</f>
        <v>107756</v>
      </c>
      <c r="S76" s="14">
        <f>CAP[[#This Row],[Stat HP]]*CAP[[#This Row],[Stat SpD]]</f>
        <v>107756</v>
      </c>
      <c r="T76" s="1">
        <f>CAP[[#This Row],[Stat Atk]]*(CAP[[#This Row],[Stat Atk]]*CAP[[#This Row],[Stat Spe]]+415)/(CAP[[#This Row],[Stat Atk]]*(1-CAP[[#This Row],[Stat Spe]])+415)</f>
        <v>175.76548206087404</v>
      </c>
      <c r="U76" s="4">
        <f>CAP[[#This Row],[Stat SpA]]*(CAP[[#This Row],[Stat SpA]]*CAP[[#This Row],[Stat Spe]]+415)/(CAP[[#This Row],[Stat SpA]]*(1-CAP[[#This Row],[Stat Spe]])+415)</f>
        <v>144.69315525876462</v>
      </c>
      <c r="V76" s="9">
        <f>(CAP[[#This Row],[RPT]] /432.441508090053)-22.8128616201416</f>
        <v>226.36765871409179</v>
      </c>
      <c r="W76" s="10">
        <f>(CAP[[#This Row],[RST]] /426.30249118172)-22.4239890939417</f>
        <v>230.34488331235826</v>
      </c>
      <c r="X76" s="10">
        <f>(CAP[[#This Row],[RPS]]/2.21869141127892)+2.84495101810441</f>
        <v>82.0652883608075</v>
      </c>
      <c r="Y76" s="11">
        <f>(CAP[[#This Row],[RSS]]/2.30100441716059)+11.4244456864885</f>
        <v>74.307052160279682</v>
      </c>
      <c r="Z76" s="5">
        <f>(MAX(CAP[[#This Row],[PS]],CAP[[#This Row],[SS]]) - MAX(CAP[[#This Row],[PT]],CAP[[#This Row],[ST]])) / 6.165301 - 0.490854</f>
        <v>-24.541519969358308</v>
      </c>
      <c r="AA76" s="1">
        <f>(CAP[[#This Row],[PT]] - CAP[[#This Row],[ST]] + CAP[[#This Row],[PS]] - CAP[[#This Row],[SS]]) / 6.8267</f>
        <v>0.55385641704796529</v>
      </c>
      <c r="AB76" s="3">
        <f xml:space="preserve"> (CAP[[#This Row],[PT]] + CAP[[#This Row],[ST]] + CAP[[#This Row],[PS]] + CAP[[#This Row],[SS]]) /1.54532785176361-58.8447490566471</f>
        <v>337.88975737695677</v>
      </c>
      <c r="AC76"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Very Good</v>
      </c>
      <c r="AD76" s="14">
        <f>IF(CAP[[#This Row],[Overall Rating]]&lt;=200,80,IF(CAP[[#This Row],[Overall Rating]]&lt;250,75,IF(CAP[[#This Row],[Overall Rating]]&lt;300,70,IF(CAP[[#This Row],[Overall Rating]]&lt;350,65,IF(CAP[[#This Row],[Overall Rating]]&lt;400,60,IF(CAP[[#This Row],[Overall Rating]]&lt;450,55,50))))))</f>
        <v>65</v>
      </c>
    </row>
    <row r="77" spans="1:30" x14ac:dyDescent="0.3">
      <c r="A77">
        <v>62</v>
      </c>
      <c r="B77" s="14" t="s">
        <v>312</v>
      </c>
      <c r="C77" s="14" t="s">
        <v>28</v>
      </c>
      <c r="D77" s="14" t="s">
        <v>51</v>
      </c>
      <c r="E77">
        <v>90</v>
      </c>
      <c r="F77">
        <v>115</v>
      </c>
      <c r="G77">
        <v>80</v>
      </c>
      <c r="H77">
        <v>130</v>
      </c>
      <c r="I77">
        <v>80</v>
      </c>
      <c r="J77">
        <v>105</v>
      </c>
      <c r="K77" s="14">
        <f>CAP[[#This Row],[HP]]*2+141</f>
        <v>321</v>
      </c>
      <c r="L77" s="14">
        <f>CAP[[#This Row],[Atk]]*2+36</f>
        <v>266</v>
      </c>
      <c r="M77">
        <f>CAP[[#This Row],[Def]]*2+36</f>
        <v>196</v>
      </c>
      <c r="N77">
        <f>CAP[[#This Row],[SpA]]*2+36</f>
        <v>296</v>
      </c>
      <c r="O77" s="14">
        <f>CAP[[#This Row],[SpD]]*2+36</f>
        <v>196</v>
      </c>
      <c r="P77" s="14">
        <f>CAP[[#This Row],[SPD Factor]]/822</f>
        <v>0.8978102189781022</v>
      </c>
      <c r="Q77" s="14">
        <f>VLOOKUP(CAP[[#This Row],[Spe]],SpeedFactor[#All], 2, TRUE)</f>
        <v>738</v>
      </c>
      <c r="R77" s="14">
        <f>CAP[[#This Row],[Stat HP]]*CAP[[#This Row],[Stat Def]]</f>
        <v>62916</v>
      </c>
      <c r="S77" s="14">
        <f>CAP[[#This Row],[Stat HP]]*CAP[[#This Row],[Stat SpD]]</f>
        <v>62916</v>
      </c>
      <c r="T77" s="1">
        <f>CAP[[#This Row],[Stat Atk]]*(CAP[[#This Row],[Stat Atk]]*CAP[[#This Row],[Stat Spe]]+415)/(CAP[[#This Row],[Stat Atk]]*(1-CAP[[#This Row],[Stat Spe]])+415)</f>
        <v>393.31151058947825</v>
      </c>
      <c r="U77" s="4">
        <f>CAP[[#This Row],[Stat SpA]]*(CAP[[#This Row],[Stat SpA]]*CAP[[#This Row],[Stat Spe]]+415)/(CAP[[#This Row],[Stat SpA]]*(1-CAP[[#This Row],[Stat Spe]])+415)</f>
        <v>452.56230430007048</v>
      </c>
      <c r="V77" s="9">
        <f>(CAP[[#This Row],[RPT]] /432.441508090053)-22.8128616201416</f>
        <v>122.67733491043327</v>
      </c>
      <c r="W77" s="10">
        <f>(CAP[[#This Row],[RST]] /426.30249118172)-22.4239890939417</f>
        <v>125.16135535383633</v>
      </c>
      <c r="X77" s="10">
        <f>(CAP[[#This Row],[RPS]]/2.21869141127892)+2.84495101810441</f>
        <v>180.11679179327635</v>
      </c>
      <c r="Y77" s="11">
        <f>(CAP[[#This Row],[RSS]]/2.30100441716059)+11.4244456864885</f>
        <v>208.10477403567376</v>
      </c>
      <c r="Z77" s="5">
        <f>(MAX(CAP[[#This Row],[PS]],CAP[[#This Row],[SS]]) - MAX(CAP[[#This Row],[PT]],CAP[[#This Row],[ST]])) / 6.165301 - 0.490854</f>
        <v>12.962409463022716</v>
      </c>
      <c r="AA77" s="1">
        <f>(CAP[[#This Row],[PT]] - CAP[[#This Row],[ST]] + CAP[[#This Row],[PS]] - CAP[[#This Row],[SS]]) / 6.8267</f>
        <v>-4.4636504732594782</v>
      </c>
      <c r="AB77" s="3">
        <f xml:space="preserve"> (CAP[[#This Row],[PT]] + CAP[[#This Row],[ST]] + CAP[[#This Row],[PS]] + CAP[[#This Row],[SS]]) /1.54532785176361-58.8447490566471</f>
        <v>352.75739437674412</v>
      </c>
      <c r="AC77"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Excellent</v>
      </c>
      <c r="AD77" s="14">
        <f>IF(CAP[[#This Row],[Overall Rating]]&lt;=200,80,IF(CAP[[#This Row],[Overall Rating]]&lt;250,75,IF(CAP[[#This Row],[Overall Rating]]&lt;300,70,IF(CAP[[#This Row],[Overall Rating]]&lt;350,65,IF(CAP[[#This Row],[Overall Rating]]&lt;400,60,IF(CAP[[#This Row],[Overall Rating]]&lt;450,55,50))))))</f>
        <v>60</v>
      </c>
    </row>
    <row r="78" spans="1:30" x14ac:dyDescent="0.3">
      <c r="A78">
        <v>61</v>
      </c>
      <c r="B78" s="14" t="s">
        <v>307</v>
      </c>
      <c r="C78" s="14" t="s">
        <v>59</v>
      </c>
      <c r="D78" s="14" t="s">
        <v>135</v>
      </c>
      <c r="E78">
        <v>100</v>
      </c>
      <c r="F78">
        <v>120</v>
      </c>
      <c r="G78">
        <v>90</v>
      </c>
      <c r="H78">
        <v>120</v>
      </c>
      <c r="I78">
        <v>90</v>
      </c>
      <c r="J78">
        <v>80</v>
      </c>
      <c r="K78" s="14">
        <f>CAP[[#This Row],[HP]]*2+141</f>
        <v>341</v>
      </c>
      <c r="L78" s="14">
        <f>CAP[[#This Row],[Atk]]*2+36</f>
        <v>276</v>
      </c>
      <c r="M78">
        <f>CAP[[#This Row],[Def]]*2+36</f>
        <v>216</v>
      </c>
      <c r="N78">
        <f>CAP[[#This Row],[SpA]]*2+36</f>
        <v>276</v>
      </c>
      <c r="O78" s="14">
        <f>CAP[[#This Row],[SpD]]*2+36</f>
        <v>216</v>
      </c>
      <c r="P78" s="14">
        <f>CAP[[#This Row],[SPD Factor]]/822</f>
        <v>0.66423357664233573</v>
      </c>
      <c r="Q78" s="14">
        <f>VLOOKUP(CAP[[#This Row],[Spe]],SpeedFactor[#All], 2, TRUE)</f>
        <v>546</v>
      </c>
      <c r="R78" s="14">
        <f>CAP[[#This Row],[Stat HP]]*CAP[[#This Row],[Stat Def]]</f>
        <v>73656</v>
      </c>
      <c r="S78" s="14">
        <f>CAP[[#This Row],[Stat HP]]*CAP[[#This Row],[Stat SpD]]</f>
        <v>73656</v>
      </c>
      <c r="T78" s="1">
        <f>CAP[[#This Row],[Stat Atk]]*(CAP[[#This Row],[Stat Atk]]*CAP[[#This Row],[Stat Spe]]+415)/(CAP[[#This Row],[Stat Atk]]*(1-CAP[[#This Row],[Stat Spe]])+415)</f>
        <v>325.28642291268284</v>
      </c>
      <c r="U78" s="4">
        <f>CAP[[#This Row],[Stat SpA]]*(CAP[[#This Row],[Stat SpA]]*CAP[[#This Row],[Stat Spe]]+415)/(CAP[[#This Row],[Stat SpA]]*(1-CAP[[#This Row],[Stat Spe]])+415)</f>
        <v>325.28642291268284</v>
      </c>
      <c r="V78" s="9">
        <f>(CAP[[#This Row],[RPT]] /432.441508090053)-22.8128616201416</f>
        <v>147.51306367161285</v>
      </c>
      <c r="W78" s="10">
        <f>(CAP[[#This Row],[RST]] /426.30249118172)-22.4239890939417</f>
        <v>150.35473381669374</v>
      </c>
      <c r="X78" s="10">
        <f>(CAP[[#This Row],[RPS]]/2.21869141127892)+2.84495101810441</f>
        <v>149.45678773368354</v>
      </c>
      <c r="Y78" s="11">
        <f>(CAP[[#This Row],[RSS]]/2.30100441716059)+11.4244456864885</f>
        <v>152.79158974181462</v>
      </c>
      <c r="Z78" s="5">
        <f>(MAX(CAP[[#This Row],[PS]],CAP[[#This Row],[SS]]) - MAX(CAP[[#This Row],[PT]],CAP[[#This Row],[ST]])) / 6.165301 - 0.490854</f>
        <v>-9.5600641709645551E-2</v>
      </c>
      <c r="AA78" s="1">
        <f>(CAP[[#This Row],[PT]] - CAP[[#This Row],[ST]] + CAP[[#This Row],[PS]] - CAP[[#This Row],[SS]]) / 6.8267</f>
        <v>-0.90475224533258547</v>
      </c>
      <c r="AB78" s="3">
        <f xml:space="preserve"> (CAP[[#This Row],[PT]] + CAP[[#This Row],[ST]] + CAP[[#This Row],[PS]] + CAP[[#This Row],[SS]]) /1.54532785176361-58.8447490566471</f>
        <v>329.49755272670609</v>
      </c>
      <c r="AC78"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Very Good</v>
      </c>
      <c r="AD78" s="14">
        <f>IF(CAP[[#This Row],[Overall Rating]]&lt;=200,80,IF(CAP[[#This Row],[Overall Rating]]&lt;250,75,IF(CAP[[#This Row],[Overall Rating]]&lt;300,70,IF(CAP[[#This Row],[Overall Rating]]&lt;350,65,IF(CAP[[#This Row],[Overall Rating]]&lt;400,60,IF(CAP[[#This Row],[Overall Rating]]&lt;450,55,50))))))</f>
        <v>65</v>
      </c>
    </row>
    <row r="79" spans="1:30" x14ac:dyDescent="0.3">
      <c r="A79">
        <v>60</v>
      </c>
      <c r="B79" s="14" t="s">
        <v>303</v>
      </c>
      <c r="C79" s="14" t="s">
        <v>150</v>
      </c>
      <c r="D79" s="14" t="s">
        <v>28</v>
      </c>
      <c r="E79">
        <v>85</v>
      </c>
      <c r="F79">
        <v>70</v>
      </c>
      <c r="G79">
        <v>75</v>
      </c>
      <c r="H79">
        <v>130</v>
      </c>
      <c r="I79">
        <v>110</v>
      </c>
      <c r="J79">
        <v>130</v>
      </c>
      <c r="K79" s="14">
        <f>CAP[[#This Row],[HP]]*2+141</f>
        <v>311</v>
      </c>
      <c r="L79" s="14">
        <f>CAP[[#This Row],[Atk]]*2+36</f>
        <v>176</v>
      </c>
      <c r="M79">
        <f>CAP[[#This Row],[Def]]*2+36</f>
        <v>186</v>
      </c>
      <c r="N79">
        <f>CAP[[#This Row],[SpA]]*2+36</f>
        <v>296</v>
      </c>
      <c r="O79" s="14">
        <f>CAP[[#This Row],[SpD]]*2+36</f>
        <v>256</v>
      </c>
      <c r="P79" s="14">
        <f>CAP[[#This Row],[SPD Factor]]/822</f>
        <v>0.98418491484184911</v>
      </c>
      <c r="Q79" s="14">
        <f>VLOOKUP(CAP[[#This Row],[Spe]],SpeedFactor[#All], 2, TRUE)</f>
        <v>809</v>
      </c>
      <c r="R79" s="14">
        <f>CAP[[#This Row],[Stat HP]]*CAP[[#This Row],[Stat Def]]</f>
        <v>57846</v>
      </c>
      <c r="S79" s="14">
        <f>CAP[[#This Row],[Stat HP]]*CAP[[#This Row],[Stat SpD]]</f>
        <v>79616</v>
      </c>
      <c r="T79" s="1">
        <f>CAP[[#This Row],[Stat Atk]]*(CAP[[#This Row],[Stat Atk]]*CAP[[#This Row],[Stat Spe]]+415)/(CAP[[#This Row],[Stat Atk]]*(1-CAP[[#This Row],[Stat Spe]])+415)</f>
        <v>247.79849629314711</v>
      </c>
      <c r="U79" s="4">
        <f>CAP[[#This Row],[Stat SpA]]*(CAP[[#This Row],[Stat SpA]]*CAP[[#This Row],[Stat Spe]]+415)/(CAP[[#This Row],[Stat SpA]]*(1-CAP[[#This Row],[Stat Spe]])+415)</f>
        <v>498.16459020575223</v>
      </c>
      <c r="V79" s="9">
        <f>(CAP[[#This Row],[RPT]] /432.441508090053)-22.8128616201416</f>
        <v>110.9532059700999</v>
      </c>
      <c r="W79" s="10">
        <f>(CAP[[#This Row],[RST]] /426.30249118172)-22.4239890939417</f>
        <v>164.33541683705033</v>
      </c>
      <c r="X79" s="10">
        <f>(CAP[[#This Row],[RPS]]/2.21869141127892)+2.84495101810441</f>
        <v>114.53172955496666</v>
      </c>
      <c r="Y79" s="11">
        <f>(CAP[[#This Row],[RSS]]/2.30100441716059)+11.4244456864885</f>
        <v>227.92320009586984</v>
      </c>
      <c r="Z79" s="5">
        <f>(MAX(CAP[[#This Row],[PS]],CAP[[#This Row],[SS]]) - MAX(CAP[[#This Row],[PT]],CAP[[#This Row],[ST]])) / 6.165301 - 0.490854</f>
        <v>9.8229625125789486</v>
      </c>
      <c r="AA79" s="1">
        <f>(CAP[[#This Row],[PT]] - CAP[[#This Row],[ST]] + CAP[[#This Row],[PS]] - CAP[[#This Row],[SS]]) / 6.8267</f>
        <v>-24.429619202228547</v>
      </c>
      <c r="AB79" s="3">
        <f xml:space="preserve"> (CAP[[#This Row],[PT]] + CAP[[#This Row],[ST]] + CAP[[#This Row],[PS]] + CAP[[#This Row],[SS]]) /1.54532785176361-58.8447490566471</f>
        <v>340.90443798672686</v>
      </c>
      <c r="AC79"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Very Good</v>
      </c>
      <c r="AD79" s="14">
        <f>IF(CAP[[#This Row],[Overall Rating]]&lt;=200,80,IF(CAP[[#This Row],[Overall Rating]]&lt;250,75,IF(CAP[[#This Row],[Overall Rating]]&lt;300,70,IF(CAP[[#This Row],[Overall Rating]]&lt;350,65,IF(CAP[[#This Row],[Overall Rating]]&lt;400,60,IF(CAP[[#This Row],[Overall Rating]]&lt;450,55,50))))))</f>
        <v>65</v>
      </c>
    </row>
    <row r="80" spans="1:30" x14ac:dyDescent="0.3">
      <c r="A80">
        <v>59</v>
      </c>
      <c r="B80" s="14" t="s">
        <v>298</v>
      </c>
      <c r="C80" s="14" t="s">
        <v>44</v>
      </c>
      <c r="D80" s="14" t="s">
        <v>51</v>
      </c>
      <c r="E80">
        <v>105</v>
      </c>
      <c r="F80">
        <v>90</v>
      </c>
      <c r="G80">
        <v>120</v>
      </c>
      <c r="H80">
        <v>110</v>
      </c>
      <c r="I80">
        <v>100</v>
      </c>
      <c r="J80">
        <v>75</v>
      </c>
      <c r="K80" s="14">
        <f>CAP[[#This Row],[HP]]*2+141</f>
        <v>351</v>
      </c>
      <c r="L80" s="14">
        <f>CAP[[#This Row],[Atk]]*2+36</f>
        <v>216</v>
      </c>
      <c r="M80">
        <f>CAP[[#This Row],[Def]]*2+36</f>
        <v>276</v>
      </c>
      <c r="N80">
        <f>CAP[[#This Row],[SpA]]*2+36</f>
        <v>256</v>
      </c>
      <c r="O80" s="14">
        <f>CAP[[#This Row],[SpD]]*2+36</f>
        <v>236</v>
      </c>
      <c r="P80" s="14">
        <f>CAP[[#This Row],[SPD Factor]]/822</f>
        <v>0.60948905109489049</v>
      </c>
      <c r="Q80" s="14">
        <f>VLOOKUP(CAP[[#This Row],[Spe]],SpeedFactor[#All], 2, TRUE)</f>
        <v>501</v>
      </c>
      <c r="R80" s="14">
        <f>CAP[[#This Row],[Stat HP]]*CAP[[#This Row],[Stat Def]]</f>
        <v>96876</v>
      </c>
      <c r="S80" s="14">
        <f>CAP[[#This Row],[Stat HP]]*CAP[[#This Row],[Stat SpD]]</f>
        <v>82836</v>
      </c>
      <c r="T80" s="1">
        <f>CAP[[#This Row],[Stat Atk]]*(CAP[[#This Row],[Stat Atk]]*CAP[[#This Row],[Stat Spe]]+415)/(CAP[[#This Row],[Stat Atk]]*(1-CAP[[#This Row],[Stat Spe]])+415)</f>
        <v>236.45986756515762</v>
      </c>
      <c r="U80" s="4">
        <f>CAP[[#This Row],[Stat SpA]]*(CAP[[#This Row],[Stat SpA]]*CAP[[#This Row],[Stat Spe]]+415)/(CAP[[#This Row],[Stat SpA]]*(1-CAP[[#This Row],[Stat Spe]])+415)</f>
        <v>283.86750010630607</v>
      </c>
      <c r="V80" s="9">
        <f>(CAP[[#This Row],[RPT]] /432.441508090053)-22.8128616201416</f>
        <v>201.20818674745922</v>
      </c>
      <c r="W80" s="10">
        <f>(CAP[[#This Row],[RST]] /426.30249118172)-22.4239890939417</f>
        <v>171.88873887153835</v>
      </c>
      <c r="X80" s="10">
        <f>(CAP[[#This Row],[RPS]]/2.21869141127892)+2.84495101810441</f>
        <v>109.42122672868423</v>
      </c>
      <c r="Y80" s="11">
        <f>(CAP[[#This Row],[RSS]]/2.30100441716059)+11.4244456864885</f>
        <v>134.79122325078146</v>
      </c>
      <c r="Z80" s="5">
        <f>(MAX(CAP[[#This Row],[PS]],CAP[[#This Row],[SS]]) - MAX(CAP[[#This Row],[PT]],CAP[[#This Row],[ST]])) / 6.165301 - 0.490854</f>
        <v>-11.263558122098461</v>
      </c>
      <c r="AA80" s="1">
        <f>(CAP[[#This Row],[PT]] - CAP[[#This Row],[ST]] + CAP[[#This Row],[PS]] - CAP[[#This Row],[SS]]) / 6.8267</f>
        <v>0.57853008830381203</v>
      </c>
      <c r="AB80" s="3">
        <f xml:space="preserve"> (CAP[[#This Row],[PT]] + CAP[[#This Row],[ST]] + CAP[[#This Row],[PS]] + CAP[[#This Row],[SS]]) /1.54532785176361-58.8447490566471</f>
        <v>340.62347698610301</v>
      </c>
      <c r="AC80"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Very Good</v>
      </c>
      <c r="AD80" s="14">
        <f>IF(CAP[[#This Row],[Overall Rating]]&lt;=200,80,IF(CAP[[#This Row],[Overall Rating]]&lt;250,75,IF(CAP[[#This Row],[Overall Rating]]&lt;300,70,IF(CAP[[#This Row],[Overall Rating]]&lt;350,65,IF(CAP[[#This Row],[Overall Rating]]&lt;400,60,IF(CAP[[#This Row],[Overall Rating]]&lt;450,55,50))))))</f>
        <v>65</v>
      </c>
    </row>
    <row r="81" spans="1:30" x14ac:dyDescent="0.3">
      <c r="A81">
        <v>58</v>
      </c>
      <c r="B81" s="14" t="s">
        <v>292</v>
      </c>
      <c r="C81" s="14" t="s">
        <v>66</v>
      </c>
      <c r="D81" s="14" t="s">
        <v>89</v>
      </c>
      <c r="E81">
        <v>95</v>
      </c>
      <c r="F81">
        <v>130</v>
      </c>
      <c r="G81">
        <v>80</v>
      </c>
      <c r="H81">
        <v>95</v>
      </c>
      <c r="I81">
        <v>80</v>
      </c>
      <c r="J81">
        <v>120</v>
      </c>
      <c r="K81" s="14">
        <f>CAP[[#This Row],[HP]]*2+141</f>
        <v>331</v>
      </c>
      <c r="L81" s="14">
        <f>CAP[[#This Row],[Atk]]*2+36</f>
        <v>296</v>
      </c>
      <c r="M81">
        <f>CAP[[#This Row],[Def]]*2+36</f>
        <v>196</v>
      </c>
      <c r="N81">
        <f>CAP[[#This Row],[SpA]]*2+36</f>
        <v>226</v>
      </c>
      <c r="O81" s="14">
        <f>CAP[[#This Row],[SpD]]*2+36</f>
        <v>196</v>
      </c>
      <c r="P81" s="14">
        <f>CAP[[#This Row],[SPD Factor]]/822</f>
        <v>0.96228710462287104</v>
      </c>
      <c r="Q81" s="14">
        <f>VLOOKUP(CAP[[#This Row],[Spe]],SpeedFactor[#All], 2, TRUE)</f>
        <v>791</v>
      </c>
      <c r="R81" s="14">
        <f>CAP[[#This Row],[Stat HP]]*CAP[[#This Row],[Stat Def]]</f>
        <v>64876</v>
      </c>
      <c r="S81" s="14">
        <f>CAP[[#This Row],[Stat HP]]*CAP[[#This Row],[Stat SpD]]</f>
        <v>64876</v>
      </c>
      <c r="T81" s="1">
        <f>CAP[[#This Row],[Stat Atk]]*(CAP[[#This Row],[Stat Atk]]*CAP[[#This Row],[Stat Spe]]+415)/(CAP[[#This Row],[Stat Atk]]*(1-CAP[[#This Row],[Stat Spe]])+415)</f>
        <v>486.08569650534105</v>
      </c>
      <c r="U81" s="4">
        <f>CAP[[#This Row],[Stat SpA]]*(CAP[[#This Row],[Stat SpA]]*CAP[[#This Row],[Stat Spe]]+415)/(CAP[[#This Row],[Stat SpA]]*(1-CAP[[#This Row],[Stat Spe]])+415)</f>
        <v>337.50171197463061</v>
      </c>
      <c r="V81" s="9">
        <f>(CAP[[#This Row],[RPT]] /432.441508090053)-22.8128616201416</f>
        <v>127.20973978677517</v>
      </c>
      <c r="W81" s="10">
        <f>(CAP[[#This Row],[RST]] /426.30249118172)-22.4239890939417</f>
        <v>129.7590296356986</v>
      </c>
      <c r="X81" s="10">
        <f>(CAP[[#This Row],[RPS]]/2.21869141127892)+2.84495101810441</f>
        <v>221.93161355904189</v>
      </c>
      <c r="Y81" s="11">
        <f>(CAP[[#This Row],[RSS]]/2.30100441716059)+11.4244456864885</f>
        <v>158.10026667039753</v>
      </c>
      <c r="Z81" s="5">
        <f>(MAX(CAP[[#This Row],[PS]],CAP[[#This Row],[SS]]) - MAX(CAP[[#This Row],[PT]],CAP[[#This Row],[ST]])) / 6.165301 - 0.490854</f>
        <v>14.459362367918336</v>
      </c>
      <c r="AA81" s="1">
        <f>(CAP[[#This Row],[PT]] - CAP[[#This Row],[ST]] + CAP[[#This Row],[PS]] - CAP[[#This Row],[SS]]) / 6.8267</f>
        <v>8.9768199920490055</v>
      </c>
      <c r="AB81" s="3">
        <f xml:space="preserve"> (CAP[[#This Row],[PT]] + CAP[[#This Row],[ST]] + CAP[[#This Row],[PS]] + CAP[[#This Row],[SS]]) /1.54532785176361-58.8447490566471</f>
        <v>353.36593421353041</v>
      </c>
      <c r="AC81"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Excellent</v>
      </c>
      <c r="AD81" s="14">
        <f>IF(CAP[[#This Row],[Overall Rating]]&lt;=200,80,IF(CAP[[#This Row],[Overall Rating]]&lt;250,75,IF(CAP[[#This Row],[Overall Rating]]&lt;300,70,IF(CAP[[#This Row],[Overall Rating]]&lt;350,65,IF(CAP[[#This Row],[Overall Rating]]&lt;400,60,IF(CAP[[#This Row],[Overall Rating]]&lt;450,55,50))))))</f>
        <v>60</v>
      </c>
    </row>
    <row r="82" spans="1:30" x14ac:dyDescent="0.3">
      <c r="A82">
        <v>57</v>
      </c>
      <c r="B82" s="14" t="s">
        <v>286</v>
      </c>
      <c r="C82" s="14" t="s">
        <v>84</v>
      </c>
      <c r="D82" s="14" t="s">
        <v>37</v>
      </c>
      <c r="E82">
        <v>95</v>
      </c>
      <c r="F82">
        <v>95</v>
      </c>
      <c r="G82">
        <v>80</v>
      </c>
      <c r="H82">
        <v>130</v>
      </c>
      <c r="I82">
        <v>80</v>
      </c>
      <c r="J82">
        <v>120</v>
      </c>
      <c r="K82" s="14">
        <f>CAP[[#This Row],[HP]]*2+141</f>
        <v>331</v>
      </c>
      <c r="L82" s="14">
        <f>CAP[[#This Row],[Atk]]*2+36</f>
        <v>226</v>
      </c>
      <c r="M82">
        <f>CAP[[#This Row],[Def]]*2+36</f>
        <v>196</v>
      </c>
      <c r="N82">
        <f>CAP[[#This Row],[SpA]]*2+36</f>
        <v>296</v>
      </c>
      <c r="O82" s="14">
        <f>CAP[[#This Row],[SpD]]*2+36</f>
        <v>196</v>
      </c>
      <c r="P82" s="14">
        <f>CAP[[#This Row],[SPD Factor]]/822</f>
        <v>0.96228710462287104</v>
      </c>
      <c r="Q82" s="14">
        <f>VLOOKUP(CAP[[#This Row],[Spe]],SpeedFactor[#All], 2, TRUE)</f>
        <v>791</v>
      </c>
      <c r="R82" s="14">
        <f>CAP[[#This Row],[Stat HP]]*CAP[[#This Row],[Stat Def]]</f>
        <v>64876</v>
      </c>
      <c r="S82" s="14">
        <f>CAP[[#This Row],[Stat HP]]*CAP[[#This Row],[Stat SpD]]</f>
        <v>64876</v>
      </c>
      <c r="T82" s="1">
        <f>CAP[[#This Row],[Stat Atk]]*(CAP[[#This Row],[Stat Atk]]*CAP[[#This Row],[Stat Spe]]+415)/(CAP[[#This Row],[Stat Atk]]*(1-CAP[[#This Row],[Stat Spe]])+415)</f>
        <v>337.50171197463061</v>
      </c>
      <c r="U82" s="4">
        <f>CAP[[#This Row],[Stat SpA]]*(CAP[[#This Row],[Stat SpA]]*CAP[[#This Row],[Stat Spe]]+415)/(CAP[[#This Row],[Stat SpA]]*(1-CAP[[#This Row],[Stat Spe]])+415)</f>
        <v>486.08569650534105</v>
      </c>
      <c r="V82" s="9">
        <f>(CAP[[#This Row],[RPT]] /432.441508090053)-22.8128616201416</f>
        <v>127.20973978677517</v>
      </c>
      <c r="W82" s="10">
        <f>(CAP[[#This Row],[RST]] /426.30249118172)-22.4239890939417</f>
        <v>129.7590296356986</v>
      </c>
      <c r="X82" s="10">
        <f>(CAP[[#This Row],[RPS]]/2.21869141127892)+2.84495101810441</f>
        <v>154.96241551042178</v>
      </c>
      <c r="Y82" s="11">
        <f>(CAP[[#This Row],[RSS]]/2.30100441716059)+11.4244456864885</f>
        <v>222.67379961218177</v>
      </c>
      <c r="Z82" s="5">
        <f>(MAX(CAP[[#This Row],[PS]],CAP[[#This Row],[SS]]) - MAX(CAP[[#This Row],[PT]],CAP[[#This Row],[ST]])) / 6.165301 - 0.490854</f>
        <v>14.579743522567538</v>
      </c>
      <c r="AA82" s="1">
        <f>(CAP[[#This Row],[PT]] - CAP[[#This Row],[ST]] + CAP[[#This Row],[PS]] - CAP[[#This Row],[SS]]) / 6.8267</f>
        <v>-10.292040656639871</v>
      </c>
      <c r="AB82" s="3">
        <f xml:space="preserve"> (CAP[[#This Row],[PT]] + CAP[[#This Row],[ST]] + CAP[[#This Row],[PS]] + CAP[[#This Row],[SS]]) /1.54532785176361-58.8447490566471</f>
        <v>351.81567088002356</v>
      </c>
      <c r="AC82"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Excellent</v>
      </c>
      <c r="AD82" s="14">
        <f>IF(CAP[[#This Row],[Overall Rating]]&lt;=200,80,IF(CAP[[#This Row],[Overall Rating]]&lt;250,75,IF(CAP[[#This Row],[Overall Rating]]&lt;300,70,IF(CAP[[#This Row],[Overall Rating]]&lt;350,65,IF(CAP[[#This Row],[Overall Rating]]&lt;400,60,IF(CAP[[#This Row],[Overall Rating]]&lt;450,55,50))))))</f>
        <v>60</v>
      </c>
    </row>
    <row r="83" spans="1:30" x14ac:dyDescent="0.3">
      <c r="A83">
        <v>56</v>
      </c>
      <c r="B83" s="14" t="s">
        <v>284</v>
      </c>
      <c r="C83" s="14" t="s">
        <v>96</v>
      </c>
      <c r="D83" s="14" t="s">
        <v>21</v>
      </c>
      <c r="E83">
        <v>90</v>
      </c>
      <c r="F83">
        <v>110</v>
      </c>
      <c r="G83">
        <v>130</v>
      </c>
      <c r="H83">
        <v>60</v>
      </c>
      <c r="I83">
        <v>100</v>
      </c>
      <c r="J83">
        <v>60</v>
      </c>
      <c r="K83" s="14">
        <f>CAP[[#This Row],[HP]]*2+141</f>
        <v>321</v>
      </c>
      <c r="L83" s="14">
        <f>CAP[[#This Row],[Atk]]*2+36</f>
        <v>256</v>
      </c>
      <c r="M83">
        <f>CAP[[#This Row],[Def]]*2+36</f>
        <v>296</v>
      </c>
      <c r="N83">
        <f>CAP[[#This Row],[SpA]]*2+36</f>
        <v>156</v>
      </c>
      <c r="O83" s="14">
        <f>CAP[[#This Row],[SpD]]*2+36</f>
        <v>236</v>
      </c>
      <c r="P83" s="14">
        <f>CAP[[#This Row],[SPD Factor]]/822</f>
        <v>0.44525547445255476</v>
      </c>
      <c r="Q83" s="14">
        <f>VLOOKUP(CAP[[#This Row],[Spe]],SpeedFactor[#All], 2, TRUE)</f>
        <v>366</v>
      </c>
      <c r="R83" s="14">
        <f>CAP[[#This Row],[Stat HP]]*CAP[[#This Row],[Stat Def]]</f>
        <v>95016</v>
      </c>
      <c r="S83" s="14">
        <f>CAP[[#This Row],[Stat HP]]*CAP[[#This Row],[Stat SpD]]</f>
        <v>75756</v>
      </c>
      <c r="T83" s="1">
        <f>CAP[[#This Row],[Stat Atk]]*(CAP[[#This Row],[Stat Atk]]*CAP[[#This Row],[Stat Spe]]+415)/(CAP[[#This Row],[Stat Atk]]*(1-CAP[[#This Row],[Stat Spe]])+415)</f>
        <v>243.11797774894845</v>
      </c>
      <c r="U83" s="4">
        <f>CAP[[#This Row],[Stat SpA]]*(CAP[[#This Row],[Stat SpA]]*CAP[[#This Row],[Stat Spe]]+415)/(CAP[[#This Row],[Stat SpA]]*(1-CAP[[#This Row],[Stat Spe]])+415)</f>
        <v>150.68731353058462</v>
      </c>
      <c r="V83" s="9">
        <f>(CAP[[#This Row],[RPT]] /432.441508090053)-22.8128616201416</f>
        <v>196.90702701786944</v>
      </c>
      <c r="W83" s="10">
        <f>(CAP[[#This Row],[RST]] /426.30249118172)-22.4239890939417</f>
        <v>155.28081340440326</v>
      </c>
      <c r="X83" s="10">
        <f>(CAP[[#This Row],[RPS]]/2.21869141127892)+2.84495101810441</f>
        <v>112.42214436416238</v>
      </c>
      <c r="Y83" s="11">
        <f>(CAP[[#This Row],[RSS]]/2.30100441716059)+11.4244456864885</f>
        <v>76.912070311099541</v>
      </c>
      <c r="Z83" s="5">
        <f>(MAX(CAP[[#This Row],[PS]],CAP[[#This Row],[SS]]) - MAX(CAP[[#This Row],[PT]],CAP[[#This Row],[ST]])) / 6.165301 - 0.490854</f>
        <v>-14.194139963443968</v>
      </c>
      <c r="AA83" s="1">
        <f>(CAP[[#This Row],[PT]] - CAP[[#This Row],[ST]] + CAP[[#This Row],[PS]] - CAP[[#This Row],[SS]]) / 6.8267</f>
        <v>11.299205716748796</v>
      </c>
      <c r="AB83" s="3">
        <f xml:space="preserve"> (CAP[[#This Row],[PT]] + CAP[[#This Row],[ST]] + CAP[[#This Row],[PS]] + CAP[[#This Row],[SS]]) /1.54532785176361-58.8447490566471</f>
        <v>291.58060209425651</v>
      </c>
      <c r="AC83"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Good</v>
      </c>
      <c r="AD83" s="14">
        <f>IF(CAP[[#This Row],[Overall Rating]]&lt;=200,80,IF(CAP[[#This Row],[Overall Rating]]&lt;250,75,IF(CAP[[#This Row],[Overall Rating]]&lt;300,70,IF(CAP[[#This Row],[Overall Rating]]&lt;350,65,IF(CAP[[#This Row],[Overall Rating]]&lt;400,60,IF(CAP[[#This Row],[Overall Rating]]&lt;450,55,50))))))</f>
        <v>70</v>
      </c>
    </row>
    <row r="84" spans="1:30" x14ac:dyDescent="0.3">
      <c r="A84">
        <v>55</v>
      </c>
      <c r="B84" s="14" t="s">
        <v>277</v>
      </c>
      <c r="C84" s="14" t="s">
        <v>96</v>
      </c>
      <c r="D84" s="14" t="s">
        <v>21</v>
      </c>
      <c r="E84">
        <v>60</v>
      </c>
      <c r="F84">
        <v>75</v>
      </c>
      <c r="G84">
        <v>105</v>
      </c>
      <c r="H84">
        <v>45</v>
      </c>
      <c r="I84">
        <v>70</v>
      </c>
      <c r="J84">
        <v>45</v>
      </c>
      <c r="K84" s="14">
        <f>CAP[[#This Row],[HP]]*2+141</f>
        <v>261</v>
      </c>
      <c r="L84" s="14">
        <f>CAP[[#This Row],[Atk]]*2+36</f>
        <v>186</v>
      </c>
      <c r="M84">
        <f>CAP[[#This Row],[Def]]*2+36</f>
        <v>246</v>
      </c>
      <c r="N84">
        <f>CAP[[#This Row],[SpA]]*2+36</f>
        <v>126</v>
      </c>
      <c r="O84" s="14">
        <f>CAP[[#This Row],[SpD]]*2+36</f>
        <v>176</v>
      </c>
      <c r="P84" s="14">
        <f>CAP[[#This Row],[SPD Factor]]/822</f>
        <v>0.24939172749391728</v>
      </c>
      <c r="Q84" s="14">
        <f>VLOOKUP(CAP[[#This Row],[Spe]],SpeedFactor[#All], 2, TRUE)</f>
        <v>205</v>
      </c>
      <c r="R84" s="14">
        <f>CAP[[#This Row],[Stat HP]]*CAP[[#This Row],[Stat Def]]</f>
        <v>64206</v>
      </c>
      <c r="S84" s="14">
        <f>CAP[[#This Row],[Stat HP]]*CAP[[#This Row],[Stat SpD]]</f>
        <v>45936</v>
      </c>
      <c r="T84" s="1">
        <f>CAP[[#This Row],[Stat Atk]]*(CAP[[#This Row],[Stat Atk]]*CAP[[#This Row],[Stat Spe]]+415)/(CAP[[#This Row],[Stat Atk]]*(1-CAP[[#This Row],[Stat Spe]])+415)</f>
        <v>154.73480561185545</v>
      </c>
      <c r="U84" s="4">
        <f>CAP[[#This Row],[Stat SpA]]*(CAP[[#This Row],[Stat SpA]]*CAP[[#This Row],[Stat Spe]]+415)/(CAP[[#This Row],[Stat SpA]]*(1-CAP[[#This Row],[Stat Spe]])+415)</f>
        <v>110.38446112416203</v>
      </c>
      <c r="V84" s="9">
        <f>(CAP[[#This Row],[RPT]] /432.441508090053)-22.8128616201416</f>
        <v>125.66039730353586</v>
      </c>
      <c r="W84" s="10">
        <f>(CAP[[#This Row],[RST]] /426.30249118172)-22.4239890939417</f>
        <v>85.330483258927714</v>
      </c>
      <c r="X84" s="10">
        <f>(CAP[[#This Row],[RPS]]/2.21869141127892)+2.84495101810441</f>
        <v>72.586423322565935</v>
      </c>
      <c r="Y84" s="11">
        <f>(CAP[[#This Row],[RSS]]/2.30100441716059)+11.4244456864885</f>
        <v>59.396740003235209</v>
      </c>
      <c r="Z84" s="5">
        <f>(MAX(CAP[[#This Row],[PS]],CAP[[#This Row],[SS]]) - MAX(CAP[[#This Row],[PT]],CAP[[#This Row],[ST]])) / 6.165301 - 0.490854</f>
        <v>-9.0993508083423542</v>
      </c>
      <c r="AA84" s="1">
        <f>(CAP[[#This Row],[PT]] - CAP[[#This Row],[ST]] + CAP[[#This Row],[PS]] - CAP[[#This Row],[SS]]) / 6.8267</f>
        <v>7.8397464900960747</v>
      </c>
      <c r="AB84" s="3">
        <f xml:space="preserve"> (CAP[[#This Row],[PT]] + CAP[[#This Row],[ST]] + CAP[[#This Row],[PS]] + CAP[[#This Row],[SS]]) /1.54532785176361-58.8447490566471</f>
        <v>163.09782675135676</v>
      </c>
      <c r="AC84"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Below Average</v>
      </c>
      <c r="AD84" s="14">
        <f>IF(CAP[[#This Row],[Overall Rating]]&lt;=200,80,IF(CAP[[#This Row],[Overall Rating]]&lt;250,75,IF(CAP[[#This Row],[Overall Rating]]&lt;300,70,IF(CAP[[#This Row],[Overall Rating]]&lt;350,65,IF(CAP[[#This Row],[Overall Rating]]&lt;400,60,IF(CAP[[#This Row],[Overall Rating]]&lt;450,55,50))))))</f>
        <v>80</v>
      </c>
    </row>
    <row r="85" spans="1:30" x14ac:dyDescent="0.3">
      <c r="A85">
        <v>54</v>
      </c>
      <c r="B85" s="14" t="s">
        <v>275</v>
      </c>
      <c r="C85" s="14" t="s">
        <v>135</v>
      </c>
      <c r="D85" s="14" t="s">
        <v>89</v>
      </c>
      <c r="E85">
        <v>80</v>
      </c>
      <c r="F85">
        <v>90</v>
      </c>
      <c r="G85">
        <v>70</v>
      </c>
      <c r="H85">
        <v>100</v>
      </c>
      <c r="I85">
        <v>85</v>
      </c>
      <c r="J85">
        <v>95</v>
      </c>
      <c r="K85" s="14">
        <f>CAP[[#This Row],[HP]]*2+141</f>
        <v>301</v>
      </c>
      <c r="L85" s="14">
        <f>CAP[[#This Row],[Atk]]*2+36</f>
        <v>216</v>
      </c>
      <c r="M85">
        <f>CAP[[#This Row],[Def]]*2+36</f>
        <v>176</v>
      </c>
      <c r="N85">
        <f>CAP[[#This Row],[SpA]]*2+36</f>
        <v>236</v>
      </c>
      <c r="O85" s="14">
        <f>CAP[[#This Row],[SpD]]*2+36</f>
        <v>206</v>
      </c>
      <c r="P85" s="14">
        <f>CAP[[#This Row],[SPD Factor]]/822</f>
        <v>0.80900243309002429</v>
      </c>
      <c r="Q85" s="14">
        <f>VLOOKUP(CAP[[#This Row],[Spe]],SpeedFactor[#All], 2, TRUE)</f>
        <v>665</v>
      </c>
      <c r="R85" s="14">
        <f>CAP[[#This Row],[Stat HP]]*CAP[[#This Row],[Stat Def]]</f>
        <v>52976</v>
      </c>
      <c r="S85" s="14">
        <f>CAP[[#This Row],[Stat HP]]*CAP[[#This Row],[Stat SpD]]</f>
        <v>62006</v>
      </c>
      <c r="T85" s="1">
        <f>CAP[[#This Row],[Stat Atk]]*(CAP[[#This Row],[Stat Atk]]*CAP[[#This Row],[Stat Spe]]+415)/(CAP[[#This Row],[Stat Atk]]*(1-CAP[[#This Row],[Stat Spe]])+415)</f>
        <v>279.19625001999776</v>
      </c>
      <c r="U85" s="4">
        <f>CAP[[#This Row],[Stat SpA]]*(CAP[[#This Row],[Stat SpA]]*CAP[[#This Row],[Stat Spe]]+415)/(CAP[[#This Row],[Stat SpA]]*(1-CAP[[#This Row],[Stat Spe]])+415)</f>
        <v>310.81468710832348</v>
      </c>
      <c r="V85" s="9">
        <f>(CAP[[#This Row],[RPT]] /432.441508090053)-22.8128616201416</f>
        <v>99.691567323270803</v>
      </c>
      <c r="W85" s="10">
        <f>(CAP[[#This Row],[RST]] /426.30249118172)-22.4239890939417</f>
        <v>123.02672086582886</v>
      </c>
      <c r="X85" s="10">
        <f>(CAP[[#This Row],[RPS]]/2.21869141127892)+2.84495101810441</f>
        <v>128.68320351265061</v>
      </c>
      <c r="Y85" s="11">
        <f>(CAP[[#This Row],[RSS]]/2.30100441716059)+11.4244456864885</f>
        <v>146.50227725878284</v>
      </c>
      <c r="Z85" s="5">
        <f>(MAX(CAP[[#This Row],[PS]],CAP[[#This Row],[SS]]) - MAX(CAP[[#This Row],[PT]],CAP[[#This Row],[ST]])) / 6.165301 - 0.490854</f>
        <v>3.3168362316616777</v>
      </c>
      <c r="AA85" s="1">
        <f>(CAP[[#This Row],[PT]] - CAP[[#This Row],[ST]] + CAP[[#This Row],[PS]] - CAP[[#This Row],[SS]]) / 6.8267</f>
        <v>-6.0284218273382884</v>
      </c>
      <c r="AB85" s="3">
        <f xml:space="preserve"> (CAP[[#This Row],[PT]] + CAP[[#This Row],[ST]] + CAP[[#This Row],[PS]] + CAP[[#This Row],[SS]]) /1.54532785176361-58.8447490566471</f>
        <v>263.35469127072349</v>
      </c>
      <c r="AC85"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Good</v>
      </c>
      <c r="AD85" s="14">
        <f>IF(CAP[[#This Row],[Overall Rating]]&lt;=200,80,IF(CAP[[#This Row],[Overall Rating]]&lt;250,75,IF(CAP[[#This Row],[Overall Rating]]&lt;300,70,IF(CAP[[#This Row],[Overall Rating]]&lt;350,65,IF(CAP[[#This Row],[Overall Rating]]&lt;400,60,IF(CAP[[#This Row],[Overall Rating]]&lt;450,55,50))))))</f>
        <v>70</v>
      </c>
    </row>
    <row r="86" spans="1:30" x14ac:dyDescent="0.3">
      <c r="A86">
        <v>53</v>
      </c>
      <c r="B86" s="14" t="s">
        <v>268</v>
      </c>
      <c r="C86" s="14" t="s">
        <v>135</v>
      </c>
      <c r="D86" s="14" t="s">
        <v>89</v>
      </c>
      <c r="E86">
        <v>50</v>
      </c>
      <c r="F86">
        <v>60</v>
      </c>
      <c r="G86">
        <v>40</v>
      </c>
      <c r="H86">
        <v>70</v>
      </c>
      <c r="I86">
        <v>55</v>
      </c>
      <c r="J86">
        <v>65</v>
      </c>
      <c r="K86" s="14">
        <f>CAP[[#This Row],[HP]]*2+141</f>
        <v>241</v>
      </c>
      <c r="L86" s="14">
        <f>CAP[[#This Row],[Atk]]*2+36</f>
        <v>156</v>
      </c>
      <c r="M86">
        <f>CAP[[#This Row],[Def]]*2+36</f>
        <v>116</v>
      </c>
      <c r="N86">
        <f>CAP[[#This Row],[SpA]]*2+36</f>
        <v>176</v>
      </c>
      <c r="O86" s="14">
        <f>CAP[[#This Row],[SpD]]*2+36</f>
        <v>146</v>
      </c>
      <c r="P86" s="14">
        <f>CAP[[#This Row],[SPD Factor]]/822</f>
        <v>0.5024330900243309</v>
      </c>
      <c r="Q86" s="14">
        <f>VLOOKUP(CAP[[#This Row],[Spe]],SpeedFactor[#All], 2, TRUE)</f>
        <v>413</v>
      </c>
      <c r="R86" s="14">
        <f>CAP[[#This Row],[Stat HP]]*CAP[[#This Row],[Stat Def]]</f>
        <v>27956</v>
      </c>
      <c r="S86" s="14">
        <f>CAP[[#This Row],[Stat HP]]*CAP[[#This Row],[Stat SpD]]</f>
        <v>35186</v>
      </c>
      <c r="T86" s="1">
        <f>CAP[[#This Row],[Stat Atk]]*(CAP[[#This Row],[Stat Atk]]*CAP[[#This Row],[Stat Spe]]+415)/(CAP[[#This Row],[Stat Atk]]*(1-CAP[[#This Row],[Stat Spe]])+415)</f>
        <v>156.24039473099319</v>
      </c>
      <c r="U86" s="4">
        <f>CAP[[#This Row],[Stat SpA]]*(CAP[[#This Row],[Stat SpA]]*CAP[[#This Row],[Stat Spe]]+415)/(CAP[[#This Row],[Stat SpA]]*(1-CAP[[#This Row],[Stat Spe]])+415)</f>
        <v>176.29992689669194</v>
      </c>
      <c r="V86" s="9">
        <f>(CAP[[#This Row],[RPT]] /432.441508090053)-22.8128616201416</f>
        <v>41.834031605885983</v>
      </c>
      <c r="W86" s="10">
        <f>(CAP[[#This Row],[RST]] /426.30249118172)-22.4239890939417</f>
        <v>60.113647274224078</v>
      </c>
      <c r="X86" s="10">
        <f>(CAP[[#This Row],[RPS]]/2.21869141127892)+2.84495101810441</f>
        <v>73.265016619265026</v>
      </c>
      <c r="Y86" s="11">
        <f>(CAP[[#This Row],[RSS]]/2.30100441716059)+11.4244456864885</f>
        <v>88.04312819829515</v>
      </c>
      <c r="Z86" s="5">
        <f>(MAX(CAP[[#This Row],[PS]],CAP[[#This Row],[SS]]) - MAX(CAP[[#This Row],[PT]],CAP[[#This Row],[ST]])) / 6.165301 - 0.490854</f>
        <v>4.0392542500385744</v>
      </c>
      <c r="AA86" s="1">
        <f>(CAP[[#This Row],[PT]] - CAP[[#This Row],[ST]] + CAP[[#This Row],[PS]] - CAP[[#This Row],[SS]]) / 6.8267</f>
        <v>-4.8424168701375807</v>
      </c>
      <c r="AB86" s="3">
        <f xml:space="preserve"> (CAP[[#This Row],[PT]] + CAP[[#This Row],[ST]] + CAP[[#This Row],[PS]] + CAP[[#This Row],[SS]]) /1.54532785176361-58.8447490566471</f>
        <v>111.51122000016419</v>
      </c>
      <c r="AC86"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Poor</v>
      </c>
      <c r="AD86" s="14">
        <f>IF(CAP[[#This Row],[Overall Rating]]&lt;=200,80,IF(CAP[[#This Row],[Overall Rating]]&lt;250,75,IF(CAP[[#This Row],[Overall Rating]]&lt;300,70,IF(CAP[[#This Row],[Overall Rating]]&lt;350,65,IF(CAP[[#This Row],[Overall Rating]]&lt;400,60,IF(CAP[[#This Row],[Overall Rating]]&lt;450,55,50))))))</f>
        <v>80</v>
      </c>
    </row>
    <row r="87" spans="1:30" x14ac:dyDescent="0.3">
      <c r="A87">
        <v>52</v>
      </c>
      <c r="B87" s="14" t="s">
        <v>266</v>
      </c>
      <c r="C87" s="14" t="s">
        <v>187</v>
      </c>
      <c r="D87" s="14" t="s">
        <v>50</v>
      </c>
      <c r="E87">
        <v>75</v>
      </c>
      <c r="F87">
        <v>100</v>
      </c>
      <c r="G87">
        <v>65</v>
      </c>
      <c r="H87">
        <v>60</v>
      </c>
      <c r="I87">
        <v>70</v>
      </c>
      <c r="J87">
        <v>110</v>
      </c>
      <c r="K87" s="14">
        <f>CAP[[#This Row],[HP]]*2+141</f>
        <v>291</v>
      </c>
      <c r="L87" s="14">
        <f>CAP[[#This Row],[Atk]]*2+36</f>
        <v>236</v>
      </c>
      <c r="M87">
        <f>CAP[[#This Row],[Def]]*2+36</f>
        <v>166</v>
      </c>
      <c r="N87">
        <f>CAP[[#This Row],[SpA]]*2+36</f>
        <v>156</v>
      </c>
      <c r="O87" s="14">
        <f>CAP[[#This Row],[SpD]]*2+36</f>
        <v>176</v>
      </c>
      <c r="P87" s="14">
        <f>CAP[[#This Row],[SPD Factor]]/822</f>
        <v>0.92822384428223847</v>
      </c>
      <c r="Q87" s="14">
        <f>VLOOKUP(CAP[[#This Row],[Spe]],SpeedFactor[#All], 2, TRUE)</f>
        <v>763</v>
      </c>
      <c r="R87" s="14">
        <f>CAP[[#This Row],[Stat HP]]*CAP[[#This Row],[Stat Def]]</f>
        <v>48306</v>
      </c>
      <c r="S87" s="14">
        <f>CAP[[#This Row],[Stat HP]]*CAP[[#This Row],[Stat SpD]]</f>
        <v>51216</v>
      </c>
      <c r="T87" s="1">
        <f>CAP[[#This Row],[Stat Atk]]*(CAP[[#This Row],[Stat Atk]]*CAP[[#This Row],[Stat Spe]]+415)/(CAP[[#This Row],[Stat Atk]]*(1-CAP[[#This Row],[Stat Spe]])+415)</f>
        <v>346.43386076484143</v>
      </c>
      <c r="U87" s="4">
        <f>CAP[[#This Row],[Stat SpA]]*(CAP[[#This Row],[Stat SpA]]*CAP[[#This Row],[Stat Spe]]+415)/(CAP[[#This Row],[Stat SpA]]*(1-CAP[[#This Row],[Stat Spe]])+415)</f>
        <v>204.9034578430869</v>
      </c>
      <c r="V87" s="9">
        <f>(CAP[[#This Row],[RPT]] /432.441508090053)-22.8128616201416</f>
        <v>88.892418969945979</v>
      </c>
      <c r="W87" s="10">
        <f>(CAP[[#This Row],[RST]] /426.30249118172)-22.4239890939417</f>
        <v>97.716054793740284</v>
      </c>
      <c r="X87" s="10">
        <f>(CAP[[#This Row],[RPS]]/2.21869141127892)+2.84495101810441</f>
        <v>158.98827901933672</v>
      </c>
      <c r="Y87" s="11">
        <f>(CAP[[#This Row],[RSS]]/2.30100441716059)+11.4244456864885</f>
        <v>100.47401739306312</v>
      </c>
      <c r="Z87" s="5">
        <f>(MAX(CAP[[#This Row],[PS]],CAP[[#This Row],[SS]]) - MAX(CAP[[#This Row],[PT]],CAP[[#This Row],[ST]])) / 6.165301 - 0.490854</f>
        <v>9.4473832775629969</v>
      </c>
      <c r="AA87" s="1">
        <f>(CAP[[#This Row],[PT]] - CAP[[#This Row],[ST]] + CAP[[#This Row],[PS]] - CAP[[#This Row],[SS]]) / 6.8267</f>
        <v>7.2788647227033962</v>
      </c>
      <c r="AB87" s="3">
        <f xml:space="preserve"> (CAP[[#This Row],[PT]] + CAP[[#This Row],[ST]] + CAP[[#This Row],[PS]] + CAP[[#This Row],[SS]]) /1.54532785176361-58.8447490566471</f>
        <v>229.81294236268928</v>
      </c>
      <c r="AC87"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Above Average</v>
      </c>
      <c r="AD87" s="14">
        <f>IF(CAP[[#This Row],[Overall Rating]]&lt;=200,80,IF(CAP[[#This Row],[Overall Rating]]&lt;250,75,IF(CAP[[#This Row],[Overall Rating]]&lt;300,70,IF(CAP[[#This Row],[Overall Rating]]&lt;350,65,IF(CAP[[#This Row],[Overall Rating]]&lt;400,60,IF(CAP[[#This Row],[Overall Rating]]&lt;450,55,50))))))</f>
        <v>75</v>
      </c>
    </row>
    <row r="88" spans="1:30" x14ac:dyDescent="0.3">
      <c r="A88">
        <v>51</v>
      </c>
      <c r="B88" s="14" t="s">
        <v>260</v>
      </c>
      <c r="C88" s="14" t="s">
        <v>187</v>
      </c>
      <c r="D88" s="14" t="s">
        <v>50</v>
      </c>
      <c r="E88">
        <v>55</v>
      </c>
      <c r="F88">
        <v>70</v>
      </c>
      <c r="G88">
        <v>45</v>
      </c>
      <c r="H88">
        <v>40</v>
      </c>
      <c r="I88">
        <v>50</v>
      </c>
      <c r="J88">
        <v>80</v>
      </c>
      <c r="K88" s="14">
        <f>CAP[[#This Row],[HP]]*2+141</f>
        <v>251</v>
      </c>
      <c r="L88" s="14">
        <f>CAP[[#This Row],[Atk]]*2+36</f>
        <v>176</v>
      </c>
      <c r="M88">
        <f>CAP[[#This Row],[Def]]*2+36</f>
        <v>126</v>
      </c>
      <c r="N88">
        <f>CAP[[#This Row],[SpA]]*2+36</f>
        <v>116</v>
      </c>
      <c r="O88" s="14">
        <f>CAP[[#This Row],[SpD]]*2+36</f>
        <v>136</v>
      </c>
      <c r="P88" s="14">
        <f>CAP[[#This Row],[SPD Factor]]/822</f>
        <v>0.66423357664233573</v>
      </c>
      <c r="Q88" s="14">
        <f>VLOOKUP(CAP[[#This Row],[Spe]],SpeedFactor[#All], 2, TRUE)</f>
        <v>546</v>
      </c>
      <c r="R88" s="14">
        <f>CAP[[#This Row],[Stat HP]]*CAP[[#This Row],[Stat Def]]</f>
        <v>31626</v>
      </c>
      <c r="S88" s="14">
        <f>CAP[[#This Row],[Stat HP]]*CAP[[#This Row],[Stat SpD]]</f>
        <v>34136</v>
      </c>
      <c r="T88" s="1">
        <f>CAP[[#This Row],[Stat Atk]]*(CAP[[#This Row],[Stat Atk]]*CAP[[#This Row],[Stat Spe]]+415)/(CAP[[#This Row],[Stat Atk]]*(1-CAP[[#This Row],[Stat Spe]])+415)</f>
        <v>197.4611014457052</v>
      </c>
      <c r="U88" s="4">
        <f>CAP[[#This Row],[Stat SpA]]*(CAP[[#This Row],[Stat SpA]]*CAP[[#This Row],[Stat Spe]]+415)/(CAP[[#This Row],[Stat SpA]]*(1-CAP[[#This Row],[Stat Spe]])+415)</f>
        <v>125.73645704362369</v>
      </c>
      <c r="V88" s="9">
        <f>(CAP[[#This Row],[RPT]] /432.441508090053)-22.8128616201416</f>
        <v>50.320728491689437</v>
      </c>
      <c r="W88" s="10">
        <f>(CAP[[#This Row],[RST]] /426.30249118172)-22.4239890939417</f>
        <v>57.650607480369302</v>
      </c>
      <c r="X88" s="10">
        <f>(CAP[[#This Row],[RPS]]/2.21869141127892)+2.84495101810441</f>
        <v>91.843853903784549</v>
      </c>
      <c r="Y88" s="11">
        <f>(CAP[[#This Row],[RSS]]/2.30100441716059)+11.4244456864885</f>
        <v>66.068607212601904</v>
      </c>
      <c r="Z88" s="5">
        <f>(MAX(CAP[[#This Row],[PS]],CAP[[#This Row],[SS]]) - MAX(CAP[[#This Row],[PT]],CAP[[#This Row],[ST]])) / 6.165301 - 0.490854</f>
        <v>5.0552250030227635</v>
      </c>
      <c r="AA88" s="1">
        <f>(CAP[[#This Row],[PT]] - CAP[[#This Row],[ST]] + CAP[[#This Row],[PS]] - CAP[[#This Row],[SS]]) / 6.8267</f>
        <v>2.701944966455649</v>
      </c>
      <c r="AB88" s="3">
        <f xml:space="preserve"> (CAP[[#This Row],[PT]] + CAP[[#This Row],[ST]] + CAP[[#This Row],[PS]] + CAP[[#This Row],[SS]]) /1.54532785176361-58.8447490566471</f>
        <v>113.21181278232093</v>
      </c>
      <c r="AC88"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Poor</v>
      </c>
      <c r="AD88" s="14">
        <f>IF(CAP[[#This Row],[Overall Rating]]&lt;=200,80,IF(CAP[[#This Row],[Overall Rating]]&lt;250,75,IF(CAP[[#This Row],[Overall Rating]]&lt;300,70,IF(CAP[[#This Row],[Overall Rating]]&lt;350,65,IF(CAP[[#This Row],[Overall Rating]]&lt;400,60,IF(CAP[[#This Row],[Overall Rating]]&lt;450,55,50))))))</f>
        <v>80</v>
      </c>
    </row>
    <row r="89" spans="1:30" x14ac:dyDescent="0.3">
      <c r="A89">
        <v>50</v>
      </c>
      <c r="B89" s="14" t="s">
        <v>254</v>
      </c>
      <c r="C89" s="14" t="s">
        <v>150</v>
      </c>
      <c r="D89" s="14" t="s">
        <v>44</v>
      </c>
      <c r="E89">
        <v>80</v>
      </c>
      <c r="F89">
        <v>100</v>
      </c>
      <c r="G89">
        <v>130</v>
      </c>
      <c r="H89">
        <v>60</v>
      </c>
      <c r="I89">
        <v>130</v>
      </c>
      <c r="J89">
        <v>50</v>
      </c>
      <c r="K89" s="14">
        <f>CAP[[#This Row],[HP]]*2+141</f>
        <v>301</v>
      </c>
      <c r="L89" s="14">
        <f>CAP[[#This Row],[Atk]]*2+36</f>
        <v>236</v>
      </c>
      <c r="M89">
        <f>CAP[[#This Row],[Def]]*2+36</f>
        <v>296</v>
      </c>
      <c r="N89">
        <f>CAP[[#This Row],[SpA]]*2+36</f>
        <v>156</v>
      </c>
      <c r="O89" s="14">
        <f>CAP[[#This Row],[SpD]]*2+36</f>
        <v>296</v>
      </c>
      <c r="P89" s="14">
        <f>CAP[[#This Row],[SPD Factor]]/822</f>
        <v>0.31995133819951338</v>
      </c>
      <c r="Q89" s="14">
        <f>VLOOKUP(CAP[[#This Row],[Spe]],SpeedFactor[#All], 2, TRUE)</f>
        <v>263</v>
      </c>
      <c r="R89" s="14">
        <f>CAP[[#This Row],[Stat HP]]*CAP[[#This Row],[Stat Def]]</f>
        <v>89096</v>
      </c>
      <c r="S89" s="14">
        <f>CAP[[#This Row],[Stat HP]]*CAP[[#This Row],[Stat SpD]]</f>
        <v>89096</v>
      </c>
      <c r="T89" s="1">
        <f>CAP[[#This Row],[Stat Atk]]*(CAP[[#This Row],[Stat Atk]]*CAP[[#This Row],[Stat Spe]]+415)/(CAP[[#This Row],[Stat Atk]]*(1-CAP[[#This Row],[Stat Spe]])+415)</f>
        <v>201.14982221902784</v>
      </c>
      <c r="U89" s="4">
        <f>CAP[[#This Row],[Stat SpA]]*(CAP[[#This Row],[Stat SpA]]*CAP[[#This Row],[Stat Spe]]+415)/(CAP[[#This Row],[Stat SpA]]*(1-CAP[[#This Row],[Stat Spe]])+415)</f>
        <v>139.18261917102075</v>
      </c>
      <c r="V89" s="9">
        <f>(CAP[[#This Row],[RPT]] /432.441508090053)-22.8128616201416</f>
        <v>183.2173143301429</v>
      </c>
      <c r="W89" s="10">
        <f>(CAP[[#This Row],[RST]] /426.30249118172)-22.4239890939417</f>
        <v>186.57314754728202</v>
      </c>
      <c r="X89" s="10">
        <f>(CAP[[#This Row],[RPS]]/2.21869141127892)+2.84495101810441</f>
        <v>93.506419844487553</v>
      </c>
      <c r="Y89" s="11">
        <f>(CAP[[#This Row],[RSS]]/2.30100441716059)+11.4244456864885</f>
        <v>71.91221273857019</v>
      </c>
      <c r="Z89" s="5">
        <f>(MAX(CAP[[#This Row],[PS]],CAP[[#This Row],[SS]]) - MAX(CAP[[#This Row],[PT]],CAP[[#This Row],[ST]])) / 6.165301 - 0.490854</f>
        <v>-15.586098774390491</v>
      </c>
      <c r="AA89" s="1">
        <f>(CAP[[#This Row],[PT]] - CAP[[#This Row],[ST]] + CAP[[#This Row],[PS]] - CAP[[#This Row],[SS]]) / 6.8267</f>
        <v>2.6716237550761339</v>
      </c>
      <c r="AB89" s="3">
        <f xml:space="preserve"> (CAP[[#This Row],[PT]] + CAP[[#This Row],[ST]] + CAP[[#This Row],[PS]] + CAP[[#This Row],[SS]]) /1.54532785176361-58.8447490566471</f>
        <v>287.49541031450104</v>
      </c>
      <c r="AC89"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Good</v>
      </c>
      <c r="AD89" s="14">
        <f>IF(CAP[[#This Row],[Overall Rating]]&lt;=200,80,IF(CAP[[#This Row],[Overall Rating]]&lt;250,75,IF(CAP[[#This Row],[Overall Rating]]&lt;300,70,IF(CAP[[#This Row],[Overall Rating]]&lt;350,65,IF(CAP[[#This Row],[Overall Rating]]&lt;400,60,IF(CAP[[#This Row],[Overall Rating]]&lt;450,55,50))))))</f>
        <v>70</v>
      </c>
    </row>
    <row r="90" spans="1:30" x14ac:dyDescent="0.3">
      <c r="A90">
        <v>49</v>
      </c>
      <c r="B90" s="14" t="s">
        <v>252</v>
      </c>
      <c r="C90" s="14" t="s">
        <v>84</v>
      </c>
      <c r="D90" s="14" t="s">
        <v>168</v>
      </c>
      <c r="E90">
        <v>90</v>
      </c>
      <c r="F90">
        <v>80</v>
      </c>
      <c r="G90">
        <v>100</v>
      </c>
      <c r="H90">
        <v>120</v>
      </c>
      <c r="I90">
        <v>110</v>
      </c>
      <c r="J90">
        <v>80</v>
      </c>
      <c r="K90" s="14">
        <f>CAP[[#This Row],[HP]]*2+141</f>
        <v>321</v>
      </c>
      <c r="L90" s="14">
        <f>CAP[[#This Row],[Atk]]*2+36</f>
        <v>196</v>
      </c>
      <c r="M90">
        <f>CAP[[#This Row],[Def]]*2+36</f>
        <v>236</v>
      </c>
      <c r="N90">
        <f>CAP[[#This Row],[SpA]]*2+36</f>
        <v>276</v>
      </c>
      <c r="O90" s="14">
        <f>CAP[[#This Row],[SpD]]*2+36</f>
        <v>256</v>
      </c>
      <c r="P90" s="14">
        <f>CAP[[#This Row],[SPD Factor]]/822</f>
        <v>0.66423357664233573</v>
      </c>
      <c r="Q90" s="14">
        <f>VLOOKUP(CAP[[#This Row],[Spe]],SpeedFactor[#All], 2, TRUE)</f>
        <v>546</v>
      </c>
      <c r="R90" s="14">
        <f>CAP[[#This Row],[Stat HP]]*CAP[[#This Row],[Stat Def]]</f>
        <v>75756</v>
      </c>
      <c r="S90" s="14">
        <f>CAP[[#This Row],[Stat HP]]*CAP[[#This Row],[Stat SpD]]</f>
        <v>82176</v>
      </c>
      <c r="T90" s="1">
        <f>CAP[[#This Row],[Stat Atk]]*(CAP[[#This Row],[Stat Atk]]*CAP[[#This Row],[Stat Spe]]+415)/(CAP[[#This Row],[Stat Atk]]*(1-CAP[[#This Row],[Stat Spe]])+415)</f>
        <v>222.24402240743271</v>
      </c>
      <c r="U90" s="4">
        <f>CAP[[#This Row],[Stat SpA]]*(CAP[[#This Row],[Stat SpA]]*CAP[[#This Row],[Stat Spe]]+415)/(CAP[[#This Row],[Stat SpA]]*(1-CAP[[#This Row],[Stat Spe]])+415)</f>
        <v>325.28642291268284</v>
      </c>
      <c r="V90" s="9">
        <f>(CAP[[#This Row],[RPT]] /432.441508090053)-22.8128616201416</f>
        <v>152.36921175340774</v>
      </c>
      <c r="W90" s="10">
        <f>(CAP[[#This Row],[RST]] /426.30249118172)-22.4239890939417</f>
        <v>170.34054242968676</v>
      </c>
      <c r="X90" s="10">
        <f>(CAP[[#This Row],[RPS]]/2.21869141127892)+2.84495101810441</f>
        <v>103.01391605652073</v>
      </c>
      <c r="Y90" s="11">
        <f>(CAP[[#This Row],[RSS]]/2.30100441716059)+11.4244456864885</f>
        <v>152.79158974181462</v>
      </c>
      <c r="Z90" s="5">
        <f>(MAX(CAP[[#This Row],[PS]],CAP[[#This Row],[SS]]) - MAX(CAP[[#This Row],[PT]],CAP[[#This Row],[ST]])) / 6.165301 - 0.490854</f>
        <v>-3.3372604751862309</v>
      </c>
      <c r="AA90" s="1">
        <f>(CAP[[#This Row],[PT]] - CAP[[#This Row],[ST]] + CAP[[#This Row],[PS]] - CAP[[#This Row],[SS]]) / 6.8267</f>
        <v>-9.9241221031498252</v>
      </c>
      <c r="AB90" s="3">
        <f xml:space="preserve"> (CAP[[#This Row],[PT]] + CAP[[#This Row],[ST]] + CAP[[#This Row],[PS]] + CAP[[#This Row],[SS]]) /1.54532785176361-58.8447490566471</f>
        <v>315.51934418168906</v>
      </c>
      <c r="AC90"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Very Good</v>
      </c>
      <c r="AD90" s="14">
        <f>IF(CAP[[#This Row],[Overall Rating]]&lt;=200,80,IF(CAP[[#This Row],[Overall Rating]]&lt;250,75,IF(CAP[[#This Row],[Overall Rating]]&lt;300,70,IF(CAP[[#This Row],[Overall Rating]]&lt;350,65,IF(CAP[[#This Row],[Overall Rating]]&lt;400,60,IF(CAP[[#This Row],[Overall Rating]]&lt;450,55,50))))))</f>
        <v>65</v>
      </c>
    </row>
    <row r="91" spans="1:30" x14ac:dyDescent="0.3">
      <c r="A91">
        <v>48</v>
      </c>
      <c r="B91" s="14" t="s">
        <v>245</v>
      </c>
      <c r="C91" s="14" t="s">
        <v>84</v>
      </c>
      <c r="D91" s="14" t="s">
        <v>168</v>
      </c>
      <c r="E91">
        <v>65</v>
      </c>
      <c r="F91">
        <v>60</v>
      </c>
      <c r="G91">
        <v>75</v>
      </c>
      <c r="H91">
        <v>90</v>
      </c>
      <c r="I91">
        <v>80</v>
      </c>
      <c r="J91">
        <v>60</v>
      </c>
      <c r="K91" s="14">
        <f>CAP[[#This Row],[HP]]*2+141</f>
        <v>271</v>
      </c>
      <c r="L91" s="14">
        <f>CAP[[#This Row],[Atk]]*2+36</f>
        <v>156</v>
      </c>
      <c r="M91">
        <f>CAP[[#This Row],[Def]]*2+36</f>
        <v>186</v>
      </c>
      <c r="N91">
        <f>CAP[[#This Row],[SpA]]*2+36</f>
        <v>216</v>
      </c>
      <c r="O91" s="14">
        <f>CAP[[#This Row],[SpD]]*2+36</f>
        <v>196</v>
      </c>
      <c r="P91" s="14">
        <f>CAP[[#This Row],[SPD Factor]]/822</f>
        <v>0.44525547445255476</v>
      </c>
      <c r="Q91" s="14">
        <f>VLOOKUP(CAP[[#This Row],[Spe]],SpeedFactor[#All], 2, TRUE)</f>
        <v>366</v>
      </c>
      <c r="R91" s="14">
        <f>CAP[[#This Row],[Stat HP]]*CAP[[#This Row],[Stat Def]]</f>
        <v>50406</v>
      </c>
      <c r="S91" s="14">
        <f>CAP[[#This Row],[Stat HP]]*CAP[[#This Row],[Stat SpD]]</f>
        <v>53116</v>
      </c>
      <c r="T91" s="1">
        <f>CAP[[#This Row],[Stat Atk]]*(CAP[[#This Row],[Stat Atk]]*CAP[[#This Row],[Stat Spe]]+415)/(CAP[[#This Row],[Stat Atk]]*(1-CAP[[#This Row],[Stat Spe]])+415)</f>
        <v>150.68731353058462</v>
      </c>
      <c r="U91" s="4">
        <f>CAP[[#This Row],[Stat SpA]]*(CAP[[#This Row],[Stat SpA]]*CAP[[#This Row],[Stat Spe]]+415)/(CAP[[#This Row],[Stat SpA]]*(1-CAP[[#This Row],[Stat Spe]])+415)</f>
        <v>206.44860859002878</v>
      </c>
      <c r="V91" s="9">
        <f>(CAP[[#This Row],[RPT]] /432.441508090053)-22.8128616201416</f>
        <v>93.748567051740878</v>
      </c>
      <c r="W91" s="10">
        <f>(CAP[[#This Row],[RST]] /426.30249118172)-22.4239890939417</f>
        <v>102.17298394452511</v>
      </c>
      <c r="X91" s="10">
        <f>(CAP[[#This Row],[RPS]]/2.21869141127892)+2.84495101810441</f>
        <v>70.762153367449585</v>
      </c>
      <c r="Y91" s="11">
        <f>(CAP[[#This Row],[RSS]]/2.30100441716059)+11.4244456864885</f>
        <v>101.14552881451819</v>
      </c>
      <c r="Z91" s="5">
        <f>(MAX(CAP[[#This Row],[PS]],CAP[[#This Row],[SS]]) - MAX(CAP[[#This Row],[PT]],CAP[[#This Row],[ST]])) / 6.165301 - 0.490854</f>
        <v>-0.65750525190269338</v>
      </c>
      <c r="AA91" s="1">
        <f>(CAP[[#This Row],[PT]] - CAP[[#This Row],[ST]] + CAP[[#This Row],[PS]] - CAP[[#This Row],[SS]]) / 6.8267</f>
        <v>-5.6847074486725413</v>
      </c>
      <c r="AB91" s="3">
        <f xml:space="preserve"> (CAP[[#This Row],[PT]] + CAP[[#This Row],[ST]] + CAP[[#This Row],[PS]] + CAP[[#This Row],[SS]]) /1.54532785176361-58.8447490566471</f>
        <v>179.18191483765048</v>
      </c>
      <c r="AC91"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Below Average</v>
      </c>
      <c r="AD91" s="14">
        <f>IF(CAP[[#This Row],[Overall Rating]]&lt;=200,80,IF(CAP[[#This Row],[Overall Rating]]&lt;250,75,IF(CAP[[#This Row],[Overall Rating]]&lt;300,70,IF(CAP[[#This Row],[Overall Rating]]&lt;350,65,IF(CAP[[#This Row],[Overall Rating]]&lt;400,60,IF(CAP[[#This Row],[Overall Rating]]&lt;450,55,50))))))</f>
        <v>80</v>
      </c>
    </row>
    <row r="92" spans="1:30" x14ac:dyDescent="0.3">
      <c r="A92">
        <v>47</v>
      </c>
      <c r="B92" s="14" t="s">
        <v>243</v>
      </c>
      <c r="C92" s="14" t="s">
        <v>59</v>
      </c>
      <c r="D92" s="14" t="s">
        <v>28</v>
      </c>
      <c r="E92">
        <v>85</v>
      </c>
      <c r="F92">
        <v>110</v>
      </c>
      <c r="G92">
        <v>80</v>
      </c>
      <c r="H92">
        <v>95</v>
      </c>
      <c r="I92">
        <v>85</v>
      </c>
      <c r="J92">
        <v>125</v>
      </c>
      <c r="K92" s="14">
        <f>CAP[[#This Row],[HP]]*2+141</f>
        <v>311</v>
      </c>
      <c r="L92" s="14">
        <f>CAP[[#This Row],[Atk]]*2+36</f>
        <v>256</v>
      </c>
      <c r="M92">
        <f>CAP[[#This Row],[Def]]*2+36</f>
        <v>196</v>
      </c>
      <c r="N92">
        <f>CAP[[#This Row],[SpA]]*2+36</f>
        <v>226</v>
      </c>
      <c r="O92" s="14">
        <f>CAP[[#This Row],[SpD]]*2+36</f>
        <v>206</v>
      </c>
      <c r="P92" s="14">
        <f>CAP[[#This Row],[SPD Factor]]/822</f>
        <v>0.97201946472019463</v>
      </c>
      <c r="Q92" s="14">
        <f>VLOOKUP(CAP[[#This Row],[Spe]],SpeedFactor[#All], 2, TRUE)</f>
        <v>799</v>
      </c>
      <c r="R92" s="14">
        <f>CAP[[#This Row],[Stat HP]]*CAP[[#This Row],[Stat Def]]</f>
        <v>60956</v>
      </c>
      <c r="S92" s="14">
        <f>CAP[[#This Row],[Stat HP]]*CAP[[#This Row],[Stat SpD]]</f>
        <v>64066</v>
      </c>
      <c r="T92" s="1">
        <f>CAP[[#This Row],[Stat Atk]]*(CAP[[#This Row],[Stat Atk]]*CAP[[#This Row],[Stat Spe]]+415)/(CAP[[#This Row],[Stat Atk]]*(1-CAP[[#This Row],[Stat Spe]])+415)</f>
        <v>402.55129128748371</v>
      </c>
      <c r="U92" s="4">
        <f>CAP[[#This Row],[Stat SpA]]*(CAP[[#This Row],[Stat SpA]]*CAP[[#This Row],[Stat Spe]]+415)/(CAP[[#This Row],[Stat SpA]]*(1-CAP[[#This Row],[Stat Spe]])+415)</f>
        <v>340.44346399944561</v>
      </c>
      <c r="V92" s="9">
        <f>(CAP[[#This Row],[RPT]] /432.441508090053)-22.8128616201416</f>
        <v>118.14493003409137</v>
      </c>
      <c r="W92" s="10">
        <f>(CAP[[#This Row],[RST]] /426.30249118172)-22.4239890939417</f>
        <v>127.85897036615346</v>
      </c>
      <c r="X92" s="10">
        <f>(CAP[[#This Row],[RPS]]/2.21869141127892)+2.84495101810441</f>
        <v>184.28130996422803</v>
      </c>
      <c r="Y92" s="11">
        <f>(CAP[[#This Row],[RSS]]/2.30100441716059)+11.4244456864885</f>
        <v>159.37873098053782</v>
      </c>
      <c r="Z92" s="5">
        <f>(MAX(CAP[[#This Row],[PS]],CAP[[#This Row],[SS]]) - MAX(CAP[[#This Row],[PT]],CAP[[#This Row],[ST]])) / 6.165301 - 0.490854</f>
        <v>8.6607412908178478</v>
      </c>
      <c r="AA92" s="1">
        <f>(CAP[[#This Row],[PT]] - CAP[[#This Row],[ST]] + CAP[[#This Row],[PS]] - CAP[[#This Row],[SS]]) / 6.8267</f>
        <v>2.2248727279107237</v>
      </c>
      <c r="AB92" s="3">
        <f xml:space="preserve"> (CAP[[#This Row],[PT]] + CAP[[#This Row],[ST]] + CAP[[#This Row],[PS]] + CAP[[#This Row],[SS]]) /1.54532785176361-58.8447490566471</f>
        <v>322.73378825636058</v>
      </c>
      <c r="AC92"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Very Good</v>
      </c>
      <c r="AD92" s="14">
        <f>IF(CAP[[#This Row],[Overall Rating]]&lt;=200,80,IF(CAP[[#This Row],[Overall Rating]]&lt;250,75,IF(CAP[[#This Row],[Overall Rating]]&lt;300,70,IF(CAP[[#This Row],[Overall Rating]]&lt;350,65,IF(CAP[[#This Row],[Overall Rating]]&lt;400,60,IF(CAP[[#This Row],[Overall Rating]]&lt;450,55,50))))))</f>
        <v>65</v>
      </c>
    </row>
    <row r="93" spans="1:30" x14ac:dyDescent="0.3">
      <c r="A93">
        <v>46</v>
      </c>
      <c r="B93" s="14" t="s">
        <v>238</v>
      </c>
      <c r="C93" s="14" t="s">
        <v>59</v>
      </c>
      <c r="D93" s="14" t="s">
        <v>28</v>
      </c>
      <c r="E93">
        <v>60</v>
      </c>
      <c r="F93">
        <v>85</v>
      </c>
      <c r="G93">
        <v>55</v>
      </c>
      <c r="H93">
        <v>75</v>
      </c>
      <c r="I93">
        <v>60</v>
      </c>
      <c r="J93">
        <v>100</v>
      </c>
      <c r="K93" s="14">
        <f>CAP[[#This Row],[HP]]*2+141</f>
        <v>261</v>
      </c>
      <c r="L93" s="14">
        <f>CAP[[#This Row],[Atk]]*2+36</f>
        <v>206</v>
      </c>
      <c r="M93">
        <f>CAP[[#This Row],[Def]]*2+36</f>
        <v>146</v>
      </c>
      <c r="N93">
        <f>CAP[[#This Row],[SpA]]*2+36</f>
        <v>186</v>
      </c>
      <c r="O93" s="14">
        <f>CAP[[#This Row],[SpD]]*2+36</f>
        <v>156</v>
      </c>
      <c r="P93" s="14">
        <f>CAP[[#This Row],[SPD Factor]]/822</f>
        <v>0.86496350364963503</v>
      </c>
      <c r="Q93" s="14">
        <f>VLOOKUP(CAP[[#This Row],[Spe]],SpeedFactor[#All], 2, TRUE)</f>
        <v>711</v>
      </c>
      <c r="R93" s="14">
        <f>CAP[[#This Row],[Stat HP]]*CAP[[#This Row],[Stat Def]]</f>
        <v>38106</v>
      </c>
      <c r="S93" s="14">
        <f>CAP[[#This Row],[Stat HP]]*CAP[[#This Row],[Stat SpD]]</f>
        <v>40716</v>
      </c>
      <c r="T93" s="1">
        <f>CAP[[#This Row],[Stat Atk]]*(CAP[[#This Row],[Stat Atk]]*CAP[[#This Row],[Stat Spe]]+415)/(CAP[[#This Row],[Stat Atk]]*(1-CAP[[#This Row],[Stat Spe]])+415)</f>
        <v>275.95021923317836</v>
      </c>
      <c r="U93" s="4">
        <f>CAP[[#This Row],[Stat SpA]]*(CAP[[#This Row],[Stat SpA]]*CAP[[#This Row],[Stat Spe]]+415)/(CAP[[#This Row],[Stat SpA]]*(1-CAP[[#This Row],[Stat Spe]])+415)</f>
        <v>243.37694042722569</v>
      </c>
      <c r="V93" s="9">
        <f>(CAP[[#This Row],[RPT]] /432.441508090053)-22.8128616201416</f>
        <v>65.305414001227945</v>
      </c>
      <c r="W93" s="10">
        <f>(CAP[[#This Row],[RST]] /426.30249118172)-22.4239890939417</f>
        <v>73.085656855192553</v>
      </c>
      <c r="X93" s="10">
        <f>(CAP[[#This Row],[RPS]]/2.21869141127892)+2.84495101810441</f>
        <v>127.220165088146</v>
      </c>
      <c r="Y93" s="11">
        <f>(CAP[[#This Row],[RSS]]/2.30100441716059)+11.4244456864885</f>
        <v>117.19431670983478</v>
      </c>
      <c r="Z93" s="5">
        <f>(MAX(CAP[[#This Row],[PS]],CAP[[#This Row],[SS]]) - MAX(CAP[[#This Row],[PT]],CAP[[#This Row],[ST]])) / 6.165301 - 0.490854</f>
        <v>8.2896594303991709</v>
      </c>
      <c r="AA93" s="1">
        <f>(CAP[[#This Row],[PT]] - CAP[[#This Row],[ST]] + CAP[[#This Row],[PS]] - CAP[[#This Row],[SS]]) / 6.8267</f>
        <v>0.32894451555606885</v>
      </c>
      <c r="AB93" s="3">
        <f xml:space="preserve"> (CAP[[#This Row],[PT]] + CAP[[#This Row],[ST]] + CAP[[#This Row],[PS]] + CAP[[#This Row],[SS]]) /1.54532785176361-58.8447490566471</f>
        <v>188.87326897915239</v>
      </c>
      <c r="AC93"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Below Average</v>
      </c>
      <c r="AD93" s="14">
        <f>IF(CAP[[#This Row],[Overall Rating]]&lt;=200,80,IF(CAP[[#This Row],[Overall Rating]]&lt;250,75,IF(CAP[[#This Row],[Overall Rating]]&lt;300,70,IF(CAP[[#This Row],[Overall Rating]]&lt;350,65,IF(CAP[[#This Row],[Overall Rating]]&lt;400,60,IF(CAP[[#This Row],[Overall Rating]]&lt;450,55,50))))))</f>
        <v>80</v>
      </c>
    </row>
    <row r="94" spans="1:30" x14ac:dyDescent="0.3">
      <c r="A94">
        <v>45</v>
      </c>
      <c r="B94" s="14" t="s">
        <v>230</v>
      </c>
      <c r="C94" s="14" t="s">
        <v>51</v>
      </c>
      <c r="D94" s="14" t="s">
        <v>231</v>
      </c>
      <c r="E94">
        <v>70</v>
      </c>
      <c r="F94">
        <v>110</v>
      </c>
      <c r="G94">
        <v>65</v>
      </c>
      <c r="H94">
        <v>90</v>
      </c>
      <c r="I94">
        <v>70</v>
      </c>
      <c r="J94">
        <v>115</v>
      </c>
      <c r="K94" s="14">
        <f>CAP[[#This Row],[HP]]*2+141</f>
        <v>281</v>
      </c>
      <c r="L94" s="14">
        <f>CAP[[#This Row],[Atk]]*2+36</f>
        <v>256</v>
      </c>
      <c r="M94">
        <f>CAP[[#This Row],[Def]]*2+36</f>
        <v>166</v>
      </c>
      <c r="N94">
        <f>CAP[[#This Row],[SpA]]*2+36</f>
        <v>216</v>
      </c>
      <c r="O94" s="14">
        <f>CAP[[#This Row],[SpD]]*2+36</f>
        <v>176</v>
      </c>
      <c r="P94" s="14">
        <f>CAP[[#This Row],[SPD Factor]]/822</f>
        <v>0.95133819951338194</v>
      </c>
      <c r="Q94" s="14">
        <f>VLOOKUP(CAP[[#This Row],[Spe]],SpeedFactor[#All], 2, TRUE)</f>
        <v>782</v>
      </c>
      <c r="R94" s="14">
        <f>CAP[[#This Row],[Stat HP]]*CAP[[#This Row],[Stat Def]]</f>
        <v>46646</v>
      </c>
      <c r="S94" s="14">
        <f>CAP[[#This Row],[Stat HP]]*CAP[[#This Row],[Stat SpD]]</f>
        <v>49456</v>
      </c>
      <c r="T94" s="1">
        <f>CAP[[#This Row],[Stat Atk]]*(CAP[[#This Row],[Stat Atk]]*CAP[[#This Row],[Stat Spe]]+415)/(CAP[[#This Row],[Stat Atk]]*(1-CAP[[#This Row],[Stat Spe]])+415)</f>
        <v>394.39460397871193</v>
      </c>
      <c r="U94" s="4">
        <f>CAP[[#This Row],[Stat SpA]]*(CAP[[#This Row],[Stat SpA]]*CAP[[#This Row],[Stat Spe]]+415)/(CAP[[#This Row],[Stat SpA]]*(1-CAP[[#This Row],[Stat Spe]])+415)</f>
        <v>314.97576121451243</v>
      </c>
      <c r="V94" s="9">
        <f>(CAP[[#This Row],[RPT]] /432.441508090053)-22.8128616201416</f>
        <v>85.053749533860497</v>
      </c>
      <c r="W94" s="10">
        <f>(CAP[[#This Row],[RST]] /426.30249118172)-22.4239890939417</f>
        <v>93.587530948802765</v>
      </c>
      <c r="X94" s="10">
        <f>(CAP[[#This Row],[RPS]]/2.21869141127892)+2.84495101810441</f>
        <v>180.60495945089997</v>
      </c>
      <c r="Y94" s="11">
        <f>(CAP[[#This Row],[RSS]]/2.30100441716059)+11.4244456864885</f>
        <v>148.31065019155784</v>
      </c>
      <c r="Z94" s="5">
        <f>(MAX(CAP[[#This Row],[PS]],CAP[[#This Row],[SS]]) - MAX(CAP[[#This Row],[PT]],CAP[[#This Row],[ST]])) / 6.165301 - 0.490854</f>
        <v>13.623206043799515</v>
      </c>
      <c r="AA94" s="1">
        <f>(CAP[[#This Row],[PT]] - CAP[[#This Row],[ST]] + CAP[[#This Row],[PS]] - CAP[[#This Row],[SS]]) / 6.8267</f>
        <v>3.4805290761861309</v>
      </c>
      <c r="AB94" s="3">
        <f xml:space="preserve"> (CAP[[#This Row],[PT]] + CAP[[#This Row],[ST]] + CAP[[#This Row],[PS]] + CAP[[#This Row],[SS]]) /1.54532785176361-58.8447490566471</f>
        <v>269.60134058437649</v>
      </c>
      <c r="AC94"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Good</v>
      </c>
      <c r="AD94" s="14">
        <f>IF(CAP[[#This Row],[Overall Rating]]&lt;=200,80,IF(CAP[[#This Row],[Overall Rating]]&lt;250,75,IF(CAP[[#This Row],[Overall Rating]]&lt;300,70,IF(CAP[[#This Row],[Overall Rating]]&lt;350,65,IF(CAP[[#This Row],[Overall Rating]]&lt;400,60,IF(CAP[[#This Row],[Overall Rating]]&lt;450,55,50))))))</f>
        <v>70</v>
      </c>
    </row>
    <row r="95" spans="1:30" x14ac:dyDescent="0.3">
      <c r="A95">
        <v>44</v>
      </c>
      <c r="B95" s="14" t="s">
        <v>223</v>
      </c>
      <c r="C95" s="14" t="s">
        <v>59</v>
      </c>
      <c r="D95" s="14" t="s">
        <v>150</v>
      </c>
      <c r="E95">
        <v>60</v>
      </c>
      <c r="F95">
        <v>65</v>
      </c>
      <c r="G95">
        <v>60</v>
      </c>
      <c r="H95">
        <v>95</v>
      </c>
      <c r="I95">
        <v>90</v>
      </c>
      <c r="J95">
        <v>85</v>
      </c>
      <c r="K95" s="14">
        <f>CAP[[#This Row],[HP]]*2+141</f>
        <v>261</v>
      </c>
      <c r="L95" s="14">
        <f>CAP[[#This Row],[Atk]]*2+36</f>
        <v>166</v>
      </c>
      <c r="M95">
        <f>CAP[[#This Row],[Def]]*2+36</f>
        <v>156</v>
      </c>
      <c r="N95">
        <f>CAP[[#This Row],[SpA]]*2+36</f>
        <v>226</v>
      </c>
      <c r="O95" s="14">
        <f>CAP[[#This Row],[SpD]]*2+36</f>
        <v>216</v>
      </c>
      <c r="P95" s="14">
        <f>CAP[[#This Row],[SPD Factor]]/822</f>
        <v>0.71289537712895379</v>
      </c>
      <c r="Q95" s="14">
        <f>VLOOKUP(CAP[[#This Row],[Spe]],SpeedFactor[#All], 2, TRUE)</f>
        <v>586</v>
      </c>
      <c r="R95" s="14">
        <f>CAP[[#This Row],[Stat HP]]*CAP[[#This Row],[Stat Def]]</f>
        <v>40716</v>
      </c>
      <c r="S95" s="14">
        <f>CAP[[#This Row],[Stat HP]]*CAP[[#This Row],[Stat SpD]]</f>
        <v>56376</v>
      </c>
      <c r="T95" s="1">
        <f>CAP[[#This Row],[Stat Atk]]*(CAP[[#This Row],[Stat Atk]]*CAP[[#This Row],[Stat Spe]]+415)/(CAP[[#This Row],[Stat Atk]]*(1-CAP[[#This Row],[Stat Spe]])+415)</f>
        <v>191.36010475774773</v>
      </c>
      <c r="U95" s="4">
        <f>CAP[[#This Row],[Stat SpA]]*(CAP[[#This Row],[Stat SpA]]*CAP[[#This Row],[Stat Spe]]+415)/(CAP[[#This Row],[Stat SpA]]*(1-CAP[[#This Row],[Stat Spe]])+415)</f>
        <v>271.3184811872253</v>
      </c>
      <c r="V95" s="9">
        <f>(CAP[[#This Row],[RPT]] /432.441508090053)-22.8128616201416</f>
        <v>71.340912331458739</v>
      </c>
      <c r="W95" s="10">
        <f>(CAP[[#This Row],[RST]] /426.30249118172)-22.4239890939417</f>
        <v>109.82013606639804</v>
      </c>
      <c r="X95" s="10">
        <f>(CAP[[#This Row],[RPS]]/2.21869141127892)+2.84495101810441</f>
        <v>89.094036305472997</v>
      </c>
      <c r="Y95" s="11">
        <f>(CAP[[#This Row],[RSS]]/2.30100441716059)+11.4244456864885</f>
        <v>129.33750972224939</v>
      </c>
      <c r="Z95" s="5">
        <f>(MAX(CAP[[#This Row],[PS]],CAP[[#This Row],[SS]]) - MAX(CAP[[#This Row],[PT]],CAP[[#This Row],[ST]])) / 6.165301 - 0.490854</f>
        <v>2.6748265816701173</v>
      </c>
      <c r="AA95" s="1">
        <f>(CAP[[#This Row],[PT]] - CAP[[#This Row],[ST]] + CAP[[#This Row],[PS]] - CAP[[#This Row],[SS]]) / 6.8267</f>
        <v>-11.531588783997494</v>
      </c>
      <c r="AB95" s="3">
        <f xml:space="preserve"> (CAP[[#This Row],[PT]] + CAP[[#This Row],[ST]] + CAP[[#This Row],[PS]] + CAP[[#This Row],[SS]]) /1.54532785176361-58.8447490566471</f>
        <v>199.7363630158124</v>
      </c>
      <c r="AC95"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Below Average</v>
      </c>
      <c r="AD95" s="14">
        <f>IF(CAP[[#This Row],[Overall Rating]]&lt;=200,80,IF(CAP[[#This Row],[Overall Rating]]&lt;250,75,IF(CAP[[#This Row],[Overall Rating]]&lt;300,70,IF(CAP[[#This Row],[Overall Rating]]&lt;350,65,IF(CAP[[#This Row],[Overall Rating]]&lt;400,60,IF(CAP[[#This Row],[Overall Rating]]&lt;450,55,50))))))</f>
        <v>80</v>
      </c>
    </row>
    <row r="96" spans="1:30" x14ac:dyDescent="0.3">
      <c r="A96">
        <v>43</v>
      </c>
      <c r="B96" s="14" t="s">
        <v>216</v>
      </c>
      <c r="C96" s="14" t="s">
        <v>96</v>
      </c>
      <c r="D96" s="14" t="s">
        <v>168</v>
      </c>
      <c r="E96">
        <v>75</v>
      </c>
      <c r="F96">
        <v>100</v>
      </c>
      <c r="G96">
        <v>85</v>
      </c>
      <c r="H96">
        <v>60</v>
      </c>
      <c r="I96">
        <v>75</v>
      </c>
      <c r="J96">
        <v>90</v>
      </c>
      <c r="K96" s="14">
        <f>CAP[[#This Row],[HP]]*2+141</f>
        <v>291</v>
      </c>
      <c r="L96" s="14">
        <f>CAP[[#This Row],[Atk]]*2+36</f>
        <v>236</v>
      </c>
      <c r="M96">
        <f>CAP[[#This Row],[Def]]*2+36</f>
        <v>206</v>
      </c>
      <c r="N96">
        <f>CAP[[#This Row],[SpA]]*2+36</f>
        <v>156</v>
      </c>
      <c r="O96" s="14">
        <f>CAP[[#This Row],[SpD]]*2+36</f>
        <v>186</v>
      </c>
      <c r="P96" s="14">
        <f>CAP[[#This Row],[SPD Factor]]/822</f>
        <v>0.76034063260340634</v>
      </c>
      <c r="Q96" s="14">
        <f>VLOOKUP(CAP[[#This Row],[Spe]],SpeedFactor[#All], 2, TRUE)</f>
        <v>625</v>
      </c>
      <c r="R96" s="14">
        <f>CAP[[#This Row],[Stat HP]]*CAP[[#This Row],[Stat Def]]</f>
        <v>59946</v>
      </c>
      <c r="S96" s="14">
        <f>CAP[[#This Row],[Stat HP]]*CAP[[#This Row],[Stat SpD]]</f>
        <v>54126</v>
      </c>
      <c r="T96" s="1">
        <f>CAP[[#This Row],[Stat Atk]]*(CAP[[#This Row],[Stat Atk]]*CAP[[#This Row],[Stat Spe]]+415)/(CAP[[#This Row],[Stat Atk]]*(1-CAP[[#This Row],[Stat Spe]])+415)</f>
        <v>297.49776844451549</v>
      </c>
      <c r="U96" s="4">
        <f>CAP[[#This Row],[Stat SpA]]*(CAP[[#This Row],[Stat SpA]]*CAP[[#This Row],[Stat Spe]]+415)/(CAP[[#This Row],[Stat SpA]]*(1-CAP[[#This Row],[Stat Spe]])+415)</f>
        <v>184.00987463091144</v>
      </c>
      <c r="V96" s="9">
        <f>(CAP[[#This Row],[RPT]] /432.441508090053)-22.8128616201416</f>
        <v>115.80935405189479</v>
      </c>
      <c r="W96" s="10">
        <f>(CAP[[#This Row],[RST]] /426.30249118172)-22.4239890939417</f>
        <v>104.54219365099495</v>
      </c>
      <c r="X96" s="10">
        <f>(CAP[[#This Row],[RPS]]/2.21869141127892)+2.84495101810441</f>
        <v>136.93199301599492</v>
      </c>
      <c r="Y96" s="11">
        <f>(CAP[[#This Row],[RSS]]/2.30100441716059)+11.4244456864885</f>
        <v>91.393816131234217</v>
      </c>
      <c r="Z96" s="5">
        <f>(MAX(CAP[[#This Row],[PS]],CAP[[#This Row],[SS]]) - MAX(CAP[[#This Row],[PT]],CAP[[#This Row],[ST]])) / 6.165301 - 0.490854</f>
        <v>2.9351975365105663</v>
      </c>
      <c r="AA96" s="1">
        <f>(CAP[[#This Row],[PT]] - CAP[[#This Row],[ST]] + CAP[[#This Row],[PS]] - CAP[[#This Row],[SS]]) / 6.8267</f>
        <v>8.3210536988091697</v>
      </c>
      <c r="AB96" s="3">
        <f xml:space="preserve"> (CAP[[#This Row],[PT]] + CAP[[#This Row],[ST]] + CAP[[#This Row],[PS]] + CAP[[#This Row],[SS]]) /1.54532785176361-58.8447490566471</f>
        <v>231.49969554652523</v>
      </c>
      <c r="AC96"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Above Average</v>
      </c>
      <c r="AD96" s="14">
        <f>IF(CAP[[#This Row],[Overall Rating]]&lt;=200,80,IF(CAP[[#This Row],[Overall Rating]]&lt;250,75,IF(CAP[[#This Row],[Overall Rating]]&lt;300,70,IF(CAP[[#This Row],[Overall Rating]]&lt;350,65,IF(CAP[[#This Row],[Overall Rating]]&lt;400,60,IF(CAP[[#This Row],[Overall Rating]]&lt;450,55,50))))))</f>
        <v>75</v>
      </c>
    </row>
    <row r="97" spans="1:30" x14ac:dyDescent="0.3">
      <c r="A97">
        <v>42</v>
      </c>
      <c r="B97" s="14" t="s">
        <v>214</v>
      </c>
      <c r="C97" s="14" t="s">
        <v>84</v>
      </c>
      <c r="D97" s="14" t="s">
        <v>28</v>
      </c>
      <c r="E97">
        <v>85</v>
      </c>
      <c r="F97">
        <v>70</v>
      </c>
      <c r="G97">
        <v>90</v>
      </c>
      <c r="H97">
        <v>120</v>
      </c>
      <c r="I97">
        <v>100</v>
      </c>
      <c r="J97">
        <v>110</v>
      </c>
      <c r="K97" s="14">
        <f>CAP[[#This Row],[HP]]*2+141</f>
        <v>311</v>
      </c>
      <c r="L97" s="14">
        <f>CAP[[#This Row],[Atk]]*2+36</f>
        <v>176</v>
      </c>
      <c r="M97">
        <f>CAP[[#This Row],[Def]]*2+36</f>
        <v>216</v>
      </c>
      <c r="N97">
        <f>CAP[[#This Row],[SpA]]*2+36</f>
        <v>276</v>
      </c>
      <c r="O97" s="14">
        <f>CAP[[#This Row],[SpD]]*2+36</f>
        <v>236</v>
      </c>
      <c r="P97" s="14">
        <f>CAP[[#This Row],[SPD Factor]]/822</f>
        <v>0.92822384428223847</v>
      </c>
      <c r="Q97" s="14">
        <f>VLOOKUP(CAP[[#This Row],[Spe]],SpeedFactor[#All], 2, TRUE)</f>
        <v>763</v>
      </c>
      <c r="R97" s="14">
        <f>CAP[[#This Row],[Stat HP]]*CAP[[#This Row],[Stat Def]]</f>
        <v>67176</v>
      </c>
      <c r="S97" s="14">
        <f>CAP[[#This Row],[Stat HP]]*CAP[[#This Row],[Stat SpD]]</f>
        <v>73396</v>
      </c>
      <c r="T97" s="1">
        <f>CAP[[#This Row],[Stat Atk]]*(CAP[[#This Row],[Stat Atk]]*CAP[[#This Row],[Stat Spe]]+415)/(CAP[[#This Row],[Stat Atk]]*(1-CAP[[#This Row],[Stat Spe]])+415)</f>
        <v>238.03765426128118</v>
      </c>
      <c r="U97" s="4">
        <f>CAP[[#This Row],[Stat SpA]]*(CAP[[#This Row],[Stat SpA]]*CAP[[#This Row],[Stat Spe]]+415)/(CAP[[#This Row],[Stat SpA]]*(1-CAP[[#This Row],[Stat Spe]])+415)</f>
        <v>426.04421762997532</v>
      </c>
      <c r="V97" s="9">
        <f>(CAP[[#This Row],[RPT]] /432.441508090053)-22.8128616201416</f>
        <v>132.52837816207435</v>
      </c>
      <c r="W97" s="10">
        <f>(CAP[[#This Row],[RST]] /426.30249118172)-22.4239890939417</f>
        <v>149.74483824869162</v>
      </c>
      <c r="X97" s="10">
        <f>(CAP[[#This Row],[RPS]]/2.21869141127892)+2.84495101810441</f>
        <v>110.13236063766442</v>
      </c>
      <c r="Y97" s="11">
        <f>(CAP[[#This Row],[RSS]]/2.30100441716059)+11.4244456864885</f>
        <v>196.58020395126769</v>
      </c>
      <c r="Z97" s="5">
        <f>(MAX(CAP[[#This Row],[PS]],CAP[[#This Row],[SS]]) - MAX(CAP[[#This Row],[PT]],CAP[[#This Row],[ST]])) / 6.165301 - 0.490854</f>
        <v>7.1057525083563755</v>
      </c>
      <c r="AA97" s="1">
        <f>(CAP[[#This Row],[PT]] - CAP[[#This Row],[ST]] + CAP[[#This Row],[PS]] - CAP[[#This Row],[SS]]) / 6.8267</f>
        <v>-15.185126547265963</v>
      </c>
      <c r="AB97" s="3">
        <f xml:space="preserve"> (CAP[[#This Row],[PT]] + CAP[[#This Row],[ST]] + CAP[[#This Row],[PS]] + CAP[[#This Row],[SS]]) /1.54532785176361-58.8447490566471</f>
        <v>322.29494264535401</v>
      </c>
      <c r="AC97"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Very Good</v>
      </c>
      <c r="AD97" s="14">
        <f>IF(CAP[[#This Row],[Overall Rating]]&lt;=200,80,IF(CAP[[#This Row],[Overall Rating]]&lt;250,75,IF(CAP[[#This Row],[Overall Rating]]&lt;300,70,IF(CAP[[#This Row],[Overall Rating]]&lt;350,65,IF(CAP[[#This Row],[Overall Rating]]&lt;400,60,IF(CAP[[#This Row],[Overall Rating]]&lt;450,55,50))))))</f>
        <v>65</v>
      </c>
    </row>
    <row r="98" spans="1:30" x14ac:dyDescent="0.3">
      <c r="A98">
        <v>41</v>
      </c>
      <c r="B98" s="14" t="s">
        <v>208</v>
      </c>
      <c r="C98" s="14" t="s">
        <v>84</v>
      </c>
      <c r="D98" s="14" t="s">
        <v>28</v>
      </c>
      <c r="E98">
        <v>60</v>
      </c>
      <c r="F98">
        <v>50</v>
      </c>
      <c r="G98">
        <v>70</v>
      </c>
      <c r="H98">
        <v>90</v>
      </c>
      <c r="I98">
        <v>75</v>
      </c>
      <c r="J98">
        <v>95</v>
      </c>
      <c r="K98" s="14">
        <f>CAP[[#This Row],[HP]]*2+141</f>
        <v>261</v>
      </c>
      <c r="L98" s="14">
        <f>CAP[[#This Row],[Atk]]*2+36</f>
        <v>136</v>
      </c>
      <c r="M98">
        <f>CAP[[#This Row],[Def]]*2+36</f>
        <v>176</v>
      </c>
      <c r="N98">
        <f>CAP[[#This Row],[SpA]]*2+36</f>
        <v>216</v>
      </c>
      <c r="O98" s="14">
        <f>CAP[[#This Row],[SpD]]*2+36</f>
        <v>186</v>
      </c>
      <c r="P98" s="14">
        <f>CAP[[#This Row],[SPD Factor]]/822</f>
        <v>0.80900243309002429</v>
      </c>
      <c r="Q98" s="14">
        <f>VLOOKUP(CAP[[#This Row],[Spe]],SpeedFactor[#All], 2, TRUE)</f>
        <v>665</v>
      </c>
      <c r="R98" s="14">
        <f>CAP[[#This Row],[Stat HP]]*CAP[[#This Row],[Stat Def]]</f>
        <v>45936</v>
      </c>
      <c r="S98" s="14">
        <f>CAP[[#This Row],[Stat HP]]*CAP[[#This Row],[Stat SpD]]</f>
        <v>48546</v>
      </c>
      <c r="T98" s="1">
        <f>CAP[[#This Row],[Stat Atk]]*(CAP[[#This Row],[Stat Atk]]*CAP[[#This Row],[Stat Spe]]+415)/(CAP[[#This Row],[Stat Atk]]*(1-CAP[[#This Row],[Stat Spe]])+415)</f>
        <v>161.92119884573577</v>
      </c>
      <c r="U98" s="4">
        <f>CAP[[#This Row],[Stat SpA]]*(CAP[[#This Row],[Stat SpA]]*CAP[[#This Row],[Stat Spe]]+415)/(CAP[[#This Row],[Stat SpA]]*(1-CAP[[#This Row],[Stat Spe]])+415)</f>
        <v>279.19625001999776</v>
      </c>
      <c r="V98" s="9">
        <f>(CAP[[#This Row],[RPT]] /432.441508090053)-22.8128616201416</f>
        <v>83.411908991920328</v>
      </c>
      <c r="W98" s="10">
        <f>(CAP[[#This Row],[RST]] /426.30249118172)-22.4239890939417</f>
        <v>91.452896460795287</v>
      </c>
      <c r="X98" s="10">
        <f>(CAP[[#This Row],[RPS]]/2.21869141127892)+2.84495101810441</f>
        <v>75.825446648364036</v>
      </c>
      <c r="Y98" s="11">
        <f>(CAP[[#This Row],[RSS]]/2.30100441716059)+11.4244456864885</f>
        <v>132.76113149977451</v>
      </c>
      <c r="Z98" s="5">
        <f>(MAX(CAP[[#This Row],[PS]],CAP[[#This Row],[SS]]) - MAX(CAP[[#This Row],[PT]],CAP[[#This Row],[ST]])) / 6.165301 - 0.490854</f>
        <v>6.2092625132049868</v>
      </c>
      <c r="AA98" s="1">
        <f>(CAP[[#This Row],[PT]] - CAP[[#This Row],[ST]] + CAP[[#This Row],[PS]] - CAP[[#This Row],[SS]]) / 6.8267</f>
        <v>-9.5180207597060704</v>
      </c>
      <c r="AB98" s="3">
        <f xml:space="preserve"> (CAP[[#This Row],[PT]] + CAP[[#This Row],[ST]] + CAP[[#This Row],[PS]] + CAP[[#This Row],[SS]]) /1.54532785176361-58.8447490566471</f>
        <v>189.29119385232144</v>
      </c>
      <c r="AC98"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Below Average</v>
      </c>
      <c r="AD98" s="14">
        <f>IF(CAP[[#This Row],[Overall Rating]]&lt;=200,80,IF(CAP[[#This Row],[Overall Rating]]&lt;250,75,IF(CAP[[#This Row],[Overall Rating]]&lt;300,70,IF(CAP[[#This Row],[Overall Rating]]&lt;350,65,IF(CAP[[#This Row],[Overall Rating]]&lt;400,60,IF(CAP[[#This Row],[Overall Rating]]&lt;450,55,50))))))</f>
        <v>80</v>
      </c>
    </row>
    <row r="99" spans="1:30" x14ac:dyDescent="0.3">
      <c r="A99">
        <v>40</v>
      </c>
      <c r="B99" s="14" t="s">
        <v>206</v>
      </c>
      <c r="C99" s="14" t="s">
        <v>37</v>
      </c>
      <c r="D99" s="14" t="s">
        <v>168</v>
      </c>
      <c r="E99">
        <v>80</v>
      </c>
      <c r="F99">
        <v>105</v>
      </c>
      <c r="G99">
        <v>75</v>
      </c>
      <c r="H99">
        <v>90</v>
      </c>
      <c r="I99">
        <v>75</v>
      </c>
      <c r="J99">
        <v>110</v>
      </c>
      <c r="K99" s="14">
        <f>CAP[[#This Row],[HP]]*2+141</f>
        <v>301</v>
      </c>
      <c r="L99" s="14">
        <f>CAP[[#This Row],[Atk]]*2+36</f>
        <v>246</v>
      </c>
      <c r="M99">
        <f>CAP[[#This Row],[Def]]*2+36</f>
        <v>186</v>
      </c>
      <c r="N99">
        <f>CAP[[#This Row],[SpA]]*2+36</f>
        <v>216</v>
      </c>
      <c r="O99" s="14">
        <f>CAP[[#This Row],[SpD]]*2+36</f>
        <v>186</v>
      </c>
      <c r="P99" s="14">
        <f>CAP[[#This Row],[SPD Factor]]/822</f>
        <v>0.92822384428223847</v>
      </c>
      <c r="Q99" s="14">
        <f>VLOOKUP(CAP[[#This Row],[Spe]],SpeedFactor[#All], 2, TRUE)</f>
        <v>763</v>
      </c>
      <c r="R99" s="14">
        <f>CAP[[#This Row],[Stat HP]]*CAP[[#This Row],[Stat Def]]</f>
        <v>55986</v>
      </c>
      <c r="S99" s="14">
        <f>CAP[[#This Row],[Stat HP]]*CAP[[#This Row],[Stat SpD]]</f>
        <v>55986</v>
      </c>
      <c r="T99" s="1">
        <f>CAP[[#This Row],[Stat Atk]]*(CAP[[#This Row],[Stat Atk]]*CAP[[#This Row],[Stat Spe]]+415)/(CAP[[#This Row],[Stat Atk]]*(1-CAP[[#This Row],[Stat Spe]])+415)</f>
        <v>365.79188176940988</v>
      </c>
      <c r="U99" s="4">
        <f>CAP[[#This Row],[Stat SpA]]*(CAP[[#This Row],[Stat SpA]]*CAP[[#This Row],[Stat Spe]]+415)/(CAP[[#This Row],[Stat SpA]]*(1-CAP[[#This Row],[Stat Spe]])+415)</f>
        <v>308.81785042133646</v>
      </c>
      <c r="V99" s="9">
        <f>(CAP[[#This Row],[RPT]] /432.441508090053)-22.8128616201416</f>
        <v>106.65204624051015</v>
      </c>
      <c r="W99" s="10">
        <f>(CAP[[#This Row],[RST]] /426.30249118172)-22.4239890939417</f>
        <v>108.90529271439483</v>
      </c>
      <c r="X99" s="10">
        <f>(CAP[[#This Row],[RPS]]/2.21869141127892)+2.84495101810441</f>
        <v>167.71325127377472</v>
      </c>
      <c r="Y99" s="11">
        <f>(CAP[[#This Row],[RSS]]/2.30100441716059)+11.4244456864885</f>
        <v>145.63446637059207</v>
      </c>
      <c r="Z99" s="5">
        <f>(MAX(CAP[[#This Row],[PS]],CAP[[#This Row],[SS]]) - MAX(CAP[[#This Row],[PT]],CAP[[#This Row],[ST]])) / 6.165301 - 0.490854</f>
        <v>9.0476841118261504</v>
      </c>
      <c r="AA99" s="1">
        <f>(CAP[[#This Row],[PT]] - CAP[[#This Row],[ST]] + CAP[[#This Row],[PS]] - CAP[[#This Row],[SS]]) / 6.8267</f>
        <v>2.9041174255933289</v>
      </c>
      <c r="AB99" s="3">
        <f xml:space="preserve"> (CAP[[#This Row],[PT]] + CAP[[#This Row],[ST]] + CAP[[#This Row],[PS]] + CAP[[#This Row],[SS]]) /1.54532785176361-58.8447490566471</f>
        <v>283.4159925689292</v>
      </c>
      <c r="AC99"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Good</v>
      </c>
      <c r="AD99" s="14">
        <f>IF(CAP[[#This Row],[Overall Rating]]&lt;=200,80,IF(CAP[[#This Row],[Overall Rating]]&lt;250,75,IF(CAP[[#This Row],[Overall Rating]]&lt;300,70,IF(CAP[[#This Row],[Overall Rating]]&lt;350,65,IF(CAP[[#This Row],[Overall Rating]]&lt;400,60,IF(CAP[[#This Row],[Overall Rating]]&lt;450,55,50))))))</f>
        <v>70</v>
      </c>
    </row>
    <row r="100" spans="1:30" x14ac:dyDescent="0.3">
      <c r="A100">
        <v>39</v>
      </c>
      <c r="B100" s="14" t="s">
        <v>201</v>
      </c>
      <c r="C100" s="14" t="s">
        <v>37</v>
      </c>
      <c r="D100" s="14" t="s">
        <v>168</v>
      </c>
      <c r="E100">
        <v>55</v>
      </c>
      <c r="F100">
        <v>75</v>
      </c>
      <c r="G100">
        <v>50</v>
      </c>
      <c r="H100">
        <v>60</v>
      </c>
      <c r="I100">
        <v>50</v>
      </c>
      <c r="J100">
        <v>80</v>
      </c>
      <c r="K100" s="14">
        <f>CAP[[#This Row],[HP]]*2+141</f>
        <v>251</v>
      </c>
      <c r="L100" s="14">
        <f>CAP[[#This Row],[Atk]]*2+36</f>
        <v>186</v>
      </c>
      <c r="M100">
        <f>CAP[[#This Row],[Def]]*2+36</f>
        <v>136</v>
      </c>
      <c r="N100">
        <f>CAP[[#This Row],[SpA]]*2+36</f>
        <v>156</v>
      </c>
      <c r="O100" s="14">
        <f>CAP[[#This Row],[SpD]]*2+36</f>
        <v>136</v>
      </c>
      <c r="P100" s="14">
        <f>CAP[[#This Row],[SPD Factor]]/822</f>
        <v>0.66423357664233573</v>
      </c>
      <c r="Q100" s="14">
        <f>VLOOKUP(CAP[[#This Row],[Spe]],SpeedFactor[#All], 2, TRUE)</f>
        <v>546</v>
      </c>
      <c r="R100" s="14">
        <f>CAP[[#This Row],[Stat HP]]*CAP[[#This Row],[Stat Def]]</f>
        <v>34136</v>
      </c>
      <c r="S100" s="14">
        <f>CAP[[#This Row],[Stat HP]]*CAP[[#This Row],[Stat SpD]]</f>
        <v>34136</v>
      </c>
      <c r="T100" s="1">
        <f>CAP[[#This Row],[Stat Atk]]*(CAP[[#This Row],[Stat Atk]]*CAP[[#This Row],[Stat Spe]]+415)/(CAP[[#This Row],[Stat Atk]]*(1-CAP[[#This Row],[Stat Spe]])+415)</f>
        <v>209.80058399963309</v>
      </c>
      <c r="U100" s="4">
        <f>CAP[[#This Row],[Stat SpA]]*(CAP[[#This Row],[Stat SpA]]*CAP[[#This Row],[Stat Spe]]+415)/(CAP[[#This Row],[Stat SpA]]*(1-CAP[[#This Row],[Stat Spe]])+415)</f>
        <v>173.10296575096436</v>
      </c>
      <c r="V100" s="9">
        <f>(CAP[[#This Row],[RPT]] /432.441508090053)-22.8128616201416</f>
        <v>56.124981675168087</v>
      </c>
      <c r="W100" s="10">
        <f>(CAP[[#This Row],[RST]] /426.30249118172)-22.4239890939417</f>
        <v>57.650607480369302</v>
      </c>
      <c r="X100" s="10">
        <f>(CAP[[#This Row],[RPS]]/2.21869141127892)+2.84495101810441</f>
        <v>97.405457690232268</v>
      </c>
      <c r="Y100" s="11">
        <f>(CAP[[#This Row],[RSS]]/2.30100441716059)+11.4244456864885</f>
        <v>86.653751836439838</v>
      </c>
      <c r="Z100" s="5">
        <f>(MAX(CAP[[#This Row],[PS]],CAP[[#This Row],[SS]]) - MAX(CAP[[#This Row],[PT]],CAP[[#This Row],[ST]])) / 6.165301 - 0.490854</f>
        <v>5.9573064725970335</v>
      </c>
      <c r="AA100" s="1">
        <f>(CAP[[#This Row],[PT]] - CAP[[#This Row],[ST]] + CAP[[#This Row],[PS]] - CAP[[#This Row],[SS]]) / 6.8267</f>
        <v>1.3514699706433877</v>
      </c>
      <c r="AB100" s="3">
        <f xml:space="preserve"> (CAP[[#This Row],[PT]] + CAP[[#This Row],[ST]] + CAP[[#This Row],[PS]] + CAP[[#This Row],[SS]]) /1.54532785176361-58.8447490566471</f>
        <v>133.88768525643712</v>
      </c>
      <c r="AC100"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Poor</v>
      </c>
      <c r="AD100" s="14">
        <f>IF(CAP[[#This Row],[Overall Rating]]&lt;=200,80,IF(CAP[[#This Row],[Overall Rating]]&lt;250,75,IF(CAP[[#This Row],[Overall Rating]]&lt;300,70,IF(CAP[[#This Row],[Overall Rating]]&lt;350,65,IF(CAP[[#This Row],[Overall Rating]]&lt;400,60,IF(CAP[[#This Row],[Overall Rating]]&lt;450,55,50))))))</f>
        <v>80</v>
      </c>
    </row>
    <row r="101" spans="1:30" x14ac:dyDescent="0.3">
      <c r="A101">
        <v>38</v>
      </c>
      <c r="B101" s="14" t="s">
        <v>199</v>
      </c>
      <c r="C101" s="14" t="s">
        <v>21</v>
      </c>
      <c r="D101" s="14" t="s">
        <v>89</v>
      </c>
      <c r="E101">
        <v>85</v>
      </c>
      <c r="F101">
        <v>70</v>
      </c>
      <c r="G101">
        <v>80</v>
      </c>
      <c r="H101">
        <v>110</v>
      </c>
      <c r="I101">
        <v>95</v>
      </c>
      <c r="J101">
        <v>90</v>
      </c>
      <c r="K101" s="14">
        <f>CAP[[#This Row],[HP]]*2+141</f>
        <v>311</v>
      </c>
      <c r="L101" s="14">
        <f>CAP[[#This Row],[Atk]]*2+36</f>
        <v>176</v>
      </c>
      <c r="M101">
        <f>CAP[[#This Row],[Def]]*2+36</f>
        <v>196</v>
      </c>
      <c r="N101">
        <f>CAP[[#This Row],[SpA]]*2+36</f>
        <v>256</v>
      </c>
      <c r="O101" s="14">
        <f>CAP[[#This Row],[SpD]]*2+36</f>
        <v>226</v>
      </c>
      <c r="P101" s="14">
        <f>CAP[[#This Row],[SPD Factor]]/822</f>
        <v>0.76034063260340634</v>
      </c>
      <c r="Q101" s="14">
        <f>VLOOKUP(CAP[[#This Row],[Spe]],SpeedFactor[#All], 2, TRUE)</f>
        <v>625</v>
      </c>
      <c r="R101" s="14">
        <f>CAP[[#This Row],[Stat HP]]*CAP[[#This Row],[Stat Def]]</f>
        <v>60956</v>
      </c>
      <c r="S101" s="14">
        <f>CAP[[#This Row],[Stat HP]]*CAP[[#This Row],[Stat SpD]]</f>
        <v>70286</v>
      </c>
      <c r="T101" s="1">
        <f>CAP[[#This Row],[Stat Atk]]*(CAP[[#This Row],[Stat Atk]]*CAP[[#This Row],[Stat Spe]]+415)/(CAP[[#This Row],[Stat Atk]]*(1-CAP[[#This Row],[Stat Spe]])+415)</f>
        <v>211.27849239759237</v>
      </c>
      <c r="U101" s="4">
        <f>CAP[[#This Row],[Stat SpA]]*(CAP[[#This Row],[Stat SpA]]*CAP[[#This Row],[Stat Spe]]+415)/(CAP[[#This Row],[Stat SpA]]*(1-CAP[[#This Row],[Stat Spe]])+415)</f>
        <v>327.63465300514349</v>
      </c>
      <c r="V101" s="9">
        <f>(CAP[[#This Row],[RPT]] /432.441508090053)-22.8128616201416</f>
        <v>118.14493003409137</v>
      </c>
      <c r="W101" s="10">
        <f>(CAP[[#This Row],[RST]] /426.30249118172)-22.4239890939417</f>
        <v>142.44954895451224</v>
      </c>
      <c r="X101" s="10">
        <f>(CAP[[#This Row],[RPS]]/2.21869141127892)+2.84495101810441</f>
        <v>98.071574839487994</v>
      </c>
      <c r="Y101" s="11">
        <f>(CAP[[#This Row],[RSS]]/2.30100441716059)+11.4244456864885</f>
        <v>153.81211368125074</v>
      </c>
      <c r="Z101" s="5">
        <f>(MAX(CAP[[#This Row],[PS]],CAP[[#This Row],[SS]]) - MAX(CAP[[#This Row],[PT]],CAP[[#This Row],[ST]])) / 6.165301 - 0.490854</f>
        <v>1.3521322105254061</v>
      </c>
      <c r="AA101" s="1">
        <f>(CAP[[#This Row],[PT]] - CAP[[#This Row],[ST]] + CAP[[#This Row],[PS]] - CAP[[#This Row],[SS]]) / 6.8267</f>
        <v>-11.725307654091084</v>
      </c>
      <c r="AB101" s="3">
        <f xml:space="preserve"> (CAP[[#This Row],[PT]] + CAP[[#This Row],[ST]] + CAP[[#This Row],[PS]] + CAP[[#This Row],[SS]]) /1.54532785176361-58.8447490566471</f>
        <v>272.7859576082688</v>
      </c>
      <c r="AC101"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Good</v>
      </c>
      <c r="AD101" s="14">
        <f>IF(CAP[[#This Row],[Overall Rating]]&lt;=200,80,IF(CAP[[#This Row],[Overall Rating]]&lt;250,75,IF(CAP[[#This Row],[Overall Rating]]&lt;300,70,IF(CAP[[#This Row],[Overall Rating]]&lt;350,65,IF(CAP[[#This Row],[Overall Rating]]&lt;400,60,IF(CAP[[#This Row],[Overall Rating]]&lt;450,55,50))))))</f>
        <v>70</v>
      </c>
    </row>
    <row r="102" spans="1:30" x14ac:dyDescent="0.3">
      <c r="A102">
        <v>37</v>
      </c>
      <c r="B102" s="14" t="s">
        <v>194</v>
      </c>
      <c r="C102" s="14" t="s">
        <v>21</v>
      </c>
      <c r="D102" s="14" t="s">
        <v>89</v>
      </c>
      <c r="E102">
        <v>60</v>
      </c>
      <c r="F102">
        <v>45</v>
      </c>
      <c r="G102">
        <v>55</v>
      </c>
      <c r="H102">
        <v>75</v>
      </c>
      <c r="I102">
        <v>70</v>
      </c>
      <c r="J102">
        <v>65</v>
      </c>
      <c r="K102" s="14">
        <f>CAP[[#This Row],[HP]]*2+141</f>
        <v>261</v>
      </c>
      <c r="L102" s="14">
        <f>CAP[[#This Row],[Atk]]*2+36</f>
        <v>126</v>
      </c>
      <c r="M102">
        <f>CAP[[#This Row],[Def]]*2+36</f>
        <v>146</v>
      </c>
      <c r="N102">
        <f>CAP[[#This Row],[SpA]]*2+36</f>
        <v>186</v>
      </c>
      <c r="O102" s="14">
        <f>CAP[[#This Row],[SpD]]*2+36</f>
        <v>176</v>
      </c>
      <c r="P102" s="14">
        <f>CAP[[#This Row],[SPD Factor]]/822</f>
        <v>0.5024330900243309</v>
      </c>
      <c r="Q102" s="14">
        <f>VLOOKUP(CAP[[#This Row],[Spe]],SpeedFactor[#All], 2, TRUE)</f>
        <v>413</v>
      </c>
      <c r="R102" s="14">
        <f>CAP[[#This Row],[Stat HP]]*CAP[[#This Row],[Stat Def]]</f>
        <v>38106</v>
      </c>
      <c r="S102" s="14">
        <f>CAP[[#This Row],[Stat HP]]*CAP[[#This Row],[Stat SpD]]</f>
        <v>45936</v>
      </c>
      <c r="T102" s="1">
        <f>CAP[[#This Row],[Stat Atk]]*(CAP[[#This Row],[Stat Atk]]*CAP[[#This Row],[Stat Spe]]+415)/(CAP[[#This Row],[Stat Atk]]*(1-CAP[[#This Row],[Stat Spe]])+415)</f>
        <v>126.16172605586455</v>
      </c>
      <c r="U102" s="4">
        <f>CAP[[#This Row],[Stat SpA]]*(CAP[[#This Row],[Stat SpA]]*CAP[[#This Row],[Stat Spe]]+415)/(CAP[[#This Row],[Stat SpA]]*(1-CAP[[#This Row],[Stat Spe]])+415)</f>
        <v>186.3316938476141</v>
      </c>
      <c r="V102" s="9">
        <f>(CAP[[#This Row],[RPT]] /432.441508090053)-22.8128616201416</f>
        <v>65.305414001227945</v>
      </c>
      <c r="W102" s="10">
        <f>(CAP[[#This Row],[RST]] /426.30249118172)-22.4239890939417</f>
        <v>85.330483258927714</v>
      </c>
      <c r="X102" s="10">
        <f>(CAP[[#This Row],[RPS]]/2.21869141127892)+2.84495101810441</f>
        <v>59.708075567336408</v>
      </c>
      <c r="Y102" s="11">
        <f>(CAP[[#This Row],[RSS]]/2.30100441716059)+11.4244456864885</f>
        <v>92.402862093678635</v>
      </c>
      <c r="Z102" s="5">
        <f>(MAX(CAP[[#This Row],[PS]],CAP[[#This Row],[SS]]) - MAX(CAP[[#This Row],[PT]],CAP[[#This Row],[ST]])) / 6.165301 - 0.490854</f>
        <v>0.65627228544022753</v>
      </c>
      <c r="AA102" s="1">
        <f>(CAP[[#This Row],[PT]] - CAP[[#This Row],[ST]] + CAP[[#This Row],[PS]] - CAP[[#This Row],[SS]]) / 6.8267</f>
        <v>-7.7225974166203288</v>
      </c>
      <c r="AB102" s="3">
        <f xml:space="preserve"> (CAP[[#This Row],[PT]] + CAP[[#This Row],[ST]] + CAP[[#This Row],[PS]] + CAP[[#This Row],[SS]]) /1.54532785176361-58.8447490566471</f>
        <v>137.0663222255148</v>
      </c>
      <c r="AC102"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Poor</v>
      </c>
      <c r="AD102" s="14">
        <f>IF(CAP[[#This Row],[Overall Rating]]&lt;=200,80,IF(CAP[[#This Row],[Overall Rating]]&lt;250,75,IF(CAP[[#This Row],[Overall Rating]]&lt;300,70,IF(CAP[[#This Row],[Overall Rating]]&lt;350,65,IF(CAP[[#This Row],[Overall Rating]]&lt;400,60,IF(CAP[[#This Row],[Overall Rating]]&lt;450,55,50))))))</f>
        <v>80</v>
      </c>
    </row>
    <row r="103" spans="1:30" x14ac:dyDescent="0.3">
      <c r="A103">
        <v>36</v>
      </c>
      <c r="B103" s="14" t="s">
        <v>192</v>
      </c>
      <c r="C103" s="14" t="s">
        <v>187</v>
      </c>
      <c r="D103" s="14" t="s">
        <v>59</v>
      </c>
      <c r="E103">
        <v>70</v>
      </c>
      <c r="F103">
        <v>85</v>
      </c>
      <c r="G103">
        <v>60</v>
      </c>
      <c r="H103">
        <v>90</v>
      </c>
      <c r="I103">
        <v>70</v>
      </c>
      <c r="J103">
        <v>100</v>
      </c>
      <c r="K103" s="14">
        <f>CAP[[#This Row],[HP]]*2+141</f>
        <v>281</v>
      </c>
      <c r="L103" s="14">
        <f>CAP[[#This Row],[Atk]]*2+36</f>
        <v>206</v>
      </c>
      <c r="M103">
        <f>CAP[[#This Row],[Def]]*2+36</f>
        <v>156</v>
      </c>
      <c r="N103">
        <f>CAP[[#This Row],[SpA]]*2+36</f>
        <v>216</v>
      </c>
      <c r="O103" s="14">
        <f>CAP[[#This Row],[SpD]]*2+36</f>
        <v>176</v>
      </c>
      <c r="P103" s="14">
        <f>CAP[[#This Row],[SPD Factor]]/822</f>
        <v>0.86496350364963503</v>
      </c>
      <c r="Q103" s="14">
        <f>VLOOKUP(CAP[[#This Row],[Spe]],SpeedFactor[#All], 2, TRUE)</f>
        <v>711</v>
      </c>
      <c r="R103" s="14">
        <f>CAP[[#This Row],[Stat HP]]*CAP[[#This Row],[Stat Def]]</f>
        <v>43836</v>
      </c>
      <c r="S103" s="14">
        <f>CAP[[#This Row],[Stat HP]]*CAP[[#This Row],[Stat SpD]]</f>
        <v>49456</v>
      </c>
      <c r="T103" s="1">
        <f>CAP[[#This Row],[Stat Atk]]*(CAP[[#This Row],[Stat Atk]]*CAP[[#This Row],[Stat Spe]]+415)/(CAP[[#This Row],[Stat Atk]]*(1-CAP[[#This Row],[Stat Spe]])+415)</f>
        <v>275.95021923317836</v>
      </c>
      <c r="U103" s="4">
        <f>CAP[[#This Row],[Stat SpA]]*(CAP[[#This Row],[Stat SpA]]*CAP[[#This Row],[Stat Spe]]+415)/(CAP[[#This Row],[Stat SpA]]*(1-CAP[[#This Row],[Stat Spe]])+415)</f>
        <v>292.67252797817622</v>
      </c>
      <c r="V103" s="9">
        <f>(CAP[[#This Row],[RPT]] /432.441508090053)-22.8128616201416</f>
        <v>78.555760910125429</v>
      </c>
      <c r="W103" s="10">
        <f>(CAP[[#This Row],[RST]] /426.30249118172)-22.4239890939417</f>
        <v>93.587530948802765</v>
      </c>
      <c r="X103" s="10">
        <f>(CAP[[#This Row],[RPS]]/2.21869141127892)+2.84495101810441</f>
        <v>127.220165088146</v>
      </c>
      <c r="Y103" s="11">
        <f>(CAP[[#This Row],[RSS]]/2.30100441716059)+11.4244456864885</f>
        <v>138.61782514958853</v>
      </c>
      <c r="Z103" s="5">
        <f>(MAX(CAP[[#This Row],[PS]],CAP[[#This Row],[SS]]) - MAX(CAP[[#This Row],[PT]],CAP[[#This Row],[ST]])) / 6.165301 - 0.490854</f>
        <v>6.812973372059492</v>
      </c>
      <c r="AA103" s="1">
        <f>(CAP[[#This Row],[PT]] - CAP[[#This Row],[ST]] + CAP[[#This Row],[PS]] - CAP[[#This Row],[SS]]) / 6.8267</f>
        <v>-3.8714796461130354</v>
      </c>
      <c r="AB103" s="3">
        <f xml:space="preserve"> (CAP[[#This Row],[PT]] + CAP[[#This Row],[ST]] + CAP[[#This Row],[PS]] + CAP[[#This Row],[SS]]) /1.54532785176361-58.8447490566471</f>
        <v>224.57813858290154</v>
      </c>
      <c r="AC103"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Above Average</v>
      </c>
      <c r="AD103" s="14">
        <f>IF(CAP[[#This Row],[Overall Rating]]&lt;=200,80,IF(CAP[[#This Row],[Overall Rating]]&lt;250,75,IF(CAP[[#This Row],[Overall Rating]]&lt;300,70,IF(CAP[[#This Row],[Overall Rating]]&lt;350,65,IF(CAP[[#This Row],[Overall Rating]]&lt;400,60,IF(CAP[[#This Row],[Overall Rating]]&lt;450,55,50))))))</f>
        <v>75</v>
      </c>
    </row>
    <row r="104" spans="1:30" x14ac:dyDescent="0.3">
      <c r="A104">
        <v>35</v>
      </c>
      <c r="B104" s="14" t="s">
        <v>186</v>
      </c>
      <c r="C104" s="14" t="s">
        <v>187</v>
      </c>
      <c r="D104" s="14" t="s">
        <v>59</v>
      </c>
      <c r="E104">
        <v>45</v>
      </c>
      <c r="F104">
        <v>60</v>
      </c>
      <c r="G104">
        <v>40</v>
      </c>
      <c r="H104">
        <v>55</v>
      </c>
      <c r="I104">
        <v>45</v>
      </c>
      <c r="J104">
        <v>70</v>
      </c>
      <c r="K104" s="14">
        <f>CAP[[#This Row],[HP]]*2+141</f>
        <v>231</v>
      </c>
      <c r="L104" s="14">
        <f>CAP[[#This Row],[Atk]]*2+36</f>
        <v>156</v>
      </c>
      <c r="M104">
        <f>CAP[[#This Row],[Def]]*2+36</f>
        <v>116</v>
      </c>
      <c r="N104">
        <f>CAP[[#This Row],[SpA]]*2+36</f>
        <v>146</v>
      </c>
      <c r="O104" s="14">
        <f>CAP[[#This Row],[SpD]]*2+36</f>
        <v>126</v>
      </c>
      <c r="P104" s="14">
        <f>CAP[[#This Row],[SPD Factor]]/822</f>
        <v>0.57055961070559613</v>
      </c>
      <c r="Q104" s="14">
        <f>VLOOKUP(CAP[[#This Row],[Spe]],SpeedFactor[#All], 2, TRUE)</f>
        <v>469</v>
      </c>
      <c r="R104" s="14">
        <f>CAP[[#This Row],[Stat HP]]*CAP[[#This Row],[Stat Def]]</f>
        <v>26796</v>
      </c>
      <c r="S104" s="14">
        <f>CAP[[#This Row],[Stat HP]]*CAP[[#This Row],[Stat SpD]]</f>
        <v>29106</v>
      </c>
      <c r="T104" s="1">
        <f>CAP[[#This Row],[Stat Atk]]*(CAP[[#This Row],[Stat Atk]]*CAP[[#This Row],[Stat Spe]]+415)/(CAP[[#This Row],[Stat Atk]]*(1-CAP[[#This Row],[Stat Spe]])+415)</f>
        <v>163.12516469038206</v>
      </c>
      <c r="U104" s="4">
        <f>CAP[[#This Row],[Stat SpA]]*(CAP[[#This Row],[Stat SpA]]*CAP[[#This Row],[Stat Spe]]+415)/(CAP[[#This Row],[Stat SpA]]*(1-CAP[[#This Row],[Stat Spe]])+415)</f>
        <v>152.29706520521151</v>
      </c>
      <c r="V104" s="9">
        <f>(CAP[[#This Row],[RPT]] /432.441508090053)-22.8128616201416</f>
        <v>39.151587903561193</v>
      </c>
      <c r="W104" s="10">
        <f>(CAP[[#This Row],[RST]] /426.30249118172)-22.4239890939417</f>
        <v>45.851473991712624</v>
      </c>
      <c r="X104" s="10">
        <f>(CAP[[#This Row],[RPS]]/2.21869141127892)+2.84495101810441</f>
        <v>76.36809347095766</v>
      </c>
      <c r="Y104" s="11">
        <f>(CAP[[#This Row],[RSS]]/2.30100441716059)+11.4244456864885</f>
        <v>77.61165683193434</v>
      </c>
      <c r="Z104" s="5">
        <f>(MAX(CAP[[#This Row],[PS]],CAP[[#This Row],[SS]]) - MAX(CAP[[#This Row],[PT]],CAP[[#This Row],[ST]])) / 6.165301 - 0.490854</f>
        <v>4.6605867553210647</v>
      </c>
      <c r="AA104" s="1">
        <f>(CAP[[#This Row],[PT]] - CAP[[#This Row],[ST]] + CAP[[#This Row],[PS]] - CAP[[#This Row],[SS]]) / 6.8267</f>
        <v>-1.163585546329575</v>
      </c>
      <c r="AB104" s="3">
        <f xml:space="preserve"> (CAP[[#This Row],[PT]] + CAP[[#This Row],[ST]] + CAP[[#This Row],[PS]] + CAP[[#This Row],[SS]]) /1.54532785176361-58.8447490566471</f>
        <v>95.803866074068353</v>
      </c>
      <c r="AC104"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Bad</v>
      </c>
      <c r="AD104" s="14">
        <f>IF(CAP[[#This Row],[Overall Rating]]&lt;=200,80,IF(CAP[[#This Row],[Overall Rating]]&lt;250,75,IF(CAP[[#This Row],[Overall Rating]]&lt;300,70,IF(CAP[[#This Row],[Overall Rating]]&lt;350,65,IF(CAP[[#This Row],[Overall Rating]]&lt;400,60,IF(CAP[[#This Row],[Overall Rating]]&lt;450,55,50))))))</f>
        <v>80</v>
      </c>
    </row>
    <row r="105" spans="1:30" x14ac:dyDescent="0.3">
      <c r="A105">
        <v>34</v>
      </c>
      <c r="B105" s="14" t="s">
        <v>183</v>
      </c>
      <c r="C105" s="14" t="s">
        <v>37</v>
      </c>
      <c r="D105" s="14" t="s">
        <v>134</v>
      </c>
      <c r="E105">
        <v>90</v>
      </c>
      <c r="F105">
        <v>120</v>
      </c>
      <c r="G105">
        <v>100</v>
      </c>
      <c r="H105">
        <v>75</v>
      </c>
      <c r="I105">
        <v>80</v>
      </c>
      <c r="J105">
        <v>85</v>
      </c>
      <c r="K105" s="14">
        <f>CAP[[#This Row],[HP]]*2+141</f>
        <v>321</v>
      </c>
      <c r="L105" s="14">
        <f>CAP[[#This Row],[Atk]]*2+36</f>
        <v>276</v>
      </c>
      <c r="M105">
        <f>CAP[[#This Row],[Def]]*2+36</f>
        <v>236</v>
      </c>
      <c r="N105">
        <f>CAP[[#This Row],[SpA]]*2+36</f>
        <v>186</v>
      </c>
      <c r="O105" s="14">
        <f>CAP[[#This Row],[SpD]]*2+36</f>
        <v>196</v>
      </c>
      <c r="P105" s="14">
        <f>CAP[[#This Row],[SPD Factor]]/822</f>
        <v>0.71289537712895379</v>
      </c>
      <c r="Q105" s="14">
        <f>VLOOKUP(CAP[[#This Row],[Spe]],SpeedFactor[#All], 2, TRUE)</f>
        <v>586</v>
      </c>
      <c r="R105" s="14">
        <f>CAP[[#This Row],[Stat HP]]*CAP[[#This Row],[Stat Def]]</f>
        <v>75756</v>
      </c>
      <c r="S105" s="14">
        <f>CAP[[#This Row],[Stat HP]]*CAP[[#This Row],[Stat SpD]]</f>
        <v>62916</v>
      </c>
      <c r="T105" s="1">
        <f>CAP[[#This Row],[Stat Atk]]*(CAP[[#This Row],[Stat Atk]]*CAP[[#This Row],[Stat Spe]]+415)/(CAP[[#This Row],[Stat Atk]]*(1-CAP[[#This Row],[Stat Spe]])+415)</f>
        <v>341.62596919259795</v>
      </c>
      <c r="U105" s="4">
        <f>CAP[[#This Row],[Stat SpA]]*(CAP[[#This Row],[Stat SpA]]*CAP[[#This Row],[Stat Spe]]+415)/(CAP[[#This Row],[Stat SpA]]*(1-CAP[[#This Row],[Stat Spe]])+415)</f>
        <v>217.44878527683846</v>
      </c>
      <c r="V105" s="9">
        <f>(CAP[[#This Row],[RPT]] /432.441508090053)-22.8128616201416</f>
        <v>152.36921175340774</v>
      </c>
      <c r="W105" s="10">
        <f>(CAP[[#This Row],[RST]] /426.30249118172)-22.4239890939417</f>
        <v>125.16135535383633</v>
      </c>
      <c r="X105" s="10">
        <f>(CAP[[#This Row],[RPS]]/2.21869141127892)+2.84495101810441</f>
        <v>156.82128475064206</v>
      </c>
      <c r="Y105" s="11">
        <f>(CAP[[#This Row],[RSS]]/2.30100441716059)+11.4244456864885</f>
        <v>105.92612662857356</v>
      </c>
      <c r="Z105" s="5">
        <f>(MAX(CAP[[#This Row],[PS]],CAP[[#This Row],[SS]]) - MAX(CAP[[#This Row],[PT]],CAP[[#This Row],[ST]])) / 6.165301 - 0.490854</f>
        <v>0.23126370313149747</v>
      </c>
      <c r="AA105" s="1">
        <f>(CAP[[#This Row],[PT]] - CAP[[#This Row],[ST]] + CAP[[#This Row],[PS]] - CAP[[#This Row],[SS]]) / 6.8267</f>
        <v>11.440815404461883</v>
      </c>
      <c r="AB105" s="3">
        <f xml:space="preserve"> (CAP[[#This Row],[PT]] + CAP[[#This Row],[ST]] + CAP[[#This Row],[PS]] + CAP[[#This Row],[SS]]) /1.54532785176361-58.8447490566471</f>
        <v>290.77554534875418</v>
      </c>
      <c r="AC105"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Good</v>
      </c>
      <c r="AD105" s="14">
        <f>IF(CAP[[#This Row],[Overall Rating]]&lt;=200,80,IF(CAP[[#This Row],[Overall Rating]]&lt;250,75,IF(CAP[[#This Row],[Overall Rating]]&lt;300,70,IF(CAP[[#This Row],[Overall Rating]]&lt;350,65,IF(CAP[[#This Row],[Overall Rating]]&lt;400,60,IF(CAP[[#This Row],[Overall Rating]]&lt;450,55,50))))))</f>
        <v>70</v>
      </c>
    </row>
    <row r="106" spans="1:30" x14ac:dyDescent="0.3">
      <c r="A106">
        <v>33</v>
      </c>
      <c r="B106" s="14" t="s">
        <v>181</v>
      </c>
      <c r="C106" s="14" t="s">
        <v>37</v>
      </c>
      <c r="D106" s="14"/>
      <c r="E106">
        <v>58</v>
      </c>
      <c r="F106">
        <v>66</v>
      </c>
      <c r="G106">
        <v>54</v>
      </c>
      <c r="H106">
        <v>60</v>
      </c>
      <c r="I106">
        <v>48</v>
      </c>
      <c r="J106">
        <v>64</v>
      </c>
      <c r="K106" s="14">
        <f>CAP[[#This Row],[HP]]*2+141</f>
        <v>257</v>
      </c>
      <c r="L106" s="14">
        <f>CAP[[#This Row],[Atk]]*2+36</f>
        <v>168</v>
      </c>
      <c r="M106">
        <f>CAP[[#This Row],[Def]]*2+36</f>
        <v>144</v>
      </c>
      <c r="N106">
        <f>CAP[[#This Row],[SpA]]*2+36</f>
        <v>156</v>
      </c>
      <c r="O106" s="14">
        <f>CAP[[#This Row],[SpD]]*2+36</f>
        <v>132</v>
      </c>
      <c r="P106" s="14">
        <f>CAP[[#This Row],[SPD Factor]]/822</f>
        <v>0.45742092457420924</v>
      </c>
      <c r="Q106" s="14">
        <f>VLOOKUP(CAP[[#This Row],[Spe]],SpeedFactor[#All], 2, TRUE)</f>
        <v>376</v>
      </c>
      <c r="R106" s="14">
        <f>CAP[[#This Row],[Stat HP]]*CAP[[#This Row],[Stat Def]]</f>
        <v>37008</v>
      </c>
      <c r="S106" s="14">
        <f>CAP[[#This Row],[Stat HP]]*CAP[[#This Row],[Stat SpD]]</f>
        <v>33924</v>
      </c>
      <c r="T106" s="1">
        <f>CAP[[#This Row],[Stat Atk]]*(CAP[[#This Row],[Stat Atk]]*CAP[[#This Row],[Stat Spe]]+415)/(CAP[[#This Row],[Stat Atk]]*(1-CAP[[#This Row],[Stat Spe]])+415)</f>
        <v>163.25143129082966</v>
      </c>
      <c r="U106" s="4">
        <f>CAP[[#This Row],[Stat SpA]]*(CAP[[#This Row],[Stat SpA]]*CAP[[#This Row],[Stat Spe]]+415)/(CAP[[#This Row],[Stat SpA]]*(1-CAP[[#This Row],[Stat Spe]])+415)</f>
        <v>151.85221545339002</v>
      </c>
      <c r="V106" s="9">
        <f>(CAP[[#This Row],[RPT]] /432.441508090053)-22.8128616201416</f>
        <v>62.766342289889479</v>
      </c>
      <c r="W106" s="10">
        <f>(CAP[[#This Row],[RST]] /426.30249118172)-22.4239890939417</f>
        <v>57.153308017229094</v>
      </c>
      <c r="X106" s="10">
        <f>(CAP[[#This Row],[RPS]]/2.21869141127892)+2.84495101810441</f>
        <v>76.425003864086563</v>
      </c>
      <c r="Y106" s="11">
        <f>(CAP[[#This Row],[RSS]]/2.30100441716059)+11.4244456864885</f>
        <v>77.418328323521294</v>
      </c>
      <c r="Z106" s="5">
        <f>(MAX(CAP[[#This Row],[PS]],CAP[[#This Row],[SS]]) - MAX(CAP[[#This Row],[PT]],CAP[[#This Row],[ST]])) / 6.165301 - 0.490854</f>
        <v>1.8856700389125871</v>
      </c>
      <c r="AA106" s="1">
        <f>(CAP[[#This Row],[PT]] - CAP[[#This Row],[ST]] + CAP[[#This Row],[PS]] - CAP[[#This Row],[SS]]) / 6.8267</f>
        <v>0.67671200041391222</v>
      </c>
      <c r="AB106" s="3">
        <f xml:space="preserve"> (CAP[[#This Row],[PT]] + CAP[[#This Row],[ST]] + CAP[[#This Row],[PS]] + CAP[[#This Row],[SS]]) /1.54532785176361-58.8447490566471</f>
        <v>118.31052720547011</v>
      </c>
      <c r="AC106"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Poor</v>
      </c>
      <c r="AD106" s="14">
        <f>IF(CAP[[#This Row],[Overall Rating]]&lt;=200,80,IF(CAP[[#This Row],[Overall Rating]]&lt;250,75,IF(CAP[[#This Row],[Overall Rating]]&lt;300,70,IF(CAP[[#This Row],[Overall Rating]]&lt;350,65,IF(CAP[[#This Row],[Overall Rating]]&lt;400,60,IF(CAP[[#This Row],[Overall Rating]]&lt;450,55,50))))))</f>
        <v>80</v>
      </c>
    </row>
    <row r="107" spans="1:30" x14ac:dyDescent="0.3">
      <c r="A107">
        <v>32</v>
      </c>
      <c r="B107" s="14" t="s">
        <v>179</v>
      </c>
      <c r="C107" s="14" t="s">
        <v>50</v>
      </c>
      <c r="D107" s="14"/>
      <c r="E107">
        <v>110</v>
      </c>
      <c r="F107">
        <v>110</v>
      </c>
      <c r="G107">
        <v>100</v>
      </c>
      <c r="H107">
        <v>100</v>
      </c>
      <c r="I107">
        <v>90</v>
      </c>
      <c r="J107">
        <v>140</v>
      </c>
      <c r="K107" s="14">
        <f>CAP[[#This Row],[HP]]*2+141</f>
        <v>361</v>
      </c>
      <c r="L107" s="14">
        <f>CAP[[#This Row],[Atk]]*2+36</f>
        <v>256</v>
      </c>
      <c r="M107">
        <f>CAP[[#This Row],[Def]]*2+36</f>
        <v>236</v>
      </c>
      <c r="N107">
        <f>CAP[[#This Row],[SpA]]*2+36</f>
        <v>236</v>
      </c>
      <c r="O107" s="14">
        <f>CAP[[#This Row],[SpD]]*2+36</f>
        <v>216</v>
      </c>
      <c r="P107" s="14">
        <f>CAP[[#This Row],[SPD Factor]]/822</f>
        <v>0.98905109489051091</v>
      </c>
      <c r="Q107" s="14">
        <f>VLOOKUP(CAP[[#This Row],[Spe]],SpeedFactor[#All], 2, TRUE)</f>
        <v>813</v>
      </c>
      <c r="R107" s="14">
        <f>CAP[[#This Row],[Stat HP]]*CAP[[#This Row],[Stat Def]]</f>
        <v>85196</v>
      </c>
      <c r="S107" s="14">
        <f>CAP[[#This Row],[Stat HP]]*CAP[[#This Row],[Stat SpD]]</f>
        <v>77976</v>
      </c>
      <c r="T107" s="1">
        <f>CAP[[#This Row],[Stat Atk]]*(CAP[[#This Row],[Stat Atk]]*CAP[[#This Row],[Stat Spe]]+415)/(CAP[[#This Row],[Stat Atk]]*(1-CAP[[#This Row],[Stat Spe]])+415)</f>
        <v>409.42378448260797</v>
      </c>
      <c r="U107" s="4">
        <f>CAP[[#This Row],[Stat SpA]]*(CAP[[#This Row],[Stat SpA]]*CAP[[#This Row],[Stat Spe]]+415)/(CAP[[#This Row],[Stat SpA]]*(1-CAP[[#This Row],[Stat Spe]])+415)</f>
        <v>366.45611704452102</v>
      </c>
      <c r="V107" s="9">
        <f>(CAP[[#This Row],[RPT]] /432.441508090053)-22.8128616201416</f>
        <v>174.19875360680953</v>
      </c>
      <c r="W107" s="10">
        <f>(CAP[[#This Row],[RST]] /426.30249118172)-22.4239890939417</f>
        <v>160.48838325426766</v>
      </c>
      <c r="X107" s="10">
        <f>(CAP[[#This Row],[RPS]]/2.21869141127892)+2.84495101810441</f>
        <v>187.37885348027868</v>
      </c>
      <c r="Y107" s="11">
        <f>(CAP[[#This Row],[RSS]]/2.30100441716059)+11.4244456864885</f>
        <v>170.68364324019123</v>
      </c>
      <c r="Z107" s="5">
        <f>(MAX(CAP[[#This Row],[PS]],CAP[[#This Row],[SS]]) - MAX(CAP[[#This Row],[PT]],CAP[[#This Row],[ST]])) / 6.165301 - 0.490854</f>
        <v>1.6469329261320973</v>
      </c>
      <c r="AA107" s="1">
        <f>(CAP[[#This Row],[PT]] - CAP[[#This Row],[ST]] + CAP[[#This Row],[PS]] - CAP[[#This Row],[SS]]) / 6.8267</f>
        <v>4.4539207219636605</v>
      </c>
      <c r="AB107" s="3">
        <f xml:space="preserve"> (CAP[[#This Row],[PT]] + CAP[[#This Row],[ST]] + CAP[[#This Row],[PS]] + CAP[[#This Row],[SS]]) /1.54532785176361-58.8447490566471</f>
        <v>389.44176360210332</v>
      </c>
      <c r="AC107"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Excellent</v>
      </c>
      <c r="AD107" s="14">
        <f>IF(CAP[[#This Row],[Overall Rating]]&lt;=200,80,IF(CAP[[#This Row],[Overall Rating]]&lt;250,75,IF(CAP[[#This Row],[Overall Rating]]&lt;300,70,IF(CAP[[#This Row],[Overall Rating]]&lt;350,65,IF(CAP[[#This Row],[Overall Rating]]&lt;400,60,IF(CAP[[#This Row],[Overall Rating]]&lt;450,55,50))))))</f>
        <v>60</v>
      </c>
    </row>
    <row r="108" spans="1:30" x14ac:dyDescent="0.3">
      <c r="A108">
        <v>31</v>
      </c>
      <c r="B108" s="14" t="s">
        <v>177</v>
      </c>
      <c r="C108" s="14" t="s">
        <v>50</v>
      </c>
      <c r="D108" s="14"/>
      <c r="E108">
        <v>80</v>
      </c>
      <c r="F108">
        <v>85</v>
      </c>
      <c r="G108">
        <v>75</v>
      </c>
      <c r="H108">
        <v>80</v>
      </c>
      <c r="I108">
        <v>70</v>
      </c>
      <c r="J108">
        <v>110</v>
      </c>
      <c r="K108" s="14">
        <f>CAP[[#This Row],[HP]]*2+141</f>
        <v>301</v>
      </c>
      <c r="L108" s="14">
        <f>CAP[[#This Row],[Atk]]*2+36</f>
        <v>206</v>
      </c>
      <c r="M108">
        <f>CAP[[#This Row],[Def]]*2+36</f>
        <v>186</v>
      </c>
      <c r="N108">
        <f>CAP[[#This Row],[SpA]]*2+36</f>
        <v>196</v>
      </c>
      <c r="O108" s="14">
        <f>CAP[[#This Row],[SpD]]*2+36</f>
        <v>176</v>
      </c>
      <c r="P108" s="14">
        <f>CAP[[#This Row],[SPD Factor]]/822</f>
        <v>0.92822384428223847</v>
      </c>
      <c r="Q108" s="14">
        <f>VLOOKUP(CAP[[#This Row],[Spe]],SpeedFactor[#All], 2, TRUE)</f>
        <v>763</v>
      </c>
      <c r="R108" s="14">
        <f>CAP[[#This Row],[Stat HP]]*CAP[[#This Row],[Stat Def]]</f>
        <v>55986</v>
      </c>
      <c r="S108" s="14">
        <f>CAP[[#This Row],[Stat HP]]*CAP[[#This Row],[Stat SpD]]</f>
        <v>52976</v>
      </c>
      <c r="T108" s="1">
        <f>CAP[[#This Row],[Stat Atk]]*(CAP[[#This Row],[Stat Atk]]*CAP[[#This Row],[Stat Spe]]+415)/(CAP[[#This Row],[Stat Atk]]*(1-CAP[[#This Row],[Stat Spe]])+415)</f>
        <v>290.56353528605882</v>
      </c>
      <c r="U108" s="4">
        <f>CAP[[#This Row],[Stat SpA]]*(CAP[[#This Row],[Stat SpA]]*CAP[[#This Row],[Stat Spe]]+415)/(CAP[[#This Row],[Stat SpA]]*(1-CAP[[#This Row],[Stat Spe]])+415)</f>
        <v>272.68081679869806</v>
      </c>
      <c r="V108" s="9">
        <f>(CAP[[#This Row],[RPT]] /432.441508090053)-22.8128616201416</f>
        <v>106.65204624051015</v>
      </c>
      <c r="W108" s="10">
        <f>(CAP[[#This Row],[RST]] /426.30249118172)-22.4239890939417</f>
        <v>101.84457863867782</v>
      </c>
      <c r="X108" s="10">
        <f>(CAP[[#This Row],[RPS]]/2.21869141127892)+2.84495101810441</f>
        <v>133.80662230278719</v>
      </c>
      <c r="Y108" s="11">
        <f>(CAP[[#This Row],[RSS]]/2.30100441716059)+11.4244456864885</f>
        <v>129.92957099832199</v>
      </c>
      <c r="Z108" s="5">
        <f>(MAX(CAP[[#This Row],[PS]],CAP[[#This Row],[SS]]) - MAX(CAP[[#This Row],[PT]],CAP[[#This Row],[ST]])) / 6.165301 - 0.490854</f>
        <v>3.9135661673652336</v>
      </c>
      <c r="AA108" s="1">
        <f>(CAP[[#This Row],[PT]] - CAP[[#This Row],[ST]] + CAP[[#This Row],[PS]] - CAP[[#This Row],[SS]]) / 6.8267</f>
        <v>1.2721401125430314</v>
      </c>
      <c r="AB108" s="3">
        <f xml:space="preserve"> (CAP[[#This Row],[PT]] + CAP[[#This Row],[ST]] + CAP[[#This Row],[PS]] + CAP[[#This Row],[SS]]) /1.54532785176361-58.8447490566471</f>
        <v>246.7427142388342</v>
      </c>
      <c r="AC108"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Above Average</v>
      </c>
      <c r="AD108" s="14">
        <f>IF(CAP[[#This Row],[Overall Rating]]&lt;=200,80,IF(CAP[[#This Row],[Overall Rating]]&lt;250,75,IF(CAP[[#This Row],[Overall Rating]]&lt;300,70,IF(CAP[[#This Row],[Overall Rating]]&lt;350,65,IF(CAP[[#This Row],[Overall Rating]]&lt;400,60,IF(CAP[[#This Row],[Overall Rating]]&lt;450,55,50))))))</f>
        <v>75</v>
      </c>
    </row>
    <row r="109" spans="1:30" x14ac:dyDescent="0.3">
      <c r="A109">
        <v>30</v>
      </c>
      <c r="B109" s="14" t="s">
        <v>173</v>
      </c>
      <c r="C109" s="14" t="s">
        <v>50</v>
      </c>
      <c r="D109" s="14"/>
      <c r="E109">
        <v>55</v>
      </c>
      <c r="F109">
        <v>60</v>
      </c>
      <c r="G109">
        <v>50</v>
      </c>
      <c r="H109">
        <v>55</v>
      </c>
      <c r="I109">
        <v>45</v>
      </c>
      <c r="J109">
        <v>70</v>
      </c>
      <c r="K109" s="14">
        <f>CAP[[#This Row],[HP]]*2+141</f>
        <v>251</v>
      </c>
      <c r="L109" s="14">
        <f>CAP[[#This Row],[Atk]]*2+36</f>
        <v>156</v>
      </c>
      <c r="M109">
        <f>CAP[[#This Row],[Def]]*2+36</f>
        <v>136</v>
      </c>
      <c r="N109">
        <f>CAP[[#This Row],[SpA]]*2+36</f>
        <v>146</v>
      </c>
      <c r="O109" s="14">
        <f>CAP[[#This Row],[SpD]]*2+36</f>
        <v>126</v>
      </c>
      <c r="P109" s="14">
        <f>CAP[[#This Row],[SPD Factor]]/822</f>
        <v>0.57055961070559613</v>
      </c>
      <c r="Q109" s="14">
        <f>VLOOKUP(CAP[[#This Row],[Spe]],SpeedFactor[#All], 2, TRUE)</f>
        <v>469</v>
      </c>
      <c r="R109" s="14">
        <f>CAP[[#This Row],[Stat HP]]*CAP[[#This Row],[Stat Def]]</f>
        <v>34136</v>
      </c>
      <c r="S109" s="14">
        <f>CAP[[#This Row],[Stat HP]]*CAP[[#This Row],[Stat SpD]]</f>
        <v>31626</v>
      </c>
      <c r="T109" s="1">
        <f>CAP[[#This Row],[Stat Atk]]*(CAP[[#This Row],[Stat Atk]]*CAP[[#This Row],[Stat Spe]]+415)/(CAP[[#This Row],[Stat Atk]]*(1-CAP[[#This Row],[Stat Spe]])+415)</f>
        <v>163.12516469038206</v>
      </c>
      <c r="U109" s="4">
        <f>CAP[[#This Row],[Stat SpA]]*(CAP[[#This Row],[Stat SpA]]*CAP[[#This Row],[Stat Spe]]+415)/(CAP[[#This Row],[Stat SpA]]*(1-CAP[[#This Row],[Stat Spe]])+415)</f>
        <v>152.29706520521151</v>
      </c>
      <c r="V109" s="9">
        <f>(CAP[[#This Row],[RPT]] /432.441508090053)-22.8128616201416</f>
        <v>56.124981675168087</v>
      </c>
      <c r="W109" s="10">
        <f>(CAP[[#This Row],[RST]] /426.30249118172)-22.4239890939417</f>
        <v>51.762769496964083</v>
      </c>
      <c r="X109" s="10">
        <f>(CAP[[#This Row],[RPS]]/2.21869141127892)+2.84495101810441</f>
        <v>76.36809347095766</v>
      </c>
      <c r="Y109" s="11">
        <f>(CAP[[#This Row],[RSS]]/2.30100441716059)+11.4244456864885</f>
        <v>77.61165683193434</v>
      </c>
      <c r="Z109" s="5">
        <f>(MAX(CAP[[#This Row],[PS]],CAP[[#This Row],[SS]]) - MAX(CAP[[#This Row],[PT]],CAP[[#This Row],[ST]])) / 6.165301 - 0.490854</f>
        <v>2.994243508907716</v>
      </c>
      <c r="AA109" s="1">
        <f>(CAP[[#This Row],[PT]] - CAP[[#This Row],[ST]] + CAP[[#This Row],[PS]] - CAP[[#This Row],[SS]]) / 6.8267</f>
        <v>0.45683109221546642</v>
      </c>
      <c r="AB109" s="3">
        <f xml:space="preserve"> (CAP[[#This Row],[PT]] + CAP[[#This Row],[ST]] + CAP[[#This Row],[PS]] + CAP[[#This Row],[SS]]) /1.54532785176361-58.8447490566471</f>
        <v>110.61282020683772</v>
      </c>
      <c r="AC109"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Poor</v>
      </c>
      <c r="AD109" s="14">
        <f>IF(CAP[[#This Row],[Overall Rating]]&lt;=200,80,IF(CAP[[#This Row],[Overall Rating]]&lt;250,75,IF(CAP[[#This Row],[Overall Rating]]&lt;300,70,IF(CAP[[#This Row],[Overall Rating]]&lt;350,65,IF(CAP[[#This Row],[Overall Rating]]&lt;400,60,IF(CAP[[#This Row],[Overall Rating]]&lt;450,55,50))))))</f>
        <v>80</v>
      </c>
    </row>
    <row r="110" spans="1:30" x14ac:dyDescent="0.3">
      <c r="A110">
        <v>29</v>
      </c>
      <c r="B110" s="14" t="s">
        <v>167</v>
      </c>
      <c r="C110" s="14" t="s">
        <v>134</v>
      </c>
      <c r="D110" s="14" t="s">
        <v>168</v>
      </c>
      <c r="E110">
        <v>100</v>
      </c>
      <c r="F110">
        <v>95</v>
      </c>
      <c r="G110">
        <v>95</v>
      </c>
      <c r="H110">
        <v>90</v>
      </c>
      <c r="I110">
        <v>100</v>
      </c>
      <c r="J110">
        <v>120</v>
      </c>
      <c r="K110" s="14">
        <f>CAP[[#This Row],[HP]]*2+141</f>
        <v>341</v>
      </c>
      <c r="L110" s="14">
        <f>CAP[[#This Row],[Atk]]*2+36</f>
        <v>226</v>
      </c>
      <c r="M110">
        <f>CAP[[#This Row],[Def]]*2+36</f>
        <v>226</v>
      </c>
      <c r="N110">
        <f>CAP[[#This Row],[SpA]]*2+36</f>
        <v>216</v>
      </c>
      <c r="O110" s="14">
        <f>CAP[[#This Row],[SpD]]*2+36</f>
        <v>236</v>
      </c>
      <c r="P110" s="14">
        <f>CAP[[#This Row],[SPD Factor]]/822</f>
        <v>0.96228710462287104</v>
      </c>
      <c r="Q110" s="14">
        <f>VLOOKUP(CAP[[#This Row],[Spe]],SpeedFactor[#All], 2, TRUE)</f>
        <v>791</v>
      </c>
      <c r="R110" s="14">
        <f>CAP[[#This Row],[Stat HP]]*CAP[[#This Row],[Stat Def]]</f>
        <v>77066</v>
      </c>
      <c r="S110" s="14">
        <f>CAP[[#This Row],[Stat HP]]*CAP[[#This Row],[Stat SpD]]</f>
        <v>80476</v>
      </c>
      <c r="T110" s="1">
        <f>CAP[[#This Row],[Stat Atk]]*(CAP[[#This Row],[Stat Atk]]*CAP[[#This Row],[Stat Spe]]+415)/(CAP[[#This Row],[Stat Atk]]*(1-CAP[[#This Row],[Stat Spe]])+415)</f>
        <v>337.50171197463061</v>
      </c>
      <c r="U110" s="4">
        <f>CAP[[#This Row],[Stat SpA]]*(CAP[[#This Row],[Stat SpA]]*CAP[[#This Row],[Stat Spe]]+415)/(CAP[[#This Row],[Stat SpA]]*(1-CAP[[#This Row],[Stat Spe]])+415)</f>
        <v>317.94338548584636</v>
      </c>
      <c r="V110" s="9">
        <f>(CAP[[#This Row],[RPT]] /432.441508090053)-22.8128616201416</f>
        <v>155.39852317586076</v>
      </c>
      <c r="W110" s="10">
        <f>(CAP[[#This Row],[RST]] /426.30249118172)-22.4239890939417</f>
        <v>166.35276371582665</v>
      </c>
      <c r="X110" s="10">
        <f>(CAP[[#This Row],[RPS]]/2.21869141127892)+2.84495101810441</f>
        <v>154.96241551042178</v>
      </c>
      <c r="Y110" s="11">
        <f>(CAP[[#This Row],[RSS]]/2.30100441716059)+11.4244456864885</f>
        <v>149.60035839428957</v>
      </c>
      <c r="Z110" s="5">
        <f>(MAX(CAP[[#This Row],[PS]],CAP[[#This Row],[SS]]) - MAX(CAP[[#This Row],[PT]],CAP[[#This Row],[ST]])) / 6.165301 - 0.490854</f>
        <v>-2.3383466374892121</v>
      </c>
      <c r="AA110" s="1">
        <f>(CAP[[#This Row],[PT]] - CAP[[#This Row],[ST]] + CAP[[#This Row],[PS]] - CAP[[#This Row],[SS]]) / 6.8267</f>
        <v>-0.81916349390389043</v>
      </c>
      <c r="AB110" s="3">
        <f xml:space="preserve"> (CAP[[#This Row],[PT]] + CAP[[#This Row],[ST]] + CAP[[#This Row],[PS]] + CAP[[#This Row],[SS]]) /1.54532785176361-58.8447490566471</f>
        <v>346.45051568708732</v>
      </c>
      <c r="AC110"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Very Good</v>
      </c>
      <c r="AD110" s="14">
        <f>IF(CAP[[#This Row],[Overall Rating]]&lt;=200,80,IF(CAP[[#This Row],[Overall Rating]]&lt;250,75,IF(CAP[[#This Row],[Overall Rating]]&lt;300,70,IF(CAP[[#This Row],[Overall Rating]]&lt;350,65,IF(CAP[[#This Row],[Overall Rating]]&lt;400,60,IF(CAP[[#This Row],[Overall Rating]]&lt;450,55,50))))))</f>
        <v>65</v>
      </c>
    </row>
    <row r="111" spans="1:30" x14ac:dyDescent="0.3">
      <c r="A111">
        <v>28</v>
      </c>
      <c r="B111" s="14" t="s">
        <v>161</v>
      </c>
      <c r="C111" s="14" t="s">
        <v>21</v>
      </c>
      <c r="D111" s="14" t="s">
        <v>59</v>
      </c>
      <c r="E111">
        <v>100</v>
      </c>
      <c r="F111">
        <v>90</v>
      </c>
      <c r="G111">
        <v>100</v>
      </c>
      <c r="H111">
        <v>130</v>
      </c>
      <c r="I111">
        <v>95</v>
      </c>
      <c r="J111">
        <v>85</v>
      </c>
      <c r="K111" s="14">
        <f>CAP[[#This Row],[HP]]*2+141</f>
        <v>341</v>
      </c>
      <c r="L111" s="14">
        <f>CAP[[#This Row],[Atk]]*2+36</f>
        <v>216</v>
      </c>
      <c r="M111">
        <f>CAP[[#This Row],[Def]]*2+36</f>
        <v>236</v>
      </c>
      <c r="N111">
        <f>CAP[[#This Row],[SpA]]*2+36</f>
        <v>296</v>
      </c>
      <c r="O111" s="14">
        <f>CAP[[#This Row],[SpD]]*2+36</f>
        <v>226</v>
      </c>
      <c r="P111" s="14">
        <f>CAP[[#This Row],[SPD Factor]]/822</f>
        <v>0.71289537712895379</v>
      </c>
      <c r="Q111" s="14">
        <f>VLOOKUP(CAP[[#This Row],[Spe]],SpeedFactor[#All], 2, TRUE)</f>
        <v>586</v>
      </c>
      <c r="R111" s="14">
        <f>CAP[[#This Row],[Stat HP]]*CAP[[#This Row],[Stat Def]]</f>
        <v>80476</v>
      </c>
      <c r="S111" s="14">
        <f>CAP[[#This Row],[Stat HP]]*CAP[[#This Row],[Stat SpD]]</f>
        <v>77066</v>
      </c>
      <c r="T111" s="1">
        <f>CAP[[#This Row],[Stat Atk]]*(CAP[[#This Row],[Stat Atk]]*CAP[[#This Row],[Stat Spe]]+415)/(CAP[[#This Row],[Stat Atk]]*(1-CAP[[#This Row],[Stat Spe]])+415)</f>
        <v>257.64588147082679</v>
      </c>
      <c r="U111" s="4">
        <f>CAP[[#This Row],[Stat SpA]]*(CAP[[#This Row],[Stat SpA]]*CAP[[#This Row],[Stat Spe]]+415)/(CAP[[#This Row],[Stat SpA]]*(1-CAP[[#This Row],[Stat Spe]])+415)</f>
        <v>370.61470707031384</v>
      </c>
      <c r="V111" s="9">
        <f>(CAP[[#This Row],[RPT]] /432.441508090053)-22.8128616201416</f>
        <v>163.28398268010864</v>
      </c>
      <c r="W111" s="10">
        <f>(CAP[[#This Row],[RST]] /426.30249118172)-22.4239890939417</f>
        <v>158.3537487662602</v>
      </c>
      <c r="X111" s="10">
        <f>(CAP[[#This Row],[RPS]]/2.21869141127892)+2.84495101810441</f>
        <v>118.97010486377239</v>
      </c>
      <c r="Y111" s="11">
        <f>(CAP[[#This Row],[RSS]]/2.30100441716059)+11.4244456864885</f>
        <v>172.49093660946016</v>
      </c>
      <c r="Z111" s="5">
        <f>(MAX(CAP[[#This Row],[PS]],CAP[[#This Row],[SS]]) - MAX(CAP[[#This Row],[PT]],CAP[[#This Row],[ST]])) / 6.165301 - 0.490854</f>
        <v>1.0024962726552245</v>
      </c>
      <c r="AA111" s="1">
        <f>(CAP[[#This Row],[PT]] - CAP[[#This Row],[ST]] + CAP[[#This Row],[PS]] - CAP[[#This Row],[SS]]) / 6.8267</f>
        <v>-7.1177285997391619</v>
      </c>
      <c r="AB111" s="3">
        <f xml:space="preserve"> (CAP[[#This Row],[PT]] + CAP[[#This Row],[ST]] + CAP[[#This Row],[PS]] + CAP[[#This Row],[SS]]) /1.54532785176361-58.8447490566471</f>
        <v>337.89874600163495</v>
      </c>
      <c r="AC111"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Very Good</v>
      </c>
      <c r="AD111" s="14">
        <f>IF(CAP[[#This Row],[Overall Rating]]&lt;=200,80,IF(CAP[[#This Row],[Overall Rating]]&lt;250,75,IF(CAP[[#This Row],[Overall Rating]]&lt;300,70,IF(CAP[[#This Row],[Overall Rating]]&lt;350,65,IF(CAP[[#This Row],[Overall Rating]]&lt;400,60,IF(CAP[[#This Row],[Overall Rating]]&lt;450,55,50))))))</f>
        <v>65</v>
      </c>
    </row>
    <row r="112" spans="1:30" x14ac:dyDescent="0.3">
      <c r="A112">
        <v>27</v>
      </c>
      <c r="B112" s="14" t="s">
        <v>156</v>
      </c>
      <c r="C112" s="14" t="s">
        <v>37</v>
      </c>
      <c r="D112" s="14" t="s">
        <v>44</v>
      </c>
      <c r="E112">
        <v>100</v>
      </c>
      <c r="F112">
        <v>130</v>
      </c>
      <c r="G112">
        <v>90</v>
      </c>
      <c r="H112">
        <v>95</v>
      </c>
      <c r="I112">
        <v>100</v>
      </c>
      <c r="J112">
        <v>85</v>
      </c>
      <c r="K112" s="14">
        <f>CAP[[#This Row],[HP]]*2+141</f>
        <v>341</v>
      </c>
      <c r="L112" s="14">
        <f>CAP[[#This Row],[Atk]]*2+36</f>
        <v>296</v>
      </c>
      <c r="M112">
        <f>CAP[[#This Row],[Def]]*2+36</f>
        <v>216</v>
      </c>
      <c r="N112">
        <f>CAP[[#This Row],[SpA]]*2+36</f>
        <v>226</v>
      </c>
      <c r="O112" s="14">
        <f>CAP[[#This Row],[SpD]]*2+36</f>
        <v>236</v>
      </c>
      <c r="P112" s="14">
        <f>CAP[[#This Row],[SPD Factor]]/822</f>
        <v>0.71289537712895379</v>
      </c>
      <c r="Q112" s="14">
        <f>VLOOKUP(CAP[[#This Row],[Spe]],SpeedFactor[#All], 2, TRUE)</f>
        <v>586</v>
      </c>
      <c r="R112" s="14">
        <f>CAP[[#This Row],[Stat HP]]*CAP[[#This Row],[Stat Def]]</f>
        <v>73656</v>
      </c>
      <c r="S112" s="14">
        <f>CAP[[#This Row],[Stat HP]]*CAP[[#This Row],[Stat SpD]]</f>
        <v>80476</v>
      </c>
      <c r="T112" s="1">
        <f>CAP[[#This Row],[Stat Atk]]*(CAP[[#This Row],[Stat Atk]]*CAP[[#This Row],[Stat Spe]]+415)/(CAP[[#This Row],[Stat Atk]]*(1-CAP[[#This Row],[Stat Spe]])+415)</f>
        <v>370.61470707031384</v>
      </c>
      <c r="U112" s="4">
        <f>CAP[[#This Row],[Stat SpA]]*(CAP[[#This Row],[Stat SpA]]*CAP[[#This Row],[Stat Spe]]+415)/(CAP[[#This Row],[Stat SpA]]*(1-CAP[[#This Row],[Stat Spe]])+415)</f>
        <v>271.3184811872253</v>
      </c>
      <c r="V112" s="9">
        <f>(CAP[[#This Row],[RPT]] /432.441508090053)-22.8128616201416</f>
        <v>147.51306367161285</v>
      </c>
      <c r="W112" s="10">
        <f>(CAP[[#This Row],[RST]] /426.30249118172)-22.4239890939417</f>
        <v>166.35276371582665</v>
      </c>
      <c r="X112" s="10">
        <f>(CAP[[#This Row],[RPS]]/2.21869141127892)+2.84495101810441</f>
        <v>169.88697641481357</v>
      </c>
      <c r="Y112" s="11">
        <f>(CAP[[#This Row],[RSS]]/2.30100441716059)+11.4244456864885</f>
        <v>129.33750972224939</v>
      </c>
      <c r="Z112" s="5">
        <f>(MAX(CAP[[#This Row],[PS]],CAP[[#This Row],[SS]]) - MAX(CAP[[#This Row],[PT]],CAP[[#This Row],[ST]])) / 6.165301 - 0.490854</f>
        <v>8.2388522787925522E-2</v>
      </c>
      <c r="AA112" s="1">
        <f>(CAP[[#This Row],[PT]] - CAP[[#This Row],[ST]] + CAP[[#This Row],[PS]] - CAP[[#This Row],[SS]]) / 6.8267</f>
        <v>3.18012607092012</v>
      </c>
      <c r="AB112" s="3">
        <f xml:space="preserve"> (CAP[[#This Row],[PT]] + CAP[[#This Row],[ST]] + CAP[[#This Row],[PS]] + CAP[[#This Row],[SS]]) /1.54532785176361-58.8447490566471</f>
        <v>337.89327182663101</v>
      </c>
      <c r="AC112"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Very Good</v>
      </c>
      <c r="AD112" s="14">
        <f>IF(CAP[[#This Row],[Overall Rating]]&lt;=200,80,IF(CAP[[#This Row],[Overall Rating]]&lt;250,75,IF(CAP[[#This Row],[Overall Rating]]&lt;300,70,IF(CAP[[#This Row],[Overall Rating]]&lt;350,65,IF(CAP[[#This Row],[Overall Rating]]&lt;400,60,IF(CAP[[#This Row],[Overall Rating]]&lt;450,55,50))))))</f>
        <v>65</v>
      </c>
    </row>
    <row r="113" spans="1:30" x14ac:dyDescent="0.3">
      <c r="A113">
        <v>26</v>
      </c>
      <c r="B113" s="14" t="s">
        <v>149</v>
      </c>
      <c r="C113" s="14" t="s">
        <v>89</v>
      </c>
      <c r="D113" s="14" t="s">
        <v>150</v>
      </c>
      <c r="E113">
        <v>115</v>
      </c>
      <c r="F113">
        <v>135</v>
      </c>
      <c r="G113">
        <v>120</v>
      </c>
      <c r="H113">
        <v>110</v>
      </c>
      <c r="I113">
        <v>110</v>
      </c>
      <c r="J113">
        <v>100</v>
      </c>
      <c r="K113" s="14">
        <f>CAP[[#This Row],[HP]]*2+141</f>
        <v>371</v>
      </c>
      <c r="L113" s="14">
        <f>CAP[[#This Row],[Atk]]*2+36</f>
        <v>306</v>
      </c>
      <c r="M113">
        <f>CAP[[#This Row],[Def]]*2+36</f>
        <v>276</v>
      </c>
      <c r="N113">
        <f>CAP[[#This Row],[SpA]]*2+36</f>
        <v>256</v>
      </c>
      <c r="O113" s="14">
        <f>CAP[[#This Row],[SpD]]*2+36</f>
        <v>256</v>
      </c>
      <c r="P113" s="14">
        <f>CAP[[#This Row],[SPD Factor]]/822</f>
        <v>0.86496350364963503</v>
      </c>
      <c r="Q113" s="14">
        <f>VLOOKUP(CAP[[#This Row],[Spe]],SpeedFactor[#All], 2, TRUE)</f>
        <v>711</v>
      </c>
      <c r="R113" s="14">
        <f>CAP[[#This Row],[Stat HP]]*CAP[[#This Row],[Stat Def]]</f>
        <v>102396</v>
      </c>
      <c r="S113" s="14">
        <f>CAP[[#This Row],[Stat HP]]*CAP[[#This Row],[Stat SpD]]</f>
        <v>94976</v>
      </c>
      <c r="T113" s="1">
        <f>CAP[[#This Row],[Stat Atk]]*(CAP[[#This Row],[Stat Atk]]*CAP[[#This Row],[Stat Spe]]+415)/(CAP[[#This Row],[Stat Atk]]*(1-CAP[[#This Row],[Stat Spe]])+415)</f>
        <v>455.77925651033331</v>
      </c>
      <c r="U113" s="4">
        <f>CAP[[#This Row],[Stat SpA]]*(CAP[[#This Row],[Stat SpA]]*CAP[[#This Row],[Stat Spe]]+415)/(CAP[[#This Row],[Stat SpA]]*(1-CAP[[#This Row],[Stat Spe]])+415)</f>
        <v>362.40515659755488</v>
      </c>
      <c r="V113" s="9">
        <f>(CAP[[#This Row],[RPT]] /432.441508090053)-22.8128616201416</f>
        <v>213.97291884817722</v>
      </c>
      <c r="W113" s="10">
        <f>(CAP[[#This Row],[RST]] /426.30249118172)-22.4239890939417</f>
        <v>200.36617039286875</v>
      </c>
      <c r="X113" s="10">
        <f>(CAP[[#This Row],[RPS]]/2.21869141127892)+2.84495101810441</f>
        <v>208.27201229996538</v>
      </c>
      <c r="Y113" s="11">
        <f>(CAP[[#This Row],[RSS]]/2.30100441716059)+11.4244456864885</f>
        <v>168.92312491317082</v>
      </c>
      <c r="Z113" s="5">
        <f>(MAX(CAP[[#This Row],[PS]],CAP[[#This Row],[SS]]) - MAX(CAP[[#This Row],[PT]],CAP[[#This Row],[ST]])) / 6.165301 - 0.490854</f>
        <v>-1.4155301104140467</v>
      </c>
      <c r="AA113" s="1">
        <f>(CAP[[#This Row],[PT]] - CAP[[#This Row],[ST]] + CAP[[#This Row],[PS]] - CAP[[#This Row],[SS]]) / 6.8267</f>
        <v>7.7571353424206455</v>
      </c>
      <c r="AB113" s="3">
        <f xml:space="preserve"> (CAP[[#This Row],[PT]] + CAP[[#This Row],[ST]] + CAP[[#This Row],[PS]] + CAP[[#This Row],[SS]]) /1.54532785176361-58.8447490566471</f>
        <v>453.36644648405405</v>
      </c>
      <c r="AC113"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Amazing</v>
      </c>
      <c r="AD113" s="14">
        <f>IF(CAP[[#This Row],[Overall Rating]]&lt;=200,80,IF(CAP[[#This Row],[Overall Rating]]&lt;250,75,IF(CAP[[#This Row],[Overall Rating]]&lt;300,70,IF(CAP[[#This Row],[Overall Rating]]&lt;350,65,IF(CAP[[#This Row],[Overall Rating]]&lt;400,60,IF(CAP[[#This Row],[Overall Rating]]&lt;450,55,50))))))</f>
        <v>50</v>
      </c>
    </row>
    <row r="114" spans="1:30" x14ac:dyDescent="0.3">
      <c r="A114">
        <v>25</v>
      </c>
      <c r="B114" s="14" t="s">
        <v>143</v>
      </c>
      <c r="C114" s="14" t="s">
        <v>84</v>
      </c>
      <c r="D114" s="14" t="s">
        <v>51</v>
      </c>
      <c r="E114">
        <v>100</v>
      </c>
      <c r="F114">
        <v>110</v>
      </c>
      <c r="G114">
        <v>90</v>
      </c>
      <c r="H114">
        <v>140</v>
      </c>
      <c r="I114">
        <v>120</v>
      </c>
      <c r="J114">
        <v>100</v>
      </c>
      <c r="K114" s="14">
        <f>CAP[[#This Row],[HP]]*2+141</f>
        <v>341</v>
      </c>
      <c r="L114" s="14">
        <f>CAP[[#This Row],[Atk]]*2+36</f>
        <v>256</v>
      </c>
      <c r="M114">
        <f>CAP[[#This Row],[Def]]*2+36</f>
        <v>216</v>
      </c>
      <c r="N114">
        <f>CAP[[#This Row],[SpA]]*2+36</f>
        <v>316</v>
      </c>
      <c r="O114" s="14">
        <f>CAP[[#This Row],[SpD]]*2+36</f>
        <v>276</v>
      </c>
      <c r="P114" s="14">
        <f>CAP[[#This Row],[SPD Factor]]/822</f>
        <v>0.86496350364963503</v>
      </c>
      <c r="Q114" s="14">
        <f>VLOOKUP(CAP[[#This Row],[Spe]],SpeedFactor[#All], 2, TRUE)</f>
        <v>711</v>
      </c>
      <c r="R114" s="14">
        <f>CAP[[#This Row],[Stat HP]]*CAP[[#This Row],[Stat Def]]</f>
        <v>73656</v>
      </c>
      <c r="S114" s="14">
        <f>CAP[[#This Row],[Stat HP]]*CAP[[#This Row],[Stat SpD]]</f>
        <v>94116</v>
      </c>
      <c r="T114" s="1">
        <f>CAP[[#This Row],[Stat Atk]]*(CAP[[#This Row],[Stat Atk]]*CAP[[#This Row],[Stat Spe]]+415)/(CAP[[#This Row],[Stat Atk]]*(1-CAP[[#This Row],[Stat Spe]])+415)</f>
        <v>362.40515659755488</v>
      </c>
      <c r="U114" s="4">
        <f>CAP[[#This Row],[Stat SpA]]*(CAP[[#This Row],[Stat SpA]]*CAP[[#This Row],[Stat Spe]]+415)/(CAP[[#This Row],[Stat SpA]]*(1-CAP[[#This Row],[Stat Spe]])+415)</f>
        <v>475.25742811119443</v>
      </c>
      <c r="V114" s="9">
        <f>(CAP[[#This Row],[RPT]] /432.441508090053)-22.8128616201416</f>
        <v>147.51306367161285</v>
      </c>
      <c r="W114" s="10">
        <f>(CAP[[#This Row],[RST]] /426.30249118172)-22.4239890939417</f>
        <v>198.34882351409249</v>
      </c>
      <c r="X114" s="10">
        <f>(CAP[[#This Row],[RPS]]/2.21869141127892)+2.84495101810441</f>
        <v>166.18679962094987</v>
      </c>
      <c r="Y114" s="11">
        <f>(CAP[[#This Row],[RSS]]/2.30100441716059)+11.4244456864885</f>
        <v>217.96791190792931</v>
      </c>
      <c r="Z114" s="5">
        <f>(MAX(CAP[[#This Row],[PS]],CAP[[#This Row],[SS]]) - MAX(CAP[[#This Row],[PT]],CAP[[#This Row],[ST]])) / 6.165301 - 0.490854</f>
        <v>2.6913245171294666</v>
      </c>
      <c r="AA114" s="1">
        <f>(CAP[[#This Row],[PT]] - CAP[[#This Row],[ST]] + CAP[[#This Row],[PS]] - CAP[[#This Row],[SS]]) / 6.8267</f>
        <v>-15.031694981390579</v>
      </c>
      <c r="AB114" s="3">
        <f xml:space="preserve"> (CAP[[#This Row],[PT]] + CAP[[#This Row],[ST]] + CAP[[#This Row],[PS]] + CAP[[#This Row],[SS]]) /1.54532785176361-58.8447490566471</f>
        <v>413.55765919701298</v>
      </c>
      <c r="AC114"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Fantastic</v>
      </c>
      <c r="AD114" s="14">
        <f>IF(CAP[[#This Row],[Overall Rating]]&lt;=200,80,IF(CAP[[#This Row],[Overall Rating]]&lt;250,75,IF(CAP[[#This Row],[Overall Rating]]&lt;300,70,IF(CAP[[#This Row],[Overall Rating]]&lt;350,65,IF(CAP[[#This Row],[Overall Rating]]&lt;400,60,IF(CAP[[#This Row],[Overall Rating]]&lt;450,55,50))))))</f>
        <v>55</v>
      </c>
    </row>
    <row r="115" spans="1:30" x14ac:dyDescent="0.3">
      <c r="A115">
        <v>24</v>
      </c>
      <c r="B115" s="14" t="s">
        <v>133</v>
      </c>
      <c r="C115" s="14" t="s">
        <v>134</v>
      </c>
      <c r="D115" s="14" t="s">
        <v>135</v>
      </c>
      <c r="E115">
        <v>110</v>
      </c>
      <c r="F115">
        <v>130</v>
      </c>
      <c r="G115">
        <v>110</v>
      </c>
      <c r="H115">
        <v>100</v>
      </c>
      <c r="I115">
        <v>110</v>
      </c>
      <c r="J115">
        <v>100</v>
      </c>
      <c r="K115" s="14">
        <f>CAP[[#This Row],[HP]]*2+141</f>
        <v>361</v>
      </c>
      <c r="L115" s="14">
        <f>CAP[[#This Row],[Atk]]*2+36</f>
        <v>296</v>
      </c>
      <c r="M115">
        <f>CAP[[#This Row],[Def]]*2+36</f>
        <v>256</v>
      </c>
      <c r="N115">
        <f>CAP[[#This Row],[SpA]]*2+36</f>
        <v>236</v>
      </c>
      <c r="O115" s="14">
        <f>CAP[[#This Row],[SpD]]*2+36</f>
        <v>256</v>
      </c>
      <c r="P115" s="14">
        <f>CAP[[#This Row],[SPD Factor]]/822</f>
        <v>0.86496350364963503</v>
      </c>
      <c r="Q115" s="14">
        <f>VLOOKUP(CAP[[#This Row],[Spe]],SpeedFactor[#All], 2, TRUE)</f>
        <v>711</v>
      </c>
      <c r="R115" s="14">
        <f>CAP[[#This Row],[Stat HP]]*CAP[[#This Row],[Stat Def]]</f>
        <v>92416</v>
      </c>
      <c r="S115" s="14">
        <f>CAP[[#This Row],[Stat HP]]*CAP[[#This Row],[Stat SpD]]</f>
        <v>92416</v>
      </c>
      <c r="T115" s="1">
        <f>CAP[[#This Row],[Stat Atk]]*(CAP[[#This Row],[Stat Atk]]*CAP[[#This Row],[Stat Spe]]+415)/(CAP[[#This Row],[Stat Atk]]*(1-CAP[[#This Row],[Stat Spe]])+415)</f>
        <v>436.56568962474535</v>
      </c>
      <c r="U115" s="4">
        <f>CAP[[#This Row],[Stat SpA]]*(CAP[[#This Row],[Stat SpA]]*CAP[[#This Row],[Stat Spe]]+415)/(CAP[[#This Row],[Stat SpA]]*(1-CAP[[#This Row],[Stat Spe]])+415)</f>
        <v>326.9753189265121</v>
      </c>
      <c r="V115" s="9">
        <f>(CAP[[#This Row],[RPT]] /432.441508090053)-22.8128616201416</f>
        <v>190.89465320231386</v>
      </c>
      <c r="W115" s="10">
        <f>(CAP[[#This Row],[RST]] /426.30249118172)-22.4239890939417</f>
        <v>194.36104480023238</v>
      </c>
      <c r="X115" s="10">
        <f>(CAP[[#This Row],[RPS]]/2.21869141127892)+2.84495101810441</f>
        <v>199.61214784657</v>
      </c>
      <c r="Y115" s="11">
        <f>(CAP[[#This Row],[RSS]]/2.30100441716059)+11.4244456864885</f>
        <v>153.52557182426247</v>
      </c>
      <c r="Z115" s="5">
        <f>(MAX(CAP[[#This Row],[PS]],CAP[[#This Row],[SS]]) - MAX(CAP[[#This Row],[PT]],CAP[[#This Row],[ST]])) / 6.165301 - 0.490854</f>
        <v>0.36086484492543325</v>
      </c>
      <c r="AA115" s="1">
        <f>(CAP[[#This Row],[PT]] - CAP[[#This Row],[ST]] + CAP[[#This Row],[PS]] - CAP[[#This Row],[SS]]) / 6.8267</f>
        <v>6.2431605936087733</v>
      </c>
      <c r="AB115" s="3">
        <f xml:space="preserve"> (CAP[[#This Row],[PT]] + CAP[[#This Row],[ST]] + CAP[[#This Row],[PS]] + CAP[[#This Row],[SS]]) /1.54532785176361-58.8447490566471</f>
        <v>418.97839820021818</v>
      </c>
      <c r="AC115"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Fantastic</v>
      </c>
      <c r="AD115" s="14">
        <f>IF(CAP[[#This Row],[Overall Rating]]&lt;=200,80,IF(CAP[[#This Row],[Overall Rating]]&lt;250,75,IF(CAP[[#This Row],[Overall Rating]]&lt;300,70,IF(CAP[[#This Row],[Overall Rating]]&lt;350,65,IF(CAP[[#This Row],[Overall Rating]]&lt;400,60,IF(CAP[[#This Row],[Overall Rating]]&lt;450,55,50))))))</f>
        <v>55</v>
      </c>
    </row>
    <row r="116" spans="1:30" x14ac:dyDescent="0.3">
      <c r="A116">
        <v>23</v>
      </c>
      <c r="B116" s="14" t="s">
        <v>129</v>
      </c>
      <c r="C116" s="14" t="s">
        <v>50</v>
      </c>
      <c r="D116" s="14" t="s">
        <v>89</v>
      </c>
      <c r="E116">
        <v>90</v>
      </c>
      <c r="F116">
        <v>90</v>
      </c>
      <c r="G116">
        <v>90</v>
      </c>
      <c r="H116">
        <v>115</v>
      </c>
      <c r="I116">
        <v>90</v>
      </c>
      <c r="J116">
        <v>90</v>
      </c>
      <c r="K116" s="14">
        <f>CAP[[#This Row],[HP]]*2+141</f>
        <v>321</v>
      </c>
      <c r="L116" s="14">
        <f>CAP[[#This Row],[Atk]]*2+36</f>
        <v>216</v>
      </c>
      <c r="M116">
        <f>CAP[[#This Row],[Def]]*2+36</f>
        <v>216</v>
      </c>
      <c r="N116">
        <f>CAP[[#This Row],[SpA]]*2+36</f>
        <v>266</v>
      </c>
      <c r="O116" s="14">
        <f>CAP[[#This Row],[SpD]]*2+36</f>
        <v>216</v>
      </c>
      <c r="P116" s="14">
        <f>CAP[[#This Row],[SPD Factor]]/822</f>
        <v>0.76034063260340634</v>
      </c>
      <c r="Q116" s="14">
        <f>VLOOKUP(CAP[[#This Row],[Spe]],SpeedFactor[#All], 2, TRUE)</f>
        <v>625</v>
      </c>
      <c r="R116" s="14">
        <f>CAP[[#This Row],[Stat HP]]*CAP[[#This Row],[Stat Def]]</f>
        <v>69336</v>
      </c>
      <c r="S116" s="14">
        <f>CAP[[#This Row],[Stat HP]]*CAP[[#This Row],[Stat SpD]]</f>
        <v>69336</v>
      </c>
      <c r="T116" s="1">
        <f>CAP[[#This Row],[Stat Atk]]*(CAP[[#This Row],[Stat Atk]]*CAP[[#This Row],[Stat Spe]]+415)/(CAP[[#This Row],[Stat Atk]]*(1-CAP[[#This Row],[Stat Spe]])+415)</f>
        <v>268.04509984831191</v>
      </c>
      <c r="U116" s="4">
        <f>CAP[[#This Row],[Stat SpA]]*(CAP[[#This Row],[Stat SpA]]*CAP[[#This Row],[Stat Spe]]+415)/(CAP[[#This Row],[Stat SpA]]*(1-CAP[[#This Row],[Stat Spe]])+415)</f>
        <v>342.95325411910596</v>
      </c>
      <c r="V116" s="9">
        <f>(CAP[[#This Row],[RPT]] /432.441508090053)-22.8128616201416</f>
        <v>137.52327333192051</v>
      </c>
      <c r="W116" s="10">
        <f>(CAP[[#This Row],[RST]] /426.30249118172)-22.4239890939417</f>
        <v>140.22108437911982</v>
      </c>
      <c r="X116" s="10">
        <f>(CAP[[#This Row],[RPS]]/2.21869141127892)+2.84495101810441</f>
        <v>123.65720029516936</v>
      </c>
      <c r="Y116" s="11">
        <f>(CAP[[#This Row],[RSS]]/2.30100441716059)+11.4244456864885</f>
        <v>160.46946774790024</v>
      </c>
      <c r="Z116" s="5">
        <f>(MAX(CAP[[#This Row],[PS]],CAP[[#This Row],[SS]]) - MAX(CAP[[#This Row],[PT]],CAP[[#This Row],[ST]])) / 6.165301 - 0.490854</f>
        <v>2.7933949553681843</v>
      </c>
      <c r="AA116" s="1">
        <f>(CAP[[#This Row],[PT]] - CAP[[#This Row],[ST]] + CAP[[#This Row],[PS]] - CAP[[#This Row],[SS]]) / 6.8267</f>
        <v>-5.7875808955908692</v>
      </c>
      <c r="AB116" s="3">
        <f xml:space="preserve"> (CAP[[#This Row],[PT]] + CAP[[#This Row],[ST]] + CAP[[#This Row],[PS]] + CAP[[#This Row],[SS]]) /1.54532785176361-58.8447490566471</f>
        <v>304.74866260216237</v>
      </c>
      <c r="AC116"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Very Good</v>
      </c>
      <c r="AD116" s="14">
        <f>IF(CAP[[#This Row],[Overall Rating]]&lt;=200,80,IF(CAP[[#This Row],[Overall Rating]]&lt;250,75,IF(CAP[[#This Row],[Overall Rating]]&lt;300,70,IF(CAP[[#This Row],[Overall Rating]]&lt;350,65,IF(CAP[[#This Row],[Overall Rating]]&lt;400,60,IF(CAP[[#This Row],[Overall Rating]]&lt;450,55,50))))))</f>
        <v>65</v>
      </c>
    </row>
    <row r="117" spans="1:30" x14ac:dyDescent="0.3">
      <c r="A117">
        <v>22</v>
      </c>
      <c r="B117" s="14" t="s">
        <v>126</v>
      </c>
      <c r="C117" s="14" t="s">
        <v>50</v>
      </c>
      <c r="D117" s="14"/>
      <c r="E117">
        <v>75</v>
      </c>
      <c r="F117">
        <v>80</v>
      </c>
      <c r="G117">
        <v>65</v>
      </c>
      <c r="H117">
        <v>85</v>
      </c>
      <c r="I117">
        <v>70</v>
      </c>
      <c r="J117">
        <v>85</v>
      </c>
      <c r="K117" s="14">
        <f>CAP[[#This Row],[HP]]*2+141</f>
        <v>291</v>
      </c>
      <c r="L117" s="14">
        <f>CAP[[#This Row],[Atk]]*2+36</f>
        <v>196</v>
      </c>
      <c r="M117">
        <f>CAP[[#This Row],[Def]]*2+36</f>
        <v>166</v>
      </c>
      <c r="N117">
        <f>CAP[[#This Row],[SpA]]*2+36</f>
        <v>206</v>
      </c>
      <c r="O117" s="14">
        <f>CAP[[#This Row],[SpD]]*2+36</f>
        <v>176</v>
      </c>
      <c r="P117" s="14">
        <f>CAP[[#This Row],[SPD Factor]]/822</f>
        <v>0.71289537712895379</v>
      </c>
      <c r="Q117" s="14">
        <f>VLOOKUP(CAP[[#This Row],[Spe]],SpeedFactor[#All], 2, TRUE)</f>
        <v>586</v>
      </c>
      <c r="R117" s="14">
        <f>CAP[[#This Row],[Stat HP]]*CAP[[#This Row],[Stat Def]]</f>
        <v>48306</v>
      </c>
      <c r="S117" s="14">
        <f>CAP[[#This Row],[Stat HP]]*CAP[[#This Row],[Stat SpD]]</f>
        <v>51216</v>
      </c>
      <c r="T117" s="1">
        <f>CAP[[#This Row],[Stat Atk]]*(CAP[[#This Row],[Stat Atk]]*CAP[[#This Row],[Stat Spe]]+415)/(CAP[[#This Row],[Stat Atk]]*(1-CAP[[#This Row],[Stat Spe]])+415)</f>
        <v>230.70853360730644</v>
      </c>
      <c r="U117" s="4">
        <f>CAP[[#This Row],[Stat SpA]]*(CAP[[#This Row],[Stat SpA]]*CAP[[#This Row],[Stat Spe]]+415)/(CAP[[#This Row],[Stat SpA]]*(1-CAP[[#This Row],[Stat Spe]])+415)</f>
        <v>244.10840906641761</v>
      </c>
      <c r="V117" s="9">
        <f>(CAP[[#This Row],[RPT]] /432.441508090053)-22.8128616201416</f>
        <v>88.892418969945979</v>
      </c>
      <c r="W117" s="10">
        <f>(CAP[[#This Row],[RST]] /426.30249118172)-22.4239890939417</f>
        <v>97.716054793740284</v>
      </c>
      <c r="X117" s="10">
        <f>(CAP[[#This Row],[RPS]]/2.21869141127892)+2.84495101810441</f>
        <v>106.82900776185822</v>
      </c>
      <c r="Y117" s="11">
        <f>(CAP[[#This Row],[RSS]]/2.30100441716059)+11.4244456864885</f>
        <v>117.51220772896396</v>
      </c>
      <c r="Z117" s="5">
        <f>(MAX(CAP[[#This Row],[PS]],CAP[[#This Row],[SS]]) - MAX(CAP[[#This Row],[PT]],CAP[[#This Row],[ST]])) / 6.165301 - 0.490854</f>
        <v>2.7200440462143978</v>
      </c>
      <c r="AA117" s="1">
        <f>(CAP[[#This Row],[PT]] - CAP[[#This Row],[ST]] + CAP[[#This Row],[PS]] - CAP[[#This Row],[SS]]) / 6.8267</f>
        <v>-2.8574326967495338</v>
      </c>
      <c r="AB117" s="3">
        <f xml:space="preserve"> (CAP[[#This Row],[PT]] + CAP[[#This Row],[ST]] + CAP[[#This Row],[PS]] + CAP[[#This Row],[SS]]) /1.54532785176361-58.8447490566471</f>
        <v>207.08567391832929</v>
      </c>
      <c r="AC117"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Above Average</v>
      </c>
      <c r="AD117" s="14">
        <f>IF(CAP[[#This Row],[Overall Rating]]&lt;=200,80,IF(CAP[[#This Row],[Overall Rating]]&lt;250,75,IF(CAP[[#This Row],[Overall Rating]]&lt;300,70,IF(CAP[[#This Row],[Overall Rating]]&lt;350,65,IF(CAP[[#This Row],[Overall Rating]]&lt;400,60,IF(CAP[[#This Row],[Overall Rating]]&lt;450,55,50))))))</f>
        <v>75</v>
      </c>
    </row>
    <row r="118" spans="1:30" x14ac:dyDescent="0.3">
      <c r="A118">
        <v>21</v>
      </c>
      <c r="B118" s="14" t="s">
        <v>121</v>
      </c>
      <c r="C118" s="14" t="s">
        <v>50</v>
      </c>
      <c r="D118" s="14"/>
      <c r="E118">
        <v>55</v>
      </c>
      <c r="F118">
        <v>55</v>
      </c>
      <c r="G118">
        <v>45</v>
      </c>
      <c r="H118">
        <v>60</v>
      </c>
      <c r="I118">
        <v>50</v>
      </c>
      <c r="J118">
        <v>60</v>
      </c>
      <c r="K118" s="14">
        <f>CAP[[#This Row],[HP]]*2+141</f>
        <v>251</v>
      </c>
      <c r="L118" s="14">
        <f>CAP[[#This Row],[Atk]]*2+36</f>
        <v>146</v>
      </c>
      <c r="M118">
        <f>CAP[[#This Row],[Def]]*2+36</f>
        <v>126</v>
      </c>
      <c r="N118">
        <f>CAP[[#This Row],[SpA]]*2+36</f>
        <v>156</v>
      </c>
      <c r="O118" s="14">
        <f>CAP[[#This Row],[SpD]]*2+36</f>
        <v>136</v>
      </c>
      <c r="P118" s="14">
        <f>CAP[[#This Row],[SPD Factor]]/822</f>
        <v>0.44525547445255476</v>
      </c>
      <c r="Q118" s="14">
        <f>VLOOKUP(CAP[[#This Row],[Spe]],SpeedFactor[#All], 2, TRUE)</f>
        <v>366</v>
      </c>
      <c r="R118" s="14">
        <f>CAP[[#This Row],[Stat HP]]*CAP[[#This Row],[Stat Def]]</f>
        <v>31626</v>
      </c>
      <c r="S118" s="14">
        <f>CAP[[#This Row],[Stat HP]]*CAP[[#This Row],[Stat SpD]]</f>
        <v>34136</v>
      </c>
      <c r="T118" s="1">
        <f>CAP[[#This Row],[Stat Atk]]*(CAP[[#This Row],[Stat Atk]]*CAP[[#This Row],[Stat Spe]]+415)/(CAP[[#This Row],[Stat Atk]]*(1-CAP[[#This Row],[Stat Spe]])+415)</f>
        <v>141.2945504849082</v>
      </c>
      <c r="U118" s="4">
        <f>CAP[[#This Row],[Stat SpA]]*(CAP[[#This Row],[Stat SpA]]*CAP[[#This Row],[Stat Spe]]+415)/(CAP[[#This Row],[Stat SpA]]*(1-CAP[[#This Row],[Stat Spe]])+415)</f>
        <v>150.68731353058462</v>
      </c>
      <c r="V118" s="9">
        <f>(CAP[[#This Row],[RPT]] /432.441508090053)-22.8128616201416</f>
        <v>50.320728491689437</v>
      </c>
      <c r="W118" s="10">
        <f>(CAP[[#This Row],[RST]] /426.30249118172)-22.4239890939417</f>
        <v>57.650607480369302</v>
      </c>
      <c r="X118" s="10">
        <f>(CAP[[#This Row],[RPS]]/2.21869141127892)+2.84495101810441</f>
        <v>66.528683585249382</v>
      </c>
      <c r="Y118" s="11">
        <f>(CAP[[#This Row],[RSS]]/2.30100441716059)+11.4244456864885</f>
        <v>76.912070311099541</v>
      </c>
      <c r="Z118" s="5">
        <f>(MAX(CAP[[#This Row],[PS]],CAP[[#This Row],[SS]]) - MAX(CAP[[#This Row],[PT]],CAP[[#This Row],[ST]])) / 6.165301 - 0.490854</f>
        <v>2.6333183365542472</v>
      </c>
      <c r="AA118" s="1">
        <f>(CAP[[#This Row],[PT]] - CAP[[#This Row],[ST]] + CAP[[#This Row],[PS]] - CAP[[#This Row],[SS]]) / 6.8267</f>
        <v>-2.594703987948793</v>
      </c>
      <c r="AB118" s="3">
        <f xml:space="preserve"> (CAP[[#This Row],[PT]] + CAP[[#This Row],[ST]] + CAP[[#This Row],[PS]] + CAP[[#This Row],[SS]]) /1.54532785176361-58.8447490566471</f>
        <v>103.84699922284121</v>
      </c>
      <c r="AC118"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Poor</v>
      </c>
      <c r="AD118" s="14">
        <f>IF(CAP[[#This Row],[Overall Rating]]&lt;=200,80,IF(CAP[[#This Row],[Overall Rating]]&lt;250,75,IF(CAP[[#This Row],[Overall Rating]]&lt;300,70,IF(CAP[[#This Row],[Overall Rating]]&lt;350,65,IF(CAP[[#This Row],[Overall Rating]]&lt;400,60,IF(CAP[[#This Row],[Overall Rating]]&lt;450,55,50))))))</f>
        <v>80</v>
      </c>
    </row>
    <row r="119" spans="1:30" x14ac:dyDescent="0.3">
      <c r="A119">
        <v>20</v>
      </c>
      <c r="B119" s="14" t="s">
        <v>117</v>
      </c>
      <c r="C119" s="14" t="s">
        <v>21</v>
      </c>
      <c r="D119" s="14" t="s">
        <v>44</v>
      </c>
      <c r="E119">
        <v>95</v>
      </c>
      <c r="F119">
        <v>85</v>
      </c>
      <c r="G119">
        <v>120</v>
      </c>
      <c r="H119">
        <v>90</v>
      </c>
      <c r="I119">
        <v>115</v>
      </c>
      <c r="J119">
        <v>60</v>
      </c>
      <c r="K119" s="14">
        <f>CAP[[#This Row],[HP]]*2+141</f>
        <v>331</v>
      </c>
      <c r="L119" s="14">
        <f>CAP[[#This Row],[Atk]]*2+36</f>
        <v>206</v>
      </c>
      <c r="M119">
        <f>CAP[[#This Row],[Def]]*2+36</f>
        <v>276</v>
      </c>
      <c r="N119">
        <f>CAP[[#This Row],[SpA]]*2+36</f>
        <v>216</v>
      </c>
      <c r="O119" s="14">
        <f>CAP[[#This Row],[SpD]]*2+36</f>
        <v>266</v>
      </c>
      <c r="P119" s="14">
        <f>CAP[[#This Row],[SPD Factor]]/822</f>
        <v>0.44525547445255476</v>
      </c>
      <c r="Q119" s="14">
        <f>VLOOKUP(CAP[[#This Row],[Spe]],SpeedFactor[#All], 2, TRUE)</f>
        <v>366</v>
      </c>
      <c r="R119" s="14">
        <f>CAP[[#This Row],[Stat HP]]*CAP[[#This Row],[Stat Def]]</f>
        <v>91356</v>
      </c>
      <c r="S119" s="14">
        <f>CAP[[#This Row],[Stat HP]]*CAP[[#This Row],[Stat SpD]]</f>
        <v>88046</v>
      </c>
      <c r="T119" s="1">
        <f>CAP[[#This Row],[Stat Atk]]*(CAP[[#This Row],[Stat Atk]]*CAP[[#This Row],[Stat Spe]]+415)/(CAP[[#This Row],[Stat Atk]]*(1-CAP[[#This Row],[Stat Spe]])+415)</f>
        <v>197.22146984595443</v>
      </c>
      <c r="U119" s="4">
        <f>CAP[[#This Row],[Stat SpA]]*(CAP[[#This Row],[Stat SpA]]*CAP[[#This Row],[Stat Spe]]+415)/(CAP[[#This Row],[Stat SpA]]*(1-CAP[[#This Row],[Stat Spe]])+415)</f>
        <v>206.44860859002878</v>
      </c>
      <c r="V119" s="9">
        <f>(CAP[[#This Row],[RPT]] /432.441508090053)-22.8128616201416</f>
        <v>188.4434546467412</v>
      </c>
      <c r="W119" s="10">
        <f>(CAP[[#This Row],[RST]] /426.30249118172)-22.4239890939417</f>
        <v>184.11010775342726</v>
      </c>
      <c r="X119" s="10">
        <f>(CAP[[#This Row],[RPS]]/2.21869141127892)+2.84495101810441</f>
        <v>91.735848077227246</v>
      </c>
      <c r="Y119" s="11">
        <f>(CAP[[#This Row],[RSS]]/2.30100441716059)+11.4244456864885</f>
        <v>101.14552881451819</v>
      </c>
      <c r="Z119" s="5">
        <f>(MAX(CAP[[#This Row],[PS]],CAP[[#This Row],[SS]]) - MAX(CAP[[#This Row],[PT]],CAP[[#This Row],[ST]])) / 6.165301 - 0.490854</f>
        <v>-14.650410172881585</v>
      </c>
      <c r="AA119" s="1">
        <f>(CAP[[#This Row],[PT]] - CAP[[#This Row],[ST]] + CAP[[#This Row],[PS]] - CAP[[#This Row],[SS]]) / 6.8267</f>
        <v>-0.74359995956714031</v>
      </c>
      <c r="AB119" s="3">
        <f xml:space="preserve"> (CAP[[#This Row],[PT]] + CAP[[#This Row],[ST]] + CAP[[#This Row],[PS]] + CAP[[#This Row],[SS]]) /1.54532785176361-58.8447490566471</f>
        <v>307.05491336554348</v>
      </c>
      <c r="AC119"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Very Good</v>
      </c>
      <c r="AD119" s="14">
        <f>IF(CAP[[#This Row],[Overall Rating]]&lt;=200,80,IF(CAP[[#This Row],[Overall Rating]]&lt;250,75,IF(CAP[[#This Row],[Overall Rating]]&lt;300,70,IF(CAP[[#This Row],[Overall Rating]]&lt;350,65,IF(CAP[[#This Row],[Overall Rating]]&lt;400,60,IF(CAP[[#This Row],[Overall Rating]]&lt;450,55,50))))))</f>
        <v>65</v>
      </c>
    </row>
    <row r="120" spans="1:30" x14ac:dyDescent="0.3">
      <c r="A120">
        <v>19</v>
      </c>
      <c r="B120" s="14" t="s">
        <v>115</v>
      </c>
      <c r="C120" s="14" t="s">
        <v>21</v>
      </c>
      <c r="D120" s="14"/>
      <c r="E120">
        <v>80</v>
      </c>
      <c r="F120">
        <v>75</v>
      </c>
      <c r="G120">
        <v>95</v>
      </c>
      <c r="H120">
        <v>70</v>
      </c>
      <c r="I120">
        <v>85</v>
      </c>
      <c r="J120">
        <v>65</v>
      </c>
      <c r="K120" s="14">
        <f>CAP[[#This Row],[HP]]*2+141</f>
        <v>301</v>
      </c>
      <c r="L120" s="14">
        <f>CAP[[#This Row],[Atk]]*2+36</f>
        <v>186</v>
      </c>
      <c r="M120">
        <f>CAP[[#This Row],[Def]]*2+36</f>
        <v>226</v>
      </c>
      <c r="N120">
        <f>CAP[[#This Row],[SpA]]*2+36</f>
        <v>176</v>
      </c>
      <c r="O120" s="14">
        <f>CAP[[#This Row],[SpD]]*2+36</f>
        <v>206</v>
      </c>
      <c r="P120" s="14">
        <f>CAP[[#This Row],[SPD Factor]]/822</f>
        <v>0.5024330900243309</v>
      </c>
      <c r="Q120" s="14">
        <f>VLOOKUP(CAP[[#This Row],[Spe]],SpeedFactor[#All], 2, TRUE)</f>
        <v>413</v>
      </c>
      <c r="R120" s="14">
        <f>CAP[[#This Row],[Stat HP]]*CAP[[#This Row],[Stat Def]]</f>
        <v>68026</v>
      </c>
      <c r="S120" s="14">
        <f>CAP[[#This Row],[Stat HP]]*CAP[[#This Row],[Stat SpD]]</f>
        <v>62006</v>
      </c>
      <c r="T120" s="1">
        <f>CAP[[#This Row],[Stat Atk]]*(CAP[[#This Row],[Stat Atk]]*CAP[[#This Row],[Stat Spe]]+415)/(CAP[[#This Row],[Stat Atk]]*(1-CAP[[#This Row],[Stat Spe]])+415)</f>
        <v>186.3316938476141</v>
      </c>
      <c r="U120" s="4">
        <f>CAP[[#This Row],[Stat SpA]]*(CAP[[#This Row],[Stat SpA]]*CAP[[#This Row],[Stat Spe]]+415)/(CAP[[#This Row],[Stat SpA]]*(1-CAP[[#This Row],[Stat Spe]])+415)</f>
        <v>176.29992689669194</v>
      </c>
      <c r="V120" s="9">
        <f>(CAP[[#This Row],[RPT]] /432.441508090053)-22.8128616201416</f>
        <v>134.49396190946752</v>
      </c>
      <c r="W120" s="10">
        <f>(CAP[[#This Row],[RST]] /426.30249118172)-22.4239890939417</f>
        <v>123.02672086582886</v>
      </c>
      <c r="X120" s="10">
        <f>(CAP[[#This Row],[RPS]]/2.21869141127892)+2.84495101810441</f>
        <v>86.827650414865928</v>
      </c>
      <c r="Y120" s="11">
        <f>(CAP[[#This Row],[RSS]]/2.30100441716059)+11.4244456864885</f>
        <v>88.04312819829515</v>
      </c>
      <c r="Z120" s="5">
        <f>(MAX(CAP[[#This Row],[PS]],CAP[[#This Row],[SS]]) - MAX(CAP[[#This Row],[PT]],CAP[[#This Row],[ST]])) / 6.165301 - 0.490854</f>
        <v>-8.0250901567054651</v>
      </c>
      <c r="AA120" s="1">
        <f>(CAP[[#This Row],[PT]] - CAP[[#This Row],[ST]] + CAP[[#This Row],[PS]] - CAP[[#This Row],[SS]]) / 6.8267</f>
        <v>1.5017158012230551</v>
      </c>
      <c r="AB120" s="3">
        <f xml:space="preserve"> (CAP[[#This Row],[PT]] + CAP[[#This Row],[ST]] + CAP[[#This Row],[PS]] + CAP[[#This Row],[SS]]) /1.54532785176361-58.8447490566471</f>
        <v>220.96089923668393</v>
      </c>
      <c r="AC120"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Above Average</v>
      </c>
      <c r="AD120" s="14">
        <f>IF(CAP[[#This Row],[Overall Rating]]&lt;=200,80,IF(CAP[[#This Row],[Overall Rating]]&lt;250,75,IF(CAP[[#This Row],[Overall Rating]]&lt;300,70,IF(CAP[[#This Row],[Overall Rating]]&lt;350,65,IF(CAP[[#This Row],[Overall Rating]]&lt;400,60,IF(CAP[[#This Row],[Overall Rating]]&lt;450,55,50))))))</f>
        <v>75</v>
      </c>
    </row>
    <row r="121" spans="1:30" x14ac:dyDescent="0.3">
      <c r="A121">
        <v>18</v>
      </c>
      <c r="B121" s="14" t="s">
        <v>111</v>
      </c>
      <c r="C121" s="14" t="s">
        <v>21</v>
      </c>
      <c r="D121" s="14"/>
      <c r="E121">
        <v>55</v>
      </c>
      <c r="F121">
        <v>55</v>
      </c>
      <c r="G121">
        <v>65</v>
      </c>
      <c r="H121">
        <v>50</v>
      </c>
      <c r="I121">
        <v>60</v>
      </c>
      <c r="J121">
        <v>45</v>
      </c>
      <c r="K121" s="14">
        <f>CAP[[#This Row],[HP]]*2+141</f>
        <v>251</v>
      </c>
      <c r="L121" s="14">
        <f>CAP[[#This Row],[Atk]]*2+36</f>
        <v>146</v>
      </c>
      <c r="M121">
        <f>CAP[[#This Row],[Def]]*2+36</f>
        <v>166</v>
      </c>
      <c r="N121">
        <f>CAP[[#This Row],[SpA]]*2+36</f>
        <v>136</v>
      </c>
      <c r="O121" s="14">
        <f>CAP[[#This Row],[SpD]]*2+36</f>
        <v>156</v>
      </c>
      <c r="P121" s="14">
        <f>CAP[[#This Row],[SPD Factor]]/822</f>
        <v>0.24939172749391728</v>
      </c>
      <c r="Q121" s="14">
        <f>VLOOKUP(CAP[[#This Row],[Spe]],SpeedFactor[#All], 2, TRUE)</f>
        <v>205</v>
      </c>
      <c r="R121" s="14">
        <f>CAP[[#This Row],[Stat HP]]*CAP[[#This Row],[Stat Def]]</f>
        <v>41666</v>
      </c>
      <c r="S121" s="14">
        <f>CAP[[#This Row],[Stat HP]]*CAP[[#This Row],[Stat SpD]]</f>
        <v>39156</v>
      </c>
      <c r="T121" s="1">
        <f>CAP[[#This Row],[Stat Atk]]*(CAP[[#This Row],[Stat Atk]]*CAP[[#This Row],[Stat Spe]]+415)/(CAP[[#This Row],[Stat Atk]]*(1-CAP[[#This Row],[Stat Spe]])+415)</f>
        <v>125.63370221607931</v>
      </c>
      <c r="U121" s="4">
        <f>CAP[[#This Row],[Stat SpA]]*(CAP[[#This Row],[Stat SpA]]*CAP[[#This Row],[Stat Spe]]+415)/(CAP[[#This Row],[Stat SpA]]*(1-CAP[[#This Row],[Stat Spe]])+415)</f>
        <v>118.07153175450897</v>
      </c>
      <c r="V121" s="9">
        <f>(CAP[[#This Row],[RPT]] /432.441508090053)-22.8128616201416</f>
        <v>73.537741225604051</v>
      </c>
      <c r="W121" s="10">
        <f>(CAP[[#This Row],[RST]] /426.30249118172)-22.4239890939417</f>
        <v>69.426283447179742</v>
      </c>
      <c r="X121" s="10">
        <f>(CAP[[#This Row],[RPS]]/2.21869141127892)+2.84495101810441</f>
        <v>59.470086707280892</v>
      </c>
      <c r="Y121" s="11">
        <f>(CAP[[#This Row],[RSS]]/2.30100441716059)+11.4244456864885</f>
        <v>62.737485711073816</v>
      </c>
      <c r="Z121" s="5">
        <f>(MAX(CAP[[#This Row],[PS]],CAP[[#This Row],[SS]]) - MAX(CAP[[#This Row],[PT]],CAP[[#This Row],[ST]])) / 6.165301 - 0.490854</f>
        <v>-2.242634734554604</v>
      </c>
      <c r="AA121" s="1">
        <f>(CAP[[#This Row],[PT]] - CAP[[#This Row],[ST]] + CAP[[#This Row],[PS]] - CAP[[#This Row],[SS]]) / 6.8267</f>
        <v>0.12364081835021097</v>
      </c>
      <c r="AB121" s="3">
        <f xml:space="preserve"> (CAP[[#This Row],[PT]] + CAP[[#This Row],[ST]] + CAP[[#This Row],[PS]] + CAP[[#This Row],[SS]]) /1.54532785176361-58.8447490566471</f>
        <v>112.75093970836848</v>
      </c>
      <c r="AC121"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Poor</v>
      </c>
      <c r="AD121" s="14">
        <f>IF(CAP[[#This Row],[Overall Rating]]&lt;=200,80,IF(CAP[[#This Row],[Overall Rating]]&lt;250,75,IF(CAP[[#This Row],[Overall Rating]]&lt;300,70,IF(CAP[[#This Row],[Overall Rating]]&lt;350,65,IF(CAP[[#This Row],[Overall Rating]]&lt;400,60,IF(CAP[[#This Row],[Overall Rating]]&lt;450,55,50))))))</f>
        <v>80</v>
      </c>
    </row>
    <row r="122" spans="1:30" x14ac:dyDescent="0.3">
      <c r="A122">
        <v>17</v>
      </c>
      <c r="B122" s="14" t="s">
        <v>107</v>
      </c>
      <c r="C122" s="14" t="s">
        <v>37</v>
      </c>
      <c r="D122" s="14" t="s">
        <v>66</v>
      </c>
      <c r="E122">
        <v>85</v>
      </c>
      <c r="F122">
        <v>110</v>
      </c>
      <c r="G122">
        <v>80</v>
      </c>
      <c r="H122">
        <v>100</v>
      </c>
      <c r="I122">
        <v>75</v>
      </c>
      <c r="J122">
        <v>95</v>
      </c>
      <c r="K122" s="14">
        <f>CAP[[#This Row],[HP]]*2+141</f>
        <v>311</v>
      </c>
      <c r="L122" s="14">
        <f>CAP[[#This Row],[Atk]]*2+36</f>
        <v>256</v>
      </c>
      <c r="M122">
        <f>CAP[[#This Row],[Def]]*2+36</f>
        <v>196</v>
      </c>
      <c r="N122">
        <f>CAP[[#This Row],[SpA]]*2+36</f>
        <v>236</v>
      </c>
      <c r="O122" s="14">
        <f>CAP[[#This Row],[SpD]]*2+36</f>
        <v>186</v>
      </c>
      <c r="P122" s="14">
        <f>CAP[[#This Row],[SPD Factor]]/822</f>
        <v>0.80900243309002429</v>
      </c>
      <c r="Q122" s="14">
        <f>VLOOKUP(CAP[[#This Row],[Spe]],SpeedFactor[#All], 2, TRUE)</f>
        <v>665</v>
      </c>
      <c r="R122" s="14">
        <f>CAP[[#This Row],[Stat HP]]*CAP[[#This Row],[Stat Def]]</f>
        <v>60956</v>
      </c>
      <c r="S122" s="14">
        <f>CAP[[#This Row],[Stat HP]]*CAP[[#This Row],[Stat SpD]]</f>
        <v>57846</v>
      </c>
      <c r="T122" s="1">
        <f>CAP[[#This Row],[Stat Atk]]*(CAP[[#This Row],[Stat Atk]]*CAP[[#This Row],[Stat Spe]]+415)/(CAP[[#This Row],[Stat Atk]]*(1-CAP[[#This Row],[Stat Spe]])+415)</f>
        <v>343.30754585363547</v>
      </c>
      <c r="U122" s="4">
        <f>CAP[[#This Row],[Stat SpA]]*(CAP[[#This Row],[Stat SpA]]*CAP[[#This Row],[Stat Spe]]+415)/(CAP[[#This Row],[Stat SpA]]*(1-CAP[[#This Row],[Stat Spe]])+415)</f>
        <v>310.81468710832348</v>
      </c>
      <c r="V122" s="9">
        <f>(CAP[[#This Row],[RPT]] /432.441508090053)-22.8128616201416</f>
        <v>118.14493003409137</v>
      </c>
      <c r="W122" s="10">
        <f>(CAP[[#This Row],[RST]] /426.30249118172)-22.4239890939417</f>
        <v>113.26839177779472</v>
      </c>
      <c r="X122" s="10">
        <f>(CAP[[#This Row],[RPS]]/2.21869141127892)+2.84495101810441</f>
        <v>157.57919847063442</v>
      </c>
      <c r="Y122" s="11">
        <f>(CAP[[#This Row],[RSS]]/2.30100441716059)+11.4244456864885</f>
        <v>146.50227725878284</v>
      </c>
      <c r="Z122" s="5">
        <f>(MAX(CAP[[#This Row],[PS]],CAP[[#This Row],[SS]]) - MAX(CAP[[#This Row],[PT]],CAP[[#This Row],[ST]])) / 6.165301 - 0.490854</f>
        <v>5.9053087236923307</v>
      </c>
      <c r="AA122" s="1">
        <f>(CAP[[#This Row],[PT]] - CAP[[#This Row],[ST]] + CAP[[#This Row],[PS]] - CAP[[#This Row],[SS]]) / 6.8267</f>
        <v>2.3369211285318316</v>
      </c>
      <c r="AB122" s="3">
        <f xml:space="preserve"> (CAP[[#This Row],[PT]] + CAP[[#This Row],[ST]] + CAP[[#This Row],[PS]] + CAP[[#This Row],[SS]]) /1.54532785176361-58.8447490566471</f>
        <v>287.68029217015038</v>
      </c>
      <c r="AC122"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Good</v>
      </c>
      <c r="AD122" s="14">
        <f>IF(CAP[[#This Row],[Overall Rating]]&lt;=200,80,IF(CAP[[#This Row],[Overall Rating]]&lt;250,75,IF(CAP[[#This Row],[Overall Rating]]&lt;300,70,IF(CAP[[#This Row],[Overall Rating]]&lt;350,65,IF(CAP[[#This Row],[Overall Rating]]&lt;400,60,IF(CAP[[#This Row],[Overall Rating]]&lt;450,55,50))))))</f>
        <v>70</v>
      </c>
    </row>
    <row r="123" spans="1:30" x14ac:dyDescent="0.3">
      <c r="A123">
        <v>16</v>
      </c>
      <c r="B123" s="14" t="s">
        <v>105</v>
      </c>
      <c r="C123" s="14" t="s">
        <v>37</v>
      </c>
      <c r="D123" s="14"/>
      <c r="E123">
        <v>70</v>
      </c>
      <c r="F123">
        <v>85</v>
      </c>
      <c r="G123">
        <v>65</v>
      </c>
      <c r="H123">
        <v>85</v>
      </c>
      <c r="I123">
        <v>65</v>
      </c>
      <c r="J123">
        <v>105</v>
      </c>
      <c r="K123" s="14">
        <f>CAP[[#This Row],[HP]]*2+141</f>
        <v>281</v>
      </c>
      <c r="L123" s="14">
        <f>CAP[[#This Row],[Atk]]*2+36</f>
        <v>206</v>
      </c>
      <c r="M123">
        <f>CAP[[#This Row],[Def]]*2+36</f>
        <v>166</v>
      </c>
      <c r="N123">
        <f>CAP[[#This Row],[SpA]]*2+36</f>
        <v>206</v>
      </c>
      <c r="O123" s="14">
        <f>CAP[[#This Row],[SpD]]*2+36</f>
        <v>166</v>
      </c>
      <c r="P123" s="14">
        <f>CAP[[#This Row],[SPD Factor]]/822</f>
        <v>0.8978102189781022</v>
      </c>
      <c r="Q123" s="14">
        <f>VLOOKUP(CAP[[#This Row],[Spe]],SpeedFactor[#All], 2, TRUE)</f>
        <v>738</v>
      </c>
      <c r="R123" s="14">
        <f>CAP[[#This Row],[Stat HP]]*CAP[[#This Row],[Stat Def]]</f>
        <v>46646</v>
      </c>
      <c r="S123" s="14">
        <f>CAP[[#This Row],[Stat HP]]*CAP[[#This Row],[Stat SpD]]</f>
        <v>46646</v>
      </c>
      <c r="T123" s="1">
        <f>CAP[[#This Row],[Stat Atk]]*(CAP[[#This Row],[Stat Atk]]*CAP[[#This Row],[Stat Spe]]+415)/(CAP[[#This Row],[Stat Atk]]*(1-CAP[[#This Row],[Stat Spe]])+415)</f>
        <v>283.42888230469208</v>
      </c>
      <c r="U123" s="4">
        <f>CAP[[#This Row],[Stat SpA]]*(CAP[[#This Row],[Stat SpA]]*CAP[[#This Row],[Stat Spe]]+415)/(CAP[[#This Row],[Stat SpA]]*(1-CAP[[#This Row],[Stat Spe]])+415)</f>
        <v>283.42888230469208</v>
      </c>
      <c r="V123" s="9">
        <f>(CAP[[#This Row],[RPT]] /432.441508090053)-22.8128616201416</f>
        <v>85.053749533860497</v>
      </c>
      <c r="W123" s="10">
        <f>(CAP[[#This Row],[RST]] /426.30249118172)-22.4239890939417</f>
        <v>86.995967310010457</v>
      </c>
      <c r="X123" s="10">
        <f>(CAP[[#This Row],[RPS]]/2.21869141127892)+2.84495101810441</f>
        <v>130.59091914321434</v>
      </c>
      <c r="Y123" s="11">
        <f>(CAP[[#This Row],[RSS]]/2.30100441716059)+11.4244456864885</f>
        <v>134.6006031031873</v>
      </c>
      <c r="Z123" s="5">
        <f>(MAX(CAP[[#This Row],[PS]],CAP[[#This Row],[SS]]) - MAX(CAP[[#This Row],[PT]],CAP[[#This Row],[ST]])) / 6.165301 - 0.490854</f>
        <v>7.2305266419470584</v>
      </c>
      <c r="AA123" s="1">
        <f>(CAP[[#This Row],[PT]] - CAP[[#This Row],[ST]] + CAP[[#This Row],[PS]] - CAP[[#This Row],[SS]]) / 6.8267</f>
        <v>-0.87185634876630302</v>
      </c>
      <c r="AB123" s="3">
        <f xml:space="preserve"> (CAP[[#This Row],[PT]] + CAP[[#This Row],[ST]] + CAP[[#This Row],[PS]] + CAP[[#This Row],[SS]]) /1.54532785176361-58.8447490566471</f>
        <v>224.09924796720105</v>
      </c>
      <c r="AC123"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Above Average</v>
      </c>
      <c r="AD123" s="14">
        <f>IF(CAP[[#This Row],[Overall Rating]]&lt;=200,80,IF(CAP[[#This Row],[Overall Rating]]&lt;250,75,IF(CAP[[#This Row],[Overall Rating]]&lt;300,70,IF(CAP[[#This Row],[Overall Rating]]&lt;350,65,IF(CAP[[#This Row],[Overall Rating]]&lt;400,60,IF(CAP[[#This Row],[Overall Rating]]&lt;450,55,50))))))</f>
        <v>75</v>
      </c>
    </row>
    <row r="124" spans="1:30" x14ac:dyDescent="0.3">
      <c r="A124">
        <v>15</v>
      </c>
      <c r="B124" s="14" t="s">
        <v>102</v>
      </c>
      <c r="C124" s="14" t="s">
        <v>37</v>
      </c>
      <c r="D124" s="14"/>
      <c r="E124">
        <v>50</v>
      </c>
      <c r="F124">
        <v>60</v>
      </c>
      <c r="G124">
        <v>45</v>
      </c>
      <c r="H124">
        <v>60</v>
      </c>
      <c r="I124">
        <v>45</v>
      </c>
      <c r="J124">
        <v>80</v>
      </c>
      <c r="K124" s="14">
        <f>CAP[[#This Row],[HP]]*2+141</f>
        <v>241</v>
      </c>
      <c r="L124" s="14">
        <f>CAP[[#This Row],[Atk]]*2+36</f>
        <v>156</v>
      </c>
      <c r="M124">
        <f>CAP[[#This Row],[Def]]*2+36</f>
        <v>126</v>
      </c>
      <c r="N124">
        <f>CAP[[#This Row],[SpA]]*2+36</f>
        <v>156</v>
      </c>
      <c r="O124" s="14">
        <f>CAP[[#This Row],[SpD]]*2+36</f>
        <v>126</v>
      </c>
      <c r="P124" s="14">
        <f>CAP[[#This Row],[SPD Factor]]/822</f>
        <v>0.66423357664233573</v>
      </c>
      <c r="Q124" s="14">
        <f>VLOOKUP(CAP[[#This Row],[Spe]],SpeedFactor[#All], 2, TRUE)</f>
        <v>546</v>
      </c>
      <c r="R124" s="14">
        <f>CAP[[#This Row],[Stat HP]]*CAP[[#This Row],[Stat Def]]</f>
        <v>30366</v>
      </c>
      <c r="S124" s="14">
        <f>CAP[[#This Row],[Stat HP]]*CAP[[#This Row],[Stat SpD]]</f>
        <v>30366</v>
      </c>
      <c r="T124" s="1">
        <f>CAP[[#This Row],[Stat Atk]]*(CAP[[#This Row],[Stat Atk]]*CAP[[#This Row],[Stat Spe]]+415)/(CAP[[#This Row],[Stat Atk]]*(1-CAP[[#This Row],[Stat Spe]])+415)</f>
        <v>173.10296575096436</v>
      </c>
      <c r="U124" s="4">
        <f>CAP[[#This Row],[Stat SpA]]*(CAP[[#This Row],[Stat SpA]]*CAP[[#This Row],[Stat Spe]]+415)/(CAP[[#This Row],[Stat SpA]]*(1-CAP[[#This Row],[Stat Spe]])+415)</f>
        <v>173.10296575096436</v>
      </c>
      <c r="V124" s="9">
        <f>(CAP[[#This Row],[RPT]] /432.441508090053)-22.8128616201416</f>
        <v>47.407039642612503</v>
      </c>
      <c r="W124" s="10">
        <f>(CAP[[#This Row],[RST]] /426.30249118172)-22.4239890939417</f>
        <v>48.807121744338346</v>
      </c>
      <c r="X124" s="10">
        <f>(CAP[[#This Row],[RPS]]/2.21869141127892)+2.84495101810441</f>
        <v>80.865249321410431</v>
      </c>
      <c r="Y124" s="11">
        <f>(CAP[[#This Row],[RSS]]/2.30100441716059)+11.4244456864885</f>
        <v>86.653751836439838</v>
      </c>
      <c r="Z124" s="5">
        <f>(MAX(CAP[[#This Row],[PS]],CAP[[#This Row],[SS]]) - MAX(CAP[[#This Row],[PT]],CAP[[#This Row],[ST]])) / 6.165301 - 0.490854</f>
        <v>5.6477968285810363</v>
      </c>
      <c r="AA124" s="1">
        <f>(CAP[[#This Row],[PT]] - CAP[[#This Row],[ST]] + CAP[[#This Row],[PS]] - CAP[[#This Row],[SS]]) / 6.8267</f>
        <v>-1.0530101830687228</v>
      </c>
      <c r="AB124" s="3">
        <f xml:space="preserve"> (CAP[[#This Row],[PT]] + CAP[[#This Row],[ST]] + CAP[[#This Row],[PS]] + CAP[[#This Row],[SS]]) /1.54532785176361-58.8447490566471</f>
        <v>111.82011163541567</v>
      </c>
      <c r="AC124"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Poor</v>
      </c>
      <c r="AD124" s="14">
        <f>IF(CAP[[#This Row],[Overall Rating]]&lt;=200,80,IF(CAP[[#This Row],[Overall Rating]]&lt;250,75,IF(CAP[[#This Row],[Overall Rating]]&lt;300,70,IF(CAP[[#This Row],[Overall Rating]]&lt;350,65,IF(CAP[[#This Row],[Overall Rating]]&lt;400,60,IF(CAP[[#This Row],[Overall Rating]]&lt;450,55,50))))))</f>
        <v>80</v>
      </c>
    </row>
    <row r="125" spans="1:30" x14ac:dyDescent="0.3">
      <c r="A125">
        <v>14</v>
      </c>
      <c r="B125" s="14" t="s">
        <v>95</v>
      </c>
      <c r="C125" s="14" t="s">
        <v>51</v>
      </c>
      <c r="D125" s="14" t="s">
        <v>96</v>
      </c>
      <c r="E125">
        <v>90</v>
      </c>
      <c r="F125">
        <v>100</v>
      </c>
      <c r="G125">
        <v>110</v>
      </c>
      <c r="H125">
        <v>90</v>
      </c>
      <c r="I125">
        <v>80</v>
      </c>
      <c r="J125">
        <v>75</v>
      </c>
      <c r="K125" s="14">
        <f>CAP[[#This Row],[HP]]*2+141</f>
        <v>321</v>
      </c>
      <c r="L125" s="14">
        <f>CAP[[#This Row],[Atk]]*2+36</f>
        <v>236</v>
      </c>
      <c r="M125">
        <f>CAP[[#This Row],[Def]]*2+36</f>
        <v>256</v>
      </c>
      <c r="N125">
        <f>CAP[[#This Row],[SpA]]*2+36</f>
        <v>216</v>
      </c>
      <c r="O125" s="14">
        <f>CAP[[#This Row],[SpD]]*2+36</f>
        <v>196</v>
      </c>
      <c r="P125" s="14">
        <f>CAP[[#This Row],[SPD Factor]]/822</f>
        <v>0.60948905109489049</v>
      </c>
      <c r="Q125" s="14">
        <f>VLOOKUP(CAP[[#This Row],[Spe]],SpeedFactor[#All], 2, TRUE)</f>
        <v>501</v>
      </c>
      <c r="R125" s="14">
        <f>CAP[[#This Row],[Stat HP]]*CAP[[#This Row],[Stat Def]]</f>
        <v>82176</v>
      </c>
      <c r="S125" s="14">
        <f>CAP[[#This Row],[Stat HP]]*CAP[[#This Row],[Stat SpD]]</f>
        <v>62916</v>
      </c>
      <c r="T125" s="1">
        <f>CAP[[#This Row],[Stat Atk]]*(CAP[[#This Row],[Stat Atk]]*CAP[[#This Row],[Stat Spe]]+415)/(CAP[[#This Row],[Stat Atk]]*(1-CAP[[#This Row],[Stat Spe]])+415)</f>
        <v>260.04801312589052</v>
      </c>
      <c r="U125" s="4">
        <f>CAP[[#This Row],[Stat SpA]]*(CAP[[#This Row],[Stat SpA]]*CAP[[#This Row],[Stat Spe]]+415)/(CAP[[#This Row],[Stat SpA]]*(1-CAP[[#This Row],[Stat Spe]])+415)</f>
        <v>236.45986756515762</v>
      </c>
      <c r="V125" s="9">
        <f>(CAP[[#This Row],[RPT]] /432.441508090053)-22.8128616201416</f>
        <v>167.21515017489497</v>
      </c>
      <c r="W125" s="10">
        <f>(CAP[[#This Row],[RST]] /426.30249118172)-22.4239890939417</f>
        <v>125.16135535383633</v>
      </c>
      <c r="X125" s="10">
        <f>(CAP[[#This Row],[RPS]]/2.21869141127892)+2.84495101810441</f>
        <v>120.0527843399953</v>
      </c>
      <c r="Y125" s="11">
        <f>(CAP[[#This Row],[RSS]]/2.30100441716059)+11.4244456864885</f>
        <v>114.18820650401274</v>
      </c>
      <c r="Z125" s="5">
        <f>(MAX(CAP[[#This Row],[PS]],CAP[[#This Row],[SS]]) - MAX(CAP[[#This Row],[PT]],CAP[[#This Row],[ST]])) / 6.165301 - 0.490854</f>
        <v>-8.1404993027840291</v>
      </c>
      <c r="AA125" s="1">
        <f>(CAP[[#This Row],[PT]] - CAP[[#This Row],[ST]] + CAP[[#This Row],[PS]] - CAP[[#This Row],[SS]]) / 6.8267</f>
        <v>7.0192585959601592</v>
      </c>
      <c r="AB125" s="3">
        <f xml:space="preserve"> (CAP[[#This Row],[PT]] + CAP[[#This Row],[ST]] + CAP[[#This Row],[PS]] + CAP[[#This Row],[SS]]) /1.54532785176361-58.8447490566471</f>
        <v>281.93568518695724</v>
      </c>
      <c r="AC125"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Good</v>
      </c>
      <c r="AD125" s="14">
        <f>IF(CAP[[#This Row],[Overall Rating]]&lt;=200,80,IF(CAP[[#This Row],[Overall Rating]]&lt;250,75,IF(CAP[[#This Row],[Overall Rating]]&lt;300,70,IF(CAP[[#This Row],[Overall Rating]]&lt;350,65,IF(CAP[[#This Row],[Overall Rating]]&lt;400,60,IF(CAP[[#This Row],[Overall Rating]]&lt;450,55,50))))))</f>
        <v>70</v>
      </c>
    </row>
    <row r="126" spans="1:30" x14ac:dyDescent="0.3">
      <c r="A126">
        <v>13</v>
      </c>
      <c r="B126" s="14" t="s">
        <v>88</v>
      </c>
      <c r="C126" s="14" t="s">
        <v>50</v>
      </c>
      <c r="D126" s="14" t="s">
        <v>89</v>
      </c>
      <c r="E126">
        <v>80</v>
      </c>
      <c r="F126">
        <v>70</v>
      </c>
      <c r="G126">
        <v>75</v>
      </c>
      <c r="H126">
        <v>110</v>
      </c>
      <c r="I126">
        <v>90</v>
      </c>
      <c r="J126">
        <v>90</v>
      </c>
      <c r="K126" s="14">
        <f>CAP[[#This Row],[HP]]*2+141</f>
        <v>301</v>
      </c>
      <c r="L126" s="14">
        <f>CAP[[#This Row],[Atk]]*2+36</f>
        <v>176</v>
      </c>
      <c r="M126">
        <f>CAP[[#This Row],[Def]]*2+36</f>
        <v>186</v>
      </c>
      <c r="N126">
        <f>CAP[[#This Row],[SpA]]*2+36</f>
        <v>256</v>
      </c>
      <c r="O126" s="14">
        <f>CAP[[#This Row],[SpD]]*2+36</f>
        <v>216</v>
      </c>
      <c r="P126" s="14">
        <f>CAP[[#This Row],[SPD Factor]]/822</f>
        <v>0.76034063260340634</v>
      </c>
      <c r="Q126" s="14">
        <f>VLOOKUP(CAP[[#This Row],[Spe]],SpeedFactor[#All], 2, TRUE)</f>
        <v>625</v>
      </c>
      <c r="R126" s="14">
        <f>CAP[[#This Row],[Stat HP]]*CAP[[#This Row],[Stat Def]]</f>
        <v>55986</v>
      </c>
      <c r="S126" s="14">
        <f>CAP[[#This Row],[Stat HP]]*CAP[[#This Row],[Stat SpD]]</f>
        <v>65016</v>
      </c>
      <c r="T126" s="1">
        <f>CAP[[#This Row],[Stat Atk]]*(CAP[[#This Row],[Stat Atk]]*CAP[[#This Row],[Stat Spe]]+415)/(CAP[[#This Row],[Stat Atk]]*(1-CAP[[#This Row],[Stat Spe]])+415)</f>
        <v>211.27849239759237</v>
      </c>
      <c r="U126" s="4">
        <f>CAP[[#This Row],[Stat SpA]]*(CAP[[#This Row],[Stat SpA]]*CAP[[#This Row],[Stat Spe]]+415)/(CAP[[#This Row],[Stat SpA]]*(1-CAP[[#This Row],[Stat Spe]])+415)</f>
        <v>327.63465300514349</v>
      </c>
      <c r="V126" s="9">
        <f>(CAP[[#This Row],[RPT]] /432.441508090053)-22.8128616201416</f>
        <v>106.65204624051015</v>
      </c>
      <c r="W126" s="10">
        <f>(CAP[[#This Row],[RST]] /426.30249118172)-22.4239890939417</f>
        <v>130.08743494154589</v>
      </c>
      <c r="X126" s="10">
        <f>(CAP[[#This Row],[RPS]]/2.21869141127892)+2.84495101810441</f>
        <v>98.071574839487994</v>
      </c>
      <c r="Y126" s="11">
        <f>(CAP[[#This Row],[RSS]]/2.30100441716059)+11.4244456864885</f>
        <v>153.81211368125074</v>
      </c>
      <c r="Z126" s="5">
        <f>(MAX(CAP[[#This Row],[PS]],CAP[[#This Row],[SS]]) - MAX(CAP[[#This Row],[PT]],CAP[[#This Row],[ST]])) / 6.165301 - 0.490854</f>
        <v>3.3572433986030594</v>
      </c>
      <c r="AA126" s="1">
        <f>(CAP[[#This Row],[PT]] - CAP[[#This Row],[ST]] + CAP[[#This Row],[PS]] - CAP[[#This Row],[SS]]) / 6.8267</f>
        <v>-11.597979630392208</v>
      </c>
      <c r="AB126" s="3">
        <f xml:space="preserve"> (CAP[[#This Row],[PT]] + CAP[[#This Row],[ST]] + CAP[[#This Row],[PS]] + CAP[[#This Row],[SS]]) /1.54532785176361-58.8447490566471</f>
        <v>257.34910530581203</v>
      </c>
      <c r="AC126"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Good</v>
      </c>
      <c r="AD126" s="14">
        <f>IF(CAP[[#This Row],[Overall Rating]]&lt;=200,80,IF(CAP[[#This Row],[Overall Rating]]&lt;250,75,IF(CAP[[#This Row],[Overall Rating]]&lt;300,70,IF(CAP[[#This Row],[Overall Rating]]&lt;350,65,IF(CAP[[#This Row],[Overall Rating]]&lt;400,60,IF(CAP[[#This Row],[Overall Rating]]&lt;450,55,50))))))</f>
        <v>70</v>
      </c>
    </row>
    <row r="127" spans="1:30" x14ac:dyDescent="0.3">
      <c r="A127">
        <v>12</v>
      </c>
      <c r="B127" s="14" t="s">
        <v>83</v>
      </c>
      <c r="C127" s="14" t="s">
        <v>37</v>
      </c>
      <c r="D127" s="14" t="s">
        <v>84</v>
      </c>
      <c r="E127">
        <v>75</v>
      </c>
      <c r="F127">
        <v>70</v>
      </c>
      <c r="G127">
        <v>70</v>
      </c>
      <c r="H127">
        <v>120</v>
      </c>
      <c r="I127">
        <v>90</v>
      </c>
      <c r="J127">
        <v>100</v>
      </c>
      <c r="K127" s="14">
        <f>CAP[[#This Row],[HP]]*2+141</f>
        <v>291</v>
      </c>
      <c r="L127" s="14">
        <f>CAP[[#This Row],[Atk]]*2+36</f>
        <v>176</v>
      </c>
      <c r="M127">
        <f>CAP[[#This Row],[Def]]*2+36</f>
        <v>176</v>
      </c>
      <c r="N127">
        <f>CAP[[#This Row],[SpA]]*2+36</f>
        <v>276</v>
      </c>
      <c r="O127" s="14">
        <f>CAP[[#This Row],[SpD]]*2+36</f>
        <v>216</v>
      </c>
      <c r="P127" s="14">
        <f>CAP[[#This Row],[SPD Factor]]/822</f>
        <v>0.86496350364963503</v>
      </c>
      <c r="Q127" s="14">
        <f>VLOOKUP(CAP[[#This Row],[Spe]],SpeedFactor[#All], 2, TRUE)</f>
        <v>711</v>
      </c>
      <c r="R127" s="14">
        <f>CAP[[#This Row],[Stat HP]]*CAP[[#This Row],[Stat Def]]</f>
        <v>51216</v>
      </c>
      <c r="S127" s="14">
        <f>CAP[[#This Row],[Stat HP]]*CAP[[#This Row],[Stat SpD]]</f>
        <v>62856</v>
      </c>
      <c r="T127" s="1">
        <f>CAP[[#This Row],[Stat Atk]]*(CAP[[#This Row],[Stat Atk]]*CAP[[#This Row],[Stat Spe]]+415)/(CAP[[#This Row],[Stat Atk]]*(1-CAP[[#This Row],[Stat Spe]])+415)</f>
        <v>227.53133369932291</v>
      </c>
      <c r="U127" s="4">
        <f>CAP[[#This Row],[Stat SpA]]*(CAP[[#This Row],[Stat SpA]]*CAP[[#This Row],[Stat Spe]]+415)/(CAP[[#This Row],[Stat SpA]]*(1-CAP[[#This Row],[Stat Spe]])+415)</f>
        <v>398.94185051887473</v>
      </c>
      <c r="V127" s="9">
        <f>(CAP[[#This Row],[RPT]] /432.441508090053)-22.8128616201416</f>
        <v>95.621652740433191</v>
      </c>
      <c r="W127" s="10">
        <f>(CAP[[#This Row],[RST]] /426.30249118172)-22.4239890939417</f>
        <v>125.02061022275892</v>
      </c>
      <c r="X127" s="10">
        <f>(CAP[[#This Row],[RPS]]/2.21869141127892)+2.84495101810441</f>
        <v>105.39699252448364</v>
      </c>
      <c r="Y127" s="11">
        <f>(CAP[[#This Row],[RSS]]/2.30100441716059)+11.4244456864885</f>
        <v>184.80170978194985</v>
      </c>
      <c r="Z127" s="5">
        <f>(MAX(CAP[[#This Row],[PS]],CAP[[#This Row],[SS]]) - MAX(CAP[[#This Row],[PT]],CAP[[#This Row],[ST]])) / 6.165301 - 0.490854</f>
        <v>9.2055257159604906</v>
      </c>
      <c r="AA127" s="1">
        <f>(CAP[[#This Row],[PT]] - CAP[[#This Row],[ST]] + CAP[[#This Row],[PS]] - CAP[[#This Row],[SS]]) / 6.8267</f>
        <v>-15.937960469889104</v>
      </c>
      <c r="AB127" s="3">
        <f xml:space="preserve"> (CAP[[#This Row],[PT]] + CAP[[#This Row],[ST]] + CAP[[#This Row],[PS]] + CAP[[#This Row],[SS]]) /1.54532785176361-58.8447490566471</f>
        <v>271.72650460103262</v>
      </c>
      <c r="AC127"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Good</v>
      </c>
      <c r="AD127" s="14">
        <f>IF(CAP[[#This Row],[Overall Rating]]&lt;=200,80,IF(CAP[[#This Row],[Overall Rating]]&lt;250,75,IF(CAP[[#This Row],[Overall Rating]]&lt;300,70,IF(CAP[[#This Row],[Overall Rating]]&lt;350,65,IF(CAP[[#This Row],[Overall Rating]]&lt;400,60,IF(CAP[[#This Row],[Overall Rating]]&lt;450,55,50))))))</f>
        <v>70</v>
      </c>
    </row>
    <row r="128" spans="1:30" x14ac:dyDescent="0.3">
      <c r="A128">
        <v>11</v>
      </c>
      <c r="B128" s="14" t="s">
        <v>80</v>
      </c>
      <c r="C128" s="14" t="s">
        <v>37</v>
      </c>
      <c r="D128" s="14"/>
      <c r="E128">
        <v>45</v>
      </c>
      <c r="F128">
        <v>40</v>
      </c>
      <c r="G128">
        <v>50</v>
      </c>
      <c r="H128">
        <v>65</v>
      </c>
      <c r="I128">
        <v>55</v>
      </c>
      <c r="J128">
        <v>70</v>
      </c>
      <c r="K128" s="14">
        <f>CAP[[#This Row],[HP]]*2+141</f>
        <v>231</v>
      </c>
      <c r="L128" s="14">
        <f>CAP[[#This Row],[Atk]]*2+36</f>
        <v>116</v>
      </c>
      <c r="M128">
        <f>CAP[[#This Row],[Def]]*2+36</f>
        <v>136</v>
      </c>
      <c r="N128">
        <f>CAP[[#This Row],[SpA]]*2+36</f>
        <v>166</v>
      </c>
      <c r="O128" s="14">
        <f>CAP[[#This Row],[SpD]]*2+36</f>
        <v>146</v>
      </c>
      <c r="P128" s="14">
        <f>CAP[[#This Row],[SPD Factor]]/822</f>
        <v>0.57055961070559613</v>
      </c>
      <c r="Q128" s="14">
        <f>VLOOKUP(CAP[[#This Row],[Spe]],SpeedFactor[#All], 2, TRUE)</f>
        <v>469</v>
      </c>
      <c r="R128" s="14">
        <f>CAP[[#This Row],[Stat HP]]*CAP[[#This Row],[Stat Def]]</f>
        <v>31416</v>
      </c>
      <c r="S128" s="14">
        <f>CAP[[#This Row],[Stat HP]]*CAP[[#This Row],[Stat SpD]]</f>
        <v>33726</v>
      </c>
      <c r="T128" s="1">
        <f>CAP[[#This Row],[Stat Atk]]*(CAP[[#This Row],[Stat Atk]]*CAP[[#This Row],[Stat Spe]]+415)/(CAP[[#This Row],[Stat Atk]]*(1-CAP[[#This Row],[Stat Spe]])+415)</f>
        <v>120.08528101591823</v>
      </c>
      <c r="U128" s="4">
        <f>CAP[[#This Row],[Stat SpA]]*(CAP[[#This Row],[Stat SpA]]*CAP[[#This Row],[Stat Spe]]+415)/(CAP[[#This Row],[Stat SpA]]*(1-CAP[[#This Row],[Stat Spe]])+415)</f>
        <v>173.99667774086382</v>
      </c>
      <c r="V128" s="9">
        <f>(CAP[[#This Row],[RPT]] /432.441508090053)-22.8128616201416</f>
        <v>49.835113683509945</v>
      </c>
      <c r="W128" s="10">
        <f>(CAP[[#This Row],[RST]] /426.30249118172)-22.4239890939417</f>
        <v>56.688849084673635</v>
      </c>
      <c r="X128" s="10">
        <f>(CAP[[#This Row],[RPS]]/2.21869141127892)+2.84495101810441</f>
        <v>56.969323792729021</v>
      </c>
      <c r="Y128" s="11">
        <f>(CAP[[#This Row],[RSS]]/2.30100441716059)+11.4244456864885</f>
        <v>87.042152650985983</v>
      </c>
      <c r="Z128" s="5">
        <f>(MAX(CAP[[#This Row],[PS]],CAP[[#This Row],[SS]]) - MAX(CAP[[#This Row],[PT]],CAP[[#This Row],[ST]])) / 6.165301 - 0.490854</f>
        <v>4.4323936348376742</v>
      </c>
      <c r="AA128" s="1">
        <f>(CAP[[#This Row],[PT]] - CAP[[#This Row],[ST]] + CAP[[#This Row],[PS]] - CAP[[#This Row],[SS]]) / 6.8267</f>
        <v>-5.4091382746305907</v>
      </c>
      <c r="AB128" s="3">
        <f xml:space="preserve"> (CAP[[#This Row],[PT]] + CAP[[#This Row],[ST]] + CAP[[#This Row],[PS]] + CAP[[#This Row],[SS]]) /1.54532785176361-58.8447490566471</f>
        <v>103.27970817485509</v>
      </c>
      <c r="AC128"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Poor</v>
      </c>
      <c r="AD128" s="14">
        <f>IF(CAP[[#This Row],[Overall Rating]]&lt;=200,80,IF(CAP[[#This Row],[Overall Rating]]&lt;250,75,IF(CAP[[#This Row],[Overall Rating]]&lt;300,70,IF(CAP[[#This Row],[Overall Rating]]&lt;350,65,IF(CAP[[#This Row],[Overall Rating]]&lt;400,60,IF(CAP[[#This Row],[Overall Rating]]&lt;450,55,50))))))</f>
        <v>80</v>
      </c>
    </row>
    <row r="129" spans="1:30" x14ac:dyDescent="0.3">
      <c r="A129">
        <v>10</v>
      </c>
      <c r="B129" s="14" t="s">
        <v>77</v>
      </c>
      <c r="C129" s="14" t="s">
        <v>66</v>
      </c>
      <c r="D129" s="14" t="s">
        <v>28</v>
      </c>
      <c r="E129">
        <v>85</v>
      </c>
      <c r="F129">
        <v>115</v>
      </c>
      <c r="G129">
        <v>80</v>
      </c>
      <c r="H129">
        <v>95</v>
      </c>
      <c r="I129">
        <v>80</v>
      </c>
      <c r="J129">
        <v>120</v>
      </c>
      <c r="K129" s="14">
        <f>CAP[[#This Row],[HP]]*2+141</f>
        <v>311</v>
      </c>
      <c r="L129" s="14">
        <f>CAP[[#This Row],[Atk]]*2+36</f>
        <v>266</v>
      </c>
      <c r="M129">
        <f>CAP[[#This Row],[Def]]*2+36</f>
        <v>196</v>
      </c>
      <c r="N129">
        <f>CAP[[#This Row],[SpA]]*2+36</f>
        <v>226</v>
      </c>
      <c r="O129" s="14">
        <f>CAP[[#This Row],[SpD]]*2+36</f>
        <v>196</v>
      </c>
      <c r="P129" s="14">
        <f>CAP[[#This Row],[SPD Factor]]/822</f>
        <v>0.96228710462287104</v>
      </c>
      <c r="Q129" s="14">
        <f>VLOOKUP(CAP[[#This Row],[Spe]],SpeedFactor[#All], 2, TRUE)</f>
        <v>791</v>
      </c>
      <c r="R129" s="14">
        <f>CAP[[#This Row],[Stat HP]]*CAP[[#This Row],[Stat Def]]</f>
        <v>60956</v>
      </c>
      <c r="S129" s="14">
        <f>CAP[[#This Row],[Stat HP]]*CAP[[#This Row],[Stat SpD]]</f>
        <v>60956</v>
      </c>
      <c r="T129" s="1">
        <f>CAP[[#This Row],[Stat Atk]]*(CAP[[#This Row],[Stat Atk]]*CAP[[#This Row],[Stat Spe]]+415)/(CAP[[#This Row],[Stat Atk]]*(1-CAP[[#This Row],[Stat Spe]])+415)</f>
        <v>419.91601025828908</v>
      </c>
      <c r="U129" s="4">
        <f>CAP[[#This Row],[Stat SpA]]*(CAP[[#This Row],[Stat SpA]]*CAP[[#This Row],[Stat Spe]]+415)/(CAP[[#This Row],[Stat SpA]]*(1-CAP[[#This Row],[Stat Spe]])+415)</f>
        <v>337.50171197463061</v>
      </c>
      <c r="V129" s="9">
        <f>(CAP[[#This Row],[RPT]] /432.441508090053)-22.8128616201416</f>
        <v>118.14493003409137</v>
      </c>
      <c r="W129" s="10">
        <f>(CAP[[#This Row],[RST]] /426.30249118172)-22.4239890939417</f>
        <v>120.5636810719741</v>
      </c>
      <c r="X129" s="10">
        <f>(CAP[[#This Row],[RPS]]/2.21869141127892)+2.84495101810441</f>
        <v>192.10786884597707</v>
      </c>
      <c r="Y129" s="11">
        <f>(CAP[[#This Row],[RSS]]/2.30100441716059)+11.4244456864885</f>
        <v>158.10026667039753</v>
      </c>
      <c r="Z129" s="5">
        <f>(MAX(CAP[[#This Row],[PS]],CAP[[#This Row],[SS]]) - MAX(CAP[[#This Row],[PT]],CAP[[#This Row],[ST]])) / 6.165301 - 0.490854</f>
        <v>11.113476068232346</v>
      </c>
      <c r="AA129" s="1">
        <f>(CAP[[#This Row],[PT]] - CAP[[#This Row],[ST]] + CAP[[#This Row],[PS]] - CAP[[#This Row],[SS]]) / 6.8267</f>
        <v>4.6272505218768689</v>
      </c>
      <c r="AB129" s="3">
        <f xml:space="preserve"> (CAP[[#This Row],[PT]] + CAP[[#This Row],[ST]] + CAP[[#This Row],[PS]] + CAP[[#This Row],[SS]]) /1.54532785176361-58.8447490566471</f>
        <v>322.25026968021001</v>
      </c>
      <c r="AC129"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Very Good</v>
      </c>
      <c r="AD129" s="14">
        <f>IF(CAP[[#This Row],[Overall Rating]]&lt;=200,80,IF(CAP[[#This Row],[Overall Rating]]&lt;250,75,IF(CAP[[#This Row],[Overall Rating]]&lt;300,70,IF(CAP[[#This Row],[Overall Rating]]&lt;350,65,IF(CAP[[#This Row],[Overall Rating]]&lt;400,60,IF(CAP[[#This Row],[Overall Rating]]&lt;450,55,50))))))</f>
        <v>65</v>
      </c>
    </row>
    <row r="130" spans="1:30" x14ac:dyDescent="0.3">
      <c r="A130">
        <v>9</v>
      </c>
      <c r="B130" s="14" t="s">
        <v>72</v>
      </c>
      <c r="C130" s="14" t="s">
        <v>66</v>
      </c>
      <c r="D130" s="14" t="s">
        <v>28</v>
      </c>
      <c r="E130">
        <v>65</v>
      </c>
      <c r="F130">
        <v>85</v>
      </c>
      <c r="G130">
        <v>60</v>
      </c>
      <c r="H130">
        <v>70</v>
      </c>
      <c r="I130">
        <v>60</v>
      </c>
      <c r="J130">
        <v>95</v>
      </c>
      <c r="K130" s="14">
        <f>CAP[[#This Row],[HP]]*2+141</f>
        <v>271</v>
      </c>
      <c r="L130" s="14">
        <f>CAP[[#This Row],[Atk]]*2+36</f>
        <v>206</v>
      </c>
      <c r="M130">
        <f>CAP[[#This Row],[Def]]*2+36</f>
        <v>156</v>
      </c>
      <c r="N130">
        <f>CAP[[#This Row],[SpA]]*2+36</f>
        <v>176</v>
      </c>
      <c r="O130" s="14">
        <f>CAP[[#This Row],[SpD]]*2+36</f>
        <v>156</v>
      </c>
      <c r="P130" s="14">
        <f>CAP[[#This Row],[SPD Factor]]/822</f>
        <v>0.80900243309002429</v>
      </c>
      <c r="Q130" s="14">
        <f>VLOOKUP(CAP[[#This Row],[Spe]],SpeedFactor[#All], 2, TRUE)</f>
        <v>665</v>
      </c>
      <c r="R130" s="14">
        <f>CAP[[#This Row],[Stat HP]]*CAP[[#This Row],[Stat Def]]</f>
        <v>42276</v>
      </c>
      <c r="S130" s="14">
        <f>CAP[[#This Row],[Stat HP]]*CAP[[#This Row],[Stat SpD]]</f>
        <v>42276</v>
      </c>
      <c r="T130" s="1">
        <f>CAP[[#This Row],[Stat Atk]]*(CAP[[#This Row],[Stat Atk]]*CAP[[#This Row],[Stat Spe]]+415)/(CAP[[#This Row],[Stat Atk]]*(1-CAP[[#This Row],[Stat Spe]])+415)</f>
        <v>263.7218318910119</v>
      </c>
      <c r="U130" s="4">
        <f>CAP[[#This Row],[Stat SpA]]*(CAP[[#This Row],[Stat SpA]]*CAP[[#This Row],[Stat Spe]]+415)/(CAP[[#This Row],[Stat SpA]]*(1-CAP[[#This Row],[Stat Spe]])+415)</f>
        <v>218.67198897934168</v>
      </c>
      <c r="V130" s="9">
        <f>(CAP[[#This Row],[RPT]] /432.441508090053)-22.8128616201416</f>
        <v>74.948336620792091</v>
      </c>
      <c r="W130" s="10">
        <f>(CAP[[#This Row],[RST]] /426.30249118172)-22.4239890939417</f>
        <v>76.745030263205351</v>
      </c>
      <c r="X130" s="10">
        <f>(CAP[[#This Row],[RPS]]/2.21869141127892)+2.84495101810441</f>
        <v>121.70863370527665</v>
      </c>
      <c r="Y130" s="11">
        <f>(CAP[[#This Row],[RSS]]/2.30100441716059)+11.4244456864885</f>
        <v>106.45772217588356</v>
      </c>
      <c r="Z130" s="5">
        <f>(MAX(CAP[[#This Row],[PS]],CAP[[#This Row],[SS]]) - MAX(CAP[[#This Row],[PT]],CAP[[#This Row],[ST]])) / 6.165301 - 0.490854</f>
        <v>6.8021562588780826</v>
      </c>
      <c r="AA130" s="1">
        <f>(CAP[[#This Row],[PT]] - CAP[[#This Row],[ST]] + CAP[[#This Row],[PS]] - CAP[[#This Row],[SS]]) / 6.8267</f>
        <v>1.9708230751285152</v>
      </c>
      <c r="AB130" s="3">
        <f xml:space="preserve"> (CAP[[#This Row],[PT]] + CAP[[#This Row],[ST]] + CAP[[#This Row],[PS]] + CAP[[#This Row],[SS]]) /1.54532785176361-58.8447490566471</f>
        <v>186.96698748304038</v>
      </c>
      <c r="AC130"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Below Average</v>
      </c>
      <c r="AD130" s="14">
        <f>IF(CAP[[#This Row],[Overall Rating]]&lt;=200,80,IF(CAP[[#This Row],[Overall Rating]]&lt;250,75,IF(CAP[[#This Row],[Overall Rating]]&lt;300,70,IF(CAP[[#This Row],[Overall Rating]]&lt;350,65,IF(CAP[[#This Row],[Overall Rating]]&lt;400,60,IF(CAP[[#This Row],[Overall Rating]]&lt;450,55,50))))))</f>
        <v>80</v>
      </c>
    </row>
    <row r="131" spans="1:30" x14ac:dyDescent="0.3">
      <c r="A131">
        <v>8</v>
      </c>
      <c r="B131" s="14" t="s">
        <v>65</v>
      </c>
      <c r="C131" s="14" t="s">
        <v>66</v>
      </c>
      <c r="D131" s="14"/>
      <c r="E131">
        <v>45</v>
      </c>
      <c r="F131">
        <v>60</v>
      </c>
      <c r="G131">
        <v>40</v>
      </c>
      <c r="H131">
        <v>45</v>
      </c>
      <c r="I131">
        <v>40</v>
      </c>
      <c r="J131">
        <v>70</v>
      </c>
      <c r="K131" s="14">
        <f>CAP[[#This Row],[HP]]*2+141</f>
        <v>231</v>
      </c>
      <c r="L131" s="14">
        <f>CAP[[#This Row],[Atk]]*2+36</f>
        <v>156</v>
      </c>
      <c r="M131">
        <f>CAP[[#This Row],[Def]]*2+36</f>
        <v>116</v>
      </c>
      <c r="N131">
        <f>CAP[[#This Row],[SpA]]*2+36</f>
        <v>126</v>
      </c>
      <c r="O131" s="14">
        <f>CAP[[#This Row],[SpD]]*2+36</f>
        <v>116</v>
      </c>
      <c r="P131" s="14">
        <f>CAP[[#This Row],[SPD Factor]]/822</f>
        <v>0.57055961070559613</v>
      </c>
      <c r="Q131" s="14">
        <f>VLOOKUP(CAP[[#This Row],[Spe]],SpeedFactor[#All], 2, TRUE)</f>
        <v>469</v>
      </c>
      <c r="R131" s="14">
        <f>CAP[[#This Row],[Stat HP]]*CAP[[#This Row],[Stat Def]]</f>
        <v>26796</v>
      </c>
      <c r="S131" s="14">
        <f>CAP[[#This Row],[Stat HP]]*CAP[[#This Row],[Stat SpD]]</f>
        <v>26796</v>
      </c>
      <c r="T131" s="1">
        <f>CAP[[#This Row],[Stat Atk]]*(CAP[[#This Row],[Stat Atk]]*CAP[[#This Row],[Stat Spe]]+415)/(CAP[[#This Row],[Stat Atk]]*(1-CAP[[#This Row],[Stat Spe]])+415)</f>
        <v>163.12516469038206</v>
      </c>
      <c r="U131" s="4">
        <f>CAP[[#This Row],[Stat SpA]]*(CAP[[#This Row],[Stat SpA]]*CAP[[#This Row],[Stat Spe]]+415)/(CAP[[#This Row],[Stat SpA]]*(1-CAP[[#This Row],[Stat Spe]])+415)</f>
        <v>130.77587601916971</v>
      </c>
      <c r="V131" s="9">
        <f>(CAP[[#This Row],[RPT]] /432.441508090053)-22.8128616201416</f>
        <v>39.151587903561193</v>
      </c>
      <c r="W131" s="10">
        <f>(CAP[[#This Row],[RST]] /426.30249118172)-22.4239890939417</f>
        <v>40.432786445232125</v>
      </c>
      <c r="X131" s="10">
        <f>(CAP[[#This Row],[RPS]]/2.21869141127892)+2.84495101810441</f>
        <v>76.36809347095766</v>
      </c>
      <c r="Y131" s="11">
        <f>(CAP[[#This Row],[RSS]]/2.30100441716059)+11.4244456864885</f>
        <v>68.258702519661156</v>
      </c>
      <c r="Z131" s="5">
        <f>(MAX(CAP[[#This Row],[PS]],CAP[[#This Row],[SS]]) - MAX(CAP[[#This Row],[PT]],CAP[[#This Row],[ST]])) / 6.165301 - 0.490854</f>
        <v>5.3377838922497922</v>
      </c>
      <c r="AA131" s="1">
        <f>(CAP[[#This Row],[PT]] - CAP[[#This Row],[ST]] + CAP[[#This Row],[PS]] - CAP[[#This Row],[SS]]) / 6.8267</f>
        <v>1.0002186136237967</v>
      </c>
      <c r="AB131" s="3">
        <f xml:space="preserve"> (CAP[[#This Row],[PT]] + CAP[[#This Row],[ST]] + CAP[[#This Row],[PS]] + CAP[[#This Row],[SS]]) /1.54532785176361-58.8447490566471</f>
        <v>86.244961248858928</v>
      </c>
      <c r="AC131"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Bad</v>
      </c>
      <c r="AD131" s="14">
        <f>IF(CAP[[#This Row],[Overall Rating]]&lt;=200,80,IF(CAP[[#This Row],[Overall Rating]]&lt;250,75,IF(CAP[[#This Row],[Overall Rating]]&lt;300,70,IF(CAP[[#This Row],[Overall Rating]]&lt;350,65,IF(CAP[[#This Row],[Overall Rating]]&lt;400,60,IF(CAP[[#This Row],[Overall Rating]]&lt;450,55,50))))))</f>
        <v>80</v>
      </c>
    </row>
    <row r="132" spans="1:30" x14ac:dyDescent="0.3">
      <c r="A132">
        <v>7</v>
      </c>
      <c r="B132" s="14" t="s">
        <v>58</v>
      </c>
      <c r="C132" s="14" t="s">
        <v>59</v>
      </c>
      <c r="D132" s="14" t="s">
        <v>44</v>
      </c>
      <c r="E132">
        <v>80</v>
      </c>
      <c r="F132">
        <v>100</v>
      </c>
      <c r="G132">
        <v>120</v>
      </c>
      <c r="H132">
        <v>75</v>
      </c>
      <c r="I132">
        <v>95</v>
      </c>
      <c r="J132">
        <v>70</v>
      </c>
      <c r="K132" s="14">
        <f>CAP[[#This Row],[HP]]*2+141</f>
        <v>301</v>
      </c>
      <c r="L132" s="14">
        <f>CAP[[#This Row],[Atk]]*2+36</f>
        <v>236</v>
      </c>
      <c r="M132">
        <f>CAP[[#This Row],[Def]]*2+36</f>
        <v>276</v>
      </c>
      <c r="N132">
        <f>CAP[[#This Row],[SpA]]*2+36</f>
        <v>186</v>
      </c>
      <c r="O132" s="14">
        <f>CAP[[#This Row],[SpD]]*2+36</f>
        <v>226</v>
      </c>
      <c r="P132" s="14">
        <f>CAP[[#This Row],[SPD Factor]]/822</f>
        <v>0.57055961070559613</v>
      </c>
      <c r="Q132" s="14">
        <f>VLOOKUP(CAP[[#This Row],[Spe]],SpeedFactor[#All], 2, TRUE)</f>
        <v>469</v>
      </c>
      <c r="R132" s="14">
        <f>CAP[[#This Row],[Stat HP]]*CAP[[#This Row],[Stat Def]]</f>
        <v>83076</v>
      </c>
      <c r="S132" s="14">
        <f>CAP[[#This Row],[Stat HP]]*CAP[[#This Row],[Stat SpD]]</f>
        <v>68026</v>
      </c>
      <c r="T132" s="1">
        <f>CAP[[#This Row],[Stat Atk]]*(CAP[[#This Row],[Stat Atk]]*CAP[[#This Row],[Stat Spe]]+415)/(CAP[[#This Row],[Stat Atk]]*(1-CAP[[#This Row],[Stat Spe]])+415)</f>
        <v>251.22186043662444</v>
      </c>
      <c r="U132" s="4">
        <f>CAP[[#This Row],[Stat SpA]]*(CAP[[#This Row],[Stat SpA]]*CAP[[#This Row],[Stat Spe]]+415)/(CAP[[#This Row],[Stat SpA]]*(1-CAP[[#This Row],[Stat Spe]])+415)</f>
        <v>195.86542375881294</v>
      </c>
      <c r="V132" s="9">
        <f>(CAP[[#This Row],[RPT]] /432.441508090053)-22.8128616201416</f>
        <v>169.29635649566421</v>
      </c>
      <c r="W132" s="10">
        <f>(CAP[[#This Row],[RST]] /426.30249118172)-22.4239890939417</f>
        <v>137.14814901726288</v>
      </c>
      <c r="X132" s="10">
        <f>(CAP[[#This Row],[RPS]]/2.21869141127892)+2.84495101810441</f>
        <v>116.07469498318005</v>
      </c>
      <c r="Y132" s="11">
        <f>(CAP[[#This Row],[RSS]]/2.30100441716059)+11.4244456864885</f>
        <v>96.546152667176685</v>
      </c>
      <c r="Z132" s="5">
        <f>(MAX(CAP[[#This Row],[PS]],CAP[[#This Row],[SS]]) - MAX(CAP[[#This Row],[PT]],CAP[[#This Row],[ST]])) / 6.165301 - 0.490854</f>
        <v>-9.1233054427574842</v>
      </c>
      <c r="AA132" s="1">
        <f>(CAP[[#This Row],[PT]] - CAP[[#This Row],[ST]] + CAP[[#This Row],[PS]] - CAP[[#This Row],[SS]]) / 6.8267</f>
        <v>7.5697994337534533</v>
      </c>
      <c r="AB132" s="3">
        <f xml:space="preserve"> (CAP[[#This Row],[PT]] + CAP[[#This Row],[ST]] + CAP[[#This Row],[PS]] + CAP[[#This Row],[SS]]) /1.54532785176361-58.8447490566471</f>
        <v>277.04860365222885</v>
      </c>
      <c r="AC132"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Good</v>
      </c>
      <c r="AD132" s="14">
        <f>IF(CAP[[#This Row],[Overall Rating]]&lt;=200,80,IF(CAP[[#This Row],[Overall Rating]]&lt;250,75,IF(CAP[[#This Row],[Overall Rating]]&lt;300,70,IF(CAP[[#This Row],[Overall Rating]]&lt;350,65,IF(CAP[[#This Row],[Overall Rating]]&lt;400,60,IF(CAP[[#This Row],[Overall Rating]]&lt;450,55,50))))))</f>
        <v>70</v>
      </c>
    </row>
    <row r="133" spans="1:30" x14ac:dyDescent="0.3">
      <c r="A133">
        <v>6</v>
      </c>
      <c r="B133" s="14" t="s">
        <v>49</v>
      </c>
      <c r="C133" s="14" t="s">
        <v>50</v>
      </c>
      <c r="D133" s="14" t="s">
        <v>51</v>
      </c>
      <c r="E133">
        <v>85</v>
      </c>
      <c r="F133">
        <v>100</v>
      </c>
      <c r="G133">
        <v>80</v>
      </c>
      <c r="H133">
        <v>110</v>
      </c>
      <c r="I133">
        <v>90</v>
      </c>
      <c r="J133">
        <v>80</v>
      </c>
      <c r="K133" s="14">
        <f>CAP[[#This Row],[HP]]*2+141</f>
        <v>311</v>
      </c>
      <c r="L133" s="14">
        <f>CAP[[#This Row],[Atk]]*2+36</f>
        <v>236</v>
      </c>
      <c r="M133">
        <f>CAP[[#This Row],[Def]]*2+36</f>
        <v>196</v>
      </c>
      <c r="N133">
        <f>CAP[[#This Row],[SpA]]*2+36</f>
        <v>256</v>
      </c>
      <c r="O133" s="14">
        <f>CAP[[#This Row],[SpD]]*2+36</f>
        <v>216</v>
      </c>
      <c r="P133" s="14">
        <f>CAP[[#This Row],[SPD Factor]]/822</f>
        <v>0.66423357664233573</v>
      </c>
      <c r="Q133" s="14">
        <f>VLOOKUP(CAP[[#This Row],[Spe]],SpeedFactor[#All], 2, TRUE)</f>
        <v>546</v>
      </c>
      <c r="R133" s="14">
        <f>CAP[[#This Row],[Stat HP]]*CAP[[#This Row],[Stat Def]]</f>
        <v>60956</v>
      </c>
      <c r="S133" s="14">
        <f>CAP[[#This Row],[Stat HP]]*CAP[[#This Row],[Stat SpD]]</f>
        <v>67176</v>
      </c>
      <c r="T133" s="1">
        <f>CAP[[#This Row],[Stat Atk]]*(CAP[[#This Row],[Stat Atk]]*CAP[[#This Row],[Stat Spe]]+415)/(CAP[[#This Row],[Stat Atk]]*(1-CAP[[#This Row],[Stat Spe]])+415)</f>
        <v>273.01496064155003</v>
      </c>
      <c r="U133" s="4">
        <f>CAP[[#This Row],[Stat SpA]]*(CAP[[#This Row],[Stat SpA]]*CAP[[#This Row],[Stat Spe]]+415)/(CAP[[#This Row],[Stat SpA]]*(1-CAP[[#This Row],[Stat Spe]])+415)</f>
        <v>298.97066923110549</v>
      </c>
      <c r="V133" s="9">
        <f>(CAP[[#This Row],[RPT]] /432.441508090053)-22.8128616201416</f>
        <v>118.14493003409137</v>
      </c>
      <c r="W133" s="10">
        <f>(CAP[[#This Row],[RST]] /426.30249118172)-22.4239890939417</f>
        <v>135.15425966033285</v>
      </c>
      <c r="X133" s="10">
        <f>(CAP[[#This Row],[RPS]]/2.21869141127892)+2.84495101810441</f>
        <v>125.89719670385124</v>
      </c>
      <c r="Y133" s="11">
        <f>(CAP[[#This Row],[RSS]]/2.30100441716059)+11.4244456864885</f>
        <v>141.35495212160063</v>
      </c>
      <c r="Z133" s="5">
        <f>(MAX(CAP[[#This Row],[PS]],CAP[[#This Row],[SS]]) - MAX(CAP[[#This Row],[PT]],CAP[[#This Row],[ST]])) / 6.165301 - 0.490854</f>
        <v>0.51488642715315558</v>
      </c>
      <c r="AA133" s="1">
        <f>(CAP[[#This Row],[PT]] - CAP[[#This Row],[ST]] + CAP[[#This Row],[PS]] - CAP[[#This Row],[SS]]) / 6.8267</f>
        <v>-4.7558974385853894</v>
      </c>
      <c r="AB133" s="3">
        <f xml:space="preserve"> (CAP[[#This Row],[PT]] + CAP[[#This Row],[ST]] + CAP[[#This Row],[PS]] + CAP[[#This Row],[SS]]) /1.54532785176361-58.8447490566471</f>
        <v>278.01020241905132</v>
      </c>
      <c r="AC133"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Good</v>
      </c>
      <c r="AD133" s="14">
        <f>IF(CAP[[#This Row],[Overall Rating]]&lt;=200,80,IF(CAP[[#This Row],[Overall Rating]]&lt;250,75,IF(CAP[[#This Row],[Overall Rating]]&lt;300,70,IF(CAP[[#This Row],[Overall Rating]]&lt;350,65,IF(CAP[[#This Row],[Overall Rating]]&lt;400,60,IF(CAP[[#This Row],[Overall Rating]]&lt;450,55,50))))))</f>
        <v>70</v>
      </c>
    </row>
    <row r="134" spans="1:30" x14ac:dyDescent="0.3">
      <c r="A134">
        <v>5</v>
      </c>
      <c r="B134" s="14" t="s">
        <v>43</v>
      </c>
      <c r="C134" s="14" t="s">
        <v>37</v>
      </c>
      <c r="D134" s="14" t="s">
        <v>44</v>
      </c>
      <c r="E134">
        <v>75</v>
      </c>
      <c r="F134">
        <v>110</v>
      </c>
      <c r="G134">
        <v>70</v>
      </c>
      <c r="H134">
        <v>80</v>
      </c>
      <c r="I134">
        <v>70</v>
      </c>
      <c r="J134">
        <v>110</v>
      </c>
      <c r="K134" s="14">
        <f>CAP[[#This Row],[HP]]*2+141</f>
        <v>291</v>
      </c>
      <c r="L134" s="14">
        <f>CAP[[#This Row],[Atk]]*2+36</f>
        <v>256</v>
      </c>
      <c r="M134">
        <f>CAP[[#This Row],[Def]]*2+36</f>
        <v>176</v>
      </c>
      <c r="N134">
        <f>CAP[[#This Row],[SpA]]*2+36</f>
        <v>196</v>
      </c>
      <c r="O134" s="14">
        <f>CAP[[#This Row],[SpD]]*2+36</f>
        <v>176</v>
      </c>
      <c r="P134" s="14">
        <f>CAP[[#This Row],[SPD Factor]]/822</f>
        <v>0.92822384428223847</v>
      </c>
      <c r="Q134" s="14">
        <f>VLOOKUP(CAP[[#This Row],[Spe]],SpeedFactor[#All], 2, TRUE)</f>
        <v>763</v>
      </c>
      <c r="R134" s="14">
        <f>CAP[[#This Row],[Stat HP]]*CAP[[#This Row],[Stat Def]]</f>
        <v>51216</v>
      </c>
      <c r="S134" s="14">
        <f>CAP[[#This Row],[Stat HP]]*CAP[[#This Row],[Stat SpD]]</f>
        <v>51216</v>
      </c>
      <c r="T134" s="1">
        <f>CAP[[#This Row],[Stat Atk]]*(CAP[[#This Row],[Stat Atk]]*CAP[[#This Row],[Stat Spe]]+415)/(CAP[[#This Row],[Stat Atk]]*(1-CAP[[#This Row],[Stat Spe]])+415)</f>
        <v>385.51415081098378</v>
      </c>
      <c r="U134" s="4">
        <f>CAP[[#This Row],[Stat SpA]]*(CAP[[#This Row],[Stat SpA]]*CAP[[#This Row],[Stat Spe]]+415)/(CAP[[#This Row],[Stat SpA]]*(1-CAP[[#This Row],[Stat Spe]])+415)</f>
        <v>272.68081679869806</v>
      </c>
      <c r="V134" s="9">
        <f>(CAP[[#This Row],[RPT]] /432.441508090053)-22.8128616201416</f>
        <v>95.621652740433191</v>
      </c>
      <c r="W134" s="10">
        <f>(CAP[[#This Row],[RST]] /426.30249118172)-22.4239890939417</f>
        <v>97.716054793740284</v>
      </c>
      <c r="X134" s="10">
        <f>(CAP[[#This Row],[RPS]]/2.21869141127892)+2.84495101810441</f>
        <v>176.60239599273561</v>
      </c>
      <c r="Y134" s="11">
        <f>(CAP[[#This Row],[RSS]]/2.30100441716059)+11.4244456864885</f>
        <v>129.92957099832199</v>
      </c>
      <c r="Z134" s="5">
        <f>(MAX(CAP[[#This Row],[PS]],CAP[[#This Row],[SS]]) - MAX(CAP[[#This Row],[PT]],CAP[[#This Row],[ST]])) / 6.165301 - 0.490854</f>
        <v>12.304359274906663</v>
      </c>
      <c r="AA134" s="1">
        <f>(CAP[[#This Row],[PT]] - CAP[[#This Row],[ST]] + CAP[[#This Row],[PS]] - CAP[[#This Row],[SS]]) / 6.8267</f>
        <v>6.5300105381965681</v>
      </c>
      <c r="AB134" s="3">
        <f xml:space="preserve"> (CAP[[#This Row],[PT]] + CAP[[#This Row],[ST]] + CAP[[#This Row],[PS]] + CAP[[#This Row],[SS]]) /1.54532785176361-58.8447490566471</f>
        <v>264.62685210213181</v>
      </c>
      <c r="AC134"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Good</v>
      </c>
      <c r="AD134" s="14">
        <f>IF(CAP[[#This Row],[Overall Rating]]&lt;=200,80,IF(CAP[[#This Row],[Overall Rating]]&lt;250,75,IF(CAP[[#This Row],[Overall Rating]]&lt;300,70,IF(CAP[[#This Row],[Overall Rating]]&lt;350,65,IF(CAP[[#This Row],[Overall Rating]]&lt;400,60,IF(CAP[[#This Row],[Overall Rating]]&lt;450,55,50))))))</f>
        <v>70</v>
      </c>
    </row>
    <row r="135" spans="1:30" x14ac:dyDescent="0.3">
      <c r="A135">
        <v>4</v>
      </c>
      <c r="B135" s="14" t="s">
        <v>36</v>
      </c>
      <c r="C135" s="14" t="s">
        <v>37</v>
      </c>
      <c r="D135" s="14"/>
      <c r="E135">
        <v>50</v>
      </c>
      <c r="F135">
        <v>70</v>
      </c>
      <c r="G135">
        <v>40</v>
      </c>
      <c r="H135">
        <v>60</v>
      </c>
      <c r="I135">
        <v>40</v>
      </c>
      <c r="J135">
        <v>85</v>
      </c>
      <c r="K135" s="14">
        <f>CAP[[#This Row],[HP]]*2+141</f>
        <v>241</v>
      </c>
      <c r="L135" s="14">
        <f>CAP[[#This Row],[Atk]]*2+36</f>
        <v>176</v>
      </c>
      <c r="M135">
        <f>CAP[[#This Row],[Def]]*2+36</f>
        <v>116</v>
      </c>
      <c r="N135">
        <f>CAP[[#This Row],[SpA]]*2+36</f>
        <v>156</v>
      </c>
      <c r="O135" s="14">
        <f>CAP[[#This Row],[SpD]]*2+36</f>
        <v>116</v>
      </c>
      <c r="P135" s="14">
        <f>CAP[[#This Row],[SPD Factor]]/822</f>
        <v>0.71289537712895379</v>
      </c>
      <c r="Q135" s="14">
        <f>VLOOKUP(CAP[[#This Row],[Spe]],SpeedFactor[#All], 2, TRUE)</f>
        <v>586</v>
      </c>
      <c r="R135" s="14">
        <f>CAP[[#This Row],[Stat HP]]*CAP[[#This Row],[Stat Def]]</f>
        <v>27956</v>
      </c>
      <c r="S135" s="14">
        <f>CAP[[#This Row],[Stat HP]]*CAP[[#This Row],[Stat SpD]]</f>
        <v>27956</v>
      </c>
      <c r="T135" s="1">
        <f>CAP[[#This Row],[Stat Atk]]*(CAP[[#This Row],[Stat Atk]]*CAP[[#This Row],[Stat Spe]]+415)/(CAP[[#This Row],[Stat Atk]]*(1-CAP[[#This Row],[Stat Spe]])+415)</f>
        <v>204.33175667553425</v>
      </c>
      <c r="U135" s="4">
        <f>CAP[[#This Row],[Stat SpA]]*(CAP[[#This Row],[Stat SpA]]*CAP[[#This Row],[Stat Spe]]+415)/(CAP[[#This Row],[Stat SpA]]*(1-CAP[[#This Row],[Stat Spe]])+415)</f>
        <v>178.53655284088202</v>
      </c>
      <c r="V135" s="9">
        <f>(CAP[[#This Row],[RPT]] /432.441508090053)-22.8128616201416</f>
        <v>41.834031605885983</v>
      </c>
      <c r="W135" s="10">
        <f>(CAP[[#This Row],[RST]] /426.30249118172)-22.4239890939417</f>
        <v>43.153858979395494</v>
      </c>
      <c r="X135" s="10">
        <f>(CAP[[#This Row],[RPS]]/2.21869141127892)+2.84495101810441</f>
        <v>94.940569019235681</v>
      </c>
      <c r="Y135" s="11">
        <f>(CAP[[#This Row],[RSS]]/2.30100441716059)+11.4244456864885</f>
        <v>89.01514977613725</v>
      </c>
      <c r="Z135" s="5">
        <f>(MAX(CAP[[#This Row],[PS]],CAP[[#This Row],[SS]]) - MAX(CAP[[#This Row],[PT]],CAP[[#This Row],[ST]])) / 6.165301 - 0.490854</f>
        <v>7.9088510654688529</v>
      </c>
      <c r="AA135" s="1">
        <f>(CAP[[#This Row],[PT]] - CAP[[#This Row],[ST]] + CAP[[#This Row],[PS]] - CAP[[#This Row],[SS]]) / 6.8267</f>
        <v>0.6746439523618909</v>
      </c>
      <c r="AB135" s="3">
        <f xml:space="preserve"> (CAP[[#This Row],[PT]] + CAP[[#This Row],[ST]] + CAP[[#This Row],[PS]] + CAP[[#This Row],[SS]]) /1.54532785176361-58.8447490566471</f>
        <v>115.19185364466431</v>
      </c>
      <c r="AC135"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Poor</v>
      </c>
      <c r="AD135" s="14">
        <f>IF(CAP[[#This Row],[Overall Rating]]&lt;=200,80,IF(CAP[[#This Row],[Overall Rating]]&lt;250,75,IF(CAP[[#This Row],[Overall Rating]]&lt;300,70,IF(CAP[[#This Row],[Overall Rating]]&lt;350,65,IF(CAP[[#This Row],[Overall Rating]]&lt;400,60,IF(CAP[[#This Row],[Overall Rating]]&lt;450,55,50))))))</f>
        <v>80</v>
      </c>
    </row>
    <row r="136" spans="1:30" x14ac:dyDescent="0.3">
      <c r="A136">
        <v>3</v>
      </c>
      <c r="B136" s="14" t="s">
        <v>33</v>
      </c>
      <c r="C136" s="14" t="s">
        <v>21</v>
      </c>
      <c r="D136" s="14" t="s">
        <v>28</v>
      </c>
      <c r="E136">
        <v>90</v>
      </c>
      <c r="F136">
        <v>100</v>
      </c>
      <c r="G136">
        <v>85</v>
      </c>
      <c r="H136">
        <v>110</v>
      </c>
      <c r="I136">
        <v>80</v>
      </c>
      <c r="J136">
        <v>130</v>
      </c>
      <c r="K136" s="14">
        <f>CAP[[#This Row],[HP]]*2+141</f>
        <v>321</v>
      </c>
      <c r="L136" s="14">
        <f>CAP[[#This Row],[Atk]]*2+36</f>
        <v>236</v>
      </c>
      <c r="M136">
        <f>CAP[[#This Row],[Def]]*2+36</f>
        <v>206</v>
      </c>
      <c r="N136">
        <f>CAP[[#This Row],[SpA]]*2+36</f>
        <v>256</v>
      </c>
      <c r="O136" s="14">
        <f>CAP[[#This Row],[SpD]]*2+36</f>
        <v>196</v>
      </c>
      <c r="P136" s="14">
        <f>CAP[[#This Row],[SPD Factor]]/822</f>
        <v>0.98418491484184911</v>
      </c>
      <c r="Q136" s="14">
        <f>VLOOKUP(CAP[[#This Row],[Spe]],SpeedFactor[#All], 2, TRUE)</f>
        <v>809</v>
      </c>
      <c r="R136" s="14">
        <f>CAP[[#This Row],[Stat HP]]*CAP[[#This Row],[Stat Def]]</f>
        <v>66126</v>
      </c>
      <c r="S136" s="14">
        <f>CAP[[#This Row],[Stat HP]]*CAP[[#This Row],[Stat SpD]]</f>
        <v>62916</v>
      </c>
      <c r="T136" s="1">
        <f>CAP[[#This Row],[Stat Atk]]*(CAP[[#This Row],[Stat Atk]]*CAP[[#This Row],[Stat Spe]]+415)/(CAP[[#This Row],[Stat Atk]]*(1-CAP[[#This Row],[Stat Spe]])+415)</f>
        <v>364.80381640799766</v>
      </c>
      <c r="U136" s="4">
        <f>CAP[[#This Row],[Stat SpA]]*(CAP[[#This Row],[Stat SpA]]*CAP[[#This Row],[Stat Spe]]+415)/(CAP[[#This Row],[Stat SpA]]*(1-CAP[[#This Row],[Stat Spe]])+415)</f>
        <v>407.44562181746397</v>
      </c>
      <c r="V136" s="9">
        <f>(CAP[[#This Row],[RPT]] /432.441508090053)-22.8128616201416</f>
        <v>130.10030412117689</v>
      </c>
      <c r="W136" s="10">
        <f>(CAP[[#This Row],[RST]] /426.30249118172)-22.4239890939417</f>
        <v>125.16135535383633</v>
      </c>
      <c r="X136" s="10">
        <f>(CAP[[#This Row],[RPS]]/2.21869141127892)+2.84495101810441</f>
        <v>167.26791428081151</v>
      </c>
      <c r="Y136" s="11">
        <f>(CAP[[#This Row],[RSS]]/2.30100441716059)+11.4244456864885</f>
        <v>188.49738773683305</v>
      </c>
      <c r="Z136" s="5">
        <f>(MAX(CAP[[#This Row],[PS]],CAP[[#This Row],[SS]]) - MAX(CAP[[#This Row],[PT]],CAP[[#This Row],[ST]])) / 6.165301 - 0.490854</f>
        <v>8.9810409838225507</v>
      </c>
      <c r="AA136" s="1">
        <f>(CAP[[#This Row],[PT]] - CAP[[#This Row],[ST]] + CAP[[#This Row],[PS]] - CAP[[#This Row],[SS]]) / 6.8267</f>
        <v>-2.3862956756091509</v>
      </c>
      <c r="AB136" s="3">
        <f xml:space="preserve"> (CAP[[#This Row],[PT]] + CAP[[#This Row],[ST]] + CAP[[#This Row],[PS]] + CAP[[#This Row],[SS]]) /1.54532785176361-58.8447490566471</f>
        <v>336.55805222938517</v>
      </c>
      <c r="AC136"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Very Good</v>
      </c>
      <c r="AD136" s="14">
        <f>IF(CAP[[#This Row],[Overall Rating]]&lt;=200,80,IF(CAP[[#This Row],[Overall Rating]]&lt;250,75,IF(CAP[[#This Row],[Overall Rating]]&lt;300,70,IF(CAP[[#This Row],[Overall Rating]]&lt;350,65,IF(CAP[[#This Row],[Overall Rating]]&lt;400,60,IF(CAP[[#This Row],[Overall Rating]]&lt;450,55,50))))))</f>
        <v>65</v>
      </c>
    </row>
    <row r="137" spans="1:30" x14ac:dyDescent="0.3">
      <c r="A137">
        <v>2</v>
      </c>
      <c r="B137" s="14" t="s">
        <v>27</v>
      </c>
      <c r="C137" s="14" t="s">
        <v>21</v>
      </c>
      <c r="D137" s="14" t="s">
        <v>28</v>
      </c>
      <c r="E137">
        <v>70</v>
      </c>
      <c r="F137">
        <v>80</v>
      </c>
      <c r="G137">
        <v>65</v>
      </c>
      <c r="H137">
        <v>90</v>
      </c>
      <c r="I137">
        <v>60</v>
      </c>
      <c r="J137">
        <v>110</v>
      </c>
      <c r="K137" s="14">
        <f>CAP[[#This Row],[HP]]*2+141</f>
        <v>281</v>
      </c>
      <c r="L137" s="14">
        <f>CAP[[#This Row],[Atk]]*2+36</f>
        <v>196</v>
      </c>
      <c r="M137">
        <f>CAP[[#This Row],[Def]]*2+36</f>
        <v>166</v>
      </c>
      <c r="N137">
        <f>CAP[[#This Row],[SpA]]*2+36</f>
        <v>216</v>
      </c>
      <c r="O137" s="14">
        <f>CAP[[#This Row],[SpD]]*2+36</f>
        <v>156</v>
      </c>
      <c r="P137" s="14">
        <f>CAP[[#This Row],[SPD Factor]]/822</f>
        <v>0.92822384428223847</v>
      </c>
      <c r="Q137" s="14">
        <f>VLOOKUP(CAP[[#This Row],[Spe]],SpeedFactor[#All], 2, TRUE)</f>
        <v>763</v>
      </c>
      <c r="R137" s="14">
        <f>CAP[[#This Row],[Stat HP]]*CAP[[#This Row],[Stat Def]]</f>
        <v>46646</v>
      </c>
      <c r="S137" s="14">
        <f>CAP[[#This Row],[Stat HP]]*CAP[[#This Row],[Stat SpD]]</f>
        <v>43836</v>
      </c>
      <c r="T137" s="1">
        <f>CAP[[#This Row],[Stat Atk]]*(CAP[[#This Row],[Stat Atk]]*CAP[[#This Row],[Stat Spe]]+415)/(CAP[[#This Row],[Stat Atk]]*(1-CAP[[#This Row],[Stat Spe]])+415)</f>
        <v>272.68081679869806</v>
      </c>
      <c r="U137" s="4">
        <f>CAP[[#This Row],[Stat SpA]]*(CAP[[#This Row],[Stat SpA]]*CAP[[#This Row],[Stat Spe]]+415)/(CAP[[#This Row],[Stat SpA]]*(1-CAP[[#This Row],[Stat Spe]])+415)</f>
        <v>308.81785042133646</v>
      </c>
      <c r="V137" s="9">
        <f>(CAP[[#This Row],[RPT]] /432.441508090053)-22.8128616201416</f>
        <v>85.053749533860497</v>
      </c>
      <c r="W137" s="10">
        <f>(CAP[[#This Row],[RST]] /426.30249118172)-22.4239890939417</f>
        <v>80.404403671218162</v>
      </c>
      <c r="X137" s="10">
        <f>(CAP[[#This Row],[RPS]]/2.21869141127892)+2.84495101810441</f>
        <v>125.74659268512501</v>
      </c>
      <c r="Y137" s="11">
        <f>(CAP[[#This Row],[RSS]]/2.30100441716059)+11.4244456864885</f>
        <v>145.63446637059207</v>
      </c>
      <c r="Z137" s="5">
        <f>(MAX(CAP[[#This Row],[PS]],CAP[[#This Row],[SS]]) - MAX(CAP[[#This Row],[PT]],CAP[[#This Row],[ST]])) / 6.165301 - 0.490854</f>
        <v>9.3352221050809305</v>
      </c>
      <c r="AA137" s="1">
        <f>(CAP[[#This Row],[PT]] - CAP[[#This Row],[ST]] + CAP[[#This Row],[PS]] - CAP[[#This Row],[SS]]) / 6.8267</f>
        <v>-2.2321953246553563</v>
      </c>
      <c r="AB137" s="3">
        <f xml:space="preserve"> (CAP[[#This Row],[PT]] + CAP[[#This Row],[ST]] + CAP[[#This Row],[PS]] + CAP[[#This Row],[SS]]) /1.54532785176361-58.8447490566471</f>
        <v>223.83909163272614</v>
      </c>
      <c r="AC137"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Above Average</v>
      </c>
      <c r="AD137" s="14">
        <f>IF(CAP[[#This Row],[Overall Rating]]&lt;=200,80,IF(CAP[[#This Row],[Overall Rating]]&lt;250,75,IF(CAP[[#This Row],[Overall Rating]]&lt;300,70,IF(CAP[[#This Row],[Overall Rating]]&lt;350,65,IF(CAP[[#This Row],[Overall Rating]]&lt;400,60,IF(CAP[[#This Row],[Overall Rating]]&lt;450,55,50))))))</f>
        <v>75</v>
      </c>
    </row>
    <row r="138" spans="1:30" x14ac:dyDescent="0.3">
      <c r="A138">
        <v>1</v>
      </c>
      <c r="B138" s="14" t="s">
        <v>20</v>
      </c>
      <c r="C138" s="14" t="s">
        <v>21</v>
      </c>
      <c r="D138" s="14"/>
      <c r="E138">
        <v>50</v>
      </c>
      <c r="F138">
        <v>60</v>
      </c>
      <c r="G138">
        <v>45</v>
      </c>
      <c r="H138">
        <v>70</v>
      </c>
      <c r="I138">
        <v>40</v>
      </c>
      <c r="J138">
        <v>90</v>
      </c>
      <c r="K138" s="14">
        <f>CAP[[#This Row],[HP]]*2+141</f>
        <v>241</v>
      </c>
      <c r="L138" s="14">
        <f>CAP[[#This Row],[Atk]]*2+36</f>
        <v>156</v>
      </c>
      <c r="M138">
        <f>CAP[[#This Row],[Def]]*2+36</f>
        <v>126</v>
      </c>
      <c r="N138">
        <f>CAP[[#This Row],[SpA]]*2+36</f>
        <v>176</v>
      </c>
      <c r="O138" s="14">
        <f>CAP[[#This Row],[SpD]]*2+36</f>
        <v>116</v>
      </c>
      <c r="P138" s="14">
        <f>CAP[[#This Row],[SPD Factor]]/822</f>
        <v>0.76034063260340634</v>
      </c>
      <c r="Q138" s="14">
        <f>VLOOKUP(CAP[[#This Row],[Spe]],SpeedFactor[#All], 2, TRUE)</f>
        <v>625</v>
      </c>
      <c r="R138" s="14">
        <f>CAP[[#This Row],[Stat HP]]*CAP[[#This Row],[Stat Def]]</f>
        <v>30366</v>
      </c>
      <c r="S138" s="14">
        <f>CAP[[#This Row],[Stat HP]]*CAP[[#This Row],[Stat SpD]]</f>
        <v>27956</v>
      </c>
      <c r="T138" s="1">
        <f>CAP[[#This Row],[Stat Atk]]*(CAP[[#This Row],[Stat Atk]]*CAP[[#This Row],[Stat Spe]]+415)/(CAP[[#This Row],[Stat Atk]]*(1-CAP[[#This Row],[Stat Spe]])+415)</f>
        <v>184.00987463091144</v>
      </c>
      <c r="U138" s="4">
        <f>CAP[[#This Row],[Stat SpA]]*(CAP[[#This Row],[Stat SpA]]*CAP[[#This Row],[Stat Spe]]+415)/(CAP[[#This Row],[Stat SpA]]*(1-CAP[[#This Row],[Stat Spe]])+415)</f>
        <v>211.27849239759237</v>
      </c>
      <c r="V138" s="9">
        <f>(CAP[[#This Row],[RPT]] /432.441508090053)-22.8128616201416</f>
        <v>47.407039642612503</v>
      </c>
      <c r="W138" s="10">
        <f>(CAP[[#This Row],[RST]] /426.30249118172)-22.4239890939417</f>
        <v>43.153858979395494</v>
      </c>
      <c r="X138" s="10">
        <f>(CAP[[#This Row],[RPS]]/2.21869141127892)+2.84495101810441</f>
        <v>85.781169049814665</v>
      </c>
      <c r="Y138" s="11">
        <f>(CAP[[#This Row],[RSS]]/2.30100441716059)+11.4244456864885</f>
        <v>103.24456164189694</v>
      </c>
      <c r="Z138" s="5">
        <f>(MAX(CAP[[#This Row],[PS]],CAP[[#This Row],[SS]]) - MAX(CAP[[#This Row],[PT]],CAP[[#This Row],[ST]])) / 6.165301 - 0.490854</f>
        <v>8.5658849977041562</v>
      </c>
      <c r="AA138" s="1">
        <f>(CAP[[#This Row],[PT]] - CAP[[#This Row],[ST]] + CAP[[#This Row],[PS]] - CAP[[#This Row],[SS]]) / 6.8267</f>
        <v>-1.9350801893836354</v>
      </c>
      <c r="AB138" s="3">
        <f xml:space="preserve"> (CAP[[#This Row],[PT]] + CAP[[#This Row],[ST]] + CAP[[#This Row],[PS]] + CAP[[#This Row],[SS]]) /1.54532785176361-58.8447490566471</f>
        <v>122.07907820411218</v>
      </c>
      <c r="AC138" s="14" t="str">
        <f>IF(CAP[[#This Row],[Overall Rating]]&lt;50,"Horrible",IF(CAP[[#This Row],[Overall Rating]]&lt;100,"Bad",IF(CAP[[#This Row],[Overall Rating]]&lt;150,"Poor",IF(CAP[[#This Row],[Overall Rating]]&lt;200,"Below Average",IF(CAP[[#This Row],[Overall Rating]]&lt;250,"Above Average",IF(CAP[[#This Row],[Overall Rating]]&lt;300,"Good",IF(CAP[[#This Row],[Overall Rating]]&lt;350,"Very Good",IF(CAP[[#This Row],[Overall Rating]]&lt;400,"Excellent",IF(CAP[[#This Row],[Overall Rating]]&lt;450,"Fantastic","Amazing")))))))))</f>
        <v>Poor</v>
      </c>
      <c r="AD138" s="14">
        <f>IF(CAP[[#This Row],[Overall Rating]]&lt;=200,80,IF(CAP[[#This Row],[Overall Rating]]&lt;250,75,IF(CAP[[#This Row],[Overall Rating]]&lt;300,70,IF(CAP[[#This Row],[Overall Rating]]&lt;350,65,IF(CAP[[#This Row],[Overall Rating]]&lt;400,60,IF(CAP[[#This Row],[Overall Rating]]&lt;450,55,50))))))</f>
        <v>80</v>
      </c>
    </row>
  </sheetData>
  <phoneticPr fontId="1" type="noConversion"/>
  <conditionalFormatting sqref="V2:Y138">
    <cfRule type="cellIs" dxfId="41" priority="14" operator="lessThan">
      <formula>25</formula>
    </cfRule>
  </conditionalFormatting>
  <conditionalFormatting sqref="V2:Y138">
    <cfRule type="cellIs" dxfId="40" priority="15" operator="between">
      <formula>25</formula>
      <formula>50</formula>
    </cfRule>
  </conditionalFormatting>
  <conditionalFormatting sqref="V2:Y138">
    <cfRule type="cellIs" dxfId="39" priority="16" operator="between">
      <formula>50</formula>
      <formula>75</formula>
    </cfRule>
  </conditionalFormatting>
  <conditionalFormatting sqref="V2:Y138">
    <cfRule type="cellIs" dxfId="38" priority="17" operator="between">
      <formula>75</formula>
      <formula>100</formula>
    </cfRule>
  </conditionalFormatting>
  <conditionalFormatting sqref="V2:Y138">
    <cfRule type="cellIs" dxfId="37" priority="18" operator="between">
      <formula>100</formula>
      <formula>125</formula>
    </cfRule>
  </conditionalFormatting>
  <conditionalFormatting sqref="V2:Y138">
    <cfRule type="cellIs" dxfId="36" priority="19" operator="between">
      <formula>125</formula>
      <formula>150</formula>
    </cfRule>
  </conditionalFormatting>
  <conditionalFormatting sqref="V2:Y138">
    <cfRule type="cellIs" dxfId="35" priority="20" operator="between">
      <formula>150</formula>
      <formula>175</formula>
    </cfRule>
  </conditionalFormatting>
  <conditionalFormatting sqref="V2:Y138">
    <cfRule type="cellIs" dxfId="34" priority="21" operator="between">
      <formula>175</formula>
      <formula>200</formula>
    </cfRule>
  </conditionalFormatting>
  <conditionalFormatting sqref="V2:Y138">
    <cfRule type="cellIs" dxfId="33" priority="22" operator="between">
      <formula>200</formula>
      <formula>225</formula>
    </cfRule>
  </conditionalFormatting>
  <conditionalFormatting sqref="V2:Y138">
    <cfRule type="cellIs" dxfId="32" priority="23" operator="greaterThan">
      <formula>225</formula>
    </cfRule>
  </conditionalFormatting>
  <conditionalFormatting sqref="Z1:Z1048576">
    <cfRule type="colorScale" priority="13">
      <colorScale>
        <cfvo type="min"/>
        <cfvo type="percentile" val="50"/>
        <cfvo type="max"/>
        <color rgb="FF5A8AC6"/>
        <color rgb="FFFCFCFF"/>
        <color rgb="FFF8696B"/>
      </colorScale>
    </cfRule>
  </conditionalFormatting>
  <conditionalFormatting sqref="AA1:AA1048576">
    <cfRule type="colorScale" priority="12">
      <colorScale>
        <cfvo type="min"/>
        <cfvo type="percentile" val="50"/>
        <cfvo type="max"/>
        <color rgb="FF5A8AC6"/>
        <color rgb="FFFCFCFF"/>
        <color rgb="FFF8696B"/>
      </colorScale>
    </cfRule>
  </conditionalFormatting>
  <conditionalFormatting sqref="AB2:AB138">
    <cfRule type="cellIs" dxfId="31" priority="1" operator="between">
      <formula>450</formula>
      <formula>500</formula>
    </cfRule>
    <cfRule type="cellIs" dxfId="30" priority="2" operator="greaterThan">
      <formula>500</formula>
    </cfRule>
    <cfRule type="cellIs" dxfId="29" priority="3" operator="between">
      <formula>400</formula>
      <formula>450</formula>
    </cfRule>
    <cfRule type="cellIs" dxfId="28" priority="4" operator="between">
      <formula>350</formula>
      <formula>400</formula>
    </cfRule>
    <cfRule type="cellIs" dxfId="27" priority="5" operator="between">
      <formula>300</formula>
      <formula>350</formula>
    </cfRule>
    <cfRule type="cellIs" dxfId="26" priority="6" operator="between">
      <formula>250</formula>
      <formula>300</formula>
    </cfRule>
    <cfRule type="cellIs" dxfId="25" priority="7" operator="between">
      <formula>200</formula>
      <formula>250</formula>
    </cfRule>
    <cfRule type="cellIs" dxfId="24" priority="8" operator="between">
      <formula>150</formula>
      <formula>200</formula>
    </cfRule>
    <cfRule type="cellIs" dxfId="23" priority="9" operator="between">
      <formula>100</formula>
      <formula>150</formula>
    </cfRule>
    <cfRule type="cellIs" dxfId="22" priority="10" operator="between">
      <formula>50</formula>
      <formula>100</formula>
    </cfRule>
    <cfRule type="cellIs" dxfId="21" priority="11" operator="lessThan">
      <formula>50</formula>
    </cfRule>
  </conditionalFormatting>
  <dataValidations xWindow="892" yWindow="371" count="10">
    <dataValidation allowBlank="1" showInputMessage="1" showErrorMessage="1" prompt="raw physical tankiness" sqref="R1" xr:uid="{2BE7EF97-7492-44C3-A1E6-F0DF7171849B}"/>
    <dataValidation allowBlank="1" showInputMessage="1" showErrorMessage="1" prompt="raw special tankiness" sqref="S1" xr:uid="{CA768BAA-4FA1-4A8F-BDED-83B8180479F4}"/>
    <dataValidation allowBlank="1" showInputMessage="1" showErrorMessage="1" prompt="raw physical sweepiness" sqref="T1" xr:uid="{3B4333DA-CBD4-4DF6-BB3D-03416667AB26}"/>
    <dataValidation allowBlank="1" showInputMessage="1" showErrorMessage="1" prompt="raw special sweepiness" sqref="U1" xr:uid="{F14182E5-DDD3-4CF8-8325-C929BC5C80E1}"/>
    <dataValidation allowBlank="1" showInputMessage="1" showErrorMessage="1" prompt="Physical Tankiness" sqref="V1" xr:uid="{DE2BE894-342B-4C86-BFD7-D55766014AF4}"/>
    <dataValidation allowBlank="1" showInputMessage="1" showErrorMessage="1" prompt="Special Tankiness_x000a_" sqref="W1" xr:uid="{6F4BF548-5A8E-4EEA-890F-5D13C31AF6B0}"/>
    <dataValidation allowBlank="1" showInputMessage="1" showErrorMessage="1" prompt="Physical Sweepiness" sqref="X1" xr:uid="{1EADFB59-BA35-48E2-A2B2-ACAD9A7BC79A}"/>
    <dataValidation allowBlank="1" showInputMessage="1" showErrorMessage="1" prompt="Special Sweepiness" sqref="Y1" xr:uid="{8C431546-26A0-49D7-8F65-589367F6B409}"/>
    <dataValidation allowBlank="1" showInputMessage="1" showErrorMessage="1" promptTitle="Offense/Defense Bias " prompt="hether or not a Pokemon's stats are geared towards offense (Atk/SpA/Spe), defense (HP/Def/SpD), or neither" sqref="Z1" xr:uid="{85DF3B4D-1305-4941-833A-17AFBEE00623}"/>
    <dataValidation allowBlank="1" showInputMessage="1" showErrorMessage="1" promptTitle="Physical/Special Balance" prompt="whether or not a Pokemon's stats are geared towards physical stats (Atk/Def), special stats (SpA/SpD), or neither." sqref="AA1" xr:uid="{8607FBB7-06D0-45B0-B263-02378EE2C4CB}"/>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9351A-6260-4C77-8E2B-FA794A185075}">
  <dimension ref="A1:E125"/>
  <sheetViews>
    <sheetView topLeftCell="A100" workbookViewId="0">
      <selection activeCell="C118" sqref="C118"/>
    </sheetView>
  </sheetViews>
  <sheetFormatPr defaultRowHeight="14.4" x14ac:dyDescent="0.3"/>
  <cols>
    <col min="1" max="1" width="17.6640625" bestFit="1" customWidth="1"/>
    <col min="2" max="2" width="15.5546875" bestFit="1" customWidth="1"/>
    <col min="3" max="3" width="14.88671875" bestFit="1" customWidth="1"/>
    <col min="4" max="4" width="15.6640625" bestFit="1" customWidth="1"/>
    <col min="5" max="5" width="10.88671875" bestFit="1" customWidth="1"/>
  </cols>
  <sheetData>
    <row r="1" spans="1:5" x14ac:dyDescent="0.3">
      <c r="A1" t="s">
        <v>0</v>
      </c>
      <c r="B1" t="s">
        <v>1</v>
      </c>
      <c r="C1" t="s">
        <v>19</v>
      </c>
      <c r="D1" t="s">
        <v>428</v>
      </c>
      <c r="E1" t="s">
        <v>429</v>
      </c>
    </row>
    <row r="2" spans="1:5" x14ac:dyDescent="0.3">
      <c r="A2">
        <v>1</v>
      </c>
      <c r="B2" s="14" t="s">
        <v>20</v>
      </c>
      <c r="C2" s="3">
        <v>122.07907820411218</v>
      </c>
      <c r="D2">
        <f>IF(MovePool[[#This Row],[Overall Rating]]&lt;=200,80,IF(MovePool[[#This Row],[Overall Rating]]&lt;250,75,IF(MovePool[[#This Row],[Overall Rating]]&lt;300,70,IF(MovePool[[#This Row],[Overall Rating]]&lt;350,65,IF(MovePool[[#This Row],[Overall Rating]]&lt;400,60,IF(MovePool[[#This Row],[Overall Rating]]&lt;450,55,50))))))</f>
        <v>80</v>
      </c>
    </row>
    <row r="3" spans="1:5" x14ac:dyDescent="0.3">
      <c r="A3">
        <v>2</v>
      </c>
      <c r="B3" s="14" t="s">
        <v>27</v>
      </c>
      <c r="C3" s="3">
        <v>223.83909163272614</v>
      </c>
      <c r="D3">
        <f>IF(MovePool[[#This Row],[Overall Rating]]&lt;=200,80,IF(MovePool[[#This Row],[Overall Rating]]&lt;250,75,IF(MovePool[[#This Row],[Overall Rating]]&lt;300,70,IF(MovePool[[#This Row],[Overall Rating]]&lt;350,65,IF(MovePool[[#This Row],[Overall Rating]]&lt;400,60,IF(MovePool[[#This Row],[Overall Rating]]&lt;450,55,50))))))</f>
        <v>75</v>
      </c>
    </row>
    <row r="4" spans="1:5" x14ac:dyDescent="0.3">
      <c r="A4">
        <v>3</v>
      </c>
      <c r="B4" s="14" t="s">
        <v>33</v>
      </c>
      <c r="C4" s="3">
        <v>336.55805222938517</v>
      </c>
      <c r="D4">
        <f>IF(MovePool[[#This Row],[Overall Rating]]&lt;=200,80,IF(MovePool[[#This Row],[Overall Rating]]&lt;250,75,IF(MovePool[[#This Row],[Overall Rating]]&lt;300,70,IF(MovePool[[#This Row],[Overall Rating]]&lt;350,65,IF(MovePool[[#This Row],[Overall Rating]]&lt;400,60,IF(MovePool[[#This Row],[Overall Rating]]&lt;450,55,50))))))</f>
        <v>65</v>
      </c>
    </row>
    <row r="5" spans="1:5" x14ac:dyDescent="0.3">
      <c r="A5">
        <v>4</v>
      </c>
      <c r="B5" s="14" t="s">
        <v>36</v>
      </c>
      <c r="C5" s="3">
        <v>115.19185364466431</v>
      </c>
      <c r="D5">
        <f>IF(MovePool[[#This Row],[Overall Rating]]&lt;=200,80,IF(MovePool[[#This Row],[Overall Rating]]&lt;250,75,IF(MovePool[[#This Row],[Overall Rating]]&lt;300,70,IF(MovePool[[#This Row],[Overall Rating]]&lt;350,65,IF(MovePool[[#This Row],[Overall Rating]]&lt;400,60,IF(MovePool[[#This Row],[Overall Rating]]&lt;450,55,50))))))</f>
        <v>80</v>
      </c>
    </row>
    <row r="6" spans="1:5" x14ac:dyDescent="0.3">
      <c r="A6">
        <v>5</v>
      </c>
      <c r="B6" s="14" t="s">
        <v>43</v>
      </c>
      <c r="C6" s="3">
        <v>264.62685210213181</v>
      </c>
      <c r="D6">
        <f>IF(MovePool[[#This Row],[Overall Rating]]&lt;=200,80,IF(MovePool[[#This Row],[Overall Rating]]&lt;250,75,IF(MovePool[[#This Row],[Overall Rating]]&lt;300,70,IF(MovePool[[#This Row],[Overall Rating]]&lt;350,65,IF(MovePool[[#This Row],[Overall Rating]]&lt;400,60,IF(MovePool[[#This Row],[Overall Rating]]&lt;450,55,50))))))</f>
        <v>70</v>
      </c>
    </row>
    <row r="7" spans="1:5" x14ac:dyDescent="0.3">
      <c r="A7">
        <v>6</v>
      </c>
      <c r="B7" s="14" t="s">
        <v>49</v>
      </c>
      <c r="C7" s="3">
        <v>278.01020241905132</v>
      </c>
      <c r="D7">
        <f>IF(MovePool[[#This Row],[Overall Rating]]&lt;=200,80,IF(MovePool[[#This Row],[Overall Rating]]&lt;250,75,IF(MovePool[[#This Row],[Overall Rating]]&lt;300,70,IF(MovePool[[#This Row],[Overall Rating]]&lt;350,65,IF(MovePool[[#This Row],[Overall Rating]]&lt;400,60,IF(MovePool[[#This Row],[Overall Rating]]&lt;450,55,50))))))</f>
        <v>70</v>
      </c>
    </row>
    <row r="8" spans="1:5" x14ac:dyDescent="0.3">
      <c r="A8">
        <v>7</v>
      </c>
      <c r="B8" s="14" t="s">
        <v>58</v>
      </c>
      <c r="C8" s="3">
        <v>277.04860365222885</v>
      </c>
      <c r="D8">
        <f>IF(MovePool[[#This Row],[Overall Rating]]&lt;=200,80,IF(MovePool[[#This Row],[Overall Rating]]&lt;250,75,IF(MovePool[[#This Row],[Overall Rating]]&lt;300,70,IF(MovePool[[#This Row],[Overall Rating]]&lt;350,65,IF(MovePool[[#This Row],[Overall Rating]]&lt;400,60,IF(MovePool[[#This Row],[Overall Rating]]&lt;450,55,50))))))</f>
        <v>70</v>
      </c>
    </row>
    <row r="9" spans="1:5" x14ac:dyDescent="0.3">
      <c r="A9">
        <v>8</v>
      </c>
      <c r="B9" s="14" t="s">
        <v>65</v>
      </c>
      <c r="C9" s="3">
        <v>86.244961248858928</v>
      </c>
      <c r="D9">
        <f>IF(MovePool[[#This Row],[Overall Rating]]&lt;=200,80,IF(MovePool[[#This Row],[Overall Rating]]&lt;250,75,IF(MovePool[[#This Row],[Overall Rating]]&lt;300,70,IF(MovePool[[#This Row],[Overall Rating]]&lt;350,65,IF(MovePool[[#This Row],[Overall Rating]]&lt;400,60,IF(MovePool[[#This Row],[Overall Rating]]&lt;450,55,50))))))</f>
        <v>80</v>
      </c>
    </row>
    <row r="10" spans="1:5" x14ac:dyDescent="0.3">
      <c r="A10">
        <v>9</v>
      </c>
      <c r="B10" s="14" t="s">
        <v>72</v>
      </c>
      <c r="C10" s="3">
        <v>186.96698748304038</v>
      </c>
      <c r="D10">
        <f>IF(MovePool[[#This Row],[Overall Rating]]&lt;=200,80,IF(MovePool[[#This Row],[Overall Rating]]&lt;250,75,IF(MovePool[[#This Row],[Overall Rating]]&lt;300,70,IF(MovePool[[#This Row],[Overall Rating]]&lt;350,65,IF(MovePool[[#This Row],[Overall Rating]]&lt;400,60,IF(MovePool[[#This Row],[Overall Rating]]&lt;450,55,50))))))</f>
        <v>80</v>
      </c>
    </row>
    <row r="11" spans="1:5" x14ac:dyDescent="0.3">
      <c r="A11">
        <v>10</v>
      </c>
      <c r="B11" s="14" t="s">
        <v>77</v>
      </c>
      <c r="C11" s="3">
        <v>322.25026968021001</v>
      </c>
      <c r="D11">
        <f>IF(MovePool[[#This Row],[Overall Rating]]&lt;=200,80,IF(MovePool[[#This Row],[Overall Rating]]&lt;250,75,IF(MovePool[[#This Row],[Overall Rating]]&lt;300,70,IF(MovePool[[#This Row],[Overall Rating]]&lt;350,65,IF(MovePool[[#This Row],[Overall Rating]]&lt;400,60,IF(MovePool[[#This Row],[Overall Rating]]&lt;450,55,50))))))</f>
        <v>65</v>
      </c>
    </row>
    <row r="12" spans="1:5" x14ac:dyDescent="0.3">
      <c r="A12">
        <v>11</v>
      </c>
      <c r="B12" s="14" t="s">
        <v>80</v>
      </c>
      <c r="C12" s="3">
        <v>103.27970817485509</v>
      </c>
      <c r="D12">
        <f>IF(MovePool[[#This Row],[Overall Rating]]&lt;=200,80,IF(MovePool[[#This Row],[Overall Rating]]&lt;250,75,IF(MovePool[[#This Row],[Overall Rating]]&lt;300,70,IF(MovePool[[#This Row],[Overall Rating]]&lt;350,65,IF(MovePool[[#This Row],[Overall Rating]]&lt;400,60,IF(MovePool[[#This Row],[Overall Rating]]&lt;450,55,50))))))</f>
        <v>80</v>
      </c>
    </row>
    <row r="13" spans="1:5" x14ac:dyDescent="0.3">
      <c r="A13">
        <v>12</v>
      </c>
      <c r="B13" s="14" t="s">
        <v>83</v>
      </c>
      <c r="C13" s="3">
        <v>271.72650460103262</v>
      </c>
      <c r="D13">
        <f>IF(MovePool[[#This Row],[Overall Rating]]&lt;=200,80,IF(MovePool[[#This Row],[Overall Rating]]&lt;250,75,IF(MovePool[[#This Row],[Overall Rating]]&lt;300,70,IF(MovePool[[#This Row],[Overall Rating]]&lt;350,65,IF(MovePool[[#This Row],[Overall Rating]]&lt;400,60,IF(MovePool[[#This Row],[Overall Rating]]&lt;450,55,50))))))</f>
        <v>70</v>
      </c>
    </row>
    <row r="14" spans="1:5" x14ac:dyDescent="0.3">
      <c r="A14">
        <v>13</v>
      </c>
      <c r="B14" s="14" t="s">
        <v>88</v>
      </c>
      <c r="C14" s="3">
        <v>257.34910530581203</v>
      </c>
      <c r="D14">
        <f>IF(MovePool[[#This Row],[Overall Rating]]&lt;=200,80,IF(MovePool[[#This Row],[Overall Rating]]&lt;250,75,IF(MovePool[[#This Row],[Overall Rating]]&lt;300,70,IF(MovePool[[#This Row],[Overall Rating]]&lt;350,65,IF(MovePool[[#This Row],[Overall Rating]]&lt;400,60,IF(MovePool[[#This Row],[Overall Rating]]&lt;450,55,50))))))</f>
        <v>70</v>
      </c>
    </row>
    <row r="15" spans="1:5" x14ac:dyDescent="0.3">
      <c r="A15">
        <v>14</v>
      </c>
      <c r="B15" s="14" t="s">
        <v>95</v>
      </c>
      <c r="C15" s="3">
        <v>281.93568518695724</v>
      </c>
      <c r="D15">
        <f>IF(MovePool[[#This Row],[Overall Rating]]&lt;=200,80,IF(MovePool[[#This Row],[Overall Rating]]&lt;250,75,IF(MovePool[[#This Row],[Overall Rating]]&lt;300,70,IF(MovePool[[#This Row],[Overall Rating]]&lt;350,65,IF(MovePool[[#This Row],[Overall Rating]]&lt;400,60,IF(MovePool[[#This Row],[Overall Rating]]&lt;450,55,50))))))</f>
        <v>70</v>
      </c>
    </row>
    <row r="16" spans="1:5" x14ac:dyDescent="0.3">
      <c r="A16">
        <v>15</v>
      </c>
      <c r="B16" s="14" t="s">
        <v>102</v>
      </c>
      <c r="C16" s="3">
        <v>111.82011163541567</v>
      </c>
      <c r="D16">
        <f>IF(MovePool[[#This Row],[Overall Rating]]&lt;=200,80,IF(MovePool[[#This Row],[Overall Rating]]&lt;250,75,IF(MovePool[[#This Row],[Overall Rating]]&lt;300,70,IF(MovePool[[#This Row],[Overall Rating]]&lt;350,65,IF(MovePool[[#This Row],[Overall Rating]]&lt;400,60,IF(MovePool[[#This Row],[Overall Rating]]&lt;450,55,50))))))</f>
        <v>80</v>
      </c>
    </row>
    <row r="17" spans="1:4" x14ac:dyDescent="0.3">
      <c r="A17">
        <v>16</v>
      </c>
      <c r="B17" s="14" t="s">
        <v>105</v>
      </c>
      <c r="C17" s="3">
        <v>224.09924796720105</v>
      </c>
      <c r="D17">
        <f>IF(MovePool[[#This Row],[Overall Rating]]&lt;=200,80,IF(MovePool[[#This Row],[Overall Rating]]&lt;250,75,IF(MovePool[[#This Row],[Overall Rating]]&lt;300,70,IF(MovePool[[#This Row],[Overall Rating]]&lt;350,65,IF(MovePool[[#This Row],[Overall Rating]]&lt;400,60,IF(MovePool[[#This Row],[Overall Rating]]&lt;450,55,50))))))</f>
        <v>75</v>
      </c>
    </row>
    <row r="18" spans="1:4" x14ac:dyDescent="0.3">
      <c r="A18">
        <v>17</v>
      </c>
      <c r="B18" s="14" t="s">
        <v>107</v>
      </c>
      <c r="C18" s="3">
        <v>287.68029217015038</v>
      </c>
      <c r="D18">
        <f>IF(MovePool[[#This Row],[Overall Rating]]&lt;=200,80,IF(MovePool[[#This Row],[Overall Rating]]&lt;250,75,IF(MovePool[[#This Row],[Overall Rating]]&lt;300,70,IF(MovePool[[#This Row],[Overall Rating]]&lt;350,65,IF(MovePool[[#This Row],[Overall Rating]]&lt;400,60,IF(MovePool[[#This Row],[Overall Rating]]&lt;450,55,50))))))</f>
        <v>70</v>
      </c>
    </row>
    <row r="19" spans="1:4" x14ac:dyDescent="0.3">
      <c r="A19">
        <v>18</v>
      </c>
      <c r="B19" s="14" t="s">
        <v>111</v>
      </c>
      <c r="C19" s="3">
        <v>112.75093970836848</v>
      </c>
      <c r="D19">
        <f>IF(MovePool[[#This Row],[Overall Rating]]&lt;=200,80,IF(MovePool[[#This Row],[Overall Rating]]&lt;250,75,IF(MovePool[[#This Row],[Overall Rating]]&lt;300,70,IF(MovePool[[#This Row],[Overall Rating]]&lt;350,65,IF(MovePool[[#This Row],[Overall Rating]]&lt;400,60,IF(MovePool[[#This Row],[Overall Rating]]&lt;450,55,50))))))</f>
        <v>80</v>
      </c>
    </row>
    <row r="20" spans="1:4" x14ac:dyDescent="0.3">
      <c r="A20">
        <v>19</v>
      </c>
      <c r="B20" s="14" t="s">
        <v>115</v>
      </c>
      <c r="C20" s="3">
        <v>220.96089923668393</v>
      </c>
      <c r="D20">
        <f>IF(MovePool[[#This Row],[Overall Rating]]&lt;=200,80,IF(MovePool[[#This Row],[Overall Rating]]&lt;250,75,IF(MovePool[[#This Row],[Overall Rating]]&lt;300,70,IF(MovePool[[#This Row],[Overall Rating]]&lt;350,65,IF(MovePool[[#This Row],[Overall Rating]]&lt;400,60,IF(MovePool[[#This Row],[Overall Rating]]&lt;450,55,50))))))</f>
        <v>75</v>
      </c>
    </row>
    <row r="21" spans="1:4" x14ac:dyDescent="0.3">
      <c r="A21">
        <v>20</v>
      </c>
      <c r="B21" s="14" t="s">
        <v>117</v>
      </c>
      <c r="C21" s="3">
        <v>307.05491336554348</v>
      </c>
      <c r="D21">
        <f>IF(MovePool[[#This Row],[Overall Rating]]&lt;=200,80,IF(MovePool[[#This Row],[Overall Rating]]&lt;250,75,IF(MovePool[[#This Row],[Overall Rating]]&lt;300,70,IF(MovePool[[#This Row],[Overall Rating]]&lt;350,65,IF(MovePool[[#This Row],[Overall Rating]]&lt;400,60,IF(MovePool[[#This Row],[Overall Rating]]&lt;450,55,50))))))</f>
        <v>65</v>
      </c>
    </row>
    <row r="22" spans="1:4" x14ac:dyDescent="0.3">
      <c r="A22">
        <v>21</v>
      </c>
      <c r="B22" s="14" t="s">
        <v>121</v>
      </c>
      <c r="C22" s="3">
        <v>103.84699922284121</v>
      </c>
      <c r="D22">
        <f>IF(MovePool[[#This Row],[Overall Rating]]&lt;=200,80,IF(MovePool[[#This Row],[Overall Rating]]&lt;250,75,IF(MovePool[[#This Row],[Overall Rating]]&lt;300,70,IF(MovePool[[#This Row],[Overall Rating]]&lt;350,65,IF(MovePool[[#This Row],[Overall Rating]]&lt;400,60,IF(MovePool[[#This Row],[Overall Rating]]&lt;450,55,50))))))</f>
        <v>80</v>
      </c>
    </row>
    <row r="23" spans="1:4" x14ac:dyDescent="0.3">
      <c r="A23">
        <v>22</v>
      </c>
      <c r="B23" s="14" t="s">
        <v>126</v>
      </c>
      <c r="C23" s="3">
        <v>207.08567391832929</v>
      </c>
      <c r="D23">
        <f>IF(MovePool[[#This Row],[Overall Rating]]&lt;=200,80,IF(MovePool[[#This Row],[Overall Rating]]&lt;250,75,IF(MovePool[[#This Row],[Overall Rating]]&lt;300,70,IF(MovePool[[#This Row],[Overall Rating]]&lt;350,65,IF(MovePool[[#This Row],[Overall Rating]]&lt;400,60,IF(MovePool[[#This Row],[Overall Rating]]&lt;450,55,50))))))</f>
        <v>75</v>
      </c>
    </row>
    <row r="24" spans="1:4" x14ac:dyDescent="0.3">
      <c r="A24">
        <v>23</v>
      </c>
      <c r="B24" s="14" t="s">
        <v>129</v>
      </c>
      <c r="C24" s="3">
        <v>304.74866260216237</v>
      </c>
      <c r="D24">
        <f>IF(MovePool[[#This Row],[Overall Rating]]&lt;=200,80,IF(MovePool[[#This Row],[Overall Rating]]&lt;250,75,IF(MovePool[[#This Row],[Overall Rating]]&lt;300,70,IF(MovePool[[#This Row],[Overall Rating]]&lt;350,65,IF(MovePool[[#This Row],[Overall Rating]]&lt;400,60,IF(MovePool[[#This Row],[Overall Rating]]&lt;450,55,50))))))</f>
        <v>65</v>
      </c>
    </row>
    <row r="25" spans="1:4" x14ac:dyDescent="0.3">
      <c r="A25">
        <v>24</v>
      </c>
      <c r="B25" s="14" t="s">
        <v>133</v>
      </c>
      <c r="C25" s="3">
        <v>418.97839820021818</v>
      </c>
      <c r="D25">
        <f>IF(MovePool[[#This Row],[Overall Rating]]&lt;=200,80,IF(MovePool[[#This Row],[Overall Rating]]&lt;250,75,IF(MovePool[[#This Row],[Overall Rating]]&lt;300,70,IF(MovePool[[#This Row],[Overall Rating]]&lt;350,65,IF(MovePool[[#This Row],[Overall Rating]]&lt;400,60,IF(MovePool[[#This Row],[Overall Rating]]&lt;450,55,50))))))</f>
        <v>55</v>
      </c>
    </row>
    <row r="26" spans="1:4" x14ac:dyDescent="0.3">
      <c r="A26">
        <v>25</v>
      </c>
      <c r="B26" s="14" t="s">
        <v>143</v>
      </c>
      <c r="C26" s="3">
        <v>413.55765919701298</v>
      </c>
      <c r="D26">
        <f>IF(MovePool[[#This Row],[Overall Rating]]&lt;=200,80,IF(MovePool[[#This Row],[Overall Rating]]&lt;250,75,IF(MovePool[[#This Row],[Overall Rating]]&lt;300,70,IF(MovePool[[#This Row],[Overall Rating]]&lt;350,65,IF(MovePool[[#This Row],[Overall Rating]]&lt;400,60,IF(MovePool[[#This Row],[Overall Rating]]&lt;450,55,50))))))</f>
        <v>55</v>
      </c>
    </row>
    <row r="27" spans="1:4" x14ac:dyDescent="0.3">
      <c r="A27">
        <v>26</v>
      </c>
      <c r="B27" s="14" t="s">
        <v>149</v>
      </c>
      <c r="C27" s="3">
        <v>453.36644648405405</v>
      </c>
      <c r="D27">
        <f>IF(MovePool[[#This Row],[Overall Rating]]&lt;=200,80,IF(MovePool[[#This Row],[Overall Rating]]&lt;250,75,IF(MovePool[[#This Row],[Overall Rating]]&lt;300,70,IF(MovePool[[#This Row],[Overall Rating]]&lt;350,65,IF(MovePool[[#This Row],[Overall Rating]]&lt;400,60,IF(MovePool[[#This Row],[Overall Rating]]&lt;450,55,50))))))</f>
        <v>50</v>
      </c>
    </row>
    <row r="28" spans="1:4" x14ac:dyDescent="0.3">
      <c r="A28">
        <v>27</v>
      </c>
      <c r="B28" s="14" t="s">
        <v>156</v>
      </c>
      <c r="C28" s="3">
        <v>337.89327182663101</v>
      </c>
      <c r="D28">
        <f>IF(MovePool[[#This Row],[Overall Rating]]&lt;=200,80,IF(MovePool[[#This Row],[Overall Rating]]&lt;250,75,IF(MovePool[[#This Row],[Overall Rating]]&lt;300,70,IF(MovePool[[#This Row],[Overall Rating]]&lt;350,65,IF(MovePool[[#This Row],[Overall Rating]]&lt;400,60,IF(MovePool[[#This Row],[Overall Rating]]&lt;450,55,50))))))</f>
        <v>65</v>
      </c>
    </row>
    <row r="29" spans="1:4" x14ac:dyDescent="0.3">
      <c r="A29">
        <v>28</v>
      </c>
      <c r="B29" s="14" t="s">
        <v>161</v>
      </c>
      <c r="C29" s="3">
        <v>337.89874600163495</v>
      </c>
      <c r="D29">
        <f>IF(MovePool[[#This Row],[Overall Rating]]&lt;=200,80,IF(MovePool[[#This Row],[Overall Rating]]&lt;250,75,IF(MovePool[[#This Row],[Overall Rating]]&lt;300,70,IF(MovePool[[#This Row],[Overall Rating]]&lt;350,65,IF(MovePool[[#This Row],[Overall Rating]]&lt;400,60,IF(MovePool[[#This Row],[Overall Rating]]&lt;450,55,50))))))</f>
        <v>65</v>
      </c>
    </row>
    <row r="30" spans="1:4" x14ac:dyDescent="0.3">
      <c r="A30">
        <v>29</v>
      </c>
      <c r="B30" s="14" t="s">
        <v>167</v>
      </c>
      <c r="C30" s="3">
        <v>346.45051568708732</v>
      </c>
      <c r="D30">
        <f>IF(MovePool[[#This Row],[Overall Rating]]&lt;=200,80,IF(MovePool[[#This Row],[Overall Rating]]&lt;250,75,IF(MovePool[[#This Row],[Overall Rating]]&lt;300,70,IF(MovePool[[#This Row],[Overall Rating]]&lt;350,65,IF(MovePool[[#This Row],[Overall Rating]]&lt;400,60,IF(MovePool[[#This Row],[Overall Rating]]&lt;450,55,50))))))</f>
        <v>65</v>
      </c>
    </row>
    <row r="31" spans="1:4" x14ac:dyDescent="0.3">
      <c r="A31">
        <v>30</v>
      </c>
      <c r="B31" s="14" t="s">
        <v>173</v>
      </c>
      <c r="C31" s="3">
        <v>110.61282020683772</v>
      </c>
      <c r="D31">
        <f>IF(MovePool[[#This Row],[Overall Rating]]&lt;=200,80,IF(MovePool[[#This Row],[Overall Rating]]&lt;250,75,IF(MovePool[[#This Row],[Overall Rating]]&lt;300,70,IF(MovePool[[#This Row],[Overall Rating]]&lt;350,65,IF(MovePool[[#This Row],[Overall Rating]]&lt;400,60,IF(MovePool[[#This Row],[Overall Rating]]&lt;450,55,50))))))</f>
        <v>80</v>
      </c>
    </row>
    <row r="32" spans="1:4" x14ac:dyDescent="0.3">
      <c r="A32">
        <v>31</v>
      </c>
      <c r="B32" s="14" t="s">
        <v>177</v>
      </c>
      <c r="C32" s="3">
        <v>246.7427142388342</v>
      </c>
      <c r="D32">
        <f>IF(MovePool[[#This Row],[Overall Rating]]&lt;=200,80,IF(MovePool[[#This Row],[Overall Rating]]&lt;250,75,IF(MovePool[[#This Row],[Overall Rating]]&lt;300,70,IF(MovePool[[#This Row],[Overall Rating]]&lt;350,65,IF(MovePool[[#This Row],[Overall Rating]]&lt;400,60,IF(MovePool[[#This Row],[Overall Rating]]&lt;450,55,50))))))</f>
        <v>75</v>
      </c>
    </row>
    <row r="33" spans="1:4" x14ac:dyDescent="0.3">
      <c r="A33">
        <v>32</v>
      </c>
      <c r="B33" s="14" t="s">
        <v>179</v>
      </c>
      <c r="C33" s="3">
        <v>389.44176360210332</v>
      </c>
      <c r="D33">
        <f>IF(MovePool[[#This Row],[Overall Rating]]&lt;=200,80,IF(MovePool[[#This Row],[Overall Rating]]&lt;250,75,IF(MovePool[[#This Row],[Overall Rating]]&lt;300,70,IF(MovePool[[#This Row],[Overall Rating]]&lt;350,65,IF(MovePool[[#This Row],[Overall Rating]]&lt;400,60,IF(MovePool[[#This Row],[Overall Rating]]&lt;450,55,50))))))</f>
        <v>60</v>
      </c>
    </row>
    <row r="34" spans="1:4" x14ac:dyDescent="0.3">
      <c r="A34">
        <v>33</v>
      </c>
      <c r="B34" s="14" t="s">
        <v>181</v>
      </c>
      <c r="C34" s="3">
        <v>118.31052720547011</v>
      </c>
      <c r="D34">
        <f>IF(MovePool[[#This Row],[Overall Rating]]&lt;=200,80,IF(MovePool[[#This Row],[Overall Rating]]&lt;250,75,IF(MovePool[[#This Row],[Overall Rating]]&lt;300,70,IF(MovePool[[#This Row],[Overall Rating]]&lt;350,65,IF(MovePool[[#This Row],[Overall Rating]]&lt;400,60,IF(MovePool[[#This Row],[Overall Rating]]&lt;450,55,50))))))</f>
        <v>80</v>
      </c>
    </row>
    <row r="35" spans="1:4" x14ac:dyDescent="0.3">
      <c r="A35">
        <v>34</v>
      </c>
      <c r="B35" s="14" t="s">
        <v>183</v>
      </c>
      <c r="C35" s="3">
        <v>290.77554534875418</v>
      </c>
      <c r="D35">
        <f>IF(MovePool[[#This Row],[Overall Rating]]&lt;=200,80,IF(MovePool[[#This Row],[Overall Rating]]&lt;250,75,IF(MovePool[[#This Row],[Overall Rating]]&lt;300,70,IF(MovePool[[#This Row],[Overall Rating]]&lt;350,65,IF(MovePool[[#This Row],[Overall Rating]]&lt;400,60,IF(MovePool[[#This Row],[Overall Rating]]&lt;450,55,50))))))</f>
        <v>70</v>
      </c>
    </row>
    <row r="36" spans="1:4" x14ac:dyDescent="0.3">
      <c r="A36">
        <v>35</v>
      </c>
      <c r="B36" s="14" t="s">
        <v>186</v>
      </c>
      <c r="C36" s="3">
        <v>95.803866074068353</v>
      </c>
      <c r="D36">
        <f>IF(MovePool[[#This Row],[Overall Rating]]&lt;=200,80,IF(MovePool[[#This Row],[Overall Rating]]&lt;250,75,IF(MovePool[[#This Row],[Overall Rating]]&lt;300,70,IF(MovePool[[#This Row],[Overall Rating]]&lt;350,65,IF(MovePool[[#This Row],[Overall Rating]]&lt;400,60,IF(MovePool[[#This Row],[Overall Rating]]&lt;450,55,50))))))</f>
        <v>80</v>
      </c>
    </row>
    <row r="37" spans="1:4" x14ac:dyDescent="0.3">
      <c r="A37">
        <v>36</v>
      </c>
      <c r="B37" s="14" t="s">
        <v>192</v>
      </c>
      <c r="C37" s="3">
        <v>224.57813858290154</v>
      </c>
      <c r="D37">
        <f>IF(MovePool[[#This Row],[Overall Rating]]&lt;=200,80,IF(MovePool[[#This Row],[Overall Rating]]&lt;250,75,IF(MovePool[[#This Row],[Overall Rating]]&lt;300,70,IF(MovePool[[#This Row],[Overall Rating]]&lt;350,65,IF(MovePool[[#This Row],[Overall Rating]]&lt;400,60,IF(MovePool[[#This Row],[Overall Rating]]&lt;450,55,50))))))</f>
        <v>75</v>
      </c>
    </row>
    <row r="38" spans="1:4" x14ac:dyDescent="0.3">
      <c r="A38">
        <v>37</v>
      </c>
      <c r="B38" s="14" t="s">
        <v>194</v>
      </c>
      <c r="C38" s="3">
        <v>137.0663222255148</v>
      </c>
      <c r="D38">
        <f>IF(MovePool[[#This Row],[Overall Rating]]&lt;=200,80,IF(MovePool[[#This Row],[Overall Rating]]&lt;250,75,IF(MovePool[[#This Row],[Overall Rating]]&lt;300,70,IF(MovePool[[#This Row],[Overall Rating]]&lt;350,65,IF(MovePool[[#This Row],[Overall Rating]]&lt;400,60,IF(MovePool[[#This Row],[Overall Rating]]&lt;450,55,50))))))</f>
        <v>80</v>
      </c>
    </row>
    <row r="39" spans="1:4" x14ac:dyDescent="0.3">
      <c r="A39">
        <v>38</v>
      </c>
      <c r="B39" s="14" t="s">
        <v>199</v>
      </c>
      <c r="C39" s="3">
        <v>272.7859576082688</v>
      </c>
      <c r="D39">
        <f>IF(MovePool[[#This Row],[Overall Rating]]&lt;=200,80,IF(MovePool[[#This Row],[Overall Rating]]&lt;250,75,IF(MovePool[[#This Row],[Overall Rating]]&lt;300,70,IF(MovePool[[#This Row],[Overall Rating]]&lt;350,65,IF(MovePool[[#This Row],[Overall Rating]]&lt;400,60,IF(MovePool[[#This Row],[Overall Rating]]&lt;450,55,50))))))</f>
        <v>70</v>
      </c>
    </row>
    <row r="40" spans="1:4" x14ac:dyDescent="0.3">
      <c r="A40">
        <v>39</v>
      </c>
      <c r="B40" s="14" t="s">
        <v>201</v>
      </c>
      <c r="C40" s="3">
        <v>133.88768525643712</v>
      </c>
      <c r="D40">
        <f>IF(MovePool[[#This Row],[Overall Rating]]&lt;=200,80,IF(MovePool[[#This Row],[Overall Rating]]&lt;250,75,IF(MovePool[[#This Row],[Overall Rating]]&lt;300,70,IF(MovePool[[#This Row],[Overall Rating]]&lt;350,65,IF(MovePool[[#This Row],[Overall Rating]]&lt;400,60,IF(MovePool[[#This Row],[Overall Rating]]&lt;450,55,50))))))</f>
        <v>80</v>
      </c>
    </row>
    <row r="41" spans="1:4" x14ac:dyDescent="0.3">
      <c r="A41">
        <v>40</v>
      </c>
      <c r="B41" s="14" t="s">
        <v>206</v>
      </c>
      <c r="C41" s="3">
        <v>283.4159925689292</v>
      </c>
      <c r="D41">
        <f>IF(MovePool[[#This Row],[Overall Rating]]&lt;=200,80,IF(MovePool[[#This Row],[Overall Rating]]&lt;250,75,IF(MovePool[[#This Row],[Overall Rating]]&lt;300,70,IF(MovePool[[#This Row],[Overall Rating]]&lt;350,65,IF(MovePool[[#This Row],[Overall Rating]]&lt;400,60,IF(MovePool[[#This Row],[Overall Rating]]&lt;450,55,50))))))</f>
        <v>70</v>
      </c>
    </row>
    <row r="42" spans="1:4" x14ac:dyDescent="0.3">
      <c r="A42">
        <v>41</v>
      </c>
      <c r="B42" s="14" t="s">
        <v>208</v>
      </c>
      <c r="C42" s="3">
        <v>189.29119385232144</v>
      </c>
      <c r="D42">
        <f>IF(MovePool[[#This Row],[Overall Rating]]&lt;=200,80,IF(MovePool[[#This Row],[Overall Rating]]&lt;250,75,IF(MovePool[[#This Row],[Overall Rating]]&lt;300,70,IF(MovePool[[#This Row],[Overall Rating]]&lt;350,65,IF(MovePool[[#This Row],[Overall Rating]]&lt;400,60,IF(MovePool[[#This Row],[Overall Rating]]&lt;450,55,50))))))</f>
        <v>80</v>
      </c>
    </row>
    <row r="43" spans="1:4" x14ac:dyDescent="0.3">
      <c r="A43">
        <v>42</v>
      </c>
      <c r="B43" s="14" t="s">
        <v>214</v>
      </c>
      <c r="C43" s="3">
        <v>322.29494264535401</v>
      </c>
      <c r="D43">
        <f>IF(MovePool[[#This Row],[Overall Rating]]&lt;=200,80,IF(MovePool[[#This Row],[Overall Rating]]&lt;250,75,IF(MovePool[[#This Row],[Overall Rating]]&lt;300,70,IF(MovePool[[#This Row],[Overall Rating]]&lt;350,65,IF(MovePool[[#This Row],[Overall Rating]]&lt;400,60,IF(MovePool[[#This Row],[Overall Rating]]&lt;450,55,50))))))</f>
        <v>65</v>
      </c>
    </row>
    <row r="44" spans="1:4" x14ac:dyDescent="0.3">
      <c r="A44">
        <v>43</v>
      </c>
      <c r="B44" s="14" t="s">
        <v>216</v>
      </c>
      <c r="C44" s="3">
        <v>231.49969554652523</v>
      </c>
      <c r="D44">
        <f>IF(MovePool[[#This Row],[Overall Rating]]&lt;=200,80,IF(MovePool[[#This Row],[Overall Rating]]&lt;250,75,IF(MovePool[[#This Row],[Overall Rating]]&lt;300,70,IF(MovePool[[#This Row],[Overall Rating]]&lt;350,65,IF(MovePool[[#This Row],[Overall Rating]]&lt;400,60,IF(MovePool[[#This Row],[Overall Rating]]&lt;450,55,50))))))</f>
        <v>75</v>
      </c>
    </row>
    <row r="45" spans="1:4" x14ac:dyDescent="0.3">
      <c r="A45">
        <v>44</v>
      </c>
      <c r="B45" s="14" t="s">
        <v>223</v>
      </c>
      <c r="C45" s="3">
        <v>199.7363630158124</v>
      </c>
      <c r="D45">
        <f>IF(MovePool[[#This Row],[Overall Rating]]&lt;=200,80,IF(MovePool[[#This Row],[Overall Rating]]&lt;250,75,IF(MovePool[[#This Row],[Overall Rating]]&lt;300,70,IF(MovePool[[#This Row],[Overall Rating]]&lt;350,65,IF(MovePool[[#This Row],[Overall Rating]]&lt;400,60,IF(MovePool[[#This Row],[Overall Rating]]&lt;450,55,50))))))</f>
        <v>80</v>
      </c>
    </row>
    <row r="46" spans="1:4" x14ac:dyDescent="0.3">
      <c r="A46">
        <v>45</v>
      </c>
      <c r="B46" s="14" t="s">
        <v>230</v>
      </c>
      <c r="C46" s="3">
        <v>269.60134058437649</v>
      </c>
      <c r="D46">
        <f>IF(MovePool[[#This Row],[Overall Rating]]&lt;=200,80,IF(MovePool[[#This Row],[Overall Rating]]&lt;250,75,IF(MovePool[[#This Row],[Overall Rating]]&lt;300,70,IF(MovePool[[#This Row],[Overall Rating]]&lt;350,65,IF(MovePool[[#This Row],[Overall Rating]]&lt;400,60,IF(MovePool[[#This Row],[Overall Rating]]&lt;450,55,50))))))</f>
        <v>70</v>
      </c>
    </row>
    <row r="47" spans="1:4" x14ac:dyDescent="0.3">
      <c r="A47">
        <v>46</v>
      </c>
      <c r="B47" s="14" t="s">
        <v>238</v>
      </c>
      <c r="C47" s="3">
        <v>188.87326897915239</v>
      </c>
      <c r="D47">
        <f>IF(MovePool[[#This Row],[Overall Rating]]&lt;=200,80,IF(MovePool[[#This Row],[Overall Rating]]&lt;250,75,IF(MovePool[[#This Row],[Overall Rating]]&lt;300,70,IF(MovePool[[#This Row],[Overall Rating]]&lt;350,65,IF(MovePool[[#This Row],[Overall Rating]]&lt;400,60,IF(MovePool[[#This Row],[Overall Rating]]&lt;450,55,50))))))</f>
        <v>80</v>
      </c>
    </row>
    <row r="48" spans="1:4" x14ac:dyDescent="0.3">
      <c r="A48">
        <v>47</v>
      </c>
      <c r="B48" s="14" t="s">
        <v>243</v>
      </c>
      <c r="C48" s="3">
        <v>322.73378825636058</v>
      </c>
      <c r="D48">
        <f>IF(MovePool[[#This Row],[Overall Rating]]&lt;=200,80,IF(MovePool[[#This Row],[Overall Rating]]&lt;250,75,IF(MovePool[[#This Row],[Overall Rating]]&lt;300,70,IF(MovePool[[#This Row],[Overall Rating]]&lt;350,65,IF(MovePool[[#This Row],[Overall Rating]]&lt;400,60,IF(MovePool[[#This Row],[Overall Rating]]&lt;450,55,50))))))</f>
        <v>65</v>
      </c>
    </row>
    <row r="49" spans="1:4" x14ac:dyDescent="0.3">
      <c r="A49">
        <v>48</v>
      </c>
      <c r="B49" s="14" t="s">
        <v>245</v>
      </c>
      <c r="C49" s="3">
        <v>179.18191483765048</v>
      </c>
      <c r="D49">
        <f>IF(MovePool[[#This Row],[Overall Rating]]&lt;=200,80,IF(MovePool[[#This Row],[Overall Rating]]&lt;250,75,IF(MovePool[[#This Row],[Overall Rating]]&lt;300,70,IF(MovePool[[#This Row],[Overall Rating]]&lt;350,65,IF(MovePool[[#This Row],[Overall Rating]]&lt;400,60,IF(MovePool[[#This Row],[Overall Rating]]&lt;450,55,50))))))</f>
        <v>80</v>
      </c>
    </row>
    <row r="50" spans="1:4" x14ac:dyDescent="0.3">
      <c r="A50">
        <v>49</v>
      </c>
      <c r="B50" s="14" t="s">
        <v>252</v>
      </c>
      <c r="C50" s="3">
        <v>315.51934418168906</v>
      </c>
      <c r="D50">
        <f>IF(MovePool[[#This Row],[Overall Rating]]&lt;=200,80,IF(MovePool[[#This Row],[Overall Rating]]&lt;250,75,IF(MovePool[[#This Row],[Overall Rating]]&lt;300,70,IF(MovePool[[#This Row],[Overall Rating]]&lt;350,65,IF(MovePool[[#This Row],[Overall Rating]]&lt;400,60,IF(MovePool[[#This Row],[Overall Rating]]&lt;450,55,50))))))</f>
        <v>65</v>
      </c>
    </row>
    <row r="51" spans="1:4" x14ac:dyDescent="0.3">
      <c r="A51">
        <v>50</v>
      </c>
      <c r="B51" s="14" t="s">
        <v>254</v>
      </c>
      <c r="C51" s="3">
        <v>287.49541031450104</v>
      </c>
      <c r="D51">
        <f>IF(MovePool[[#This Row],[Overall Rating]]&lt;=200,80,IF(MovePool[[#This Row],[Overall Rating]]&lt;250,75,IF(MovePool[[#This Row],[Overall Rating]]&lt;300,70,IF(MovePool[[#This Row],[Overall Rating]]&lt;350,65,IF(MovePool[[#This Row],[Overall Rating]]&lt;400,60,IF(MovePool[[#This Row],[Overall Rating]]&lt;450,55,50))))))</f>
        <v>70</v>
      </c>
    </row>
    <row r="52" spans="1:4" x14ac:dyDescent="0.3">
      <c r="A52">
        <v>51</v>
      </c>
      <c r="B52" s="14" t="s">
        <v>260</v>
      </c>
      <c r="C52" s="3">
        <v>113.21181278232093</v>
      </c>
      <c r="D52">
        <f>IF(MovePool[[#This Row],[Overall Rating]]&lt;=200,80,IF(MovePool[[#This Row],[Overall Rating]]&lt;250,75,IF(MovePool[[#This Row],[Overall Rating]]&lt;300,70,IF(MovePool[[#This Row],[Overall Rating]]&lt;350,65,IF(MovePool[[#This Row],[Overall Rating]]&lt;400,60,IF(MovePool[[#This Row],[Overall Rating]]&lt;450,55,50))))))</f>
        <v>80</v>
      </c>
    </row>
    <row r="53" spans="1:4" x14ac:dyDescent="0.3">
      <c r="A53">
        <v>52</v>
      </c>
      <c r="B53" s="14" t="s">
        <v>266</v>
      </c>
      <c r="C53" s="3">
        <v>229.81294236268928</v>
      </c>
      <c r="D53">
        <f>IF(MovePool[[#This Row],[Overall Rating]]&lt;=200,80,IF(MovePool[[#This Row],[Overall Rating]]&lt;250,75,IF(MovePool[[#This Row],[Overall Rating]]&lt;300,70,IF(MovePool[[#This Row],[Overall Rating]]&lt;350,65,IF(MovePool[[#This Row],[Overall Rating]]&lt;400,60,IF(MovePool[[#This Row],[Overall Rating]]&lt;450,55,50))))))</f>
        <v>75</v>
      </c>
    </row>
    <row r="54" spans="1:4" x14ac:dyDescent="0.3">
      <c r="A54">
        <v>53</v>
      </c>
      <c r="B54" s="14" t="s">
        <v>268</v>
      </c>
      <c r="C54" s="3">
        <v>111.51122000016419</v>
      </c>
      <c r="D54">
        <f>IF(MovePool[[#This Row],[Overall Rating]]&lt;=200,80,IF(MovePool[[#This Row],[Overall Rating]]&lt;250,75,IF(MovePool[[#This Row],[Overall Rating]]&lt;300,70,IF(MovePool[[#This Row],[Overall Rating]]&lt;350,65,IF(MovePool[[#This Row],[Overall Rating]]&lt;400,60,IF(MovePool[[#This Row],[Overall Rating]]&lt;450,55,50))))))</f>
        <v>80</v>
      </c>
    </row>
    <row r="55" spans="1:4" x14ac:dyDescent="0.3">
      <c r="A55">
        <v>54</v>
      </c>
      <c r="B55" s="14" t="s">
        <v>275</v>
      </c>
      <c r="C55" s="3">
        <v>263.35469127072349</v>
      </c>
      <c r="D55">
        <f>IF(MovePool[[#This Row],[Overall Rating]]&lt;=200,80,IF(MovePool[[#This Row],[Overall Rating]]&lt;250,75,IF(MovePool[[#This Row],[Overall Rating]]&lt;300,70,IF(MovePool[[#This Row],[Overall Rating]]&lt;350,65,IF(MovePool[[#This Row],[Overall Rating]]&lt;400,60,IF(MovePool[[#This Row],[Overall Rating]]&lt;450,55,50))))))</f>
        <v>70</v>
      </c>
    </row>
    <row r="56" spans="1:4" x14ac:dyDescent="0.3">
      <c r="A56">
        <v>55</v>
      </c>
      <c r="B56" s="14" t="s">
        <v>277</v>
      </c>
      <c r="C56" s="3">
        <v>163.09782675135676</v>
      </c>
      <c r="D56">
        <f>IF(MovePool[[#This Row],[Overall Rating]]&lt;=200,80,IF(MovePool[[#This Row],[Overall Rating]]&lt;250,75,IF(MovePool[[#This Row],[Overall Rating]]&lt;300,70,IF(MovePool[[#This Row],[Overall Rating]]&lt;350,65,IF(MovePool[[#This Row],[Overall Rating]]&lt;400,60,IF(MovePool[[#This Row],[Overall Rating]]&lt;450,55,50))))))</f>
        <v>80</v>
      </c>
    </row>
    <row r="57" spans="1:4" x14ac:dyDescent="0.3">
      <c r="A57">
        <v>56</v>
      </c>
      <c r="B57" s="14" t="s">
        <v>284</v>
      </c>
      <c r="C57" s="3">
        <v>291.58060209425651</v>
      </c>
      <c r="D57">
        <f>IF(MovePool[[#This Row],[Overall Rating]]&lt;=200,80,IF(MovePool[[#This Row],[Overall Rating]]&lt;250,75,IF(MovePool[[#This Row],[Overall Rating]]&lt;300,70,IF(MovePool[[#This Row],[Overall Rating]]&lt;350,65,IF(MovePool[[#This Row],[Overall Rating]]&lt;400,60,IF(MovePool[[#This Row],[Overall Rating]]&lt;450,55,50))))))</f>
        <v>70</v>
      </c>
    </row>
    <row r="58" spans="1:4" x14ac:dyDescent="0.3">
      <c r="A58">
        <v>57</v>
      </c>
      <c r="B58" s="14" t="s">
        <v>286</v>
      </c>
      <c r="C58" s="3">
        <v>351.81567088002356</v>
      </c>
      <c r="D58">
        <f>IF(MovePool[[#This Row],[Overall Rating]]&lt;=200,80,IF(MovePool[[#This Row],[Overall Rating]]&lt;250,75,IF(MovePool[[#This Row],[Overall Rating]]&lt;300,70,IF(MovePool[[#This Row],[Overall Rating]]&lt;350,65,IF(MovePool[[#This Row],[Overall Rating]]&lt;400,60,IF(MovePool[[#This Row],[Overall Rating]]&lt;450,55,50))))))</f>
        <v>60</v>
      </c>
    </row>
    <row r="59" spans="1:4" x14ac:dyDescent="0.3">
      <c r="A59">
        <v>58</v>
      </c>
      <c r="B59" s="14" t="s">
        <v>292</v>
      </c>
      <c r="C59" s="3">
        <v>353.36593421353041</v>
      </c>
      <c r="D59">
        <f>IF(MovePool[[#This Row],[Overall Rating]]&lt;=200,80,IF(MovePool[[#This Row],[Overall Rating]]&lt;250,75,IF(MovePool[[#This Row],[Overall Rating]]&lt;300,70,IF(MovePool[[#This Row],[Overall Rating]]&lt;350,65,IF(MovePool[[#This Row],[Overall Rating]]&lt;400,60,IF(MovePool[[#This Row],[Overall Rating]]&lt;450,55,50))))))</f>
        <v>60</v>
      </c>
    </row>
    <row r="60" spans="1:4" x14ac:dyDescent="0.3">
      <c r="A60">
        <v>59</v>
      </c>
      <c r="B60" s="14" t="s">
        <v>298</v>
      </c>
      <c r="C60" s="3">
        <v>340.62347698610301</v>
      </c>
      <c r="D60">
        <f>IF(MovePool[[#This Row],[Overall Rating]]&lt;=200,80,IF(MovePool[[#This Row],[Overall Rating]]&lt;250,75,IF(MovePool[[#This Row],[Overall Rating]]&lt;300,70,IF(MovePool[[#This Row],[Overall Rating]]&lt;350,65,IF(MovePool[[#This Row],[Overall Rating]]&lt;400,60,IF(MovePool[[#This Row],[Overall Rating]]&lt;450,55,50))))))</f>
        <v>65</v>
      </c>
    </row>
    <row r="61" spans="1:4" x14ac:dyDescent="0.3">
      <c r="A61">
        <v>60</v>
      </c>
      <c r="B61" s="14" t="s">
        <v>303</v>
      </c>
      <c r="C61" s="3">
        <v>340.90443798672686</v>
      </c>
      <c r="D61">
        <f>IF(MovePool[[#This Row],[Overall Rating]]&lt;=200,80,IF(MovePool[[#This Row],[Overall Rating]]&lt;250,75,IF(MovePool[[#This Row],[Overall Rating]]&lt;300,70,IF(MovePool[[#This Row],[Overall Rating]]&lt;350,65,IF(MovePool[[#This Row],[Overall Rating]]&lt;400,60,IF(MovePool[[#This Row],[Overall Rating]]&lt;450,55,50))))))</f>
        <v>65</v>
      </c>
    </row>
    <row r="62" spans="1:4" x14ac:dyDescent="0.3">
      <c r="A62">
        <v>61</v>
      </c>
      <c r="B62" s="14" t="s">
        <v>307</v>
      </c>
      <c r="C62" s="3">
        <v>329.49755272670609</v>
      </c>
      <c r="D62">
        <f>IF(MovePool[[#This Row],[Overall Rating]]&lt;=200,80,IF(MovePool[[#This Row],[Overall Rating]]&lt;250,75,IF(MovePool[[#This Row],[Overall Rating]]&lt;300,70,IF(MovePool[[#This Row],[Overall Rating]]&lt;350,65,IF(MovePool[[#This Row],[Overall Rating]]&lt;400,60,IF(MovePool[[#This Row],[Overall Rating]]&lt;450,55,50))))))</f>
        <v>65</v>
      </c>
    </row>
    <row r="63" spans="1:4" x14ac:dyDescent="0.3">
      <c r="A63">
        <v>62</v>
      </c>
      <c r="B63" s="14" t="s">
        <v>312</v>
      </c>
      <c r="C63" s="3">
        <v>352.75739437674412</v>
      </c>
      <c r="D63">
        <f>IF(MovePool[[#This Row],[Overall Rating]]&lt;=200,80,IF(MovePool[[#This Row],[Overall Rating]]&lt;250,75,IF(MovePool[[#This Row],[Overall Rating]]&lt;300,70,IF(MovePool[[#This Row],[Overall Rating]]&lt;350,65,IF(MovePool[[#This Row],[Overall Rating]]&lt;400,60,IF(MovePool[[#This Row],[Overall Rating]]&lt;450,55,50))))))</f>
        <v>60</v>
      </c>
    </row>
    <row r="64" spans="1:4" x14ac:dyDescent="0.3">
      <c r="A64">
        <v>63</v>
      </c>
      <c r="B64" s="14" t="s">
        <v>318</v>
      </c>
      <c r="C64" s="3">
        <v>337.88975737695677</v>
      </c>
      <c r="D64">
        <f>IF(MovePool[[#This Row],[Overall Rating]]&lt;=200,80,IF(MovePool[[#This Row],[Overall Rating]]&lt;250,75,IF(MovePool[[#This Row],[Overall Rating]]&lt;300,70,IF(MovePool[[#This Row],[Overall Rating]]&lt;350,65,IF(MovePool[[#This Row],[Overall Rating]]&lt;400,60,IF(MovePool[[#This Row],[Overall Rating]]&lt;450,55,50))))))</f>
        <v>65</v>
      </c>
    </row>
    <row r="65" spans="1:4" x14ac:dyDescent="0.3">
      <c r="A65">
        <v>64</v>
      </c>
      <c r="B65" s="14" t="s">
        <v>323</v>
      </c>
      <c r="C65" s="3">
        <v>323.01511172885557</v>
      </c>
      <c r="D65">
        <f>IF(MovePool[[#This Row],[Overall Rating]]&lt;=200,80,IF(MovePool[[#This Row],[Overall Rating]]&lt;250,75,IF(MovePool[[#This Row],[Overall Rating]]&lt;300,70,IF(MovePool[[#This Row],[Overall Rating]]&lt;350,65,IF(MovePool[[#This Row],[Overall Rating]]&lt;400,60,IF(MovePool[[#This Row],[Overall Rating]]&lt;450,55,50))))))</f>
        <v>65</v>
      </c>
    </row>
    <row r="66" spans="1:4" x14ac:dyDescent="0.3">
      <c r="A66">
        <v>65</v>
      </c>
      <c r="B66" s="14" t="s">
        <v>328</v>
      </c>
      <c r="C66" s="3">
        <v>351.02317502261496</v>
      </c>
      <c r="D66">
        <f>IF(MovePool[[#This Row],[Overall Rating]]&lt;=200,80,IF(MovePool[[#This Row],[Overall Rating]]&lt;250,75,IF(MovePool[[#This Row],[Overall Rating]]&lt;300,70,IF(MovePool[[#This Row],[Overall Rating]]&lt;350,65,IF(MovePool[[#This Row],[Overall Rating]]&lt;400,60,IF(MovePool[[#This Row],[Overall Rating]]&lt;450,55,50))))))</f>
        <v>60</v>
      </c>
    </row>
    <row r="67" spans="1:4" x14ac:dyDescent="0.3">
      <c r="A67">
        <v>66</v>
      </c>
      <c r="B67" s="14" t="s">
        <v>334</v>
      </c>
      <c r="C67" s="3">
        <v>351.02317502261496</v>
      </c>
      <c r="D67">
        <f>IF(MovePool[[#This Row],[Overall Rating]]&lt;=200,80,IF(MovePool[[#This Row],[Overall Rating]]&lt;250,75,IF(MovePool[[#This Row],[Overall Rating]]&lt;300,70,IF(MovePool[[#This Row],[Overall Rating]]&lt;350,65,IF(MovePool[[#This Row],[Overall Rating]]&lt;400,60,IF(MovePool[[#This Row],[Overall Rating]]&lt;450,55,50))))))</f>
        <v>60</v>
      </c>
    </row>
    <row r="68" spans="1:4" x14ac:dyDescent="0.3">
      <c r="A68">
        <v>67</v>
      </c>
      <c r="B68" s="14" t="s">
        <v>339</v>
      </c>
      <c r="C68" s="3">
        <v>81.883717391287135</v>
      </c>
      <c r="D68">
        <f>IF(MovePool[[#This Row],[Overall Rating]]&lt;=200,80,IF(MovePool[[#This Row],[Overall Rating]]&lt;250,75,IF(MovePool[[#This Row],[Overall Rating]]&lt;300,70,IF(MovePool[[#This Row],[Overall Rating]]&lt;350,65,IF(MovePool[[#This Row],[Overall Rating]]&lt;400,60,IF(MovePool[[#This Row],[Overall Rating]]&lt;450,55,50))))))</f>
        <v>80</v>
      </c>
    </row>
    <row r="69" spans="1:4" x14ac:dyDescent="0.3">
      <c r="A69">
        <v>68</v>
      </c>
      <c r="B69" s="14" t="s">
        <v>345</v>
      </c>
      <c r="C69" s="3">
        <v>192.618294661005</v>
      </c>
      <c r="D69">
        <f>IF(MovePool[[#This Row],[Overall Rating]]&lt;=200,80,IF(MovePool[[#This Row],[Overall Rating]]&lt;250,75,IF(MovePool[[#This Row],[Overall Rating]]&lt;300,70,IF(MovePool[[#This Row],[Overall Rating]]&lt;350,65,IF(MovePool[[#This Row],[Overall Rating]]&lt;400,60,IF(MovePool[[#This Row],[Overall Rating]]&lt;450,55,50))))))</f>
        <v>80</v>
      </c>
    </row>
    <row r="70" spans="1:4" x14ac:dyDescent="0.3">
      <c r="A70">
        <v>69</v>
      </c>
      <c r="B70" s="14" t="s">
        <v>347</v>
      </c>
      <c r="C70" s="3">
        <v>320.02620774872247</v>
      </c>
      <c r="D70">
        <f>IF(MovePool[[#This Row],[Overall Rating]]&lt;=200,80,IF(MovePool[[#This Row],[Overall Rating]]&lt;250,75,IF(MovePool[[#This Row],[Overall Rating]]&lt;300,70,IF(MovePool[[#This Row],[Overall Rating]]&lt;350,65,IF(MovePool[[#This Row],[Overall Rating]]&lt;400,60,IF(MovePool[[#This Row],[Overall Rating]]&lt;450,55,50))))))</f>
        <v>65</v>
      </c>
    </row>
    <row r="71" spans="1:4" x14ac:dyDescent="0.3">
      <c r="A71">
        <v>70</v>
      </c>
      <c r="B71" s="14" t="s">
        <v>351</v>
      </c>
      <c r="C71" s="3">
        <v>247.95937558168879</v>
      </c>
      <c r="D71">
        <f>IF(MovePool[[#This Row],[Overall Rating]]&lt;=200,80,IF(MovePool[[#This Row],[Overall Rating]]&lt;250,75,IF(MovePool[[#This Row],[Overall Rating]]&lt;300,70,IF(MovePool[[#This Row],[Overall Rating]]&lt;350,65,IF(MovePool[[#This Row],[Overall Rating]]&lt;400,60,IF(MovePool[[#This Row],[Overall Rating]]&lt;450,55,50))))))</f>
        <v>75</v>
      </c>
    </row>
    <row r="72" spans="1:4" x14ac:dyDescent="0.3">
      <c r="A72">
        <v>71</v>
      </c>
      <c r="B72" s="14" t="s">
        <v>358</v>
      </c>
      <c r="C72" s="3">
        <v>245.99030020806265</v>
      </c>
      <c r="D72">
        <f>IF(MovePool[[#This Row],[Overall Rating]]&lt;=200,80,IF(MovePool[[#This Row],[Overall Rating]]&lt;250,75,IF(MovePool[[#This Row],[Overall Rating]]&lt;300,70,IF(MovePool[[#This Row],[Overall Rating]]&lt;350,65,IF(MovePool[[#This Row],[Overall Rating]]&lt;400,60,IF(MovePool[[#This Row],[Overall Rating]]&lt;450,55,50))))))</f>
        <v>75</v>
      </c>
    </row>
    <row r="73" spans="1:4" x14ac:dyDescent="0.3">
      <c r="A73">
        <v>72</v>
      </c>
      <c r="B73" s="14" t="s">
        <v>364</v>
      </c>
      <c r="C73" s="3">
        <v>281.87743239438566</v>
      </c>
      <c r="D73">
        <f>IF(MovePool[[#This Row],[Overall Rating]]&lt;=200,80,IF(MovePool[[#This Row],[Overall Rating]]&lt;250,75,IF(MovePool[[#This Row],[Overall Rating]]&lt;300,70,IF(MovePool[[#This Row],[Overall Rating]]&lt;350,65,IF(MovePool[[#This Row],[Overall Rating]]&lt;400,60,IF(MovePool[[#This Row],[Overall Rating]]&lt;450,55,50))))))</f>
        <v>70</v>
      </c>
    </row>
    <row r="74" spans="1:4" x14ac:dyDescent="0.3">
      <c r="A74">
        <v>73</v>
      </c>
      <c r="B74" s="14" t="s">
        <v>369</v>
      </c>
      <c r="C74" s="3">
        <v>247.16082874361564</v>
      </c>
      <c r="D74">
        <f>IF(MovePool[[#This Row],[Overall Rating]]&lt;=200,80,IF(MovePool[[#This Row],[Overall Rating]]&lt;250,75,IF(MovePool[[#This Row],[Overall Rating]]&lt;300,70,IF(MovePool[[#This Row],[Overall Rating]]&lt;350,65,IF(MovePool[[#This Row],[Overall Rating]]&lt;400,60,IF(MovePool[[#This Row],[Overall Rating]]&lt;450,55,50))))))</f>
        <v>75</v>
      </c>
    </row>
    <row r="75" spans="1:4" x14ac:dyDescent="0.3">
      <c r="A75">
        <v>74</v>
      </c>
      <c r="B75" s="14" t="s">
        <v>376</v>
      </c>
      <c r="C75" s="3">
        <v>257.2671644159243</v>
      </c>
      <c r="D75">
        <f>IF(MovePool[[#This Row],[Overall Rating]]&lt;=200,80,IF(MovePool[[#This Row],[Overall Rating]]&lt;250,75,IF(MovePool[[#This Row],[Overall Rating]]&lt;300,70,IF(MovePool[[#This Row],[Overall Rating]]&lt;350,65,IF(MovePool[[#This Row],[Overall Rating]]&lt;400,60,IF(MovePool[[#This Row],[Overall Rating]]&lt;450,55,50))))))</f>
        <v>70</v>
      </c>
    </row>
    <row r="76" spans="1:4" x14ac:dyDescent="0.3">
      <c r="A76">
        <v>75</v>
      </c>
      <c r="B76" s="14" t="s">
        <v>382</v>
      </c>
      <c r="C76" s="3">
        <v>130.17714201445443</v>
      </c>
      <c r="D76">
        <f>IF(MovePool[[#This Row],[Overall Rating]]&lt;=200,80,IF(MovePool[[#This Row],[Overall Rating]]&lt;250,75,IF(MovePool[[#This Row],[Overall Rating]]&lt;300,70,IF(MovePool[[#This Row],[Overall Rating]]&lt;350,65,IF(MovePool[[#This Row],[Overall Rating]]&lt;400,60,IF(MovePool[[#This Row],[Overall Rating]]&lt;450,55,50))))))</f>
        <v>80</v>
      </c>
    </row>
    <row r="77" spans="1:4" x14ac:dyDescent="0.3">
      <c r="A77">
        <v>76</v>
      </c>
      <c r="B77" s="14" t="s">
        <v>390</v>
      </c>
      <c r="C77" s="3">
        <v>244.79227829003474</v>
      </c>
      <c r="D77">
        <f>IF(MovePool[[#This Row],[Overall Rating]]&lt;=200,80,IF(MovePool[[#This Row],[Overall Rating]]&lt;250,75,IF(MovePool[[#This Row],[Overall Rating]]&lt;300,70,IF(MovePool[[#This Row],[Overall Rating]]&lt;350,65,IF(MovePool[[#This Row],[Overall Rating]]&lt;400,60,IF(MovePool[[#This Row],[Overall Rating]]&lt;450,55,50))))))</f>
        <v>75</v>
      </c>
    </row>
    <row r="78" spans="1:4" x14ac:dyDescent="0.3">
      <c r="A78">
        <v>77</v>
      </c>
      <c r="B78" s="14" t="s">
        <v>430</v>
      </c>
      <c r="C78" s="3">
        <v>89.152725854445507</v>
      </c>
      <c r="D78">
        <f>IF(MovePool[[#This Row],[Overall Rating]]&lt;=200,80,IF(MovePool[[#This Row],[Overall Rating]]&lt;250,75,IF(MovePool[[#This Row],[Overall Rating]]&lt;300,70,IF(MovePool[[#This Row],[Overall Rating]]&lt;350,65,IF(MovePool[[#This Row],[Overall Rating]]&lt;400,60,IF(MovePool[[#This Row],[Overall Rating]]&lt;450,55,50))))))</f>
        <v>80</v>
      </c>
    </row>
    <row r="79" spans="1:4" x14ac:dyDescent="0.3">
      <c r="A79">
        <v>78</v>
      </c>
      <c r="B79" s="14" t="s">
        <v>436</v>
      </c>
      <c r="C79" s="3">
        <v>193.11717686875602</v>
      </c>
      <c r="D79">
        <f>IF(MovePool[[#This Row],[Overall Rating]]&lt;=200,80,IF(MovePool[[#This Row],[Overall Rating]]&lt;250,75,IF(MovePool[[#This Row],[Overall Rating]]&lt;300,70,IF(MovePool[[#This Row],[Overall Rating]]&lt;350,65,IF(MovePool[[#This Row],[Overall Rating]]&lt;400,60,IF(MovePool[[#This Row],[Overall Rating]]&lt;450,55,50))))))</f>
        <v>80</v>
      </c>
    </row>
    <row r="80" spans="1:4" x14ac:dyDescent="0.3">
      <c r="A80">
        <v>79</v>
      </c>
      <c r="B80" s="14" t="s">
        <v>438</v>
      </c>
      <c r="C80" s="3">
        <v>326.3154237438107</v>
      </c>
      <c r="D80">
        <f>IF(MovePool[[#This Row],[Overall Rating]]&lt;=200,80,IF(MovePool[[#This Row],[Overall Rating]]&lt;250,75,IF(MovePool[[#This Row],[Overall Rating]]&lt;300,70,IF(MovePool[[#This Row],[Overall Rating]]&lt;350,65,IF(MovePool[[#This Row],[Overall Rating]]&lt;400,60,IF(MovePool[[#This Row],[Overall Rating]]&lt;450,55,50))))))</f>
        <v>65</v>
      </c>
    </row>
    <row r="81" spans="1:4" x14ac:dyDescent="0.3">
      <c r="A81">
        <v>80</v>
      </c>
      <c r="B81" s="14" t="s">
        <v>440</v>
      </c>
      <c r="C81" s="3">
        <v>160.90086971386137</v>
      </c>
      <c r="D81">
        <f>IF(MovePool[[#This Row],[Overall Rating]]&lt;=200,80,IF(MovePool[[#This Row],[Overall Rating]]&lt;250,75,IF(MovePool[[#This Row],[Overall Rating]]&lt;300,70,IF(MovePool[[#This Row],[Overall Rating]]&lt;350,65,IF(MovePool[[#This Row],[Overall Rating]]&lt;400,60,IF(MovePool[[#This Row],[Overall Rating]]&lt;450,55,50))))))</f>
        <v>80</v>
      </c>
    </row>
    <row r="82" spans="1:4" x14ac:dyDescent="0.3">
      <c r="A82">
        <v>81</v>
      </c>
      <c r="B82" s="14" t="s">
        <v>446</v>
      </c>
      <c r="C82" s="3">
        <v>259.54114367530087</v>
      </c>
      <c r="D82">
        <f>IF(MovePool[[#This Row],[Overall Rating]]&lt;=200,80,IF(MovePool[[#This Row],[Overall Rating]]&lt;250,75,IF(MovePool[[#This Row],[Overall Rating]]&lt;300,70,IF(MovePool[[#This Row],[Overall Rating]]&lt;350,65,IF(MovePool[[#This Row],[Overall Rating]]&lt;400,60,IF(MovePool[[#This Row],[Overall Rating]]&lt;450,55,50))))))</f>
        <v>70</v>
      </c>
    </row>
    <row r="83" spans="1:4" x14ac:dyDescent="0.3">
      <c r="A83">
        <v>82</v>
      </c>
      <c r="B83" s="14" t="s">
        <v>448</v>
      </c>
      <c r="C83" s="3">
        <v>157.99849629206369</v>
      </c>
      <c r="D83">
        <f>IF(MovePool[[#This Row],[Overall Rating]]&lt;=200,80,IF(MovePool[[#This Row],[Overall Rating]]&lt;250,75,IF(MovePool[[#This Row],[Overall Rating]]&lt;300,70,IF(MovePool[[#This Row],[Overall Rating]]&lt;350,65,IF(MovePool[[#This Row],[Overall Rating]]&lt;400,60,IF(MovePool[[#This Row],[Overall Rating]]&lt;450,55,50))))))</f>
        <v>80</v>
      </c>
    </row>
    <row r="84" spans="1:4" x14ac:dyDescent="0.3">
      <c r="A84">
        <v>83</v>
      </c>
      <c r="B84" s="14" t="s">
        <v>453</v>
      </c>
      <c r="C84" s="3">
        <v>277.19082658380103</v>
      </c>
      <c r="D84">
        <f>IF(MovePool[[#This Row],[Overall Rating]]&lt;=200,80,IF(MovePool[[#This Row],[Overall Rating]]&lt;250,75,IF(MovePool[[#This Row],[Overall Rating]]&lt;300,70,IF(MovePool[[#This Row],[Overall Rating]]&lt;350,65,IF(MovePool[[#This Row],[Overall Rating]]&lt;400,60,IF(MovePool[[#This Row],[Overall Rating]]&lt;450,55,50))))))</f>
        <v>70</v>
      </c>
    </row>
    <row r="85" spans="1:4" x14ac:dyDescent="0.3">
      <c r="A85">
        <v>84</v>
      </c>
      <c r="B85" s="14" t="s">
        <v>455</v>
      </c>
      <c r="C85" s="3">
        <v>199.33877890892342</v>
      </c>
      <c r="D85">
        <f>IF(MovePool[[#This Row],[Overall Rating]]&lt;=200,80,IF(MovePool[[#This Row],[Overall Rating]]&lt;250,75,IF(MovePool[[#This Row],[Overall Rating]]&lt;300,70,IF(MovePool[[#This Row],[Overall Rating]]&lt;350,65,IF(MovePool[[#This Row],[Overall Rating]]&lt;400,60,IF(MovePool[[#This Row],[Overall Rating]]&lt;450,55,50))))))</f>
        <v>80</v>
      </c>
    </row>
    <row r="86" spans="1:4" x14ac:dyDescent="0.3">
      <c r="A86">
        <v>85</v>
      </c>
      <c r="B86" s="14" t="s">
        <v>460</v>
      </c>
      <c r="C86" s="3">
        <v>341.86261575466489</v>
      </c>
      <c r="D86">
        <f>IF(MovePool[[#This Row],[Overall Rating]]&lt;=200,80,IF(MovePool[[#This Row],[Overall Rating]]&lt;250,75,IF(MovePool[[#This Row],[Overall Rating]]&lt;300,70,IF(MovePool[[#This Row],[Overall Rating]]&lt;350,65,IF(MovePool[[#This Row],[Overall Rating]]&lt;400,60,IF(MovePool[[#This Row],[Overall Rating]]&lt;450,55,50))))))</f>
        <v>65</v>
      </c>
    </row>
    <row r="87" spans="1:4" x14ac:dyDescent="0.3">
      <c r="A87">
        <v>86</v>
      </c>
      <c r="B87" s="14" t="s">
        <v>486</v>
      </c>
      <c r="C87" s="3">
        <v>237.30512751426244</v>
      </c>
      <c r="D87">
        <f>IF(MovePool[[#This Row],[Overall Rating]]&lt;=200,80,IF(MovePool[[#This Row],[Overall Rating]]&lt;250,75,IF(MovePool[[#This Row],[Overall Rating]]&lt;300,70,IF(MovePool[[#This Row],[Overall Rating]]&lt;350,65,IF(MovePool[[#This Row],[Overall Rating]]&lt;400,60,IF(MovePool[[#This Row],[Overall Rating]]&lt;450,55,50))))))</f>
        <v>75</v>
      </c>
    </row>
    <row r="88" spans="1:4" x14ac:dyDescent="0.3">
      <c r="A88">
        <v>87</v>
      </c>
      <c r="B88" s="14" t="s">
        <v>487</v>
      </c>
      <c r="C88" s="3">
        <v>375.54177401742339</v>
      </c>
      <c r="D88">
        <f>IF(MovePool[[#This Row],[Overall Rating]]&lt;=200,80,IF(MovePool[[#This Row],[Overall Rating]]&lt;250,75,IF(MovePool[[#This Row],[Overall Rating]]&lt;300,70,IF(MovePool[[#This Row],[Overall Rating]]&lt;350,65,IF(MovePool[[#This Row],[Overall Rating]]&lt;400,60,IF(MovePool[[#This Row],[Overall Rating]]&lt;450,55,50))))))</f>
        <v>60</v>
      </c>
    </row>
    <row r="89" spans="1:4" x14ac:dyDescent="0.3">
      <c r="A89">
        <v>88</v>
      </c>
      <c r="B89" s="14" t="s">
        <v>488</v>
      </c>
      <c r="C89" s="3">
        <v>198.94347112922003</v>
      </c>
      <c r="D89">
        <f>IF(MovePool[[#This Row],[Overall Rating]]&lt;=200,80,IF(MovePool[[#This Row],[Overall Rating]]&lt;250,75,IF(MovePool[[#This Row],[Overall Rating]]&lt;300,70,IF(MovePool[[#This Row],[Overall Rating]]&lt;350,65,IF(MovePool[[#This Row],[Overall Rating]]&lt;400,60,IF(MovePool[[#This Row],[Overall Rating]]&lt;450,55,50))))))</f>
        <v>80</v>
      </c>
    </row>
    <row r="90" spans="1:4" x14ac:dyDescent="0.3">
      <c r="A90">
        <v>89</v>
      </c>
      <c r="B90" s="14" t="s">
        <v>489</v>
      </c>
      <c r="C90" s="3">
        <v>232.94054067550059</v>
      </c>
      <c r="D90">
        <f>IF(MovePool[[#This Row],[Overall Rating]]&lt;=200,80,IF(MovePool[[#This Row],[Overall Rating]]&lt;250,75,IF(MovePool[[#This Row],[Overall Rating]]&lt;300,70,IF(MovePool[[#This Row],[Overall Rating]]&lt;350,65,IF(MovePool[[#This Row],[Overall Rating]]&lt;400,60,IF(MovePool[[#This Row],[Overall Rating]]&lt;450,55,50))))))</f>
        <v>75</v>
      </c>
    </row>
    <row r="91" spans="1:4" x14ac:dyDescent="0.3">
      <c r="A91">
        <v>90</v>
      </c>
      <c r="B91" s="14" t="s">
        <v>491</v>
      </c>
      <c r="C91" s="3">
        <v>122.3256308578443</v>
      </c>
      <c r="D91">
        <f>IF(MovePool[[#This Row],[Overall Rating]]&lt;=200,80,IF(MovePool[[#This Row],[Overall Rating]]&lt;250,75,IF(MovePool[[#This Row],[Overall Rating]]&lt;300,70,IF(MovePool[[#This Row],[Overall Rating]]&lt;350,65,IF(MovePool[[#This Row],[Overall Rating]]&lt;400,60,IF(MovePool[[#This Row],[Overall Rating]]&lt;450,55,50))))))</f>
        <v>80</v>
      </c>
    </row>
    <row r="92" spans="1:4" x14ac:dyDescent="0.3">
      <c r="A92">
        <v>91</v>
      </c>
      <c r="B92" s="14" t="s">
        <v>492</v>
      </c>
      <c r="C92" s="3">
        <v>277.94725517329465</v>
      </c>
      <c r="D92">
        <f>IF(MovePool[[#This Row],[Overall Rating]]&lt;=200,80,IF(MovePool[[#This Row],[Overall Rating]]&lt;250,75,IF(MovePool[[#This Row],[Overall Rating]]&lt;300,70,IF(MovePool[[#This Row],[Overall Rating]]&lt;350,65,IF(MovePool[[#This Row],[Overall Rating]]&lt;400,60,IF(MovePool[[#This Row],[Overall Rating]]&lt;450,55,50))))))</f>
        <v>70</v>
      </c>
    </row>
    <row r="93" spans="1:4" x14ac:dyDescent="0.3">
      <c r="A93">
        <v>92</v>
      </c>
      <c r="B93" s="14" t="s">
        <v>493</v>
      </c>
      <c r="C93" s="3">
        <v>230.37208394669051</v>
      </c>
      <c r="D93">
        <f>IF(MovePool[[#This Row],[Overall Rating]]&lt;=200,80,IF(MovePool[[#This Row],[Overall Rating]]&lt;250,75,IF(MovePool[[#This Row],[Overall Rating]]&lt;300,70,IF(MovePool[[#This Row],[Overall Rating]]&lt;350,65,IF(MovePool[[#This Row],[Overall Rating]]&lt;400,60,IF(MovePool[[#This Row],[Overall Rating]]&lt;450,55,50))))))</f>
        <v>75</v>
      </c>
    </row>
    <row r="94" spans="1:4" x14ac:dyDescent="0.3">
      <c r="A94">
        <v>93</v>
      </c>
      <c r="B94" s="14" t="s">
        <v>494</v>
      </c>
      <c r="C94" s="3">
        <v>308.84903468301434</v>
      </c>
      <c r="D94">
        <f>IF(MovePool[[#This Row],[Overall Rating]]&lt;=200,80,IF(MovePool[[#This Row],[Overall Rating]]&lt;250,75,IF(MovePool[[#This Row],[Overall Rating]]&lt;300,70,IF(MovePool[[#This Row],[Overall Rating]]&lt;350,65,IF(MovePool[[#This Row],[Overall Rating]]&lt;400,60,IF(MovePool[[#This Row],[Overall Rating]]&lt;450,55,50))))))</f>
        <v>65</v>
      </c>
    </row>
    <row r="95" spans="1:4" x14ac:dyDescent="0.3">
      <c r="A95">
        <v>94</v>
      </c>
      <c r="B95" s="14" t="s">
        <v>495</v>
      </c>
      <c r="C95" s="3">
        <v>198.56901775294421</v>
      </c>
      <c r="D95">
        <f>IF(MovePool[[#This Row],[Overall Rating]]&lt;=200,80,IF(MovePool[[#This Row],[Overall Rating]]&lt;250,75,IF(MovePool[[#This Row],[Overall Rating]]&lt;300,70,IF(MovePool[[#This Row],[Overall Rating]]&lt;350,65,IF(MovePool[[#This Row],[Overall Rating]]&lt;400,60,IF(MovePool[[#This Row],[Overall Rating]]&lt;450,55,50))))))</f>
        <v>80</v>
      </c>
    </row>
    <row r="96" spans="1:4" x14ac:dyDescent="0.3">
      <c r="A96">
        <v>95</v>
      </c>
      <c r="B96" s="14" t="s">
        <v>497</v>
      </c>
      <c r="C96" s="3">
        <v>347.75309424739424</v>
      </c>
      <c r="D96">
        <f>IF(MovePool[[#This Row],[Overall Rating]]&lt;=200,80,IF(MovePool[[#This Row],[Overall Rating]]&lt;250,75,IF(MovePool[[#This Row],[Overall Rating]]&lt;300,70,IF(MovePool[[#This Row],[Overall Rating]]&lt;350,65,IF(MovePool[[#This Row],[Overall Rating]]&lt;400,60,IF(MovePool[[#This Row],[Overall Rating]]&lt;450,55,50))))))</f>
        <v>65</v>
      </c>
    </row>
    <row r="97" spans="1:4" x14ac:dyDescent="0.3">
      <c r="A97">
        <v>96</v>
      </c>
      <c r="B97" s="14" t="s">
        <v>498</v>
      </c>
      <c r="C97" s="3">
        <v>140.88194014035531</v>
      </c>
      <c r="D97">
        <f>IF(MovePool[[#This Row],[Overall Rating]]&lt;=200,80,IF(MovePool[[#This Row],[Overall Rating]]&lt;250,75,IF(MovePool[[#This Row],[Overall Rating]]&lt;300,70,IF(MovePool[[#This Row],[Overall Rating]]&lt;350,65,IF(MovePool[[#This Row],[Overall Rating]]&lt;400,60,IF(MovePool[[#This Row],[Overall Rating]]&lt;450,55,50))))))</f>
        <v>80</v>
      </c>
    </row>
    <row r="98" spans="1:4" x14ac:dyDescent="0.3">
      <c r="A98">
        <v>97</v>
      </c>
      <c r="B98" s="14" t="s">
        <v>499</v>
      </c>
      <c r="C98" s="3">
        <v>277.43717957266176</v>
      </c>
      <c r="D98">
        <f>IF(MovePool[[#This Row],[Overall Rating]]&lt;=200,80,IF(MovePool[[#This Row],[Overall Rating]]&lt;250,75,IF(MovePool[[#This Row],[Overall Rating]]&lt;300,70,IF(MovePool[[#This Row],[Overall Rating]]&lt;350,65,IF(MovePool[[#This Row],[Overall Rating]]&lt;400,60,IF(MovePool[[#This Row],[Overall Rating]]&lt;450,55,50))))))</f>
        <v>70</v>
      </c>
    </row>
    <row r="99" spans="1:4" x14ac:dyDescent="0.3">
      <c r="A99">
        <v>98</v>
      </c>
      <c r="B99" s="14" t="s">
        <v>500</v>
      </c>
      <c r="C99" s="3">
        <v>161.20740785592926</v>
      </c>
      <c r="D99">
        <f>IF(MovePool[[#This Row],[Overall Rating]]&lt;=200,80,IF(MovePool[[#This Row],[Overall Rating]]&lt;250,75,IF(MovePool[[#This Row],[Overall Rating]]&lt;300,70,IF(MovePool[[#This Row],[Overall Rating]]&lt;350,65,IF(MovePool[[#This Row],[Overall Rating]]&lt;400,60,IF(MovePool[[#This Row],[Overall Rating]]&lt;450,55,50))))))</f>
        <v>80</v>
      </c>
    </row>
    <row r="100" spans="1:4" x14ac:dyDescent="0.3">
      <c r="A100">
        <v>99</v>
      </c>
      <c r="B100" s="14" t="s">
        <v>501</v>
      </c>
      <c r="C100" s="3">
        <v>320.86258301358612</v>
      </c>
      <c r="D100">
        <f>IF(MovePool[[#This Row],[Overall Rating]]&lt;=200,80,IF(MovePool[[#This Row],[Overall Rating]]&lt;250,75,IF(MovePool[[#This Row],[Overall Rating]]&lt;300,70,IF(MovePool[[#This Row],[Overall Rating]]&lt;350,65,IF(MovePool[[#This Row],[Overall Rating]]&lt;400,60,IF(MovePool[[#This Row],[Overall Rating]]&lt;450,55,50))))))</f>
        <v>65</v>
      </c>
    </row>
    <row r="101" spans="1:4" x14ac:dyDescent="0.3">
      <c r="A101">
        <v>100</v>
      </c>
      <c r="B101" s="14" t="s">
        <v>502</v>
      </c>
      <c r="C101" s="3">
        <v>211.64531659644098</v>
      </c>
      <c r="D101">
        <f>IF(MovePool[[#This Row],[Overall Rating]]&lt;=200,80,IF(MovePool[[#This Row],[Overall Rating]]&lt;250,75,IF(MovePool[[#This Row],[Overall Rating]]&lt;300,70,IF(MovePool[[#This Row],[Overall Rating]]&lt;350,65,IF(MovePool[[#This Row],[Overall Rating]]&lt;400,60,IF(MovePool[[#This Row],[Overall Rating]]&lt;450,55,50))))))</f>
        <v>75</v>
      </c>
    </row>
    <row r="102" spans="1:4" x14ac:dyDescent="0.3">
      <c r="A102">
        <v>101</v>
      </c>
      <c r="B102" s="14" t="s">
        <v>503</v>
      </c>
      <c r="C102" s="3">
        <v>375.76452259505351</v>
      </c>
      <c r="D102">
        <f>IF(MovePool[[#This Row],[Overall Rating]]&lt;=200,80,IF(MovePool[[#This Row],[Overall Rating]]&lt;250,75,IF(MovePool[[#This Row],[Overall Rating]]&lt;300,70,IF(MovePool[[#This Row],[Overall Rating]]&lt;350,65,IF(MovePool[[#This Row],[Overall Rating]]&lt;400,60,IF(MovePool[[#This Row],[Overall Rating]]&lt;450,55,50))))))</f>
        <v>60</v>
      </c>
    </row>
    <row r="103" spans="1:4" x14ac:dyDescent="0.3">
      <c r="A103">
        <v>102</v>
      </c>
      <c r="B103" s="14" t="s">
        <v>504</v>
      </c>
      <c r="C103" s="3">
        <v>237.33855367233105</v>
      </c>
      <c r="D103">
        <f>IF(MovePool[[#This Row],[Overall Rating]]&lt;=200,80,IF(MovePool[[#This Row],[Overall Rating]]&lt;250,75,IF(MovePool[[#This Row],[Overall Rating]]&lt;300,70,IF(MovePool[[#This Row],[Overall Rating]]&lt;350,65,IF(MovePool[[#This Row],[Overall Rating]]&lt;400,60,IF(MovePool[[#This Row],[Overall Rating]]&lt;450,55,50))))))</f>
        <v>75</v>
      </c>
    </row>
    <row r="104" spans="1:4" x14ac:dyDescent="0.3">
      <c r="A104">
        <v>103</v>
      </c>
      <c r="B104" s="14" t="s">
        <v>505</v>
      </c>
      <c r="C104" s="3">
        <v>117.17946269075357</v>
      </c>
      <c r="D104">
        <f>IF(MovePool[[#This Row],[Overall Rating]]&lt;=200,80,IF(MovePool[[#This Row],[Overall Rating]]&lt;250,75,IF(MovePool[[#This Row],[Overall Rating]]&lt;300,70,IF(MovePool[[#This Row],[Overall Rating]]&lt;350,65,IF(MovePool[[#This Row],[Overall Rating]]&lt;400,60,IF(MovePool[[#This Row],[Overall Rating]]&lt;450,55,50))))))</f>
        <v>80</v>
      </c>
    </row>
    <row r="105" spans="1:4" x14ac:dyDescent="0.3">
      <c r="A105">
        <v>104</v>
      </c>
      <c r="B105" s="14" t="s">
        <v>507</v>
      </c>
      <c r="C105" s="3">
        <v>274.1800141692579</v>
      </c>
      <c r="D105">
        <f>IF(MovePool[[#This Row],[Overall Rating]]&lt;=200,80,IF(MovePool[[#This Row],[Overall Rating]]&lt;250,75,IF(MovePool[[#This Row],[Overall Rating]]&lt;300,70,IF(MovePool[[#This Row],[Overall Rating]]&lt;350,65,IF(MovePool[[#This Row],[Overall Rating]]&lt;400,60,IF(MovePool[[#This Row],[Overall Rating]]&lt;450,55,50))))))</f>
        <v>70</v>
      </c>
    </row>
    <row r="106" spans="1:4" x14ac:dyDescent="0.3">
      <c r="A106">
        <v>105</v>
      </c>
      <c r="B106" s="14" t="s">
        <v>508</v>
      </c>
      <c r="C106" s="3">
        <v>156.49641353986522</v>
      </c>
      <c r="D106">
        <f>IF(MovePool[[#This Row],[Overall Rating]]&lt;=200,80,IF(MovePool[[#This Row],[Overall Rating]]&lt;250,75,IF(MovePool[[#This Row],[Overall Rating]]&lt;300,70,IF(MovePool[[#This Row],[Overall Rating]]&lt;350,65,IF(MovePool[[#This Row],[Overall Rating]]&lt;400,60,IF(MovePool[[#This Row],[Overall Rating]]&lt;450,55,50))))))</f>
        <v>80</v>
      </c>
    </row>
    <row r="107" spans="1:4" x14ac:dyDescent="0.3">
      <c r="A107">
        <v>106</v>
      </c>
      <c r="B107" s="14" t="s">
        <v>558</v>
      </c>
      <c r="C107" s="3">
        <v>303.80766214879407</v>
      </c>
      <c r="D107">
        <f>IF(MovePool[[#This Row],[Overall Rating]]&lt;=200,80,IF(MovePool[[#This Row],[Overall Rating]]&lt;250,75,IF(MovePool[[#This Row],[Overall Rating]]&lt;300,70,IF(MovePool[[#This Row],[Overall Rating]]&lt;350,65,IF(MovePool[[#This Row],[Overall Rating]]&lt;400,60,IF(MovePool[[#This Row],[Overall Rating]]&lt;450,55,50))))))</f>
        <v>65</v>
      </c>
    </row>
    <row r="108" spans="1:4" x14ac:dyDescent="0.3">
      <c r="A108">
        <v>107</v>
      </c>
      <c r="B108" s="14" t="s">
        <v>564</v>
      </c>
      <c r="C108" s="3">
        <v>171.18254359875277</v>
      </c>
      <c r="D108">
        <f>IF(MovePool[[#This Row],[Overall Rating]]&lt;=200,80,IF(MovePool[[#This Row],[Overall Rating]]&lt;250,75,IF(MovePool[[#This Row],[Overall Rating]]&lt;300,70,IF(MovePool[[#This Row],[Overall Rating]]&lt;350,65,IF(MovePool[[#This Row],[Overall Rating]]&lt;400,60,IF(MovePool[[#This Row],[Overall Rating]]&lt;450,55,50))))))</f>
        <v>80</v>
      </c>
    </row>
    <row r="109" spans="1:4" x14ac:dyDescent="0.3">
      <c r="A109">
        <v>108</v>
      </c>
      <c r="B109" s="14" t="s">
        <v>570</v>
      </c>
      <c r="C109" s="3">
        <v>314.13776582907497</v>
      </c>
      <c r="D109">
        <f>IF(MovePool[[#This Row],[Overall Rating]]&lt;=200,80,IF(MovePool[[#This Row],[Overall Rating]]&lt;250,75,IF(MovePool[[#This Row],[Overall Rating]]&lt;300,70,IF(MovePool[[#This Row],[Overall Rating]]&lt;350,65,IF(MovePool[[#This Row],[Overall Rating]]&lt;400,60,IF(MovePool[[#This Row],[Overall Rating]]&lt;450,55,50))))))</f>
        <v>65</v>
      </c>
    </row>
    <row r="110" spans="1:4" x14ac:dyDescent="0.3">
      <c r="A110">
        <v>109</v>
      </c>
      <c r="B110" s="14" t="s">
        <v>572</v>
      </c>
      <c r="C110" s="3">
        <v>187.98607372968826</v>
      </c>
      <c r="D110">
        <f>IF(MovePool[[#This Row],[Overall Rating]]&lt;=200,80,IF(MovePool[[#This Row],[Overall Rating]]&lt;250,75,IF(MovePool[[#This Row],[Overall Rating]]&lt;300,70,IF(MovePool[[#This Row],[Overall Rating]]&lt;350,65,IF(MovePool[[#This Row],[Overall Rating]]&lt;400,60,IF(MovePool[[#This Row],[Overall Rating]]&lt;450,55,50))))))</f>
        <v>80</v>
      </c>
    </row>
    <row r="111" spans="1:4" x14ac:dyDescent="0.3">
      <c r="A111">
        <v>110</v>
      </c>
      <c r="B111" s="14" t="s">
        <v>578</v>
      </c>
      <c r="C111" s="3">
        <v>335.66600326017851</v>
      </c>
      <c r="D111">
        <f>IF(MovePool[[#This Row],[Overall Rating]]&lt;=200,80,IF(MovePool[[#This Row],[Overall Rating]]&lt;250,75,IF(MovePool[[#This Row],[Overall Rating]]&lt;300,70,IF(MovePool[[#This Row],[Overall Rating]]&lt;350,65,IF(MovePool[[#This Row],[Overall Rating]]&lt;400,60,IF(MovePool[[#This Row],[Overall Rating]]&lt;450,55,50))))))</f>
        <v>65</v>
      </c>
    </row>
    <row r="112" spans="1:4" x14ac:dyDescent="0.3">
      <c r="A112">
        <v>111</v>
      </c>
      <c r="B112" s="14" t="s">
        <v>580</v>
      </c>
      <c r="C112" s="3">
        <v>187.81767019267744</v>
      </c>
      <c r="D112">
        <f>IF(MovePool[[#This Row],[Overall Rating]]&lt;=200,80,IF(MovePool[[#This Row],[Overall Rating]]&lt;250,75,IF(MovePool[[#This Row],[Overall Rating]]&lt;300,70,IF(MovePool[[#This Row],[Overall Rating]]&lt;350,65,IF(MovePool[[#This Row],[Overall Rating]]&lt;400,60,IF(MovePool[[#This Row],[Overall Rating]]&lt;450,55,50))))))</f>
        <v>80</v>
      </c>
    </row>
    <row r="113" spans="1:4" x14ac:dyDescent="0.3">
      <c r="A113">
        <v>112</v>
      </c>
      <c r="B113" s="14" t="s">
        <v>586</v>
      </c>
      <c r="C113" s="3">
        <v>335.22109644461818</v>
      </c>
      <c r="D113">
        <f>IF(MovePool[[#This Row],[Overall Rating]]&lt;=200,80,IF(MovePool[[#This Row],[Overall Rating]]&lt;250,75,IF(MovePool[[#This Row],[Overall Rating]]&lt;300,70,IF(MovePool[[#This Row],[Overall Rating]]&lt;350,65,IF(MovePool[[#This Row],[Overall Rating]]&lt;400,60,IF(MovePool[[#This Row],[Overall Rating]]&lt;450,55,50))))))</f>
        <v>65</v>
      </c>
    </row>
    <row r="114" spans="1:4" x14ac:dyDescent="0.3">
      <c r="A114">
        <v>113</v>
      </c>
      <c r="B114" s="14" t="s">
        <v>588</v>
      </c>
      <c r="C114" s="3">
        <v>187.81746640805665</v>
      </c>
      <c r="D114">
        <f>IF(MovePool[[#This Row],[Overall Rating]]&lt;=200,80,IF(MovePool[[#This Row],[Overall Rating]]&lt;250,75,IF(MovePool[[#This Row],[Overall Rating]]&lt;300,70,IF(MovePool[[#This Row],[Overall Rating]]&lt;350,65,IF(MovePool[[#This Row],[Overall Rating]]&lt;400,60,IF(MovePool[[#This Row],[Overall Rating]]&lt;450,55,50))))))</f>
        <v>80</v>
      </c>
    </row>
    <row r="115" spans="1:4" x14ac:dyDescent="0.3">
      <c r="A115">
        <v>114</v>
      </c>
      <c r="B115" s="14" t="s">
        <v>594</v>
      </c>
      <c r="C115" s="3">
        <v>341.7033235786119</v>
      </c>
      <c r="D115">
        <f>IF(MovePool[[#This Row],[Overall Rating]]&lt;=200,80,IF(MovePool[[#This Row],[Overall Rating]]&lt;250,75,IF(MovePool[[#This Row],[Overall Rating]]&lt;300,70,IF(MovePool[[#This Row],[Overall Rating]]&lt;350,65,IF(MovePool[[#This Row],[Overall Rating]]&lt;400,60,IF(MovePool[[#This Row],[Overall Rating]]&lt;450,55,50))))))</f>
        <v>65</v>
      </c>
    </row>
    <row r="116" spans="1:4" x14ac:dyDescent="0.3">
      <c r="A116">
        <v>115</v>
      </c>
      <c r="B116" s="14" t="s">
        <v>607</v>
      </c>
      <c r="C116" s="3">
        <v>243.61731153382601</v>
      </c>
      <c r="D116">
        <f>IF(MovePool[[#This Row],[Overall Rating]]&lt;=200,80,IF(MovePool[[#This Row],[Overall Rating]]&lt;250,75,IF(MovePool[[#This Row],[Overall Rating]]&lt;300,70,IF(MovePool[[#This Row],[Overall Rating]]&lt;350,65,IF(MovePool[[#This Row],[Overall Rating]]&lt;400,60,IF(MovePool[[#This Row],[Overall Rating]]&lt;450,55,50))))))</f>
        <v>75</v>
      </c>
    </row>
    <row r="117" spans="1:4" x14ac:dyDescent="0.3">
      <c r="A117">
        <v>116</v>
      </c>
      <c r="B117" s="14" t="s">
        <v>622</v>
      </c>
      <c r="C117" s="3">
        <v>264.32937039495152</v>
      </c>
      <c r="D117">
        <f>IF(MovePool[[#This Row],[Overall Rating]]&lt;=200,80,IF(MovePool[[#This Row],[Overall Rating]]&lt;250,75,IF(MovePool[[#This Row],[Overall Rating]]&lt;300,70,IF(MovePool[[#This Row],[Overall Rating]]&lt;350,65,IF(MovePool[[#This Row],[Overall Rating]]&lt;400,60,IF(MovePool[[#This Row],[Overall Rating]]&lt;450,55,50))))))</f>
        <v>70</v>
      </c>
    </row>
    <row r="118" spans="1:4" x14ac:dyDescent="0.3">
      <c r="A118">
        <v>117</v>
      </c>
      <c r="B118" s="14" t="s">
        <v>610</v>
      </c>
      <c r="C118" s="3">
        <v>273.34754779071835</v>
      </c>
      <c r="D118">
        <f>IF(MovePool[[#This Row],[Overall Rating]]&lt;=200,80,IF(MovePool[[#This Row],[Overall Rating]]&lt;250,75,IF(MovePool[[#This Row],[Overall Rating]]&lt;300,70,IF(MovePool[[#This Row],[Overall Rating]]&lt;350,65,IF(MovePool[[#This Row],[Overall Rating]]&lt;400,60,IF(MovePool[[#This Row],[Overall Rating]]&lt;450,55,50))))))</f>
        <v>70</v>
      </c>
    </row>
    <row r="119" spans="1:4" x14ac:dyDescent="0.3">
      <c r="A119">
        <v>118</v>
      </c>
      <c r="B119" s="14" t="s">
        <v>626</v>
      </c>
      <c r="C119" s="3">
        <v>300.21581778044384</v>
      </c>
      <c r="D119">
        <f>IF(MovePool[[#This Row],[Overall Rating]]&lt;=200,80,IF(MovePool[[#This Row],[Overall Rating]]&lt;250,75,IF(MovePool[[#This Row],[Overall Rating]]&lt;300,70,IF(MovePool[[#This Row],[Overall Rating]]&lt;350,65,IF(MovePool[[#This Row],[Overall Rating]]&lt;400,60,IF(MovePool[[#This Row],[Overall Rating]]&lt;450,55,50))))))</f>
        <v>65</v>
      </c>
    </row>
    <row r="120" spans="1:4" x14ac:dyDescent="0.3">
      <c r="A120">
        <v>119</v>
      </c>
      <c r="B120" s="14" t="s">
        <v>629</v>
      </c>
      <c r="C120" s="3">
        <v>258.35872989503042</v>
      </c>
      <c r="D120">
        <f>IF(MovePool[[#This Row],[Overall Rating]]&lt;=200,80,IF(MovePool[[#This Row],[Overall Rating]]&lt;250,75,IF(MovePool[[#This Row],[Overall Rating]]&lt;300,70,IF(MovePool[[#This Row],[Overall Rating]]&lt;350,65,IF(MovePool[[#This Row],[Overall Rating]]&lt;400,60,IF(MovePool[[#This Row],[Overall Rating]]&lt;450,55,50))))))</f>
        <v>70</v>
      </c>
    </row>
    <row r="121" spans="1:4" x14ac:dyDescent="0.3">
      <c r="A121">
        <v>120</v>
      </c>
      <c r="B121" s="14" t="s">
        <v>632</v>
      </c>
      <c r="C121" s="3">
        <v>343.2516743945983</v>
      </c>
      <c r="D121">
        <f>IF(MovePool[[#This Row],[Overall Rating]]&lt;=200,80,IF(MovePool[[#This Row],[Overall Rating]]&lt;250,75,IF(MovePool[[#This Row],[Overall Rating]]&lt;300,70,IF(MovePool[[#This Row],[Overall Rating]]&lt;350,65,IF(MovePool[[#This Row],[Overall Rating]]&lt;400,60,IF(MovePool[[#This Row],[Overall Rating]]&lt;450,55,50))))))</f>
        <v>65</v>
      </c>
    </row>
    <row r="122" spans="1:4" x14ac:dyDescent="0.3">
      <c r="A122">
        <v>121</v>
      </c>
      <c r="B122" s="14" t="s">
        <v>635</v>
      </c>
      <c r="C122" s="3">
        <v>293.59137436028948</v>
      </c>
      <c r="D122">
        <f>IF(MovePool[[#This Row],[Overall Rating]]&lt;=200,80,IF(MovePool[[#This Row],[Overall Rating]]&lt;250,75,IF(MovePool[[#This Row],[Overall Rating]]&lt;300,70,IF(MovePool[[#This Row],[Overall Rating]]&lt;350,65,IF(MovePool[[#This Row],[Overall Rating]]&lt;400,60,IF(MovePool[[#This Row],[Overall Rating]]&lt;450,55,50))))))</f>
        <v>70</v>
      </c>
    </row>
    <row r="123" spans="1:4" x14ac:dyDescent="0.3">
      <c r="A123">
        <v>122</v>
      </c>
      <c r="B123" s="14" t="s">
        <v>638</v>
      </c>
      <c r="C123" s="3">
        <v>259.14903220105293</v>
      </c>
      <c r="D123">
        <f>IF(MovePool[[#This Row],[Overall Rating]]&lt;=200,80,IF(MovePool[[#This Row],[Overall Rating]]&lt;250,75,IF(MovePool[[#This Row],[Overall Rating]]&lt;300,70,IF(MovePool[[#This Row],[Overall Rating]]&lt;350,65,IF(MovePool[[#This Row],[Overall Rating]]&lt;400,60,IF(MovePool[[#This Row],[Overall Rating]]&lt;450,55,50))))))</f>
        <v>70</v>
      </c>
    </row>
    <row r="124" spans="1:4" x14ac:dyDescent="0.3">
      <c r="A124">
        <v>123</v>
      </c>
      <c r="B124" s="14" t="s">
        <v>641</v>
      </c>
      <c r="C124" s="3">
        <v>265.93647891213931</v>
      </c>
      <c r="D124">
        <f>IF(MovePool[[#This Row],[Overall Rating]]&lt;=200,80,IF(MovePool[[#This Row],[Overall Rating]]&lt;250,75,IF(MovePool[[#This Row],[Overall Rating]]&lt;300,70,IF(MovePool[[#This Row],[Overall Rating]]&lt;350,65,IF(MovePool[[#This Row],[Overall Rating]]&lt;400,60,IF(MovePool[[#This Row],[Overall Rating]]&lt;450,55,50))))))</f>
        <v>70</v>
      </c>
    </row>
    <row r="125" spans="1:4" x14ac:dyDescent="0.3">
      <c r="B125" s="14" t="s">
        <v>657</v>
      </c>
      <c r="C125" s="3"/>
      <c r="D125">
        <f>IF(MovePool[[#This Row],[Overall Rating]]&lt;=200,80,IF(MovePool[[#This Row],[Overall Rating]]&lt;250,75,IF(MovePool[[#This Row],[Overall Rating]]&lt;300,70,IF(MovePool[[#This Row],[Overall Rating]]&lt;350,65,IF(MovePool[[#This Row],[Overall Rating]]&lt;400,60,IF(MovePool[[#This Row],[Overall Rating]]&lt;450,55,50))))))</f>
        <v>80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44C58-6CD2-4125-B302-6A11E1AC6ABE}">
  <dimension ref="A1:B256"/>
  <sheetViews>
    <sheetView workbookViewId="0">
      <selection activeCell="S16" sqref="S16"/>
    </sheetView>
  </sheetViews>
  <sheetFormatPr defaultRowHeight="14.4" x14ac:dyDescent="0.3"/>
  <cols>
    <col min="1" max="1" width="12.5546875" customWidth="1"/>
    <col min="2" max="2" width="13.6640625" customWidth="1"/>
  </cols>
  <sheetData>
    <row r="1" spans="1:2" x14ac:dyDescent="0.3">
      <c r="A1" t="s">
        <v>414</v>
      </c>
      <c r="B1" t="s">
        <v>415</v>
      </c>
    </row>
    <row r="2" spans="1:2" x14ac:dyDescent="0.3">
      <c r="A2">
        <v>1</v>
      </c>
      <c r="B2">
        <v>0</v>
      </c>
    </row>
    <row r="3" spans="1:2" x14ac:dyDescent="0.3">
      <c r="A3">
        <v>2</v>
      </c>
      <c r="B3">
        <v>0</v>
      </c>
    </row>
    <row r="4" spans="1:2" x14ac:dyDescent="0.3">
      <c r="A4">
        <v>3</v>
      </c>
      <c r="B4">
        <v>0</v>
      </c>
    </row>
    <row r="5" spans="1:2" x14ac:dyDescent="0.3">
      <c r="A5">
        <v>4</v>
      </c>
      <c r="B5">
        <v>0</v>
      </c>
    </row>
    <row r="6" spans="1:2" x14ac:dyDescent="0.3">
      <c r="A6">
        <v>5</v>
      </c>
      <c r="B6">
        <v>2</v>
      </c>
    </row>
    <row r="7" spans="1:2" x14ac:dyDescent="0.3">
      <c r="A7">
        <v>6</v>
      </c>
      <c r="B7">
        <v>2</v>
      </c>
    </row>
    <row r="8" spans="1:2" x14ac:dyDescent="0.3">
      <c r="A8">
        <v>7</v>
      </c>
      <c r="B8">
        <v>2</v>
      </c>
    </row>
    <row r="9" spans="1:2" x14ac:dyDescent="0.3">
      <c r="A9">
        <v>8</v>
      </c>
      <c r="B9">
        <v>2</v>
      </c>
    </row>
    <row r="10" spans="1:2" x14ac:dyDescent="0.3">
      <c r="A10">
        <v>9</v>
      </c>
      <c r="B10">
        <v>2</v>
      </c>
    </row>
    <row r="11" spans="1:2" x14ac:dyDescent="0.3">
      <c r="A11">
        <v>10</v>
      </c>
      <c r="B11">
        <v>5</v>
      </c>
    </row>
    <row r="12" spans="1:2" x14ac:dyDescent="0.3">
      <c r="A12">
        <v>11</v>
      </c>
      <c r="B12">
        <v>5</v>
      </c>
    </row>
    <row r="13" spans="1:2" x14ac:dyDescent="0.3">
      <c r="A13">
        <v>12</v>
      </c>
      <c r="B13">
        <v>5</v>
      </c>
    </row>
    <row r="14" spans="1:2" x14ac:dyDescent="0.3">
      <c r="A14">
        <v>13</v>
      </c>
      <c r="B14">
        <v>5</v>
      </c>
    </row>
    <row r="15" spans="1:2" x14ac:dyDescent="0.3">
      <c r="A15">
        <v>14</v>
      </c>
      <c r="B15">
        <v>5</v>
      </c>
    </row>
    <row r="16" spans="1:2" x14ac:dyDescent="0.3">
      <c r="A16">
        <v>15</v>
      </c>
      <c r="B16">
        <v>14</v>
      </c>
    </row>
    <row r="17" spans="1:2" x14ac:dyDescent="0.3">
      <c r="A17">
        <v>16</v>
      </c>
      <c r="B17">
        <v>14</v>
      </c>
    </row>
    <row r="18" spans="1:2" x14ac:dyDescent="0.3">
      <c r="A18">
        <v>17</v>
      </c>
      <c r="B18">
        <v>14</v>
      </c>
    </row>
    <row r="19" spans="1:2" x14ac:dyDescent="0.3">
      <c r="A19">
        <v>18</v>
      </c>
      <c r="B19">
        <v>14</v>
      </c>
    </row>
    <row r="20" spans="1:2" x14ac:dyDescent="0.3">
      <c r="A20">
        <v>19</v>
      </c>
      <c r="B20">
        <v>14</v>
      </c>
    </row>
    <row r="21" spans="1:2" x14ac:dyDescent="0.3">
      <c r="A21">
        <v>20</v>
      </c>
      <c r="B21">
        <v>29</v>
      </c>
    </row>
    <row r="22" spans="1:2" x14ac:dyDescent="0.3">
      <c r="A22">
        <v>21</v>
      </c>
      <c r="B22">
        <v>29</v>
      </c>
    </row>
    <row r="23" spans="1:2" x14ac:dyDescent="0.3">
      <c r="A23">
        <v>22</v>
      </c>
      <c r="B23">
        <v>30</v>
      </c>
    </row>
    <row r="24" spans="1:2" x14ac:dyDescent="0.3">
      <c r="A24">
        <v>23</v>
      </c>
      <c r="B24">
        <v>34</v>
      </c>
    </row>
    <row r="25" spans="1:2" x14ac:dyDescent="0.3">
      <c r="A25">
        <v>24</v>
      </c>
      <c r="B25">
        <v>35</v>
      </c>
    </row>
    <row r="26" spans="1:2" x14ac:dyDescent="0.3">
      <c r="A26">
        <v>25</v>
      </c>
      <c r="B26">
        <v>45</v>
      </c>
    </row>
    <row r="27" spans="1:2" x14ac:dyDescent="0.3">
      <c r="A27">
        <v>26</v>
      </c>
      <c r="B27">
        <v>45</v>
      </c>
    </row>
    <row r="28" spans="1:2" x14ac:dyDescent="0.3">
      <c r="A28">
        <v>27</v>
      </c>
      <c r="B28">
        <v>45</v>
      </c>
    </row>
    <row r="29" spans="1:2" x14ac:dyDescent="0.3">
      <c r="A29">
        <v>28</v>
      </c>
      <c r="B29">
        <v>49</v>
      </c>
    </row>
    <row r="30" spans="1:2" x14ac:dyDescent="0.3">
      <c r="A30">
        <v>29</v>
      </c>
      <c r="B30">
        <v>52</v>
      </c>
    </row>
    <row r="31" spans="1:2" x14ac:dyDescent="0.3">
      <c r="A31">
        <v>30</v>
      </c>
      <c r="B31">
        <v>87</v>
      </c>
    </row>
    <row r="32" spans="1:2" x14ac:dyDescent="0.3">
      <c r="A32">
        <v>31</v>
      </c>
      <c r="B32">
        <v>89</v>
      </c>
    </row>
    <row r="33" spans="1:2" x14ac:dyDescent="0.3">
      <c r="A33">
        <v>32</v>
      </c>
      <c r="B33">
        <v>93</v>
      </c>
    </row>
    <row r="34" spans="1:2" x14ac:dyDescent="0.3">
      <c r="A34">
        <v>33</v>
      </c>
      <c r="B34">
        <v>95</v>
      </c>
    </row>
    <row r="35" spans="1:2" x14ac:dyDescent="0.3">
      <c r="A35">
        <v>34</v>
      </c>
      <c r="B35">
        <v>96</v>
      </c>
    </row>
    <row r="36" spans="1:2" x14ac:dyDescent="0.3">
      <c r="A36">
        <v>35</v>
      </c>
      <c r="B36">
        <v>118</v>
      </c>
    </row>
    <row r="37" spans="1:2" x14ac:dyDescent="0.3">
      <c r="A37">
        <v>36</v>
      </c>
      <c r="B37">
        <v>123</v>
      </c>
    </row>
    <row r="38" spans="1:2" x14ac:dyDescent="0.3">
      <c r="A38">
        <v>37</v>
      </c>
      <c r="B38">
        <v>123</v>
      </c>
    </row>
    <row r="39" spans="1:2" x14ac:dyDescent="0.3">
      <c r="A39">
        <v>38</v>
      </c>
      <c r="B39">
        <v>126</v>
      </c>
    </row>
    <row r="40" spans="1:2" x14ac:dyDescent="0.3">
      <c r="A40">
        <v>39</v>
      </c>
      <c r="B40">
        <v>127</v>
      </c>
    </row>
    <row r="41" spans="1:2" x14ac:dyDescent="0.3">
      <c r="A41">
        <v>40</v>
      </c>
      <c r="B41">
        <v>159</v>
      </c>
    </row>
    <row r="42" spans="1:2" x14ac:dyDescent="0.3">
      <c r="A42">
        <v>41</v>
      </c>
      <c r="B42">
        <v>162</v>
      </c>
    </row>
    <row r="43" spans="1:2" x14ac:dyDescent="0.3">
      <c r="A43">
        <v>42</v>
      </c>
      <c r="B43">
        <v>168</v>
      </c>
    </row>
    <row r="44" spans="1:2" x14ac:dyDescent="0.3">
      <c r="A44">
        <v>43</v>
      </c>
      <c r="B44">
        <v>173</v>
      </c>
    </row>
    <row r="45" spans="1:2" x14ac:dyDescent="0.3">
      <c r="A45">
        <v>44</v>
      </c>
      <c r="B45">
        <v>176</v>
      </c>
    </row>
    <row r="46" spans="1:2" x14ac:dyDescent="0.3">
      <c r="A46">
        <v>45</v>
      </c>
      <c r="B46">
        <v>205</v>
      </c>
    </row>
    <row r="47" spans="1:2" x14ac:dyDescent="0.3">
      <c r="A47">
        <v>46</v>
      </c>
      <c r="B47">
        <v>208</v>
      </c>
    </row>
    <row r="48" spans="1:2" x14ac:dyDescent="0.3">
      <c r="A48">
        <v>47</v>
      </c>
      <c r="B48">
        <v>210</v>
      </c>
    </row>
    <row r="49" spans="1:2" x14ac:dyDescent="0.3">
      <c r="A49">
        <v>48</v>
      </c>
      <c r="B49">
        <v>216</v>
      </c>
    </row>
    <row r="50" spans="1:2" x14ac:dyDescent="0.3">
      <c r="A50">
        <v>49</v>
      </c>
      <c r="B50">
        <v>217</v>
      </c>
    </row>
    <row r="51" spans="1:2" x14ac:dyDescent="0.3">
      <c r="A51">
        <v>50</v>
      </c>
      <c r="B51">
        <v>263</v>
      </c>
    </row>
    <row r="52" spans="1:2" x14ac:dyDescent="0.3">
      <c r="A52">
        <v>51</v>
      </c>
      <c r="B52">
        <v>266</v>
      </c>
    </row>
    <row r="53" spans="1:2" x14ac:dyDescent="0.3">
      <c r="A53">
        <v>52</v>
      </c>
      <c r="B53">
        <v>270</v>
      </c>
    </row>
    <row r="54" spans="1:2" x14ac:dyDescent="0.3">
      <c r="A54">
        <v>53</v>
      </c>
      <c r="B54">
        <v>270</v>
      </c>
    </row>
    <row r="55" spans="1:2" x14ac:dyDescent="0.3">
      <c r="A55">
        <v>54</v>
      </c>
      <c r="B55">
        <v>271</v>
      </c>
    </row>
    <row r="56" spans="1:2" x14ac:dyDescent="0.3">
      <c r="A56">
        <v>55</v>
      </c>
      <c r="B56">
        <v>302</v>
      </c>
    </row>
    <row r="57" spans="1:2" x14ac:dyDescent="0.3">
      <c r="A57">
        <v>56</v>
      </c>
      <c r="B57">
        <v>307</v>
      </c>
    </row>
    <row r="58" spans="1:2" x14ac:dyDescent="0.3">
      <c r="A58">
        <v>57</v>
      </c>
      <c r="B58">
        <v>311</v>
      </c>
    </row>
    <row r="59" spans="1:2" x14ac:dyDescent="0.3">
      <c r="A59">
        <v>58</v>
      </c>
      <c r="B59">
        <v>319</v>
      </c>
    </row>
    <row r="60" spans="1:2" x14ac:dyDescent="0.3">
      <c r="A60">
        <v>59</v>
      </c>
      <c r="B60">
        <v>321</v>
      </c>
    </row>
    <row r="61" spans="1:2" x14ac:dyDescent="0.3">
      <c r="A61">
        <v>60</v>
      </c>
      <c r="B61">
        <v>366</v>
      </c>
    </row>
    <row r="62" spans="1:2" x14ac:dyDescent="0.3">
      <c r="A62">
        <v>61</v>
      </c>
      <c r="B62">
        <v>368</v>
      </c>
    </row>
    <row r="63" spans="1:2" x14ac:dyDescent="0.3">
      <c r="A63">
        <v>62</v>
      </c>
      <c r="B63">
        <v>369</v>
      </c>
    </row>
    <row r="64" spans="1:2" x14ac:dyDescent="0.3">
      <c r="A64">
        <v>63</v>
      </c>
      <c r="B64">
        <v>371</v>
      </c>
    </row>
    <row r="65" spans="1:2" x14ac:dyDescent="0.3">
      <c r="A65">
        <v>64</v>
      </c>
      <c r="B65">
        <v>376</v>
      </c>
    </row>
    <row r="66" spans="1:2" x14ac:dyDescent="0.3">
      <c r="A66">
        <v>65</v>
      </c>
      <c r="B66">
        <v>413</v>
      </c>
    </row>
    <row r="67" spans="1:2" x14ac:dyDescent="0.3">
      <c r="A67">
        <v>66</v>
      </c>
      <c r="B67">
        <v>417</v>
      </c>
    </row>
    <row r="68" spans="1:2" x14ac:dyDescent="0.3">
      <c r="A68">
        <v>67</v>
      </c>
      <c r="B68">
        <v>421</v>
      </c>
    </row>
    <row r="69" spans="1:2" x14ac:dyDescent="0.3">
      <c r="A69">
        <v>68</v>
      </c>
      <c r="B69">
        <v>427</v>
      </c>
    </row>
    <row r="70" spans="1:2" x14ac:dyDescent="0.3">
      <c r="A70">
        <v>69</v>
      </c>
      <c r="B70">
        <v>429</v>
      </c>
    </row>
    <row r="71" spans="1:2" x14ac:dyDescent="0.3">
      <c r="A71">
        <v>70</v>
      </c>
      <c r="B71">
        <v>469</v>
      </c>
    </row>
    <row r="72" spans="1:2" x14ac:dyDescent="0.3">
      <c r="A72">
        <v>71</v>
      </c>
      <c r="B72">
        <v>475</v>
      </c>
    </row>
    <row r="73" spans="1:2" x14ac:dyDescent="0.3">
      <c r="A73">
        <v>72</v>
      </c>
      <c r="B73">
        <v>479</v>
      </c>
    </row>
    <row r="74" spans="1:2" x14ac:dyDescent="0.3">
      <c r="A74">
        <v>73</v>
      </c>
      <c r="B74">
        <v>481</v>
      </c>
    </row>
    <row r="75" spans="1:2" x14ac:dyDescent="0.3">
      <c r="A75">
        <v>74</v>
      </c>
      <c r="B75">
        <v>484</v>
      </c>
    </row>
    <row r="76" spans="1:2" x14ac:dyDescent="0.3">
      <c r="A76">
        <v>75</v>
      </c>
      <c r="B76">
        <v>501</v>
      </c>
    </row>
    <row r="77" spans="1:2" x14ac:dyDescent="0.3">
      <c r="A77">
        <v>76</v>
      </c>
      <c r="B77">
        <v>505</v>
      </c>
    </row>
    <row r="78" spans="1:2" x14ac:dyDescent="0.3">
      <c r="A78">
        <v>77</v>
      </c>
      <c r="B78">
        <v>507</v>
      </c>
    </row>
    <row r="79" spans="1:2" x14ac:dyDescent="0.3">
      <c r="A79">
        <v>78</v>
      </c>
      <c r="B79">
        <v>511</v>
      </c>
    </row>
    <row r="80" spans="1:2" x14ac:dyDescent="0.3">
      <c r="A80">
        <v>79</v>
      </c>
      <c r="B80">
        <v>512</v>
      </c>
    </row>
    <row r="81" spans="1:2" x14ac:dyDescent="0.3">
      <c r="A81">
        <v>80</v>
      </c>
      <c r="B81">
        <v>546</v>
      </c>
    </row>
    <row r="82" spans="1:2" x14ac:dyDescent="0.3">
      <c r="A82">
        <v>81</v>
      </c>
      <c r="B82">
        <v>551</v>
      </c>
    </row>
    <row r="83" spans="1:2" x14ac:dyDescent="0.3">
      <c r="A83">
        <v>82</v>
      </c>
      <c r="B83">
        <v>552</v>
      </c>
    </row>
    <row r="84" spans="1:2" x14ac:dyDescent="0.3">
      <c r="A84">
        <v>83</v>
      </c>
      <c r="B84">
        <v>555</v>
      </c>
    </row>
    <row r="85" spans="1:2" x14ac:dyDescent="0.3">
      <c r="A85">
        <v>84</v>
      </c>
      <c r="B85">
        <v>558</v>
      </c>
    </row>
    <row r="86" spans="1:2" x14ac:dyDescent="0.3">
      <c r="A86">
        <v>85</v>
      </c>
      <c r="B86">
        <v>586</v>
      </c>
    </row>
    <row r="87" spans="1:2" x14ac:dyDescent="0.3">
      <c r="A87">
        <v>86</v>
      </c>
      <c r="B87">
        <v>591</v>
      </c>
    </row>
    <row r="88" spans="1:2" x14ac:dyDescent="0.3">
      <c r="A88">
        <v>87</v>
      </c>
      <c r="B88">
        <v>592</v>
      </c>
    </row>
    <row r="89" spans="1:2" x14ac:dyDescent="0.3">
      <c r="A89">
        <v>88</v>
      </c>
      <c r="B89">
        <v>593</v>
      </c>
    </row>
    <row r="90" spans="1:2" x14ac:dyDescent="0.3">
      <c r="A90">
        <v>89</v>
      </c>
      <c r="B90">
        <v>594</v>
      </c>
    </row>
    <row r="91" spans="1:2" x14ac:dyDescent="0.3">
      <c r="A91">
        <v>90</v>
      </c>
      <c r="B91">
        <v>625</v>
      </c>
    </row>
    <row r="92" spans="1:2" x14ac:dyDescent="0.3">
      <c r="A92">
        <v>91</v>
      </c>
      <c r="B92">
        <v>630</v>
      </c>
    </row>
    <row r="93" spans="1:2" x14ac:dyDescent="0.3">
      <c r="A93">
        <v>92</v>
      </c>
      <c r="B93">
        <v>633</v>
      </c>
    </row>
    <row r="94" spans="1:2" x14ac:dyDescent="0.3">
      <c r="A94">
        <v>93</v>
      </c>
      <c r="B94">
        <v>635</v>
      </c>
    </row>
    <row r="95" spans="1:2" x14ac:dyDescent="0.3">
      <c r="A95">
        <v>94</v>
      </c>
      <c r="B95">
        <v>636</v>
      </c>
    </row>
    <row r="96" spans="1:2" x14ac:dyDescent="0.3">
      <c r="A96">
        <v>95</v>
      </c>
      <c r="B96">
        <v>665</v>
      </c>
    </row>
    <row r="97" spans="1:2" x14ac:dyDescent="0.3">
      <c r="A97">
        <v>96</v>
      </c>
      <c r="B97">
        <v>665</v>
      </c>
    </row>
    <row r="98" spans="1:2" x14ac:dyDescent="0.3">
      <c r="A98">
        <v>97</v>
      </c>
      <c r="B98">
        <v>671</v>
      </c>
    </row>
    <row r="99" spans="1:2" x14ac:dyDescent="0.3">
      <c r="A99">
        <v>98</v>
      </c>
      <c r="B99">
        <v>675</v>
      </c>
    </row>
    <row r="100" spans="1:2" x14ac:dyDescent="0.3">
      <c r="A100">
        <v>99</v>
      </c>
      <c r="B100">
        <v>679</v>
      </c>
    </row>
    <row r="101" spans="1:2" x14ac:dyDescent="0.3">
      <c r="A101">
        <v>100</v>
      </c>
      <c r="B101">
        <v>711</v>
      </c>
    </row>
    <row r="102" spans="1:2" x14ac:dyDescent="0.3">
      <c r="A102">
        <v>101</v>
      </c>
      <c r="B102">
        <v>717</v>
      </c>
    </row>
    <row r="103" spans="1:2" x14ac:dyDescent="0.3">
      <c r="A103">
        <v>102</v>
      </c>
      <c r="B103">
        <v>719</v>
      </c>
    </row>
    <row r="104" spans="1:2" x14ac:dyDescent="0.3">
      <c r="A104">
        <v>103</v>
      </c>
      <c r="B104">
        <v>720</v>
      </c>
    </row>
    <row r="105" spans="1:2" x14ac:dyDescent="0.3">
      <c r="A105">
        <v>104</v>
      </c>
      <c r="B105">
        <v>723</v>
      </c>
    </row>
    <row r="106" spans="1:2" x14ac:dyDescent="0.3">
      <c r="A106">
        <v>105</v>
      </c>
      <c r="B106">
        <v>738</v>
      </c>
    </row>
    <row r="107" spans="1:2" x14ac:dyDescent="0.3">
      <c r="A107">
        <v>106</v>
      </c>
      <c r="B107">
        <v>740</v>
      </c>
    </row>
    <row r="108" spans="1:2" x14ac:dyDescent="0.3">
      <c r="A108">
        <v>107</v>
      </c>
      <c r="B108">
        <v>740</v>
      </c>
    </row>
    <row r="109" spans="1:2" x14ac:dyDescent="0.3">
      <c r="A109">
        <v>108</v>
      </c>
      <c r="B109">
        <v>746</v>
      </c>
    </row>
    <row r="110" spans="1:2" x14ac:dyDescent="0.3">
      <c r="A110">
        <v>109</v>
      </c>
      <c r="B110">
        <v>748</v>
      </c>
    </row>
    <row r="111" spans="1:2" x14ac:dyDescent="0.3">
      <c r="A111">
        <v>110</v>
      </c>
      <c r="B111">
        <v>763</v>
      </c>
    </row>
    <row r="112" spans="1:2" x14ac:dyDescent="0.3">
      <c r="A112">
        <v>111</v>
      </c>
      <c r="B112">
        <v>765</v>
      </c>
    </row>
    <row r="113" spans="1:2" x14ac:dyDescent="0.3">
      <c r="A113">
        <v>112</v>
      </c>
      <c r="B113">
        <v>768</v>
      </c>
    </row>
    <row r="114" spans="1:2" x14ac:dyDescent="0.3">
      <c r="A114">
        <v>113</v>
      </c>
      <c r="B114">
        <v>769</v>
      </c>
    </row>
    <row r="115" spans="1:2" x14ac:dyDescent="0.3">
      <c r="A115">
        <v>114</v>
      </c>
      <c r="B115">
        <v>771</v>
      </c>
    </row>
    <row r="116" spans="1:2" x14ac:dyDescent="0.3">
      <c r="A116">
        <v>115</v>
      </c>
      <c r="B116">
        <v>782</v>
      </c>
    </row>
    <row r="117" spans="1:2" x14ac:dyDescent="0.3">
      <c r="A117">
        <v>116</v>
      </c>
      <c r="B117">
        <v>784</v>
      </c>
    </row>
    <row r="118" spans="1:2" x14ac:dyDescent="0.3">
      <c r="A118">
        <v>117</v>
      </c>
      <c r="B118">
        <v>784</v>
      </c>
    </row>
    <row r="119" spans="1:2" x14ac:dyDescent="0.3">
      <c r="A119">
        <v>118</v>
      </c>
      <c r="B119">
        <v>786</v>
      </c>
    </row>
    <row r="120" spans="1:2" x14ac:dyDescent="0.3">
      <c r="A120">
        <v>119</v>
      </c>
      <c r="B120">
        <v>786</v>
      </c>
    </row>
    <row r="121" spans="1:2" x14ac:dyDescent="0.3">
      <c r="A121">
        <v>120</v>
      </c>
      <c r="B121">
        <v>791</v>
      </c>
    </row>
    <row r="122" spans="1:2" x14ac:dyDescent="0.3">
      <c r="A122">
        <v>121</v>
      </c>
      <c r="B122">
        <v>794</v>
      </c>
    </row>
    <row r="123" spans="1:2" x14ac:dyDescent="0.3">
      <c r="A123">
        <v>122</v>
      </c>
      <c r="B123">
        <v>795</v>
      </c>
    </row>
    <row r="124" spans="1:2" x14ac:dyDescent="0.3">
      <c r="A124">
        <v>123</v>
      </c>
      <c r="B124">
        <v>796</v>
      </c>
    </row>
    <row r="125" spans="1:2" x14ac:dyDescent="0.3">
      <c r="A125">
        <v>124</v>
      </c>
      <c r="B125">
        <v>796</v>
      </c>
    </row>
    <row r="126" spans="1:2" x14ac:dyDescent="0.3">
      <c r="A126">
        <v>125</v>
      </c>
      <c r="B126">
        <v>799</v>
      </c>
    </row>
    <row r="127" spans="1:2" x14ac:dyDescent="0.3">
      <c r="A127">
        <v>126</v>
      </c>
      <c r="B127">
        <v>800</v>
      </c>
    </row>
    <row r="128" spans="1:2" x14ac:dyDescent="0.3">
      <c r="A128">
        <v>127</v>
      </c>
      <c r="B128">
        <v>801</v>
      </c>
    </row>
    <row r="129" spans="1:2" x14ac:dyDescent="0.3">
      <c r="A129">
        <v>128</v>
      </c>
      <c r="B129">
        <v>802</v>
      </c>
    </row>
    <row r="130" spans="1:2" x14ac:dyDescent="0.3">
      <c r="A130">
        <v>129</v>
      </c>
      <c r="B130">
        <v>802</v>
      </c>
    </row>
    <row r="131" spans="1:2" x14ac:dyDescent="0.3">
      <c r="A131">
        <v>130</v>
      </c>
      <c r="B131">
        <v>809</v>
      </c>
    </row>
    <row r="132" spans="1:2" x14ac:dyDescent="0.3">
      <c r="A132">
        <v>131</v>
      </c>
      <c r="B132">
        <v>809</v>
      </c>
    </row>
    <row r="133" spans="1:2" x14ac:dyDescent="0.3">
      <c r="A133">
        <v>132</v>
      </c>
      <c r="B133">
        <v>809</v>
      </c>
    </row>
    <row r="134" spans="1:2" x14ac:dyDescent="0.3">
      <c r="A134">
        <v>133</v>
      </c>
      <c r="B134">
        <v>809</v>
      </c>
    </row>
    <row r="135" spans="1:2" x14ac:dyDescent="0.3">
      <c r="A135">
        <v>134</v>
      </c>
      <c r="B135">
        <v>809</v>
      </c>
    </row>
    <row r="136" spans="1:2" x14ac:dyDescent="0.3">
      <c r="A136">
        <v>135</v>
      </c>
      <c r="B136">
        <v>811</v>
      </c>
    </row>
    <row r="137" spans="1:2" x14ac:dyDescent="0.3">
      <c r="A137">
        <v>136</v>
      </c>
      <c r="B137">
        <v>811</v>
      </c>
    </row>
    <row r="138" spans="1:2" x14ac:dyDescent="0.3">
      <c r="A138">
        <v>137</v>
      </c>
      <c r="B138">
        <v>811</v>
      </c>
    </row>
    <row r="139" spans="1:2" x14ac:dyDescent="0.3">
      <c r="A139">
        <v>138</v>
      </c>
      <c r="B139">
        <v>811</v>
      </c>
    </row>
    <row r="140" spans="1:2" x14ac:dyDescent="0.3">
      <c r="A140">
        <v>139</v>
      </c>
      <c r="B140">
        <v>811</v>
      </c>
    </row>
    <row r="141" spans="1:2" x14ac:dyDescent="0.3">
      <c r="A141">
        <v>140</v>
      </c>
      <c r="B141">
        <v>813</v>
      </c>
    </row>
    <row r="142" spans="1:2" x14ac:dyDescent="0.3">
      <c r="A142">
        <v>141</v>
      </c>
      <c r="B142">
        <v>813</v>
      </c>
    </row>
    <row r="143" spans="1:2" x14ac:dyDescent="0.3">
      <c r="A143">
        <v>142</v>
      </c>
      <c r="B143">
        <v>813</v>
      </c>
    </row>
    <row r="144" spans="1:2" x14ac:dyDescent="0.3">
      <c r="A144">
        <v>143</v>
      </c>
      <c r="B144">
        <v>813</v>
      </c>
    </row>
    <row r="145" spans="1:2" x14ac:dyDescent="0.3">
      <c r="A145">
        <v>144</v>
      </c>
      <c r="B145">
        <v>813</v>
      </c>
    </row>
    <row r="146" spans="1:2" x14ac:dyDescent="0.3">
      <c r="A146">
        <v>145</v>
      </c>
      <c r="B146">
        <v>816</v>
      </c>
    </row>
    <row r="147" spans="1:2" x14ac:dyDescent="0.3">
      <c r="A147">
        <v>146</v>
      </c>
      <c r="B147">
        <v>816</v>
      </c>
    </row>
    <row r="148" spans="1:2" x14ac:dyDescent="0.3">
      <c r="A148">
        <v>147</v>
      </c>
      <c r="B148">
        <v>816</v>
      </c>
    </row>
    <row r="149" spans="1:2" x14ac:dyDescent="0.3">
      <c r="A149">
        <v>148</v>
      </c>
      <c r="B149">
        <v>816</v>
      </c>
    </row>
    <row r="150" spans="1:2" x14ac:dyDescent="0.3">
      <c r="A150">
        <v>149</v>
      </c>
      <c r="B150">
        <v>816</v>
      </c>
    </row>
    <row r="151" spans="1:2" x14ac:dyDescent="0.3">
      <c r="A151">
        <v>150</v>
      </c>
      <c r="B151">
        <v>820</v>
      </c>
    </row>
    <row r="152" spans="1:2" x14ac:dyDescent="0.3">
      <c r="A152">
        <v>151</v>
      </c>
      <c r="B152">
        <v>820</v>
      </c>
    </row>
    <row r="153" spans="1:2" x14ac:dyDescent="0.3">
      <c r="A153">
        <v>152</v>
      </c>
      <c r="B153">
        <v>820</v>
      </c>
    </row>
    <row r="154" spans="1:2" x14ac:dyDescent="0.3">
      <c r="A154">
        <v>153</v>
      </c>
      <c r="B154">
        <v>820</v>
      </c>
    </row>
    <row r="155" spans="1:2" x14ac:dyDescent="0.3">
      <c r="A155">
        <v>154</v>
      </c>
      <c r="B155">
        <v>820</v>
      </c>
    </row>
    <row r="156" spans="1:2" x14ac:dyDescent="0.3">
      <c r="A156">
        <v>155</v>
      </c>
      <c r="B156">
        <v>820</v>
      </c>
    </row>
    <row r="157" spans="1:2" x14ac:dyDescent="0.3">
      <c r="A157">
        <v>156</v>
      </c>
      <c r="B157">
        <v>820</v>
      </c>
    </row>
    <row r="158" spans="1:2" x14ac:dyDescent="0.3">
      <c r="A158">
        <v>157</v>
      </c>
      <c r="B158">
        <v>820</v>
      </c>
    </row>
    <row r="159" spans="1:2" x14ac:dyDescent="0.3">
      <c r="A159">
        <v>158</v>
      </c>
      <c r="B159">
        <v>820</v>
      </c>
    </row>
    <row r="160" spans="1:2" x14ac:dyDescent="0.3">
      <c r="A160">
        <v>159</v>
      </c>
      <c r="B160">
        <v>820</v>
      </c>
    </row>
    <row r="161" spans="1:2" x14ac:dyDescent="0.3">
      <c r="A161">
        <v>160</v>
      </c>
      <c r="B161">
        <v>821</v>
      </c>
    </row>
    <row r="162" spans="1:2" x14ac:dyDescent="0.3">
      <c r="A162">
        <v>161</v>
      </c>
      <c r="B162">
        <v>821</v>
      </c>
    </row>
    <row r="163" spans="1:2" x14ac:dyDescent="0.3">
      <c r="A163">
        <v>162</v>
      </c>
      <c r="B163">
        <v>821</v>
      </c>
    </row>
    <row r="164" spans="1:2" x14ac:dyDescent="0.3">
      <c r="A164">
        <v>163</v>
      </c>
      <c r="B164">
        <v>821</v>
      </c>
    </row>
    <row r="165" spans="1:2" x14ac:dyDescent="0.3">
      <c r="A165">
        <v>164</v>
      </c>
      <c r="B165">
        <v>821</v>
      </c>
    </row>
    <row r="166" spans="1:2" x14ac:dyDescent="0.3">
      <c r="A166">
        <v>165</v>
      </c>
      <c r="B166">
        <v>821</v>
      </c>
    </row>
    <row r="167" spans="1:2" x14ac:dyDescent="0.3">
      <c r="A167">
        <v>166</v>
      </c>
      <c r="B167">
        <v>821</v>
      </c>
    </row>
    <row r="168" spans="1:2" x14ac:dyDescent="0.3">
      <c r="A168">
        <v>167</v>
      </c>
      <c r="B168">
        <v>821</v>
      </c>
    </row>
    <row r="169" spans="1:2" x14ac:dyDescent="0.3">
      <c r="A169">
        <v>168</v>
      </c>
      <c r="B169">
        <v>821</v>
      </c>
    </row>
    <row r="170" spans="1:2" x14ac:dyDescent="0.3">
      <c r="A170">
        <v>169</v>
      </c>
      <c r="B170">
        <v>821</v>
      </c>
    </row>
    <row r="171" spans="1:2" x14ac:dyDescent="0.3">
      <c r="A171">
        <v>170</v>
      </c>
      <c r="B171">
        <v>821</v>
      </c>
    </row>
    <row r="172" spans="1:2" x14ac:dyDescent="0.3">
      <c r="A172">
        <v>171</v>
      </c>
      <c r="B172">
        <v>821</v>
      </c>
    </row>
    <row r="173" spans="1:2" x14ac:dyDescent="0.3">
      <c r="A173">
        <v>172</v>
      </c>
      <c r="B173">
        <v>821</v>
      </c>
    </row>
    <row r="174" spans="1:2" x14ac:dyDescent="0.3">
      <c r="A174">
        <v>173</v>
      </c>
      <c r="B174">
        <v>821</v>
      </c>
    </row>
    <row r="175" spans="1:2" x14ac:dyDescent="0.3">
      <c r="A175">
        <v>174</v>
      </c>
      <c r="B175">
        <v>821</v>
      </c>
    </row>
    <row r="176" spans="1:2" x14ac:dyDescent="0.3">
      <c r="A176">
        <v>175</v>
      </c>
      <c r="B176">
        <v>821</v>
      </c>
    </row>
    <row r="177" spans="1:2" x14ac:dyDescent="0.3">
      <c r="A177">
        <v>176</v>
      </c>
      <c r="B177">
        <v>821</v>
      </c>
    </row>
    <row r="178" spans="1:2" x14ac:dyDescent="0.3">
      <c r="A178">
        <v>177</v>
      </c>
      <c r="B178">
        <v>821</v>
      </c>
    </row>
    <row r="179" spans="1:2" x14ac:dyDescent="0.3">
      <c r="A179">
        <v>178</v>
      </c>
      <c r="B179">
        <v>821</v>
      </c>
    </row>
    <row r="180" spans="1:2" x14ac:dyDescent="0.3">
      <c r="A180">
        <v>179</v>
      </c>
      <c r="B180">
        <v>821</v>
      </c>
    </row>
    <row r="181" spans="1:2" x14ac:dyDescent="0.3">
      <c r="A181">
        <v>180</v>
      </c>
      <c r="B181">
        <v>822</v>
      </c>
    </row>
    <row r="182" spans="1:2" x14ac:dyDescent="0.3">
      <c r="A182">
        <v>181</v>
      </c>
      <c r="B182">
        <v>822</v>
      </c>
    </row>
    <row r="183" spans="1:2" x14ac:dyDescent="0.3">
      <c r="A183">
        <v>182</v>
      </c>
      <c r="B183">
        <v>822</v>
      </c>
    </row>
    <row r="184" spans="1:2" x14ac:dyDescent="0.3">
      <c r="A184">
        <v>183</v>
      </c>
      <c r="B184">
        <v>822</v>
      </c>
    </row>
    <row r="185" spans="1:2" x14ac:dyDescent="0.3">
      <c r="A185">
        <v>184</v>
      </c>
      <c r="B185">
        <v>822</v>
      </c>
    </row>
    <row r="186" spans="1:2" x14ac:dyDescent="0.3">
      <c r="A186">
        <v>185</v>
      </c>
      <c r="B186">
        <v>822</v>
      </c>
    </row>
    <row r="187" spans="1:2" x14ac:dyDescent="0.3">
      <c r="A187">
        <v>186</v>
      </c>
      <c r="B187">
        <v>822</v>
      </c>
    </row>
    <row r="188" spans="1:2" x14ac:dyDescent="0.3">
      <c r="A188">
        <v>187</v>
      </c>
      <c r="B188">
        <v>822</v>
      </c>
    </row>
    <row r="189" spans="1:2" x14ac:dyDescent="0.3">
      <c r="A189">
        <v>188</v>
      </c>
      <c r="B189">
        <v>822</v>
      </c>
    </row>
    <row r="190" spans="1:2" x14ac:dyDescent="0.3">
      <c r="A190">
        <v>189</v>
      </c>
      <c r="B190">
        <v>822</v>
      </c>
    </row>
    <row r="191" spans="1:2" x14ac:dyDescent="0.3">
      <c r="A191">
        <v>190</v>
      </c>
      <c r="B191">
        <v>822</v>
      </c>
    </row>
    <row r="192" spans="1:2" x14ac:dyDescent="0.3">
      <c r="A192">
        <v>191</v>
      </c>
      <c r="B192">
        <v>822</v>
      </c>
    </row>
    <row r="193" spans="1:2" x14ac:dyDescent="0.3">
      <c r="A193">
        <v>192</v>
      </c>
      <c r="B193">
        <v>822</v>
      </c>
    </row>
    <row r="194" spans="1:2" x14ac:dyDescent="0.3">
      <c r="A194">
        <v>193</v>
      </c>
      <c r="B194">
        <v>822</v>
      </c>
    </row>
    <row r="195" spans="1:2" x14ac:dyDescent="0.3">
      <c r="A195">
        <v>194</v>
      </c>
      <c r="B195">
        <v>822</v>
      </c>
    </row>
    <row r="196" spans="1:2" x14ac:dyDescent="0.3">
      <c r="A196">
        <v>195</v>
      </c>
      <c r="B196">
        <v>822</v>
      </c>
    </row>
    <row r="197" spans="1:2" x14ac:dyDescent="0.3">
      <c r="A197">
        <v>196</v>
      </c>
      <c r="B197">
        <v>822</v>
      </c>
    </row>
    <row r="198" spans="1:2" x14ac:dyDescent="0.3">
      <c r="A198">
        <v>197</v>
      </c>
      <c r="B198">
        <v>822</v>
      </c>
    </row>
    <row r="199" spans="1:2" x14ac:dyDescent="0.3">
      <c r="A199">
        <v>198</v>
      </c>
      <c r="B199">
        <v>822</v>
      </c>
    </row>
    <row r="200" spans="1:2" x14ac:dyDescent="0.3">
      <c r="A200">
        <v>199</v>
      </c>
      <c r="B200">
        <v>822</v>
      </c>
    </row>
    <row r="201" spans="1:2" x14ac:dyDescent="0.3">
      <c r="A201">
        <v>200</v>
      </c>
      <c r="B201">
        <v>822</v>
      </c>
    </row>
    <row r="202" spans="1:2" x14ac:dyDescent="0.3">
      <c r="A202">
        <v>201</v>
      </c>
      <c r="B202">
        <v>822</v>
      </c>
    </row>
    <row r="203" spans="1:2" x14ac:dyDescent="0.3">
      <c r="A203">
        <v>202</v>
      </c>
      <c r="B203">
        <v>822</v>
      </c>
    </row>
    <row r="204" spans="1:2" x14ac:dyDescent="0.3">
      <c r="A204">
        <v>203</v>
      </c>
      <c r="B204">
        <v>822</v>
      </c>
    </row>
    <row r="205" spans="1:2" x14ac:dyDescent="0.3">
      <c r="A205">
        <v>204</v>
      </c>
      <c r="B205">
        <v>822</v>
      </c>
    </row>
    <row r="206" spans="1:2" x14ac:dyDescent="0.3">
      <c r="A206">
        <v>205</v>
      </c>
      <c r="B206">
        <v>822</v>
      </c>
    </row>
    <row r="207" spans="1:2" x14ac:dyDescent="0.3">
      <c r="A207">
        <v>206</v>
      </c>
      <c r="B207">
        <v>822</v>
      </c>
    </row>
    <row r="208" spans="1:2" x14ac:dyDescent="0.3">
      <c r="A208">
        <v>207</v>
      </c>
      <c r="B208">
        <v>822</v>
      </c>
    </row>
    <row r="209" spans="1:2" x14ac:dyDescent="0.3">
      <c r="A209">
        <v>208</v>
      </c>
      <c r="B209">
        <v>822</v>
      </c>
    </row>
    <row r="210" spans="1:2" x14ac:dyDescent="0.3">
      <c r="A210">
        <v>209</v>
      </c>
      <c r="B210">
        <v>822</v>
      </c>
    </row>
    <row r="211" spans="1:2" x14ac:dyDescent="0.3">
      <c r="A211">
        <v>210</v>
      </c>
      <c r="B211">
        <v>822</v>
      </c>
    </row>
    <row r="212" spans="1:2" x14ac:dyDescent="0.3">
      <c r="A212">
        <v>211</v>
      </c>
      <c r="B212">
        <v>822</v>
      </c>
    </row>
    <row r="213" spans="1:2" x14ac:dyDescent="0.3">
      <c r="A213">
        <v>212</v>
      </c>
      <c r="B213">
        <v>822</v>
      </c>
    </row>
    <row r="214" spans="1:2" x14ac:dyDescent="0.3">
      <c r="A214">
        <v>213</v>
      </c>
      <c r="B214">
        <v>822</v>
      </c>
    </row>
    <row r="215" spans="1:2" x14ac:dyDescent="0.3">
      <c r="A215">
        <v>214</v>
      </c>
      <c r="B215">
        <v>822</v>
      </c>
    </row>
    <row r="216" spans="1:2" x14ac:dyDescent="0.3">
      <c r="A216">
        <v>215</v>
      </c>
      <c r="B216">
        <v>822</v>
      </c>
    </row>
    <row r="217" spans="1:2" x14ac:dyDescent="0.3">
      <c r="A217">
        <v>216</v>
      </c>
      <c r="B217">
        <v>822</v>
      </c>
    </row>
    <row r="218" spans="1:2" x14ac:dyDescent="0.3">
      <c r="A218">
        <v>217</v>
      </c>
      <c r="B218">
        <v>822</v>
      </c>
    </row>
    <row r="219" spans="1:2" x14ac:dyDescent="0.3">
      <c r="A219">
        <v>218</v>
      </c>
      <c r="B219">
        <v>822</v>
      </c>
    </row>
    <row r="220" spans="1:2" x14ac:dyDescent="0.3">
      <c r="A220">
        <v>219</v>
      </c>
      <c r="B220">
        <v>822</v>
      </c>
    </row>
    <row r="221" spans="1:2" x14ac:dyDescent="0.3">
      <c r="A221">
        <v>220</v>
      </c>
      <c r="B221">
        <v>822</v>
      </c>
    </row>
    <row r="222" spans="1:2" x14ac:dyDescent="0.3">
      <c r="A222">
        <v>221</v>
      </c>
      <c r="B222">
        <v>822</v>
      </c>
    </row>
    <row r="223" spans="1:2" x14ac:dyDescent="0.3">
      <c r="A223">
        <v>222</v>
      </c>
      <c r="B223">
        <v>822</v>
      </c>
    </row>
    <row r="224" spans="1:2" x14ac:dyDescent="0.3">
      <c r="A224">
        <v>223</v>
      </c>
      <c r="B224">
        <v>822</v>
      </c>
    </row>
    <row r="225" spans="1:2" x14ac:dyDescent="0.3">
      <c r="A225">
        <v>224</v>
      </c>
      <c r="B225">
        <v>822</v>
      </c>
    </row>
    <row r="226" spans="1:2" x14ac:dyDescent="0.3">
      <c r="A226">
        <v>225</v>
      </c>
      <c r="B226">
        <v>822</v>
      </c>
    </row>
    <row r="227" spans="1:2" x14ac:dyDescent="0.3">
      <c r="A227">
        <v>226</v>
      </c>
      <c r="B227">
        <v>822</v>
      </c>
    </row>
    <row r="228" spans="1:2" x14ac:dyDescent="0.3">
      <c r="A228">
        <v>227</v>
      </c>
      <c r="B228">
        <v>822</v>
      </c>
    </row>
    <row r="229" spans="1:2" x14ac:dyDescent="0.3">
      <c r="A229">
        <v>228</v>
      </c>
      <c r="B229">
        <v>822</v>
      </c>
    </row>
    <row r="230" spans="1:2" x14ac:dyDescent="0.3">
      <c r="A230">
        <v>229</v>
      </c>
      <c r="B230">
        <v>822</v>
      </c>
    </row>
    <row r="231" spans="1:2" x14ac:dyDescent="0.3">
      <c r="A231">
        <v>230</v>
      </c>
      <c r="B231">
        <v>822</v>
      </c>
    </row>
    <row r="232" spans="1:2" x14ac:dyDescent="0.3">
      <c r="A232">
        <v>231</v>
      </c>
      <c r="B232">
        <v>822</v>
      </c>
    </row>
    <row r="233" spans="1:2" x14ac:dyDescent="0.3">
      <c r="A233">
        <v>232</v>
      </c>
      <c r="B233">
        <v>822</v>
      </c>
    </row>
    <row r="234" spans="1:2" x14ac:dyDescent="0.3">
      <c r="A234">
        <v>233</v>
      </c>
      <c r="B234">
        <v>822</v>
      </c>
    </row>
    <row r="235" spans="1:2" x14ac:dyDescent="0.3">
      <c r="A235">
        <v>234</v>
      </c>
      <c r="B235">
        <v>822</v>
      </c>
    </row>
    <row r="236" spans="1:2" x14ac:dyDescent="0.3">
      <c r="A236">
        <v>235</v>
      </c>
      <c r="B236">
        <v>822</v>
      </c>
    </row>
    <row r="237" spans="1:2" x14ac:dyDescent="0.3">
      <c r="A237">
        <v>236</v>
      </c>
      <c r="B237">
        <v>822</v>
      </c>
    </row>
    <row r="238" spans="1:2" x14ac:dyDescent="0.3">
      <c r="A238">
        <v>237</v>
      </c>
      <c r="B238">
        <v>822</v>
      </c>
    </row>
    <row r="239" spans="1:2" x14ac:dyDescent="0.3">
      <c r="A239">
        <v>238</v>
      </c>
      <c r="B239">
        <v>822</v>
      </c>
    </row>
    <row r="240" spans="1:2" x14ac:dyDescent="0.3">
      <c r="A240">
        <v>239</v>
      </c>
      <c r="B240">
        <v>822</v>
      </c>
    </row>
    <row r="241" spans="1:2" x14ac:dyDescent="0.3">
      <c r="A241">
        <v>240</v>
      </c>
      <c r="B241">
        <v>822</v>
      </c>
    </row>
    <row r="242" spans="1:2" x14ac:dyDescent="0.3">
      <c r="A242">
        <v>241</v>
      </c>
      <c r="B242">
        <v>822</v>
      </c>
    </row>
    <row r="243" spans="1:2" x14ac:dyDescent="0.3">
      <c r="A243">
        <v>242</v>
      </c>
      <c r="B243">
        <v>822</v>
      </c>
    </row>
    <row r="244" spans="1:2" x14ac:dyDescent="0.3">
      <c r="A244">
        <v>243</v>
      </c>
      <c r="B244">
        <v>822</v>
      </c>
    </row>
    <row r="245" spans="1:2" x14ac:dyDescent="0.3">
      <c r="A245">
        <v>244</v>
      </c>
      <c r="B245">
        <v>822</v>
      </c>
    </row>
    <row r="246" spans="1:2" x14ac:dyDescent="0.3">
      <c r="A246">
        <v>245</v>
      </c>
      <c r="B246">
        <v>822</v>
      </c>
    </row>
    <row r="247" spans="1:2" x14ac:dyDescent="0.3">
      <c r="A247">
        <v>246</v>
      </c>
      <c r="B247">
        <v>822</v>
      </c>
    </row>
    <row r="248" spans="1:2" x14ac:dyDescent="0.3">
      <c r="A248">
        <v>247</v>
      </c>
      <c r="B248">
        <v>822</v>
      </c>
    </row>
    <row r="249" spans="1:2" x14ac:dyDescent="0.3">
      <c r="A249">
        <v>248</v>
      </c>
      <c r="B249">
        <v>822</v>
      </c>
    </row>
    <row r="250" spans="1:2" x14ac:dyDescent="0.3">
      <c r="A250">
        <v>249</v>
      </c>
      <c r="B250">
        <v>822</v>
      </c>
    </row>
    <row r="251" spans="1:2" x14ac:dyDescent="0.3">
      <c r="A251">
        <v>250</v>
      </c>
      <c r="B251">
        <v>822</v>
      </c>
    </row>
    <row r="252" spans="1:2" x14ac:dyDescent="0.3">
      <c r="A252">
        <v>251</v>
      </c>
      <c r="B252">
        <v>822</v>
      </c>
    </row>
    <row r="253" spans="1:2" x14ac:dyDescent="0.3">
      <c r="A253">
        <v>252</v>
      </c>
      <c r="B253">
        <v>822</v>
      </c>
    </row>
    <row r="254" spans="1:2" x14ac:dyDescent="0.3">
      <c r="A254">
        <v>253</v>
      </c>
      <c r="B254">
        <v>822</v>
      </c>
    </row>
    <row r="255" spans="1:2" x14ac:dyDescent="0.3">
      <c r="A255">
        <v>254</v>
      </c>
      <c r="B255">
        <v>822</v>
      </c>
    </row>
    <row r="256" spans="1:2" x14ac:dyDescent="0.3">
      <c r="A256">
        <v>255</v>
      </c>
      <c r="B256">
        <v>822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53104-2B52-4B9F-B705-ADAEEA3BA921}">
  <dimension ref="A1:J11"/>
  <sheetViews>
    <sheetView workbookViewId="0">
      <selection activeCell="B12" sqref="B12"/>
    </sheetView>
  </sheetViews>
  <sheetFormatPr defaultRowHeight="14.4" x14ac:dyDescent="0.3"/>
  <cols>
    <col min="1" max="1" width="10" customWidth="1"/>
    <col min="2" max="2" width="13.21875" customWidth="1"/>
    <col min="4" max="4" width="10.44140625" customWidth="1"/>
    <col min="6" max="6" width="9.109375" customWidth="1"/>
    <col min="7" max="7" width="10.5546875" customWidth="1"/>
    <col min="9" max="9" width="47.5546875" customWidth="1"/>
    <col min="10" max="10" width="23" bestFit="1" customWidth="1"/>
  </cols>
  <sheetData>
    <row r="1" spans="1:10" x14ac:dyDescent="0.3">
      <c r="A1" t="s">
        <v>416</v>
      </c>
      <c r="B1" t="s">
        <v>417</v>
      </c>
      <c r="C1" t="s">
        <v>418</v>
      </c>
      <c r="D1" t="s">
        <v>419</v>
      </c>
      <c r="E1" t="s">
        <v>420</v>
      </c>
      <c r="F1" t="s">
        <v>421</v>
      </c>
      <c r="G1" t="s">
        <v>422</v>
      </c>
      <c r="H1" t="s">
        <v>423</v>
      </c>
      <c r="I1" t="s">
        <v>424</v>
      </c>
      <c r="J1" t="s">
        <v>662</v>
      </c>
    </row>
    <row r="2" spans="1:10" s="6" customFormat="1" ht="57.6" x14ac:dyDescent="0.3">
      <c r="A2" s="6">
        <v>1</v>
      </c>
      <c r="B2" s="6" t="s">
        <v>425</v>
      </c>
      <c r="C2" s="6" t="s">
        <v>89</v>
      </c>
      <c r="D2" s="6" t="s">
        <v>426</v>
      </c>
      <c r="E2" s="6">
        <v>10</v>
      </c>
      <c r="F2" s="6">
        <v>16</v>
      </c>
      <c r="G2" s="15"/>
      <c r="I2" s="7" t="s">
        <v>427</v>
      </c>
    </row>
    <row r="3" spans="1:10" x14ac:dyDescent="0.3">
      <c r="A3" s="6">
        <v>2</v>
      </c>
      <c r="B3" s="6" t="s">
        <v>611</v>
      </c>
      <c r="C3" s="6" t="s">
        <v>21</v>
      </c>
      <c r="D3" s="6" t="s">
        <v>662</v>
      </c>
      <c r="E3" s="6"/>
      <c r="F3" s="6"/>
      <c r="G3" s="15">
        <v>1</v>
      </c>
      <c r="H3" s="6">
        <v>80</v>
      </c>
      <c r="I3" s="7" t="s">
        <v>612</v>
      </c>
      <c r="J3" s="6"/>
    </row>
    <row r="4" spans="1:10" x14ac:dyDescent="0.3">
      <c r="A4" s="6">
        <v>3</v>
      </c>
      <c r="B4" s="6" t="s">
        <v>613</v>
      </c>
      <c r="C4" s="6" t="s">
        <v>96</v>
      </c>
      <c r="D4" s="6" t="s">
        <v>662</v>
      </c>
      <c r="E4" s="6"/>
      <c r="F4" s="6"/>
      <c r="G4" s="15">
        <v>0.95</v>
      </c>
      <c r="H4" s="6">
        <v>90</v>
      </c>
      <c r="I4" s="7" t="s">
        <v>614</v>
      </c>
      <c r="J4" s="6"/>
    </row>
    <row r="5" spans="1:10" ht="28.8" x14ac:dyDescent="0.3">
      <c r="A5" s="6">
        <v>4</v>
      </c>
      <c r="B5" s="6" t="s">
        <v>660</v>
      </c>
      <c r="C5" s="6" t="s">
        <v>37</v>
      </c>
      <c r="D5" s="6" t="s">
        <v>662</v>
      </c>
      <c r="E5" s="6"/>
      <c r="F5" s="6"/>
      <c r="G5" s="15">
        <v>1</v>
      </c>
      <c r="H5" s="6">
        <v>85</v>
      </c>
      <c r="I5" s="7" t="s">
        <v>661</v>
      </c>
      <c r="J5" s="6"/>
    </row>
    <row r="6" spans="1:10" x14ac:dyDescent="0.3">
      <c r="A6" s="6">
        <v>5</v>
      </c>
      <c r="B6" s="6" t="s">
        <v>663</v>
      </c>
      <c r="C6" s="6" t="s">
        <v>59</v>
      </c>
      <c r="D6" s="6" t="s">
        <v>662</v>
      </c>
      <c r="E6" s="6"/>
      <c r="F6" s="6"/>
      <c r="G6" s="15">
        <v>0.95</v>
      </c>
      <c r="H6" s="6">
        <v>90</v>
      </c>
      <c r="I6" s="7" t="s">
        <v>664</v>
      </c>
      <c r="J6" s="6"/>
    </row>
    <row r="7" spans="1:10" x14ac:dyDescent="0.3">
      <c r="A7" s="6">
        <v>6</v>
      </c>
      <c r="B7" s="6" t="s">
        <v>665</v>
      </c>
      <c r="C7" s="6" t="s">
        <v>51</v>
      </c>
      <c r="D7" s="6" t="s">
        <v>662</v>
      </c>
      <c r="E7" s="6"/>
      <c r="F7" s="6"/>
      <c r="G7" s="15">
        <v>1</v>
      </c>
      <c r="H7" s="6">
        <v>80</v>
      </c>
      <c r="I7" s="7" t="s">
        <v>666</v>
      </c>
      <c r="J7" s="6"/>
    </row>
    <row r="8" spans="1:10" x14ac:dyDescent="0.3">
      <c r="A8" s="6">
        <v>7</v>
      </c>
      <c r="B8" s="6" t="s">
        <v>667</v>
      </c>
      <c r="C8" s="6" t="s">
        <v>383</v>
      </c>
      <c r="D8" s="6" t="s">
        <v>668</v>
      </c>
      <c r="E8" s="6"/>
      <c r="F8" s="6"/>
      <c r="G8" s="15">
        <v>1</v>
      </c>
      <c r="H8" s="6">
        <v>80</v>
      </c>
      <c r="I8" s="7" t="s">
        <v>612</v>
      </c>
      <c r="J8" s="6" t="s">
        <v>669</v>
      </c>
    </row>
    <row r="9" spans="1:10" x14ac:dyDescent="0.3">
      <c r="A9" s="6">
        <v>8</v>
      </c>
      <c r="B9" s="6" t="s">
        <v>667</v>
      </c>
      <c r="C9" s="6" t="s">
        <v>150</v>
      </c>
      <c r="D9" s="6" t="s">
        <v>662</v>
      </c>
      <c r="E9" s="6"/>
      <c r="F9" s="6"/>
      <c r="G9" s="15">
        <v>1</v>
      </c>
      <c r="H9" s="6">
        <v>80</v>
      </c>
      <c r="I9" s="7" t="s">
        <v>671</v>
      </c>
      <c r="J9" s="6" t="s">
        <v>670</v>
      </c>
    </row>
    <row r="10" spans="1:10" ht="28.8" x14ac:dyDescent="0.3">
      <c r="A10" s="6">
        <v>9</v>
      </c>
      <c r="B10" s="6" t="s">
        <v>672</v>
      </c>
      <c r="C10" s="6" t="s">
        <v>89</v>
      </c>
      <c r="D10" s="6" t="s">
        <v>662</v>
      </c>
      <c r="E10" s="6"/>
      <c r="F10" s="6"/>
      <c r="G10" s="15">
        <v>1</v>
      </c>
      <c r="H10" s="6">
        <v>90</v>
      </c>
      <c r="I10" s="7" t="s">
        <v>673</v>
      </c>
      <c r="J10" s="6"/>
    </row>
    <row r="11" spans="1:10" ht="28.8" x14ac:dyDescent="0.3">
      <c r="A11" s="6">
        <v>10</v>
      </c>
      <c r="B11" s="6" t="s">
        <v>674</v>
      </c>
      <c r="C11" s="6" t="s">
        <v>96</v>
      </c>
      <c r="D11" s="6" t="s">
        <v>668</v>
      </c>
      <c r="E11" s="6"/>
      <c r="F11" s="6"/>
      <c r="G11" s="15">
        <v>0.9</v>
      </c>
      <c r="H11" s="6">
        <v>100</v>
      </c>
      <c r="I11" s="7" t="s">
        <v>675</v>
      </c>
      <c r="J11" s="6"/>
    </row>
  </sheetData>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51FB2-66BD-45D9-A29D-4824A1D9C08D}">
  <dimension ref="A1:B2"/>
  <sheetViews>
    <sheetView zoomScale="115" zoomScaleNormal="115" workbookViewId="0">
      <selection activeCell="F2" sqref="F2"/>
    </sheetView>
  </sheetViews>
  <sheetFormatPr defaultRowHeight="14.4" x14ac:dyDescent="0.3"/>
  <cols>
    <col min="1" max="1" width="10.109375" customWidth="1"/>
  </cols>
  <sheetData>
    <row r="1" spans="1:2" x14ac:dyDescent="0.3">
      <c r="A1" t="s">
        <v>606</v>
      </c>
      <c r="B1" t="s">
        <v>1</v>
      </c>
    </row>
    <row r="2" spans="1:2" x14ac:dyDescent="0.3">
      <c r="B2" t="s">
        <v>149</v>
      </c>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DD652F1C-994C-48CF-B50D-455995CB88C0}">
          <x14:formula1>
            <xm:f>Pokedex!$A$2:$A$1048576</xm:f>
          </x14:formula1>
          <xm:sqref>A2</xm:sqref>
        </x14:dataValidation>
        <x14:dataValidation type="list" allowBlank="1" showInputMessage="1" showErrorMessage="1" xr:uid="{CE656033-9041-4FC8-BB0C-1E26C23519EB}">
          <x14:formula1>
            <xm:f>Pokedex!$B$2:$B$1048576</xm:f>
          </x14:formula1>
          <xm:sqref>B2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78922-F89D-4469-9AF2-CF8B170ABD85}">
  <dimension ref="E3:H3"/>
  <sheetViews>
    <sheetView workbookViewId="0">
      <selection activeCell="D41" sqref="D41"/>
    </sheetView>
  </sheetViews>
  <sheetFormatPr defaultRowHeight="14.4" x14ac:dyDescent="0.3"/>
  <sheetData>
    <row r="3" spans="5:8" x14ac:dyDescent="0.3">
      <c r="E3" s="2">
        <f>(CAP[[#This Row],[RPT]] / 401.424544) - 24.593586</f>
        <v>410.44707758234432</v>
      </c>
      <c r="F3" s="2">
        <f>(CAP[[#This Row],[RST]] / 415.017219) - 19.123917</f>
        <v>252.9033503794771</v>
      </c>
      <c r="G3" s="2">
        <f>(CAP[[#This Row],[RPS]] /   1.891436) -  4.668834</f>
        <v>72.752390630409622</v>
      </c>
      <c r="H3" s="2">
        <f>(CAP[[#This Row],[RSS]] /   1.939729) +  3.716211</f>
        <v>57.603337619255804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027A77F-A9E1-4529-A156-84DE9724B5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Pokedex</vt:lpstr>
      <vt:lpstr>Sheet2</vt:lpstr>
      <vt:lpstr>Sheet1</vt:lpstr>
      <vt:lpstr>CAP analysis</vt:lpstr>
      <vt:lpstr>MovePool</vt:lpstr>
      <vt:lpstr>Speed Factor</vt:lpstr>
      <vt:lpstr>MoveList</vt:lpstr>
      <vt:lpstr>Detailed Sheet</vt:lpstr>
      <vt:lpstr>Sheet5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Giorgio Vitalone</dc:creator>
  <cp:keywords/>
  <dc:description/>
  <cp:lastModifiedBy>Giorgio Vitalone</cp:lastModifiedBy>
  <cp:revision/>
  <dcterms:created xsi:type="dcterms:W3CDTF">2023-03-27T08:23:39Z</dcterms:created>
  <dcterms:modified xsi:type="dcterms:W3CDTF">2023-04-06T13:45:20Z</dcterms:modified>
  <cp:category/>
  <cp:contentStatus/>
</cp:coreProperties>
</file>