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DEB208FE-284B-4308-A011-0C8DE9116742}" xr6:coauthVersionLast="47" xr6:coauthVersionMax="47" xr10:uidLastSave="{00000000-0000-0000-0000-000000000000}"/>
  <bookViews>
    <workbookView xWindow="-108" yWindow="-108" windowWidth="23256" windowHeight="12720" tabRatio="606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3" i="1" l="1"/>
  <c r="P23" i="1"/>
  <c r="I32" i="4"/>
  <c r="H32" i="4"/>
  <c r="G32" i="4"/>
  <c r="D32" i="4"/>
  <c r="I31" i="4"/>
  <c r="H31" i="4"/>
  <c r="G31" i="4"/>
  <c r="D31" i="4"/>
  <c r="D23" i="1"/>
  <c r="G23" i="1" s="1"/>
  <c r="I23" i="1" s="1"/>
  <c r="Q23" i="1" s="1"/>
  <c r="V23" i="1" s="1"/>
  <c r="D24" i="1"/>
  <c r="G24" i="1" s="1"/>
  <c r="I24" i="1" s="1"/>
  <c r="R24" i="1"/>
  <c r="R20" i="1"/>
  <c r="R21" i="1"/>
  <c r="R22" i="1"/>
  <c r="R17" i="1"/>
  <c r="R18" i="1"/>
  <c r="R19" i="1"/>
  <c r="R13" i="1"/>
  <c r="R14" i="1"/>
  <c r="O13" i="1"/>
  <c r="P13" i="1" s="1"/>
  <c r="Q13" i="1" s="1"/>
  <c r="V13" i="1" s="1"/>
  <c r="U13" i="1" s="1"/>
  <c r="O14" i="1"/>
  <c r="P14" i="1" s="1"/>
  <c r="Q14" i="1" s="1"/>
  <c r="E14" i="1"/>
  <c r="D14" i="1"/>
  <c r="E13" i="1"/>
  <c r="D13" i="1"/>
  <c r="H11" i="6"/>
  <c r="H13" i="6"/>
  <c r="R10" i="1"/>
  <c r="R11" i="1"/>
  <c r="R12" i="1"/>
  <c r="R15" i="1"/>
  <c r="R16" i="1"/>
  <c r="R8" i="1"/>
  <c r="R9" i="1"/>
  <c r="R7" i="1"/>
  <c r="R6" i="1"/>
  <c r="H12" i="6"/>
  <c r="R5" i="1"/>
  <c r="N18" i="1"/>
  <c r="O18" i="1" s="1"/>
  <c r="P18" i="1" s="1"/>
  <c r="Q18" i="1" s="1"/>
  <c r="V18" i="1" s="1"/>
  <c r="U18" i="1" s="1"/>
  <c r="N19" i="1"/>
  <c r="O19" i="1" s="1"/>
  <c r="P19" i="1" s="1"/>
  <c r="Q19" i="1" s="1"/>
  <c r="N17" i="1"/>
  <c r="O17" i="1" s="1"/>
  <c r="P17" i="1" s="1"/>
  <c r="Q17" i="1" s="1"/>
  <c r="O11" i="1"/>
  <c r="P11" i="1" s="1"/>
  <c r="Q11" i="1" s="1"/>
  <c r="O12" i="1"/>
  <c r="P12" i="1" s="1"/>
  <c r="Q12" i="1" s="1"/>
  <c r="O15" i="1"/>
  <c r="P15" i="1" s="1"/>
  <c r="Q15" i="1" s="1"/>
  <c r="O16" i="1"/>
  <c r="P16" i="1" s="1"/>
  <c r="Q16" i="1" s="1"/>
  <c r="O20" i="1"/>
  <c r="P20" i="1" s="1"/>
  <c r="O21" i="1"/>
  <c r="P21" i="1"/>
  <c r="O22" i="1"/>
  <c r="P22" i="1" s="1"/>
  <c r="O24" i="1"/>
  <c r="P24" i="1" s="1"/>
  <c r="L8" i="1"/>
  <c r="L9" i="1"/>
  <c r="L10" i="1"/>
  <c r="N10" i="1"/>
  <c r="O10" i="1" s="1"/>
  <c r="O9" i="1"/>
  <c r="L7" i="1"/>
  <c r="L6" i="1"/>
  <c r="O6" i="1"/>
  <c r="O7" i="1"/>
  <c r="O8" i="1"/>
  <c r="O5" i="1"/>
  <c r="P5" i="1" s="1"/>
  <c r="Q5" i="1" s="1"/>
  <c r="E24" i="1"/>
  <c r="E21" i="1"/>
  <c r="D21" i="1"/>
  <c r="E15" i="1"/>
  <c r="D15" i="1"/>
  <c r="E22" i="1"/>
  <c r="D22" i="1"/>
  <c r="G22" i="1" s="1"/>
  <c r="I22" i="1" s="1"/>
  <c r="Q22" i="1" s="1"/>
  <c r="V22" i="1" s="1"/>
  <c r="U22" i="1" s="1"/>
  <c r="E17" i="1"/>
  <c r="E18" i="1"/>
  <c r="E19" i="1"/>
  <c r="E20" i="1"/>
  <c r="E1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6" i="1"/>
  <c r="D17" i="1"/>
  <c r="D18" i="1"/>
  <c r="D19" i="1"/>
  <c r="D20" i="1"/>
  <c r="D5" i="6"/>
  <c r="H14" i="6"/>
  <c r="H15" i="6"/>
  <c r="Q4" i="1"/>
  <c r="R4" i="1"/>
  <c r="O4" i="1"/>
  <c r="E4" i="1"/>
  <c r="D4" i="1"/>
  <c r="C8" i="6"/>
  <c r="C6" i="6"/>
  <c r="C5" i="6"/>
  <c r="C4" i="6"/>
  <c r="C3" i="6"/>
  <c r="C2" i="6"/>
  <c r="B21" i="6"/>
  <c r="D14" i="5"/>
  <c r="D17" i="5"/>
  <c r="V17" i="1" l="1"/>
  <c r="U17" i="1" s="1"/>
  <c r="G20" i="1"/>
  <c r="I20" i="1" s="1"/>
  <c r="Q20" i="1" s="1"/>
  <c r="V20" i="1" s="1"/>
  <c r="U20" i="1" s="1"/>
  <c r="G21" i="1"/>
  <c r="I21" i="1" s="1"/>
  <c r="Q21" i="1" s="1"/>
  <c r="V21" i="1" s="1"/>
  <c r="P9" i="1"/>
  <c r="Q9" i="1" s="1"/>
  <c r="V16" i="1"/>
  <c r="U16" i="1" s="1"/>
  <c r="V14" i="1"/>
  <c r="U14" i="1" s="1"/>
  <c r="V19" i="1"/>
  <c r="U19" i="1" s="1"/>
  <c r="V5" i="1"/>
  <c r="U5" i="1" s="1"/>
  <c r="P7" i="1"/>
  <c r="Q7" i="1" s="1"/>
  <c r="V7" i="1" s="1"/>
  <c r="U7" i="1" s="1"/>
  <c r="V15" i="1"/>
  <c r="U15" i="1" s="1"/>
  <c r="P8" i="1"/>
  <c r="Q8" i="1" s="1"/>
  <c r="V8" i="1" s="1"/>
  <c r="U8" i="1" s="1"/>
  <c r="V11" i="1"/>
  <c r="U11" i="1" s="1"/>
  <c r="P6" i="1"/>
  <c r="Q6" i="1" s="1"/>
  <c r="V6" i="1" s="1"/>
  <c r="U6" i="1" s="1"/>
  <c r="P10" i="1"/>
  <c r="Q10" i="1" s="1"/>
  <c r="V10" i="1" s="1"/>
  <c r="U10" i="1" s="1"/>
  <c r="V9" i="1"/>
  <c r="U9" i="1" s="1"/>
  <c r="V12" i="1"/>
  <c r="U12" i="1" s="1"/>
  <c r="Q24" i="1"/>
  <c r="V24" i="1" s="1"/>
  <c r="U24" i="1" s="1"/>
  <c r="V4" i="1"/>
  <c r="U4" i="1" s="1"/>
  <c r="D18" i="5"/>
  <c r="Q25" i="1" l="1"/>
  <c r="P25" i="1"/>
  <c r="U21" i="1"/>
  <c r="V25" i="1"/>
  <c r="B2" i="5"/>
  <c r="D2" i="5" s="1"/>
  <c r="B3" i="5"/>
  <c r="D3" i="5" s="1"/>
  <c r="B5" i="5"/>
  <c r="D5" i="5" s="1"/>
  <c r="B4" i="5" l="1"/>
  <c r="D4" i="5" s="1"/>
  <c r="D8" i="5" s="1"/>
  <c r="D9" i="5" s="1"/>
</calcChain>
</file>

<file path=xl/sharedStrings.xml><?xml version="1.0" encoding="utf-8"?>
<sst xmlns="http://schemas.openxmlformats.org/spreadsheetml/2006/main" count="162" uniqueCount="119">
  <si>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</si>
  <si>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</si>
  <si>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</si>
  <si>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</si>
  <si>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</si>
  <si>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</si>
  <si>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</si>
  <si>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</si>
  <si>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</si>
  <si>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</si>
  <si>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</si>
  <si>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</si>
  <si>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</si>
  <si>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</si>
  <si>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</si>
  <si>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FCT</t>
  </si>
  <si>
    <t>FCA</t>
  </si>
  <si>
    <t>Comprimento do circuito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</si>
  <si>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</si>
  <si>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</si>
  <si>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</si>
  <si>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</si>
  <si>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</si>
  <si>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</si>
  <si>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</si>
  <si>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</si>
  <si>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</si>
  <si>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</si>
  <si>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</si>
  <si>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</si>
  <si>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</si>
  <si>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</si>
  <si>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</si>
  <si>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</si>
  <si>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</si>
  <si>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</si>
  <si>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</si>
  <si>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</si>
  <si>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</si>
  <si>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</si>
  <si>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</si>
  <si>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</si>
  <si>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</si>
  <si>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</si>
  <si>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</si>
  <si>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</si>
  <si>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</si>
  <si>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</si>
  <si>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</si>
  <si>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</si>
  <si>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</si>
  <si>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</si>
  <si>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</si>
  <si>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</si>
  <si>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</si>
  <si>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</si>
  <si>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</si>
  <si>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</si>
  <si>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</si>
  <si>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</si>
  <si>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</si>
  <si>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</si>
  <si>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</si>
  <si>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</si>
  <si>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</si>
  <si>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</si>
  <si>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</si>
  <si>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</si>
  <si>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</si>
  <si>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</si>
  <si>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</si>
  <si>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</si>
  <si>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</si>
  <si>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</si>
  <si>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</si>
  <si>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Iluminação</t>
  </si>
  <si>
    <t>Single-phase AC 200 to 230V +/-20V 1kW</t>
  </si>
  <si>
    <t>Corrente (A)</t>
  </si>
  <si>
    <t>220V - 5000W</t>
  </si>
  <si>
    <t>Misc (gigas de teste, ferramentas, etc)</t>
  </si>
  <si>
    <t>Forno refusão 1</t>
  </si>
  <si>
    <t>Ohms/m</t>
  </si>
  <si>
    <t>Queda de tesnsão (V)</t>
  </si>
  <si>
    <t>RST</t>
  </si>
  <si>
    <t>Printer 1</t>
  </si>
  <si>
    <t>Conveyor 1</t>
  </si>
  <si>
    <t>Pick and place 1</t>
  </si>
  <si>
    <t>Pick and place 2</t>
  </si>
  <si>
    <t>Conveyor 2</t>
  </si>
  <si>
    <t>AOI 1</t>
  </si>
  <si>
    <t>Wave solder</t>
  </si>
  <si>
    <t>Bancadas da linha SMD</t>
  </si>
  <si>
    <t>Montagem</t>
  </si>
  <si>
    <t>Bancada do estoque</t>
  </si>
  <si>
    <t>Estoque</t>
  </si>
  <si>
    <t>A/C 1</t>
  </si>
  <si>
    <t>A/C 3</t>
  </si>
  <si>
    <t>A/C 2</t>
  </si>
  <si>
    <t>Iluminação Estoque</t>
  </si>
  <si>
    <t>Iluminação linha SMD</t>
  </si>
  <si>
    <t>Linha SMD</t>
  </si>
  <si>
    <t>Iluminação Montagem</t>
  </si>
  <si>
    <t>Escritório</t>
  </si>
  <si>
    <t>area</t>
  </si>
  <si>
    <t>ohms/m</t>
  </si>
  <si>
    <t xml:space="preserve">R </t>
  </si>
  <si>
    <t>Bancadas de montagem 1-3</t>
  </si>
  <si>
    <t>Bancadas de montagem 4-6</t>
  </si>
  <si>
    <t>Bancadas de montagem 7-9</t>
  </si>
  <si>
    <t>Iluminação pavilhão</t>
  </si>
  <si>
    <t>Pavilhão</t>
  </si>
  <si>
    <t>Bitola</t>
  </si>
  <si>
    <t>Diametro</t>
  </si>
  <si>
    <t>Area</t>
  </si>
  <si>
    <t>Eletroduto</t>
  </si>
  <si>
    <t>Condutores</t>
  </si>
  <si>
    <t>Area condutores</t>
  </si>
  <si>
    <t>Preenchimento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</si>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</sst>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5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5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3</xdr:row>
      <xdr:rowOff>340659</xdr:rowOff>
    </xdr:from>
    <xdr:to>
      <xdr:col>10</xdr:col>
      <xdr:colOff>360577</xdr:colOff>
      <xdr:row>7</xdr:row>
      <xdr:rowOff>149805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487F93-2B33-D19E-FFEB-DD2F9874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953" y="1201271"/>
          <a:ext cx="3010320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8</xdr:col>
      <xdr:colOff>91783</xdr:colOff>
      <xdr:row>23</xdr:row>
      <xdr:rowOff>57655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4</xdr:col>
      <xdr:colOff>648280</xdr:colOff>
      <xdr:row>23</xdr:row>
      <xdr:rowOff>602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lobal.yamaha-motor.com/business/smt/printer/ysp10/spec/" TargetMode="External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2"/>
  <sheetViews>
    <sheetView tabSelected="1" zoomScale="70" zoomScaleNormal="70" workbookViewId="0">
      <pane ySplit="3" topLeftCell="A4" activePane="bottomLeft" state="frozen"/>
      <selection pane="bottomLeft" activeCell="Y25" sqref="A1:Y25"/>
    </sheetView>
  </sheetViews>
  <sheetFormatPr defaultColWidth="11.5546875" defaultRowHeight="13.2" x14ac:dyDescent="0.25"/>
  <cols>
    <col min="1" max="1" width="6" style="23" customWidth="1"/>
    <col min="2" max="2" width="14.109375" style="2" bestFit="1" customWidth="1"/>
    <col min="3" max="3" width="13.33203125" style="1" customWidth="1"/>
    <col min="4" max="4" width="7.109375" style="1" bestFit="1" customWidth="1"/>
    <col min="5" max="5" width="10.109375" style="1" bestFit="1" customWidth="1"/>
    <col min="6" max="6" width="4.6640625" style="1" customWidth="1"/>
    <col min="7" max="7" width="11.44140625" style="1" customWidth="1"/>
    <col min="8" max="8" width="8.5546875" style="1" customWidth="1"/>
    <col min="9" max="9" width="8.21875" style="1" customWidth="1"/>
    <col min="10" max="10" width="5.77734375" style="1" bestFit="1" customWidth="1"/>
    <col min="11" max="11" width="16.77734375" style="1" customWidth="1"/>
    <col min="12" max="12" width="7.77734375" style="1" bestFit="1" customWidth="1"/>
    <col min="13" max="13" width="5.77734375" style="1" bestFit="1" customWidth="1"/>
    <col min="14" max="14" width="7.88671875" style="1" bestFit="1" customWidth="1"/>
    <col min="15" max="15" width="7.77734375" style="1" bestFit="1" customWidth="1"/>
    <col min="16" max="16" width="14.21875" style="1" bestFit="1" customWidth="1"/>
    <col min="17" max="17" width="10.77734375" style="1" customWidth="1"/>
    <col min="18" max="18" width="4.88671875" style="1" bestFit="1" customWidth="1"/>
    <col min="19" max="19" width="4.6640625" style="1" bestFit="1" customWidth="1"/>
    <col min="20" max="20" width="9" style="1" customWidth="1"/>
    <col min="21" max="21" width="10.5546875" style="1" customWidth="1"/>
    <col min="22" max="22" width="9.5546875" style="1" customWidth="1"/>
    <col min="23" max="23" width="11.77734375" style="1" customWidth="1"/>
    <col min="24" max="24" width="8.109375" style="1" customWidth="1"/>
    <col min="25" max="25" width="6" style="1" bestFit="1" customWidth="1"/>
  </cols>
  <sheetData>
    <row r="1" spans="1:25" ht="35.4" customHeight="1" x14ac:dyDescent="0.25">
      <c r="A1" s="21"/>
      <c r="B1" s="3"/>
      <c r="C1" s="3"/>
      <c r="D1" s="3"/>
      <c r="E1" s="4"/>
      <c r="F1" s="50" t="s">
        <v>0</v>
      </c>
      <c r="G1" s="50"/>
      <c r="H1" s="50"/>
      <c r="I1" s="50"/>
      <c r="J1" s="51" t="s">
        <v>22</v>
      </c>
      <c r="K1" s="51"/>
      <c r="L1" s="51"/>
      <c r="M1" s="51"/>
      <c r="N1" s="51"/>
      <c r="O1" s="51"/>
      <c r="P1" s="51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 x14ac:dyDescent="0.25">
      <c r="A2" s="8"/>
      <c r="B2" s="6"/>
      <c r="C2" s="6"/>
      <c r="D2" s="6"/>
      <c r="E2" s="7"/>
      <c r="F2" s="50"/>
      <c r="G2" s="50"/>
      <c r="H2" s="50"/>
      <c r="I2" s="50"/>
      <c r="J2" s="51" t="s">
        <v>1</v>
      </c>
      <c r="K2" s="51"/>
      <c r="L2" s="51"/>
      <c r="M2" s="51" t="s">
        <v>2</v>
      </c>
      <c r="N2" s="51"/>
      <c r="O2" s="51"/>
      <c r="P2" s="51" t="s">
        <v>3</v>
      </c>
      <c r="Q2" s="49" t="s">
        <v>4</v>
      </c>
      <c r="R2" s="49" t="s">
        <v>15</v>
      </c>
      <c r="S2" s="49" t="s">
        <v>16</v>
      </c>
      <c r="T2" s="49" t="s">
        <v>17</v>
      </c>
      <c r="U2" s="49" t="s">
        <v>82</v>
      </c>
      <c r="V2" s="49" t="s">
        <v>5</v>
      </c>
      <c r="W2" s="49" t="s">
        <v>6</v>
      </c>
      <c r="X2" s="49" t="s">
        <v>7</v>
      </c>
      <c r="Y2" s="49" t="s">
        <v>8</v>
      </c>
    </row>
    <row r="3" spans="1:25" s="9" customFormat="1" ht="69" customHeight="1" x14ac:dyDescent="0.3">
      <c r="A3" s="10" t="s">
        <v>9</v>
      </c>
      <c r="B3" s="10" t="s">
        <v>19</v>
      </c>
      <c r="C3" s="10" t="s">
        <v>18</v>
      </c>
      <c r="D3" s="10" t="s">
        <v>21</v>
      </c>
      <c r="E3" s="10" t="s">
        <v>20</v>
      </c>
      <c r="F3" s="24" t="s">
        <v>10</v>
      </c>
      <c r="G3" s="24" t="s">
        <v>11</v>
      </c>
      <c r="H3" s="24" t="s">
        <v>12</v>
      </c>
      <c r="I3" s="24" t="s">
        <v>13</v>
      </c>
      <c r="J3" s="11" t="s">
        <v>10</v>
      </c>
      <c r="K3" s="11" t="s">
        <v>11</v>
      </c>
      <c r="L3" s="11" t="s">
        <v>14</v>
      </c>
      <c r="M3" s="11" t="s">
        <v>10</v>
      </c>
      <c r="N3" s="11" t="s">
        <v>11</v>
      </c>
      <c r="O3" s="11" t="s">
        <v>14</v>
      </c>
      <c r="P3" s="51"/>
      <c r="Q3" s="50"/>
      <c r="R3" s="50"/>
      <c r="S3" s="50"/>
      <c r="T3" s="50"/>
      <c r="U3" s="50"/>
      <c r="V3" s="50"/>
      <c r="W3" s="50"/>
      <c r="X3" s="50"/>
      <c r="Y3" s="50"/>
    </row>
    <row r="4" spans="1:25" ht="32.4" customHeight="1" x14ac:dyDescent="0.25">
      <c r="A4" s="40">
        <v>1</v>
      </c>
      <c r="B4" s="41" t="s">
        <v>80</v>
      </c>
      <c r="C4" s="41" t="s">
        <v>100</v>
      </c>
      <c r="D4" s="16">
        <f>11.3*22.8</f>
        <v>257.64000000000004</v>
      </c>
      <c r="E4" s="16">
        <f>11.3*2+22.8*2</f>
        <v>68.2</v>
      </c>
      <c r="F4" s="41"/>
      <c r="G4" s="41"/>
      <c r="H4" s="41"/>
      <c r="I4" s="12"/>
      <c r="J4" s="41"/>
      <c r="K4" s="41"/>
      <c r="L4" s="41"/>
      <c r="M4" s="41">
        <v>1</v>
      </c>
      <c r="N4" s="41">
        <v>68000</v>
      </c>
      <c r="O4" s="41">
        <f>N4*M4</f>
        <v>68000</v>
      </c>
      <c r="P4" s="12">
        <v>60000</v>
      </c>
      <c r="Q4" s="16">
        <f>P4/(SQRT(3)*380)</f>
        <v>91.160568819414607</v>
      </c>
      <c r="R4" s="41">
        <f>Parâmetros!$B$2</f>
        <v>1.06</v>
      </c>
      <c r="S4" s="41">
        <v>1</v>
      </c>
      <c r="T4" s="41">
        <v>20</v>
      </c>
      <c r="U4" s="16">
        <f>(T4*Maquinas!$D$5)*'Quadro de cargas'!V4</f>
        <v>0.95288594577274877</v>
      </c>
      <c r="V4" s="16">
        <f>Q4/(R4*S4)</f>
        <v>86.000536622089243</v>
      </c>
      <c r="W4" s="41">
        <v>35</v>
      </c>
      <c r="X4" s="41">
        <v>100</v>
      </c>
      <c r="Y4" s="41" t="s">
        <v>83</v>
      </c>
    </row>
    <row r="5" spans="1:25" ht="32.4" customHeight="1" x14ac:dyDescent="0.25">
      <c r="A5" s="40">
        <v>2</v>
      </c>
      <c r="B5" s="41" t="s">
        <v>84</v>
      </c>
      <c r="C5" s="41" t="s">
        <v>100</v>
      </c>
      <c r="D5" s="16">
        <f t="shared" ref="D5:D12" si="0">11.3*22.8</f>
        <v>257.64000000000004</v>
      </c>
      <c r="E5" s="16">
        <f t="shared" ref="E5:E12" si="1">11.3*2+22.8*2</f>
        <v>68.2</v>
      </c>
      <c r="F5" s="41"/>
      <c r="G5" s="41"/>
      <c r="H5" s="41"/>
      <c r="I5" s="12"/>
      <c r="J5" s="41"/>
      <c r="K5" s="41"/>
      <c r="L5" s="41"/>
      <c r="M5" s="41">
        <v>1</v>
      </c>
      <c r="N5" s="41">
        <v>2000</v>
      </c>
      <c r="O5" s="41">
        <f>N5*M5</f>
        <v>2000</v>
      </c>
      <c r="P5" s="12">
        <f>O5+L5</f>
        <v>2000</v>
      </c>
      <c r="Q5" s="16">
        <f>P5/220</f>
        <v>9.0909090909090917</v>
      </c>
      <c r="R5" s="41">
        <f>Parâmetros!$B$2</f>
        <v>1.06</v>
      </c>
      <c r="S5" s="41">
        <v>1</v>
      </c>
      <c r="T5" s="41">
        <v>30</v>
      </c>
      <c r="U5" s="16">
        <f>(T5*Maquinas!$H$12)*'Quadro de cargas'!V5</f>
        <v>2.1123499142367073</v>
      </c>
      <c r="V5" s="16">
        <f t="shared" ref="V5:V24" si="2">Q5/(R5*S5)</f>
        <v>8.5763293310463133</v>
      </c>
      <c r="W5" s="41">
        <v>2.5</v>
      </c>
      <c r="X5" s="41">
        <v>16</v>
      </c>
      <c r="Y5" s="41" t="s">
        <v>105</v>
      </c>
    </row>
    <row r="6" spans="1:25" ht="32.4" customHeight="1" x14ac:dyDescent="0.25">
      <c r="A6" s="40">
        <v>3</v>
      </c>
      <c r="B6" s="41" t="s">
        <v>85</v>
      </c>
      <c r="C6" s="41" t="s">
        <v>100</v>
      </c>
      <c r="D6" s="16">
        <f t="shared" si="0"/>
        <v>257.64000000000004</v>
      </c>
      <c r="E6" s="16">
        <f t="shared" si="1"/>
        <v>68.2</v>
      </c>
      <c r="F6" s="41"/>
      <c r="G6" s="41"/>
      <c r="H6" s="41"/>
      <c r="I6" s="12"/>
      <c r="J6" s="41">
        <v>1</v>
      </c>
      <c r="K6" s="41">
        <v>150</v>
      </c>
      <c r="L6" s="41">
        <f>K6*J6</f>
        <v>150</v>
      </c>
      <c r="M6" s="41"/>
      <c r="N6" s="41"/>
      <c r="O6" s="41">
        <f t="shared" ref="O6:O8" si="3">N6*M6</f>
        <v>0</v>
      </c>
      <c r="P6" s="12">
        <f t="shared" ref="P6:P8" si="4">O6+L6</f>
        <v>150</v>
      </c>
      <c r="Q6" s="16">
        <f>P6/220</f>
        <v>0.68181818181818177</v>
      </c>
      <c r="R6" s="41">
        <f>Parâmetros!$B$2</f>
        <v>1.06</v>
      </c>
      <c r="S6" s="41">
        <v>1</v>
      </c>
      <c r="T6" s="41">
        <v>15</v>
      </c>
      <c r="U6" s="16">
        <f>(T6*Maquinas!$H$12)*'Quadro de cargas'!V6</f>
        <v>7.9213121783876489E-2</v>
      </c>
      <c r="V6" s="16">
        <f t="shared" si="2"/>
        <v>0.6432246998284733</v>
      </c>
      <c r="W6" s="41">
        <v>2.5</v>
      </c>
      <c r="X6" s="41">
        <v>16</v>
      </c>
      <c r="Y6" s="41" t="s">
        <v>31</v>
      </c>
    </row>
    <row r="7" spans="1:25" ht="32.4" customHeight="1" x14ac:dyDescent="0.25">
      <c r="A7" s="40">
        <v>4</v>
      </c>
      <c r="B7" s="41" t="s">
        <v>88</v>
      </c>
      <c r="C7" s="41" t="s">
        <v>100</v>
      </c>
      <c r="D7" s="16">
        <f t="shared" si="0"/>
        <v>257.64000000000004</v>
      </c>
      <c r="E7" s="16">
        <f t="shared" si="1"/>
        <v>68.2</v>
      </c>
      <c r="F7" s="41"/>
      <c r="G7" s="41"/>
      <c r="H7" s="41"/>
      <c r="I7" s="12"/>
      <c r="J7" s="41">
        <v>1</v>
      </c>
      <c r="K7" s="41">
        <v>150</v>
      </c>
      <c r="L7" s="41">
        <f t="shared" ref="L7:L10" si="5">K7*J7</f>
        <v>150</v>
      </c>
      <c r="M7" s="41"/>
      <c r="N7" s="41"/>
      <c r="O7" s="41">
        <f t="shared" si="3"/>
        <v>0</v>
      </c>
      <c r="P7" s="12">
        <f t="shared" si="4"/>
        <v>150</v>
      </c>
      <c r="Q7" s="16">
        <f t="shared" ref="Q7" si="6">P7/220</f>
        <v>0.68181818181818177</v>
      </c>
      <c r="R7" s="41">
        <f>Parâmetros!$B$2</f>
        <v>1.06</v>
      </c>
      <c r="S7" s="41">
        <v>1</v>
      </c>
      <c r="T7" s="41">
        <v>30</v>
      </c>
      <c r="U7" s="16">
        <f>(T7*Maquinas!$H$12)*'Quadro de cargas'!V7</f>
        <v>0.15842624356775298</v>
      </c>
      <c r="V7" s="16">
        <f t="shared" si="2"/>
        <v>0.6432246998284733</v>
      </c>
      <c r="W7" s="41">
        <v>2.5</v>
      </c>
      <c r="X7" s="41">
        <v>16</v>
      </c>
      <c r="Y7" s="41" t="s">
        <v>29</v>
      </c>
    </row>
    <row r="8" spans="1:25" ht="32.4" customHeight="1" x14ac:dyDescent="0.25">
      <c r="A8" s="40">
        <v>5</v>
      </c>
      <c r="B8" s="41" t="s">
        <v>86</v>
      </c>
      <c r="C8" s="41" t="s">
        <v>100</v>
      </c>
      <c r="D8" s="16">
        <f t="shared" si="0"/>
        <v>257.64000000000004</v>
      </c>
      <c r="E8" s="16">
        <f t="shared" si="1"/>
        <v>68.2</v>
      </c>
      <c r="F8" s="41"/>
      <c r="G8" s="41"/>
      <c r="H8" s="41"/>
      <c r="I8" s="12"/>
      <c r="J8" s="41"/>
      <c r="K8" s="41"/>
      <c r="L8" s="41">
        <f t="shared" si="5"/>
        <v>0</v>
      </c>
      <c r="M8" s="41">
        <v>1</v>
      </c>
      <c r="N8" s="41">
        <v>2500</v>
      </c>
      <c r="O8" s="41">
        <f t="shared" si="3"/>
        <v>2500</v>
      </c>
      <c r="P8" s="12">
        <f t="shared" si="4"/>
        <v>2500</v>
      </c>
      <c r="Q8" s="16">
        <f>P8/(SQRT(3)*380)</f>
        <v>3.798357034142275</v>
      </c>
      <c r="R8" s="41">
        <f>Parâmetros!$B$2</f>
        <v>1.06</v>
      </c>
      <c r="S8" s="41">
        <v>1</v>
      </c>
      <c r="T8" s="41">
        <v>20</v>
      </c>
      <c r="U8" s="16">
        <f>(T8*Maquinas!$H$12)*'Quadro de cargas'!V8</f>
        <v>0.58838700472279393</v>
      </c>
      <c r="V8" s="16">
        <f t="shared" si="2"/>
        <v>3.5833556925870518</v>
      </c>
      <c r="W8" s="41">
        <v>2.5</v>
      </c>
      <c r="X8" s="41">
        <v>16</v>
      </c>
      <c r="Y8" s="41" t="s">
        <v>83</v>
      </c>
    </row>
    <row r="9" spans="1:25" ht="32.4" customHeight="1" x14ac:dyDescent="0.25">
      <c r="A9" s="40">
        <v>6</v>
      </c>
      <c r="B9" s="41" t="s">
        <v>87</v>
      </c>
      <c r="C9" s="41" t="s">
        <v>100</v>
      </c>
      <c r="D9" s="16">
        <f t="shared" si="0"/>
        <v>257.64000000000004</v>
      </c>
      <c r="E9" s="16">
        <f t="shared" si="1"/>
        <v>68.2</v>
      </c>
      <c r="F9" s="41"/>
      <c r="G9" s="41"/>
      <c r="H9" s="41"/>
      <c r="I9" s="12"/>
      <c r="J9" s="41"/>
      <c r="K9" s="41"/>
      <c r="L9" s="41">
        <f t="shared" si="5"/>
        <v>0</v>
      </c>
      <c r="M9" s="41">
        <v>1</v>
      </c>
      <c r="N9" s="41">
        <v>2500</v>
      </c>
      <c r="O9" s="41">
        <f t="shared" ref="O9" si="7">N9*M9</f>
        <v>2500</v>
      </c>
      <c r="P9" s="12">
        <f t="shared" ref="P9:P10" si="8">O9+L9</f>
        <v>2500</v>
      </c>
      <c r="Q9" s="16">
        <f t="shared" ref="Q9" si="9">P9/(SQRT(3)*380)</f>
        <v>3.798357034142275</v>
      </c>
      <c r="R9" s="41">
        <f>Parâmetros!$B$2</f>
        <v>1.06</v>
      </c>
      <c r="S9" s="41">
        <v>1</v>
      </c>
      <c r="T9" s="41">
        <v>20</v>
      </c>
      <c r="U9" s="16">
        <f>(T9*Maquinas!$H$12)*'Quadro de cargas'!V9</f>
        <v>0.58838700472279393</v>
      </c>
      <c r="V9" s="16">
        <f t="shared" si="2"/>
        <v>3.5833556925870518</v>
      </c>
      <c r="W9" s="41">
        <v>2.5</v>
      </c>
      <c r="X9" s="41">
        <v>16</v>
      </c>
      <c r="Y9" s="41" t="s">
        <v>83</v>
      </c>
    </row>
    <row r="10" spans="1:25" ht="32.4" customHeight="1" x14ac:dyDescent="0.25">
      <c r="A10" s="40">
        <v>7</v>
      </c>
      <c r="B10" s="41" t="s">
        <v>89</v>
      </c>
      <c r="C10" s="41" t="s">
        <v>100</v>
      </c>
      <c r="D10" s="16">
        <f t="shared" si="0"/>
        <v>257.64000000000004</v>
      </c>
      <c r="E10" s="16">
        <f t="shared" si="1"/>
        <v>68.2</v>
      </c>
      <c r="F10" s="41"/>
      <c r="G10" s="41"/>
      <c r="H10" s="41"/>
      <c r="I10" s="12"/>
      <c r="J10" s="41"/>
      <c r="K10" s="41"/>
      <c r="L10" s="41">
        <f t="shared" si="5"/>
        <v>0</v>
      </c>
      <c r="M10" s="41">
        <v>1</v>
      </c>
      <c r="N10" s="41">
        <f>220*8</f>
        <v>1760</v>
      </c>
      <c r="O10" s="41">
        <f>N10*M10</f>
        <v>1760</v>
      </c>
      <c r="P10" s="12">
        <f t="shared" si="8"/>
        <v>1760</v>
      </c>
      <c r="Q10" s="16">
        <f>P10/220</f>
        <v>8</v>
      </c>
      <c r="R10" s="41">
        <f>Parâmetros!$B$2</f>
        <v>1.06</v>
      </c>
      <c r="S10" s="41">
        <v>1</v>
      </c>
      <c r="T10" s="41">
        <v>25</v>
      </c>
      <c r="U10" s="16">
        <f>(T10*Maquinas!$H$12)*'Quadro de cargas'!V10</f>
        <v>1.5490566037735849</v>
      </c>
      <c r="V10" s="16">
        <f>Q10/(R10*S10)</f>
        <v>7.5471698113207539</v>
      </c>
      <c r="W10" s="41">
        <v>2.5</v>
      </c>
      <c r="X10" s="41">
        <v>16</v>
      </c>
      <c r="Y10" s="41" t="s">
        <v>29</v>
      </c>
    </row>
    <row r="11" spans="1:25" ht="32.4" customHeight="1" x14ac:dyDescent="0.25">
      <c r="A11" s="40">
        <v>8</v>
      </c>
      <c r="B11" s="41" t="s">
        <v>90</v>
      </c>
      <c r="C11" s="41" t="s">
        <v>100</v>
      </c>
      <c r="D11" s="16">
        <f t="shared" si="0"/>
        <v>257.64000000000004</v>
      </c>
      <c r="E11" s="16">
        <f t="shared" si="1"/>
        <v>68.2</v>
      </c>
      <c r="F11" s="41"/>
      <c r="G11" s="41"/>
      <c r="H11" s="41"/>
      <c r="I11" s="12"/>
      <c r="J11" s="41"/>
      <c r="K11" s="41"/>
      <c r="L11" s="41"/>
      <c r="M11" s="41">
        <v>1</v>
      </c>
      <c r="N11" s="41">
        <v>34000</v>
      </c>
      <c r="O11" s="41">
        <f t="shared" ref="O11:O24" si="10">N11*M11</f>
        <v>34000</v>
      </c>
      <c r="P11" s="12">
        <f t="shared" ref="P11:P24" si="11">O11+L11</f>
        <v>34000</v>
      </c>
      <c r="Q11" s="16">
        <f>P11/(SQRT(3)*380)</f>
        <v>51.657655664334939</v>
      </c>
      <c r="R11" s="41">
        <f>Parâmetros!$B$2</f>
        <v>1.06</v>
      </c>
      <c r="S11" s="41">
        <v>1</v>
      </c>
      <c r="T11" s="41">
        <v>30</v>
      </c>
      <c r="U11" s="16">
        <f>(T11*Maquinas!H13)*'Quadro de cargas'!V11</f>
        <v>2.7924374241192376</v>
      </c>
      <c r="V11" s="16">
        <f t="shared" si="2"/>
        <v>48.7336374191839</v>
      </c>
      <c r="W11" s="41">
        <v>10</v>
      </c>
      <c r="X11" s="41">
        <v>50</v>
      </c>
      <c r="Y11" s="41" t="s">
        <v>83</v>
      </c>
    </row>
    <row r="12" spans="1:25" ht="32.4" customHeight="1" x14ac:dyDescent="0.25">
      <c r="A12" s="40">
        <v>9</v>
      </c>
      <c r="B12" s="41" t="s">
        <v>91</v>
      </c>
      <c r="C12" s="41" t="s">
        <v>100</v>
      </c>
      <c r="D12" s="16">
        <f t="shared" si="0"/>
        <v>257.64000000000004</v>
      </c>
      <c r="E12" s="16">
        <f t="shared" si="1"/>
        <v>68.2</v>
      </c>
      <c r="F12" s="41"/>
      <c r="G12" s="41"/>
      <c r="H12" s="41"/>
      <c r="I12" s="12"/>
      <c r="J12" s="41"/>
      <c r="K12" s="41"/>
      <c r="L12" s="41"/>
      <c r="M12" s="41">
        <v>2</v>
      </c>
      <c r="N12" s="41">
        <v>2000</v>
      </c>
      <c r="O12" s="41">
        <f t="shared" si="10"/>
        <v>4000</v>
      </c>
      <c r="P12" s="12">
        <f t="shared" si="11"/>
        <v>4000</v>
      </c>
      <c r="Q12" s="16">
        <f>P12/220</f>
        <v>18.181818181818183</v>
      </c>
      <c r="R12" s="41">
        <f>Parâmetros!$B$2</f>
        <v>1.06</v>
      </c>
      <c r="S12" s="41">
        <v>1</v>
      </c>
      <c r="T12" s="41">
        <v>30</v>
      </c>
      <c r="U12" s="16">
        <f>(T12*Maquinas!H11)*'Quadro de cargas'!V12</f>
        <v>2.5471698113207553</v>
      </c>
      <c r="V12" s="16">
        <f t="shared" si="2"/>
        <v>17.152658662092627</v>
      </c>
      <c r="W12" s="41">
        <v>4</v>
      </c>
      <c r="X12" s="41">
        <v>32</v>
      </c>
      <c r="Y12" s="41" t="s">
        <v>31</v>
      </c>
    </row>
    <row r="13" spans="1:25" ht="32.4" customHeight="1" x14ac:dyDescent="0.25">
      <c r="A13" s="40">
        <v>10</v>
      </c>
      <c r="B13" s="41" t="s">
        <v>106</v>
      </c>
      <c r="C13" s="41" t="s">
        <v>92</v>
      </c>
      <c r="D13" s="16">
        <f>7*7.4</f>
        <v>51.800000000000004</v>
      </c>
      <c r="E13" s="16">
        <f>7*2+2*7.4</f>
        <v>28.8</v>
      </c>
      <c r="F13" s="41"/>
      <c r="G13" s="41"/>
      <c r="H13" s="41"/>
      <c r="I13" s="12"/>
      <c r="J13" s="41"/>
      <c r="K13" s="41"/>
      <c r="L13" s="41"/>
      <c r="M13" s="41">
        <v>3</v>
      </c>
      <c r="N13" s="41">
        <v>2000</v>
      </c>
      <c r="O13" s="41">
        <f t="shared" ref="O13:O14" si="12">N13*M13</f>
        <v>6000</v>
      </c>
      <c r="P13" s="12">
        <f t="shared" ref="P13:P14" si="13">O13+L13</f>
        <v>6000</v>
      </c>
      <c r="Q13" s="16">
        <f t="shared" ref="Q13:Q14" si="14">P13/220</f>
        <v>27.272727272727273</v>
      </c>
      <c r="R13" s="41">
        <f>Parâmetros!$B$2</f>
        <v>1.06</v>
      </c>
      <c r="S13" s="41">
        <v>1</v>
      </c>
      <c r="T13" s="41">
        <v>30</v>
      </c>
      <c r="U13" s="16">
        <f>(T13*Maquinas!$H$11)*'Quadro de cargas'!V13</f>
        <v>3.8207547169811327</v>
      </c>
      <c r="V13" s="16">
        <f t="shared" si="2"/>
        <v>25.728987993138936</v>
      </c>
      <c r="W13" s="41">
        <v>4</v>
      </c>
      <c r="X13" s="41">
        <v>32</v>
      </c>
      <c r="Y13" s="41" t="s">
        <v>29</v>
      </c>
    </row>
    <row r="14" spans="1:25" ht="32.4" customHeight="1" x14ac:dyDescent="0.25">
      <c r="A14" s="40">
        <v>11</v>
      </c>
      <c r="B14" s="41" t="s">
        <v>107</v>
      </c>
      <c r="C14" s="41" t="s">
        <v>92</v>
      </c>
      <c r="D14" s="16">
        <f>7*7.4</f>
        <v>51.800000000000004</v>
      </c>
      <c r="E14" s="16">
        <f>7*2+2*7.4</f>
        <v>28.8</v>
      </c>
      <c r="F14" s="41"/>
      <c r="G14" s="41"/>
      <c r="H14" s="41"/>
      <c r="I14" s="12"/>
      <c r="J14" s="41"/>
      <c r="K14" s="41"/>
      <c r="L14" s="41"/>
      <c r="M14" s="41">
        <v>3</v>
      </c>
      <c r="N14" s="41">
        <v>2000</v>
      </c>
      <c r="O14" s="41">
        <f t="shared" si="12"/>
        <v>6000</v>
      </c>
      <c r="P14" s="12">
        <f t="shared" si="13"/>
        <v>6000</v>
      </c>
      <c r="Q14" s="16">
        <f t="shared" si="14"/>
        <v>27.272727272727273</v>
      </c>
      <c r="R14" s="41">
        <f>Parâmetros!$B$2</f>
        <v>1.06</v>
      </c>
      <c r="S14" s="41">
        <v>1</v>
      </c>
      <c r="T14" s="41">
        <v>30</v>
      </c>
      <c r="U14" s="16">
        <f>(T14*Maquinas!$H$11)*'Quadro de cargas'!V14</f>
        <v>3.8207547169811327</v>
      </c>
      <c r="V14" s="16">
        <f t="shared" si="2"/>
        <v>25.728987993138936</v>
      </c>
      <c r="W14" s="41">
        <v>4</v>
      </c>
      <c r="X14" s="41">
        <v>32</v>
      </c>
      <c r="Y14" s="41" t="s">
        <v>30</v>
      </c>
    </row>
    <row r="15" spans="1:25" ht="32.4" customHeight="1" x14ac:dyDescent="0.25">
      <c r="A15" s="40">
        <v>12</v>
      </c>
      <c r="B15" s="41" t="s">
        <v>108</v>
      </c>
      <c r="C15" s="41" t="s">
        <v>92</v>
      </c>
      <c r="D15" s="16">
        <f>7*7.4</f>
        <v>51.800000000000004</v>
      </c>
      <c r="E15" s="16">
        <f>7*2+2*7.4</f>
        <v>28.8</v>
      </c>
      <c r="F15" s="41"/>
      <c r="G15" s="41"/>
      <c r="H15" s="41"/>
      <c r="I15" s="12"/>
      <c r="J15" s="41"/>
      <c r="K15" s="41"/>
      <c r="L15" s="41"/>
      <c r="M15" s="41">
        <v>3</v>
      </c>
      <c r="N15" s="41">
        <v>2000</v>
      </c>
      <c r="O15" s="41">
        <f t="shared" si="10"/>
        <v>6000</v>
      </c>
      <c r="P15" s="12">
        <f t="shared" si="11"/>
        <v>6000</v>
      </c>
      <c r="Q15" s="16">
        <f>P15/220</f>
        <v>27.272727272727273</v>
      </c>
      <c r="R15" s="41">
        <f>Parâmetros!$B$2</f>
        <v>1.06</v>
      </c>
      <c r="S15" s="41">
        <v>1</v>
      </c>
      <c r="T15" s="41">
        <v>30</v>
      </c>
      <c r="U15" s="16">
        <f>(T15*Maquinas!H12)*'Quadro de cargas'!V15</f>
        <v>6.3370497427101204</v>
      </c>
      <c r="V15" s="16">
        <f t="shared" si="2"/>
        <v>25.728987993138936</v>
      </c>
      <c r="W15" s="41">
        <v>4</v>
      </c>
      <c r="X15" s="41">
        <v>32</v>
      </c>
      <c r="Y15" s="41" t="s">
        <v>31</v>
      </c>
    </row>
    <row r="16" spans="1:25" ht="32.4" customHeight="1" x14ac:dyDescent="0.25">
      <c r="A16" s="40">
        <v>13</v>
      </c>
      <c r="B16" s="41" t="s">
        <v>93</v>
      </c>
      <c r="C16" s="41" t="s">
        <v>94</v>
      </c>
      <c r="D16" s="16">
        <f t="shared" ref="D16:D19" si="15">11.26*4.5</f>
        <v>50.67</v>
      </c>
      <c r="E16" s="16">
        <f>11.26*2+2*4.5</f>
        <v>31.52</v>
      </c>
      <c r="F16" s="41"/>
      <c r="G16" s="41"/>
      <c r="H16" s="41"/>
      <c r="I16" s="12"/>
      <c r="J16" s="41"/>
      <c r="K16" s="41"/>
      <c r="L16" s="41"/>
      <c r="M16" s="41">
        <v>1</v>
      </c>
      <c r="N16" s="41">
        <v>2000</v>
      </c>
      <c r="O16" s="41">
        <f t="shared" si="10"/>
        <v>2000</v>
      </c>
      <c r="P16" s="12">
        <f t="shared" si="11"/>
        <v>2000</v>
      </c>
      <c r="Q16" s="16">
        <f>P16/220</f>
        <v>9.0909090909090917</v>
      </c>
      <c r="R16" s="41">
        <f>Parâmetros!$B$2</f>
        <v>1.06</v>
      </c>
      <c r="S16" s="41">
        <v>1</v>
      </c>
      <c r="T16" s="41">
        <v>10</v>
      </c>
      <c r="U16" s="16">
        <f>(T16*Maquinas!$H$11)*'Quadro de cargas'!V16</f>
        <v>0.42452830188679253</v>
      </c>
      <c r="V16" s="16">
        <f t="shared" si="2"/>
        <v>8.5763293310463133</v>
      </c>
      <c r="W16" s="41">
        <v>2.5</v>
      </c>
      <c r="X16" s="41">
        <v>16</v>
      </c>
      <c r="Y16" s="41" t="s">
        <v>29</v>
      </c>
    </row>
    <row r="17" spans="1:25" ht="32.4" customHeight="1" x14ac:dyDescent="0.25">
      <c r="A17" s="40">
        <v>14</v>
      </c>
      <c r="B17" s="41" t="s">
        <v>95</v>
      </c>
      <c r="C17" s="41" t="s">
        <v>94</v>
      </c>
      <c r="D17" s="16">
        <f t="shared" si="15"/>
        <v>50.67</v>
      </c>
      <c r="E17" s="16">
        <f t="shared" ref="E17:E20" si="16">11.26*2+2*4.5</f>
        <v>31.52</v>
      </c>
      <c r="F17" s="41"/>
      <c r="G17" s="41"/>
      <c r="H17" s="41"/>
      <c r="I17" s="12"/>
      <c r="J17" s="41"/>
      <c r="K17" s="41"/>
      <c r="L17" s="41"/>
      <c r="M17" s="41">
        <v>1</v>
      </c>
      <c r="N17" s="41">
        <f>12*220</f>
        <v>2640</v>
      </c>
      <c r="O17" s="41">
        <f t="shared" si="10"/>
        <v>2640</v>
      </c>
      <c r="P17" s="12">
        <f t="shared" si="11"/>
        <v>2640</v>
      </c>
      <c r="Q17" s="16">
        <f>P17/220</f>
        <v>12</v>
      </c>
      <c r="R17" s="41">
        <f>Parâmetros!$B$2</f>
        <v>1.06</v>
      </c>
      <c r="S17" s="41">
        <v>1</v>
      </c>
      <c r="T17" s="41">
        <v>10</v>
      </c>
      <c r="U17" s="16">
        <f>(T17*Maquinas!$H$11)*'Quadro de cargas'!V17</f>
        <v>0.56037735849056602</v>
      </c>
      <c r="V17" s="16">
        <f t="shared" si="2"/>
        <v>11.320754716981131</v>
      </c>
      <c r="W17" s="41">
        <v>2.5</v>
      </c>
      <c r="X17" s="41">
        <v>16</v>
      </c>
      <c r="Y17" s="41" t="s">
        <v>30</v>
      </c>
    </row>
    <row r="18" spans="1:25" ht="32.4" customHeight="1" x14ac:dyDescent="0.25">
      <c r="A18" s="40">
        <v>15</v>
      </c>
      <c r="B18" s="41" t="s">
        <v>97</v>
      </c>
      <c r="C18" s="41" t="s">
        <v>94</v>
      </c>
      <c r="D18" s="16">
        <f t="shared" si="15"/>
        <v>50.67</v>
      </c>
      <c r="E18" s="16">
        <f t="shared" si="16"/>
        <v>31.52</v>
      </c>
      <c r="F18" s="41"/>
      <c r="G18" s="41"/>
      <c r="H18" s="41"/>
      <c r="I18" s="12"/>
      <c r="J18" s="41"/>
      <c r="K18" s="41"/>
      <c r="L18" s="41"/>
      <c r="M18" s="41">
        <v>1</v>
      </c>
      <c r="N18" s="41">
        <f t="shared" ref="N18:N19" si="17">12*220</f>
        <v>2640</v>
      </c>
      <c r="O18" s="41">
        <f t="shared" si="10"/>
        <v>2640</v>
      </c>
      <c r="P18" s="12">
        <f t="shared" si="11"/>
        <v>2640</v>
      </c>
      <c r="Q18" s="16">
        <f t="shared" ref="Q18:Q19" si="18">P18/220</f>
        <v>12</v>
      </c>
      <c r="R18" s="41">
        <f>Parâmetros!$B$2</f>
        <v>1.06</v>
      </c>
      <c r="S18" s="41">
        <v>1</v>
      </c>
      <c r="T18" s="41">
        <v>10</v>
      </c>
      <c r="U18" s="16">
        <f>(T18*Maquinas!$H$11)*'Quadro de cargas'!V18</f>
        <v>0.56037735849056602</v>
      </c>
      <c r="V18" s="16">
        <f t="shared" si="2"/>
        <v>11.320754716981131</v>
      </c>
      <c r="W18" s="41">
        <v>2.5</v>
      </c>
      <c r="X18" s="41">
        <v>16</v>
      </c>
      <c r="Y18" s="41" t="s">
        <v>31</v>
      </c>
    </row>
    <row r="19" spans="1:25" ht="32.4" customHeight="1" x14ac:dyDescent="0.25">
      <c r="A19" s="40">
        <v>16</v>
      </c>
      <c r="B19" s="41" t="s">
        <v>96</v>
      </c>
      <c r="C19" s="41" t="s">
        <v>94</v>
      </c>
      <c r="D19" s="16">
        <f t="shared" si="15"/>
        <v>50.67</v>
      </c>
      <c r="E19" s="16">
        <f t="shared" si="16"/>
        <v>31.52</v>
      </c>
      <c r="F19" s="41"/>
      <c r="G19" s="41"/>
      <c r="H19" s="41"/>
      <c r="I19" s="12"/>
      <c r="J19" s="41"/>
      <c r="K19" s="41"/>
      <c r="L19" s="41"/>
      <c r="M19" s="41">
        <v>1</v>
      </c>
      <c r="N19" s="41">
        <f t="shared" si="17"/>
        <v>2640</v>
      </c>
      <c r="O19" s="41">
        <f t="shared" si="10"/>
        <v>2640</v>
      </c>
      <c r="P19" s="12">
        <f t="shared" si="11"/>
        <v>2640</v>
      </c>
      <c r="Q19" s="16">
        <f t="shared" si="18"/>
        <v>12</v>
      </c>
      <c r="R19" s="41">
        <f>Parâmetros!$B$2</f>
        <v>1.06</v>
      </c>
      <c r="S19" s="41">
        <v>1</v>
      </c>
      <c r="T19" s="41">
        <v>10</v>
      </c>
      <c r="U19" s="16">
        <f>(T19*Maquinas!$H$11)*'Quadro de cargas'!V19</f>
        <v>0.56037735849056602</v>
      </c>
      <c r="V19" s="16">
        <f t="shared" si="2"/>
        <v>11.320754716981131</v>
      </c>
      <c r="W19" s="41">
        <v>2.5</v>
      </c>
      <c r="X19" s="41">
        <v>16</v>
      </c>
      <c r="Y19" s="41" t="s">
        <v>29</v>
      </c>
    </row>
    <row r="20" spans="1:25" ht="32.4" customHeight="1" x14ac:dyDescent="0.25">
      <c r="A20" s="40">
        <v>17</v>
      </c>
      <c r="B20" s="41" t="s">
        <v>98</v>
      </c>
      <c r="C20" s="41" t="s">
        <v>94</v>
      </c>
      <c r="D20" s="16">
        <f>11.26*4.5</f>
        <v>50.67</v>
      </c>
      <c r="E20" s="16">
        <f t="shared" si="16"/>
        <v>31.52</v>
      </c>
      <c r="F20" s="41">
        <v>6</v>
      </c>
      <c r="G20" s="41">
        <f>D20*12/F20</f>
        <v>101.33999999999999</v>
      </c>
      <c r="H20" s="41"/>
      <c r="I20" s="12">
        <f>G20*F20</f>
        <v>608.04</v>
      </c>
      <c r="J20" s="41"/>
      <c r="K20" s="41"/>
      <c r="L20" s="41"/>
      <c r="M20" s="41"/>
      <c r="N20" s="41"/>
      <c r="O20" s="41">
        <f t="shared" si="10"/>
        <v>0</v>
      </c>
      <c r="P20" s="12">
        <f t="shared" si="11"/>
        <v>0</v>
      </c>
      <c r="Q20" s="16">
        <f>I20/220</f>
        <v>2.7638181818181815</v>
      </c>
      <c r="R20" s="41">
        <f>Parâmetros!$B$2</f>
        <v>1.06</v>
      </c>
      <c r="S20" s="41">
        <v>1</v>
      </c>
      <c r="T20" s="41">
        <v>10</v>
      </c>
      <c r="U20" s="16">
        <f>(T20*Maquinas!$H$11)*'Quadro de cargas'!V20</f>
        <v>0.12906509433962263</v>
      </c>
      <c r="V20" s="16">
        <f t="shared" si="2"/>
        <v>2.6073756432246995</v>
      </c>
      <c r="W20" s="41">
        <v>2.5</v>
      </c>
      <c r="X20" s="41">
        <v>16</v>
      </c>
      <c r="Y20" s="41" t="s">
        <v>30</v>
      </c>
    </row>
    <row r="21" spans="1:25" ht="32.4" customHeight="1" x14ac:dyDescent="0.25">
      <c r="A21" s="40">
        <v>18</v>
      </c>
      <c r="B21" s="41" t="s">
        <v>99</v>
      </c>
      <c r="C21" s="41" t="s">
        <v>100</v>
      </c>
      <c r="D21" s="16">
        <f t="shared" ref="D21" si="19">11.3*22.8</f>
        <v>257.64000000000004</v>
      </c>
      <c r="E21" s="16">
        <f t="shared" ref="E21" si="20">11.3*2+22.8*2</f>
        <v>68.2</v>
      </c>
      <c r="F21" s="41">
        <v>18</v>
      </c>
      <c r="G21" s="41">
        <f>D21*11/F21</f>
        <v>157.44666666666669</v>
      </c>
      <c r="H21" s="41"/>
      <c r="I21" s="12">
        <f t="shared" ref="I21:I23" si="21">G21*F21</f>
        <v>2834.0400000000004</v>
      </c>
      <c r="J21" s="41"/>
      <c r="K21" s="41"/>
      <c r="L21" s="41"/>
      <c r="M21" s="41"/>
      <c r="N21" s="41"/>
      <c r="O21" s="41">
        <f t="shared" si="10"/>
        <v>0</v>
      </c>
      <c r="P21" s="12">
        <f t="shared" si="11"/>
        <v>0</v>
      </c>
      <c r="Q21" s="16">
        <f t="shared" ref="Q21:Q22" si="22">I21/220</f>
        <v>12.882000000000001</v>
      </c>
      <c r="R21" s="41">
        <f>Parâmetros!$B$2</f>
        <v>1.06</v>
      </c>
      <c r="S21" s="41">
        <v>1</v>
      </c>
      <c r="T21" s="41">
        <v>30</v>
      </c>
      <c r="U21" s="16">
        <f>(T21*Maquinas!$H$11)*'Quadro de cargas'!V21</f>
        <v>1.8046952830188683</v>
      </c>
      <c r="V21" s="16">
        <f t="shared" si="2"/>
        <v>12.152830188679246</v>
      </c>
      <c r="W21" s="41">
        <v>2.5</v>
      </c>
      <c r="X21" s="41">
        <v>16</v>
      </c>
      <c r="Y21" s="41" t="s">
        <v>31</v>
      </c>
    </row>
    <row r="22" spans="1:25" ht="32.4" customHeight="1" x14ac:dyDescent="0.25">
      <c r="A22" s="40">
        <v>19</v>
      </c>
      <c r="B22" s="41" t="s">
        <v>101</v>
      </c>
      <c r="C22" s="41" t="s">
        <v>92</v>
      </c>
      <c r="D22" s="16">
        <f>7*7.4</f>
        <v>51.800000000000004</v>
      </c>
      <c r="E22" s="16">
        <f>7*2+2*7.4</f>
        <v>28.8</v>
      </c>
      <c r="F22" s="41">
        <v>4</v>
      </c>
      <c r="G22" s="41">
        <f t="shared" ref="G22" si="23">D22*10/F22</f>
        <v>129.5</v>
      </c>
      <c r="H22" s="41"/>
      <c r="I22" s="12">
        <f t="shared" si="21"/>
        <v>518</v>
      </c>
      <c r="J22" s="41"/>
      <c r="K22" s="41"/>
      <c r="L22" s="41"/>
      <c r="M22" s="41"/>
      <c r="N22" s="41"/>
      <c r="O22" s="41">
        <f t="shared" si="10"/>
        <v>0</v>
      </c>
      <c r="P22" s="12">
        <f t="shared" si="11"/>
        <v>0</v>
      </c>
      <c r="Q22" s="16">
        <f t="shared" si="22"/>
        <v>2.3545454545454545</v>
      </c>
      <c r="R22" s="41">
        <f>Parâmetros!$B$2</f>
        <v>1.06</v>
      </c>
      <c r="S22" s="41">
        <v>1</v>
      </c>
      <c r="T22" s="41">
        <v>35</v>
      </c>
      <c r="U22" s="16">
        <f>(T22*Maquinas!$H$11)*'Quadro de cargas'!V22</f>
        <v>0.38483490566037737</v>
      </c>
      <c r="V22" s="16">
        <f t="shared" si="2"/>
        <v>2.2212692967409948</v>
      </c>
      <c r="W22" s="41">
        <v>2.5</v>
      </c>
      <c r="X22" s="41">
        <v>16</v>
      </c>
      <c r="Y22" s="41" t="s">
        <v>29</v>
      </c>
    </row>
    <row r="23" spans="1:25" ht="32.4" customHeight="1" x14ac:dyDescent="0.25">
      <c r="A23" s="40">
        <v>20</v>
      </c>
      <c r="B23" s="41" t="s">
        <v>109</v>
      </c>
      <c r="C23" s="41" t="s">
        <v>110</v>
      </c>
      <c r="D23" s="16">
        <f>19*2.5+27.4*7.8</f>
        <v>261.21999999999997</v>
      </c>
      <c r="E23" s="16"/>
      <c r="F23" s="41">
        <v>12</v>
      </c>
      <c r="G23" s="41">
        <f>D23*8/F23</f>
        <v>174.14666666666665</v>
      </c>
      <c r="H23" s="41"/>
      <c r="I23" s="12">
        <f t="shared" si="21"/>
        <v>2089.7599999999998</v>
      </c>
      <c r="J23" s="41"/>
      <c r="K23" s="41"/>
      <c r="L23" s="41"/>
      <c r="M23" s="41"/>
      <c r="N23" s="41"/>
      <c r="O23" s="41"/>
      <c r="P23" s="12">
        <f t="shared" ref="P23" si="24">O23+L23</f>
        <v>0</v>
      </c>
      <c r="Q23" s="16">
        <f t="shared" ref="Q23" si="25">I23/220</f>
        <v>9.4989090909090894</v>
      </c>
      <c r="R23" s="41">
        <f>Parâmetros!$B$2</f>
        <v>1.06</v>
      </c>
      <c r="S23" s="41">
        <v>1</v>
      </c>
      <c r="T23" s="41">
        <v>35</v>
      </c>
      <c r="U23" s="16"/>
      <c r="V23" s="16">
        <f t="shared" si="2"/>
        <v>8.9612349914236695</v>
      </c>
      <c r="W23" s="41">
        <v>2.5</v>
      </c>
      <c r="X23" s="41">
        <v>16</v>
      </c>
      <c r="Y23" s="41" t="s">
        <v>30</v>
      </c>
    </row>
    <row r="24" spans="1:25" ht="32.4" customHeight="1" x14ac:dyDescent="0.25">
      <c r="A24" s="40">
        <v>21</v>
      </c>
      <c r="B24" s="41" t="s">
        <v>102</v>
      </c>
      <c r="C24" s="41" t="s">
        <v>102</v>
      </c>
      <c r="D24" s="16">
        <f>19*10+7.8</f>
        <v>197.8</v>
      </c>
      <c r="E24" s="16">
        <f>19*2+2*10</f>
        <v>58</v>
      </c>
      <c r="F24" s="41">
        <v>1</v>
      </c>
      <c r="G24" s="41">
        <f>D24*10</f>
        <v>1978</v>
      </c>
      <c r="H24" s="41"/>
      <c r="I24" s="12">
        <f>G24</f>
        <v>1978</v>
      </c>
      <c r="J24" s="41">
        <v>1</v>
      </c>
      <c r="K24" s="41">
        <v>10000</v>
      </c>
      <c r="L24" s="41">
        <v>8000</v>
      </c>
      <c r="M24" s="41"/>
      <c r="N24" s="41"/>
      <c r="O24" s="41">
        <f t="shared" si="10"/>
        <v>0</v>
      </c>
      <c r="P24" s="12">
        <f t="shared" si="11"/>
        <v>8000</v>
      </c>
      <c r="Q24" s="16">
        <f>P24/(SQRT(3)*380)</f>
        <v>12.15474250925528</v>
      </c>
      <c r="R24" s="41">
        <f>Parâmetros!$B$2</f>
        <v>1.06</v>
      </c>
      <c r="S24" s="41">
        <v>2</v>
      </c>
      <c r="T24" s="41">
        <v>20</v>
      </c>
      <c r="U24" s="16">
        <f>(T24*Maquinas!$H$11)*'Quadro de cargas'!V24</f>
        <v>0.56760354170578908</v>
      </c>
      <c r="V24" s="16">
        <f t="shared" si="2"/>
        <v>5.733369108139283</v>
      </c>
      <c r="W24" s="41">
        <v>4</v>
      </c>
      <c r="X24" s="41">
        <v>32</v>
      </c>
      <c r="Y24" s="41" t="s">
        <v>83</v>
      </c>
    </row>
    <row r="25" spans="1:25" ht="15" customHeight="1" x14ac:dyDescent="0.25">
      <c r="A25" s="40"/>
      <c r="B25" s="41"/>
      <c r="C25" s="42" t="s">
        <v>118</v>
      </c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>
        <f>SUM(P4:P24)</f>
        <v>142980</v>
      </c>
      <c r="Q25" s="16">
        <f>SUM(Q4:Q24)</f>
        <v>353.61440833401667</v>
      </c>
      <c r="R25" s="16"/>
      <c r="S25" s="44"/>
      <c r="T25" s="16"/>
      <c r="U25" s="16"/>
      <c r="V25" s="16">
        <f>SUM(V4:V24)</f>
        <v>327.86512932017837</v>
      </c>
      <c r="W25" s="45"/>
      <c r="X25" s="41"/>
      <c r="Y25" s="41"/>
    </row>
    <row r="26" spans="1:25" ht="15.6" x14ac:dyDescent="0.25">
      <c r="A26" s="2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2"/>
      <c r="U26" s="42"/>
      <c r="V26" s="41"/>
      <c r="W26" s="2"/>
      <c r="X26" s="2"/>
      <c r="Y26" s="2"/>
    </row>
    <row r="27" spans="1:25" x14ac:dyDescent="0.25">
      <c r="A27" s="2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mergeCells count="14">
    <mergeCell ref="F1:I2"/>
    <mergeCell ref="J1:P1"/>
    <mergeCell ref="J2:L2"/>
    <mergeCell ref="M2:O2"/>
    <mergeCell ref="P2:P3"/>
    <mergeCell ref="X2:X3"/>
    <mergeCell ref="Y2:Y3"/>
    <mergeCell ref="U2:U3"/>
    <mergeCell ref="Q2:Q3"/>
    <mergeCell ref="W2:W3"/>
    <mergeCell ref="R2:R3"/>
    <mergeCell ref="S2:S3"/>
    <mergeCell ref="T2:T3"/>
    <mergeCell ref="V2:V3"/>
  </mergeCells>
  <pageMargins left="0.39374999999999999" right="0.563194444444444" top="1.0249999999999999" bottom="1.0249999999999999" header="0.78749999999999998" footer="0.78749999999999998"/>
  <pageSetup paperSize="8" scale="87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H21"/>
  <sheetViews>
    <sheetView topLeftCell="A3" zoomScale="85" zoomScaleNormal="85" workbookViewId="0">
      <selection activeCell="B18" sqref="B18"/>
    </sheetView>
  </sheetViews>
  <sheetFormatPr defaultRowHeight="13.2" x14ac:dyDescent="0.25"/>
  <cols>
    <col min="1" max="1" width="24.88671875" customWidth="1"/>
    <col min="2" max="4" width="29.33203125" customWidth="1"/>
    <col min="5" max="5" width="48.6640625" customWidth="1"/>
    <col min="8" max="9" width="21.5546875" customWidth="1"/>
  </cols>
  <sheetData>
    <row r="1" spans="1:8" ht="15.6" x14ac:dyDescent="0.25">
      <c r="A1" s="37" t="s">
        <v>50</v>
      </c>
      <c r="B1" s="37" t="s">
        <v>52</v>
      </c>
      <c r="C1" s="37" t="s">
        <v>77</v>
      </c>
      <c r="D1" s="37" t="s">
        <v>81</v>
      </c>
      <c r="E1" s="37" t="s">
        <v>53</v>
      </c>
      <c r="F1" s="34"/>
      <c r="G1" s="34"/>
    </row>
    <row r="2" spans="1:8" ht="26.4" x14ac:dyDescent="0.25">
      <c r="A2" s="35" t="s">
        <v>51</v>
      </c>
      <c r="B2" s="35" t="s">
        <v>76</v>
      </c>
      <c r="C2" s="35">
        <f>1000/(SQRT(3)*380*1)</f>
        <v>1.51934281365691</v>
      </c>
      <c r="D2" s="35"/>
      <c r="E2" s="38" t="s">
        <v>54</v>
      </c>
      <c r="F2" s="34"/>
      <c r="G2" s="34"/>
    </row>
    <row r="3" spans="1:8" ht="26.4" x14ac:dyDescent="0.25">
      <c r="A3" s="35" t="s">
        <v>55</v>
      </c>
      <c r="B3" s="35" t="s">
        <v>57</v>
      </c>
      <c r="C3" s="35">
        <f>120/220</f>
        <v>0.54545454545454541</v>
      </c>
      <c r="D3" s="35"/>
      <c r="E3" s="36" t="s">
        <v>56</v>
      </c>
      <c r="F3" s="34"/>
      <c r="G3" s="34"/>
    </row>
    <row r="4" spans="1:8" ht="52.8" x14ac:dyDescent="0.25">
      <c r="A4" s="35" t="s">
        <v>58</v>
      </c>
      <c r="B4" s="35" t="s">
        <v>59</v>
      </c>
      <c r="C4" s="35">
        <f>2000/(SQRT(3)*380*1)</f>
        <v>3.0386856273138201</v>
      </c>
      <c r="D4" s="35"/>
      <c r="E4" s="38" t="s">
        <v>60</v>
      </c>
      <c r="F4" s="34"/>
      <c r="G4" s="34"/>
    </row>
    <row r="5" spans="1:8" ht="26.4" x14ac:dyDescent="0.25">
      <c r="A5" s="35" t="s">
        <v>63</v>
      </c>
      <c r="B5" s="35" t="s">
        <v>61</v>
      </c>
      <c r="C5" s="35">
        <f>68000/(SQRT(3)*380*1)</f>
        <v>103.31531132866988</v>
      </c>
      <c r="D5" s="48">
        <f>0.554/1000</f>
        <v>5.5400000000000002E-4</v>
      </c>
      <c r="E5" s="38" t="s">
        <v>62</v>
      </c>
      <c r="F5" s="34"/>
      <c r="G5" s="34"/>
    </row>
    <row r="6" spans="1:8" ht="26.4" x14ac:dyDescent="0.25">
      <c r="A6" s="35" t="s">
        <v>64</v>
      </c>
      <c r="B6" s="35" t="s">
        <v>65</v>
      </c>
      <c r="C6" s="35">
        <f>34000/(SQRT(3)*380*1)</f>
        <v>51.657655664334939</v>
      </c>
      <c r="D6" s="35"/>
      <c r="E6" s="38" t="s">
        <v>66</v>
      </c>
      <c r="F6" s="34"/>
      <c r="G6" s="34"/>
    </row>
    <row r="7" spans="1:8" ht="26.4" x14ac:dyDescent="0.25">
      <c r="A7" s="35" t="s">
        <v>67</v>
      </c>
      <c r="B7" s="35" t="s">
        <v>69</v>
      </c>
      <c r="C7" s="35">
        <v>8</v>
      </c>
      <c r="D7" s="35"/>
      <c r="E7" s="38" t="s">
        <v>68</v>
      </c>
      <c r="F7" s="34"/>
      <c r="G7" s="34"/>
    </row>
    <row r="8" spans="1:8" x14ac:dyDescent="0.25">
      <c r="A8" s="35" t="s">
        <v>70</v>
      </c>
      <c r="B8" s="35" t="s">
        <v>78</v>
      </c>
      <c r="C8" s="35">
        <f>1980/220</f>
        <v>9</v>
      </c>
      <c r="D8" s="35"/>
      <c r="E8" s="36"/>
      <c r="F8" s="34"/>
      <c r="G8" s="34"/>
    </row>
    <row r="9" spans="1:8" ht="24.6" customHeight="1" x14ac:dyDescent="0.25">
      <c r="A9" s="35"/>
      <c r="B9" s="39"/>
      <c r="C9" s="39"/>
      <c r="D9" s="39"/>
      <c r="E9" s="36"/>
      <c r="F9" s="34"/>
      <c r="G9" s="34"/>
    </row>
    <row r="10" spans="1:8" ht="24.6" customHeight="1" x14ac:dyDescent="0.25">
      <c r="A10" s="34"/>
      <c r="B10" s="34"/>
      <c r="C10" s="34"/>
      <c r="D10" s="34"/>
      <c r="E10" s="34"/>
      <c r="F10" s="34"/>
      <c r="G10" s="34" t="s">
        <v>103</v>
      </c>
      <c r="H10" t="s">
        <v>104</v>
      </c>
    </row>
    <row r="11" spans="1:8" x14ac:dyDescent="0.25">
      <c r="A11" s="34"/>
      <c r="B11" s="34"/>
      <c r="C11" s="34"/>
      <c r="D11" s="34"/>
      <c r="E11" s="34"/>
      <c r="F11" s="34"/>
      <c r="G11" s="34">
        <v>4</v>
      </c>
      <c r="H11">
        <f>4.95/1000</f>
        <v>4.9500000000000004E-3</v>
      </c>
    </row>
    <row r="12" spans="1:8" x14ac:dyDescent="0.25">
      <c r="A12" s="34"/>
      <c r="B12" s="34"/>
      <c r="C12" s="34"/>
      <c r="D12" s="34"/>
      <c r="E12" s="34"/>
      <c r="F12" s="34"/>
      <c r="G12" s="34">
        <v>2.5</v>
      </c>
      <c r="H12">
        <f>8.21/1000</f>
        <v>8.2100000000000003E-3</v>
      </c>
    </row>
    <row r="13" spans="1:8" x14ac:dyDescent="0.25">
      <c r="A13" s="34"/>
      <c r="B13" s="34"/>
      <c r="C13" s="34"/>
      <c r="D13" s="34"/>
      <c r="E13" s="34"/>
      <c r="F13" s="34"/>
      <c r="G13" s="34">
        <v>10</v>
      </c>
      <c r="H13">
        <f>1.91/1000</f>
        <v>1.91E-3</v>
      </c>
    </row>
    <row r="14" spans="1:8" ht="15.6" x14ac:dyDescent="0.25">
      <c r="A14" s="37" t="s">
        <v>71</v>
      </c>
      <c r="B14" s="37" t="s">
        <v>33</v>
      </c>
      <c r="C14" s="46"/>
      <c r="D14" s="46"/>
      <c r="E14" s="34"/>
      <c r="F14" s="34"/>
      <c r="G14" s="34">
        <v>25</v>
      </c>
      <c r="H14">
        <f>0.727/1000</f>
        <v>7.27E-4</v>
      </c>
    </row>
    <row r="15" spans="1:8" x14ac:dyDescent="0.25">
      <c r="A15" s="35" t="s">
        <v>72</v>
      </c>
      <c r="B15" s="36">
        <v>300</v>
      </c>
      <c r="C15" s="47"/>
      <c r="D15" s="47"/>
      <c r="G15">
        <v>35</v>
      </c>
      <c r="H15" s="48">
        <f>0.554/1000</f>
        <v>5.5400000000000002E-4</v>
      </c>
    </row>
    <row r="16" spans="1:8" x14ac:dyDescent="0.25">
      <c r="A16" s="35" t="s">
        <v>73</v>
      </c>
      <c r="B16" s="36">
        <v>1000</v>
      </c>
      <c r="C16" s="47"/>
      <c r="D16" s="47"/>
    </row>
    <row r="17" spans="1:4" x14ac:dyDescent="0.25">
      <c r="A17" s="35" t="s">
        <v>74</v>
      </c>
      <c r="B17" s="36">
        <v>80</v>
      </c>
      <c r="C17" s="47"/>
      <c r="D17" s="47"/>
    </row>
    <row r="18" spans="1:4" ht="26.4" x14ac:dyDescent="0.25">
      <c r="A18" s="35" t="s">
        <v>79</v>
      </c>
      <c r="B18" s="36">
        <v>500</v>
      </c>
      <c r="C18" s="47"/>
      <c r="D18" s="47"/>
    </row>
    <row r="19" spans="1:4" x14ac:dyDescent="0.25">
      <c r="A19" s="35" t="s">
        <v>75</v>
      </c>
      <c r="B19" s="36">
        <v>100</v>
      </c>
      <c r="C19" s="47"/>
      <c r="D19" s="47"/>
    </row>
    <row r="21" spans="1:4" x14ac:dyDescent="0.25">
      <c r="A21" s="35" t="s">
        <v>38</v>
      </c>
      <c r="B21" s="36">
        <f>SUM(B15:B19)</f>
        <v>1980</v>
      </c>
      <c r="C21" s="47"/>
      <c r="D21" s="47"/>
    </row>
  </sheetData>
  <hyperlinks>
    <hyperlink ref="E4" r:id="rId1" xr:uid="{F46712CA-43A2-46FD-A796-763BEF2C7A93}"/>
    <hyperlink ref="E5" r:id="rId2" xr:uid="{6C62D24E-D37B-4A7E-BE62-AC15AF946261}"/>
    <hyperlink ref="E6" r:id="rId3" xr:uid="{F4988C85-937B-4CE5-8C95-53BA00A5E86A}"/>
    <hyperlink ref="E7" r:id="rId4" xr:uid="{790F3034-2945-4553-ACD2-8CB7BB3BA80E}"/>
    <hyperlink ref="E2" r:id="rId5" xr:uid="{DC371EC6-3B06-446D-9636-ACBCB310ADED}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28" t="s">
        <v>33</v>
      </c>
      <c r="C1" s="28" t="s">
        <v>34</v>
      </c>
      <c r="D1" s="28" t="s">
        <v>35</v>
      </c>
    </row>
    <row r="2" spans="1:4" x14ac:dyDescent="0.25">
      <c r="A2" s="28" t="s">
        <v>32</v>
      </c>
      <c r="B2" s="29" t="e">
        <f>SUM('Quadro de cargas'!#REF!)*Parâmetros!B1</f>
        <v>#REF!</v>
      </c>
      <c r="C2" s="30">
        <v>0.59</v>
      </c>
      <c r="D2" s="29" t="e">
        <f>C2*B2</f>
        <v>#REF!</v>
      </c>
    </row>
    <row r="3" spans="1:4" x14ac:dyDescent="0.25">
      <c r="A3" s="28" t="s">
        <v>36</v>
      </c>
      <c r="B3" s="29" t="e">
        <f>(SUM('Quadro de cargas'!#REF!)-'Quadro de cargas'!#REF!)*Parâmetros!B1</f>
        <v>#REF!</v>
      </c>
      <c r="C3" s="30">
        <v>0.24</v>
      </c>
      <c r="D3" s="29" t="e">
        <f t="shared" ref="D3" si="0">C3*B3</f>
        <v>#REF!</v>
      </c>
    </row>
    <row r="4" spans="1:4" x14ac:dyDescent="0.25">
      <c r="A4" s="28" t="s">
        <v>37</v>
      </c>
      <c r="B4" s="29">
        <f>SUM('Quadro de cargas'!V4:V4)*Parâmetros!B1</f>
        <v>18920.118056859632</v>
      </c>
      <c r="C4" s="30">
        <v>1</v>
      </c>
      <c r="D4" s="29">
        <f>C4*B4</f>
        <v>18920.118056859632</v>
      </c>
    </row>
    <row r="5" spans="1:4" x14ac:dyDescent="0.25">
      <c r="A5" s="28" t="s">
        <v>40</v>
      </c>
      <c r="B5" s="29" t="e">
        <f>'Quadro de cargas'!#REF!*Parâmetros!B1</f>
        <v>#REF!</v>
      </c>
      <c r="C5" s="30">
        <v>1</v>
      </c>
      <c r="D5" s="29" t="e">
        <f>C5*B5</f>
        <v>#REF!</v>
      </c>
    </row>
    <row r="6" spans="1:4" x14ac:dyDescent="0.25">
      <c r="B6" s="26"/>
      <c r="C6" s="25"/>
      <c r="D6" s="26"/>
    </row>
    <row r="7" spans="1:4" x14ac:dyDescent="0.25">
      <c r="B7" s="26"/>
      <c r="C7" s="25"/>
      <c r="D7" s="26"/>
    </row>
    <row r="8" spans="1:4" x14ac:dyDescent="0.25">
      <c r="B8" s="26"/>
      <c r="C8" s="31" t="s">
        <v>38</v>
      </c>
      <c r="D8" s="29" t="e">
        <f>SUM(D2:D6)</f>
        <v>#REF!</v>
      </c>
    </row>
    <row r="9" spans="1:4" x14ac:dyDescent="0.25">
      <c r="C9" s="28" t="s">
        <v>39</v>
      </c>
      <c r="D9" s="32" t="e">
        <f>D8/(Parâmetros!B3*SQRT(3))</f>
        <v>#REF!</v>
      </c>
    </row>
    <row r="10" spans="1:4" x14ac:dyDescent="0.25">
      <c r="C10" s="28" t="s">
        <v>41</v>
      </c>
      <c r="D10" s="32" t="s">
        <v>49</v>
      </c>
    </row>
    <row r="12" spans="1:4" x14ac:dyDescent="0.25">
      <c r="C12" s="28" t="s">
        <v>42</v>
      </c>
      <c r="D12" s="32">
        <v>5.0999999999999996</v>
      </c>
    </row>
    <row r="13" spans="1:4" x14ac:dyDescent="0.25">
      <c r="C13" s="28" t="s">
        <v>43</v>
      </c>
      <c r="D13" s="32">
        <v>4</v>
      </c>
    </row>
    <row r="14" spans="1:4" x14ac:dyDescent="0.25">
      <c r="C14" s="28" t="s">
        <v>44</v>
      </c>
      <c r="D14" s="32">
        <f>3.1415*(D12/2)^2*D13</f>
        <v>81.710414999999998</v>
      </c>
    </row>
    <row r="16" spans="1:4" x14ac:dyDescent="0.25">
      <c r="C16" s="28" t="s">
        <v>45</v>
      </c>
      <c r="D16" s="32">
        <v>1</v>
      </c>
    </row>
    <row r="17" spans="2:4" x14ac:dyDescent="0.25">
      <c r="C17" s="28" t="s">
        <v>46</v>
      </c>
      <c r="D17" s="32">
        <f>3.1415*((D16*25.4)/2)^2</f>
        <v>506.69253500000002</v>
      </c>
    </row>
    <row r="18" spans="2:4" x14ac:dyDescent="0.25">
      <c r="C18" s="28" t="s">
        <v>47</v>
      </c>
      <c r="D18" s="33">
        <f>D14/D17</f>
        <v>0.16126232252464504</v>
      </c>
    </row>
    <row r="23" spans="2:4" x14ac:dyDescent="0.25">
      <c r="B23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5" customWidth="1"/>
    <col min="4" max="4" width="15" customWidth="1"/>
    <col min="5" max="5" width="28.33203125" customWidth="1"/>
  </cols>
  <sheetData>
    <row r="1" spans="1:8" ht="24.6" customHeight="1" x14ac:dyDescent="0.25">
      <c r="A1" s="14" t="s">
        <v>18</v>
      </c>
      <c r="B1" s="14" t="s">
        <v>23</v>
      </c>
      <c r="C1" s="14" t="s">
        <v>24</v>
      </c>
      <c r="D1" s="13" t="s">
        <v>27</v>
      </c>
      <c r="E1" s="14" t="s">
        <v>25</v>
      </c>
      <c r="F1" s="14"/>
      <c r="G1" s="17"/>
    </row>
    <row r="2" spans="1:8" ht="18" customHeight="1" x14ac:dyDescent="0.25">
      <c r="A2" s="12"/>
      <c r="B2" s="16"/>
      <c r="C2" s="16"/>
      <c r="D2" s="16"/>
      <c r="E2" s="16"/>
      <c r="F2" s="16"/>
      <c r="G2" s="17"/>
    </row>
    <row r="3" spans="1:8" ht="18" customHeight="1" x14ac:dyDescent="0.25">
      <c r="A3" s="12"/>
      <c r="B3" s="16"/>
      <c r="C3" s="16"/>
      <c r="D3" s="16"/>
      <c r="E3" s="16"/>
      <c r="F3" s="16"/>
      <c r="G3" s="17"/>
    </row>
    <row r="4" spans="1:8" ht="18" customHeight="1" x14ac:dyDescent="0.25">
      <c r="A4" s="12"/>
      <c r="B4" s="16"/>
      <c r="C4" s="16"/>
      <c r="D4" s="16"/>
      <c r="E4" s="16"/>
      <c r="F4" s="16"/>
      <c r="G4" s="17"/>
    </row>
    <row r="5" spans="1:8" ht="18" customHeight="1" x14ac:dyDescent="0.25">
      <c r="A5" s="12"/>
      <c r="B5" s="16"/>
      <c r="C5" s="16"/>
      <c r="D5" s="16"/>
      <c r="E5" s="16"/>
      <c r="F5" s="16"/>
      <c r="G5" s="17"/>
    </row>
    <row r="6" spans="1:8" ht="18" customHeight="1" x14ac:dyDescent="0.25">
      <c r="A6" s="12"/>
      <c r="B6" s="16"/>
      <c r="C6" s="16"/>
      <c r="D6" s="16"/>
      <c r="E6" s="16"/>
      <c r="F6" s="16"/>
      <c r="G6" s="17"/>
    </row>
    <row r="7" spans="1:8" ht="18" customHeight="1" x14ac:dyDescent="0.25">
      <c r="A7" s="12"/>
      <c r="B7" s="16"/>
      <c r="C7" s="16"/>
      <c r="D7" s="16"/>
      <c r="E7" s="16"/>
      <c r="F7" s="16"/>
      <c r="G7" s="17"/>
    </row>
    <row r="8" spans="1:8" ht="18" customHeight="1" x14ac:dyDescent="0.25">
      <c r="A8" s="12"/>
      <c r="B8" s="18"/>
      <c r="C8" s="16"/>
      <c r="D8" s="16"/>
      <c r="E8" s="16"/>
      <c r="F8" s="16"/>
      <c r="G8" s="17"/>
    </row>
    <row r="9" spans="1:8" ht="18" customHeight="1" x14ac:dyDescent="0.25">
      <c r="A9" s="19"/>
      <c r="B9" s="18"/>
      <c r="C9" s="18"/>
      <c r="D9" s="18"/>
      <c r="E9" s="16"/>
      <c r="F9" s="18"/>
      <c r="G9" s="17"/>
    </row>
    <row r="10" spans="1:8" ht="18" customHeight="1" x14ac:dyDescent="0.25">
      <c r="A10" s="19"/>
      <c r="B10" s="18"/>
      <c r="C10" s="18"/>
      <c r="D10" s="18"/>
      <c r="E10" s="16"/>
      <c r="F10" s="18"/>
      <c r="G10" s="17"/>
    </row>
    <row r="11" spans="1:8" ht="18" customHeight="1" x14ac:dyDescent="0.25">
      <c r="A11" s="19"/>
      <c r="B11" s="18"/>
      <c r="C11" s="18"/>
      <c r="D11" s="18"/>
      <c r="E11" s="18"/>
      <c r="F11" s="18"/>
      <c r="G11" s="17"/>
    </row>
    <row r="12" spans="1:8" ht="18" customHeight="1" x14ac:dyDescent="0.25">
      <c r="A12" s="19"/>
      <c r="B12" s="18"/>
      <c r="C12" s="18"/>
      <c r="D12" s="18"/>
      <c r="E12" s="18"/>
      <c r="F12" s="18"/>
      <c r="G12" s="17"/>
    </row>
    <row r="13" spans="1:8" x14ac:dyDescent="0.25">
      <c r="A13" s="19"/>
      <c r="B13" s="18"/>
      <c r="C13" s="18"/>
      <c r="D13" s="18"/>
      <c r="E13" s="18"/>
      <c r="F13" s="18"/>
      <c r="G13" s="20"/>
      <c r="H13" s="20"/>
    </row>
    <row r="14" spans="1:8" x14ac:dyDescent="0.25">
      <c r="A14" s="17"/>
      <c r="B14" s="20"/>
      <c r="C14" s="20"/>
      <c r="D14" s="17"/>
      <c r="E14" s="17"/>
      <c r="F14" s="17"/>
      <c r="G14" s="17"/>
    </row>
    <row r="15" spans="1:8" x14ac:dyDescent="0.25">
      <c r="A15" s="17"/>
      <c r="B15" s="20"/>
      <c r="C15" s="20"/>
      <c r="D15" s="17"/>
      <c r="E15" s="17"/>
      <c r="F15" s="17"/>
      <c r="G15" s="17"/>
    </row>
    <row r="16" spans="1:8" x14ac:dyDescent="0.25">
      <c r="A16" s="17"/>
      <c r="B16" s="20"/>
      <c r="C16" s="20"/>
      <c r="D16" s="17"/>
      <c r="E16" s="17"/>
      <c r="F16" s="17"/>
      <c r="G16" s="17"/>
    </row>
    <row r="17" spans="1:7" x14ac:dyDescent="0.25">
      <c r="A17" s="17"/>
      <c r="B17" s="20"/>
      <c r="C17" s="20"/>
      <c r="D17" s="17"/>
      <c r="E17" s="17"/>
      <c r="F17" s="17"/>
      <c r="G17" s="17"/>
    </row>
    <row r="18" spans="1:7" x14ac:dyDescent="0.25">
      <c r="A18" s="17"/>
      <c r="B18" s="20"/>
      <c r="C18" s="20"/>
      <c r="D18" s="17"/>
      <c r="E18" s="17"/>
      <c r="F18" s="17"/>
      <c r="G18" s="17"/>
    </row>
    <row r="19" spans="1:7" x14ac:dyDescent="0.25">
      <c r="A19" s="17"/>
      <c r="B19" s="20"/>
      <c r="C19" s="20"/>
      <c r="D19" s="17"/>
      <c r="E19" s="17"/>
      <c r="F19" s="17"/>
      <c r="G19" s="17"/>
    </row>
    <row r="20" spans="1:7" x14ac:dyDescent="0.25">
      <c r="A20" s="17"/>
      <c r="B20" s="20"/>
      <c r="C20" s="20"/>
      <c r="D20" s="17"/>
      <c r="E20" s="17"/>
      <c r="F20" s="17"/>
      <c r="G20" s="17"/>
    </row>
    <row r="21" spans="1:7" x14ac:dyDescent="0.25">
      <c r="A21" s="17"/>
      <c r="B21" s="20"/>
      <c r="C21" s="20"/>
      <c r="D21" s="17"/>
      <c r="E21" s="17"/>
      <c r="F21" s="17"/>
      <c r="G21" s="17"/>
    </row>
    <row r="22" spans="1:7" x14ac:dyDescent="0.25">
      <c r="A22" s="17"/>
      <c r="B22" s="20"/>
      <c r="C22" s="20"/>
      <c r="D22" s="17"/>
      <c r="E22" s="17"/>
      <c r="F22" s="17"/>
      <c r="G22" s="17"/>
    </row>
    <row r="23" spans="1:7" x14ac:dyDescent="0.25">
      <c r="A23" s="17"/>
      <c r="B23" s="20"/>
      <c r="C23" s="20"/>
      <c r="D23" s="17"/>
      <c r="E23" s="17"/>
      <c r="F23" s="17"/>
      <c r="G23" s="17"/>
    </row>
    <row r="24" spans="1:7" x14ac:dyDescent="0.25">
      <c r="A24" s="17"/>
      <c r="B24" s="20"/>
      <c r="C24" s="20"/>
      <c r="D24" s="17"/>
      <c r="E24" s="17"/>
      <c r="F24" s="17"/>
      <c r="G24" s="17"/>
    </row>
    <row r="25" spans="1:7" x14ac:dyDescent="0.25">
      <c r="A25" s="17"/>
      <c r="B25" s="20"/>
      <c r="C25" s="20"/>
      <c r="D25" s="17"/>
      <c r="E25" s="17"/>
      <c r="F25" s="17"/>
      <c r="G25" s="1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4" t="s">
        <v>26</v>
      </c>
      <c r="B1">
        <v>220</v>
      </c>
    </row>
    <row r="2" spans="1:2" x14ac:dyDescent="0.25">
      <c r="A2" s="14" t="s">
        <v>15</v>
      </c>
      <c r="B2">
        <v>1.06</v>
      </c>
    </row>
    <row r="3" spans="1:2" x14ac:dyDescent="0.25">
      <c r="A3" s="14" t="s">
        <v>48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B25:I32"/>
  <sheetViews>
    <sheetView topLeftCell="A9" zoomScale="85" zoomScaleNormal="85" workbookViewId="0">
      <selection activeCell="G25" sqref="G25"/>
    </sheetView>
  </sheetViews>
  <sheetFormatPr defaultRowHeight="13.2" x14ac:dyDescent="0.25"/>
  <cols>
    <col min="5" max="5" width="11.6640625" customWidth="1"/>
    <col min="8" max="8" width="17.5546875" customWidth="1"/>
  </cols>
  <sheetData>
    <row r="25" spans="2:9" x14ac:dyDescent="0.25">
      <c r="G25" t="s">
        <v>28</v>
      </c>
    </row>
    <row r="30" spans="2:9" x14ac:dyDescent="0.25">
      <c r="B30" t="s">
        <v>111</v>
      </c>
      <c r="C30" t="s">
        <v>112</v>
      </c>
      <c r="D30" t="s">
        <v>113</v>
      </c>
      <c r="E30" t="s">
        <v>115</v>
      </c>
      <c r="F30" t="s">
        <v>114</v>
      </c>
      <c r="G30" t="s">
        <v>23</v>
      </c>
      <c r="H30" t="s">
        <v>116</v>
      </c>
      <c r="I30" t="s">
        <v>117</v>
      </c>
    </row>
    <row r="31" spans="2:9" x14ac:dyDescent="0.25">
      <c r="B31">
        <v>35</v>
      </c>
      <c r="C31">
        <v>9.5</v>
      </c>
      <c r="D31">
        <f>C31*C31*3.1415</f>
        <v>283.520375</v>
      </c>
      <c r="E31">
        <v>5</v>
      </c>
      <c r="F31">
        <v>38.1</v>
      </c>
      <c r="G31">
        <f>F31*F31*3.1415</f>
        <v>4560.2328150000003</v>
      </c>
      <c r="H31">
        <f>E31*D31</f>
        <v>1417.6018750000001</v>
      </c>
      <c r="I31">
        <f>H31/G31</f>
        <v>0.3108617328345768</v>
      </c>
    </row>
    <row r="32" spans="2:9" x14ac:dyDescent="0.25">
      <c r="B32">
        <v>4</v>
      </c>
      <c r="C32">
        <v>2.65</v>
      </c>
      <c r="D32">
        <f>C32*C32*3.1415</f>
        <v>22.061183750000001</v>
      </c>
      <c r="E32">
        <v>3</v>
      </c>
      <c r="F32">
        <v>25</v>
      </c>
      <c r="G32">
        <f>F32*F32*3.1415</f>
        <v>1963.4375</v>
      </c>
      <c r="H32">
        <f>E32*D32</f>
        <v>66.183551250000008</v>
      </c>
      <c r="I32">
        <f>H32/G32</f>
        <v>3.3708000000000002E-2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2023-11-27T03:17:42Z</cp:lastPrinted>
  <dcterms:created xsi:type="dcterms:W3CDTF">2020-09-02T09:03:07Z</dcterms:created>
  <dcterms:modified xsi:type="dcterms:W3CDTF">2023-11-27T03:19:47Z</dcterms:modified>
  <dc:language>pt-BR</dc:language>
</cp:coreProperties>
</file>