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\Desktop\Dropbox\Carreira\01_ESAMC\Aulas\2021S1\Econometria\AulasPraticas\"/>
    </mc:Choice>
  </mc:AlternateContent>
  <xr:revisionPtr revIDLastSave="0" documentId="13_ncr:1_{328688FB-0B96-4AE3-B50D-719B556DDDE1}" xr6:coauthVersionLast="46" xr6:coauthVersionMax="46" xr10:uidLastSave="{00000000-0000-0000-0000-000000000000}"/>
  <bookViews>
    <workbookView xWindow="-120" yWindow="-120" windowWidth="29040" windowHeight="15840" activeTab="3" xr2:uid="{97944415-74B2-495D-BDE2-73EA2CA00E15}"/>
  </bookViews>
  <sheets>
    <sheet name="Dados" sheetId="1" r:id="rId1"/>
    <sheet name="Matrizes" sheetId="2" r:id="rId2"/>
    <sheet name="Contribuição Marginal" sheetId="3" r:id="rId3"/>
    <sheet name="Dados (2)" sheetId="6" r:id="rId4"/>
    <sheet name="Matrizes (2)" sheetId="7" r:id="rId5"/>
  </sheets>
  <definedNames>
    <definedName name="_xlnm._FilterDatabase" localSheetId="3" hidden="1">'Dados (2)'!$A$1:$E$29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6" l="1"/>
  <c r="I27" i="6"/>
  <c r="C3" i="6"/>
  <c r="C4" i="6"/>
  <c r="C5" i="6"/>
  <c r="K3" i="6" s="1"/>
  <c r="C6" i="6"/>
  <c r="K4" i="6" s="1"/>
  <c r="C7" i="6"/>
  <c r="C8" i="6"/>
  <c r="C9" i="6"/>
  <c r="C10" i="7" s="1"/>
  <c r="C10" i="6"/>
  <c r="C11" i="7" s="1"/>
  <c r="C11" i="6"/>
  <c r="C12" i="6"/>
  <c r="C13" i="6"/>
  <c r="C14" i="7" s="1"/>
  <c r="C14" i="6"/>
  <c r="C15" i="7" s="1"/>
  <c r="C15" i="6"/>
  <c r="C16" i="6"/>
  <c r="C17" i="6"/>
  <c r="C18" i="7" s="1"/>
  <c r="C18" i="6"/>
  <c r="C19" i="7" s="1"/>
  <c r="C19" i="6"/>
  <c r="C20" i="6"/>
  <c r="C21" i="6"/>
  <c r="C22" i="7" s="1"/>
  <c r="C22" i="6"/>
  <c r="C23" i="7" s="1"/>
  <c r="C23" i="6"/>
  <c r="C24" i="6"/>
  <c r="C25" i="6"/>
  <c r="C26" i="7" s="1"/>
  <c r="C26" i="6"/>
  <c r="C27" i="7" s="1"/>
  <c r="C27" i="6"/>
  <c r="C28" i="6"/>
  <c r="C2" i="6"/>
  <c r="D26" i="7"/>
  <c r="D22" i="7"/>
  <c r="D18" i="7"/>
  <c r="D14" i="7"/>
  <c r="D10" i="7"/>
  <c r="L5" i="6"/>
  <c r="B3" i="6"/>
  <c r="B4" i="6"/>
  <c r="B5" i="6"/>
  <c r="A6" i="7" s="1"/>
  <c r="B6" i="6"/>
  <c r="B7" i="6"/>
  <c r="B8" i="6"/>
  <c r="A9" i="7" s="1"/>
  <c r="B9" i="6"/>
  <c r="A10" i="7" s="1"/>
  <c r="B10" i="6"/>
  <c r="A11" i="7" s="1"/>
  <c r="B11" i="6"/>
  <c r="B12" i="6"/>
  <c r="A13" i="7" s="1"/>
  <c r="B13" i="6"/>
  <c r="A14" i="7" s="1"/>
  <c r="B14" i="6"/>
  <c r="A15" i="7" s="1"/>
  <c r="B15" i="6"/>
  <c r="B16" i="6"/>
  <c r="A17" i="7" s="1"/>
  <c r="B17" i="6"/>
  <c r="A18" i="7" s="1"/>
  <c r="B18" i="6"/>
  <c r="A19" i="7" s="1"/>
  <c r="B19" i="6"/>
  <c r="B20" i="6"/>
  <c r="B21" i="6"/>
  <c r="A22" i="7" s="1"/>
  <c r="B22" i="6"/>
  <c r="A23" i="7" s="1"/>
  <c r="B23" i="6"/>
  <c r="B24" i="6"/>
  <c r="A25" i="7" s="1"/>
  <c r="B25" i="6"/>
  <c r="A26" i="7" s="1"/>
  <c r="B26" i="6"/>
  <c r="A27" i="7" s="1"/>
  <c r="B27" i="6"/>
  <c r="B28" i="6"/>
  <c r="B2" i="6"/>
  <c r="M3" i="6"/>
  <c r="M4" i="6"/>
  <c r="M5" i="6"/>
  <c r="D3" i="7"/>
  <c r="E3" i="7"/>
  <c r="D4" i="7"/>
  <c r="E4" i="7"/>
  <c r="D5" i="7"/>
  <c r="E5" i="7"/>
  <c r="E6" i="7"/>
  <c r="D7" i="7"/>
  <c r="E7" i="7"/>
  <c r="D8" i="7"/>
  <c r="E8" i="7"/>
  <c r="D9" i="7"/>
  <c r="E9" i="7"/>
  <c r="E10" i="7"/>
  <c r="D11" i="7"/>
  <c r="E11" i="7"/>
  <c r="D12" i="7"/>
  <c r="E12" i="7"/>
  <c r="D13" i="7"/>
  <c r="E13" i="7"/>
  <c r="E14" i="7"/>
  <c r="D15" i="7"/>
  <c r="E15" i="7"/>
  <c r="D16" i="7"/>
  <c r="E16" i="7"/>
  <c r="D17" i="7"/>
  <c r="E17" i="7"/>
  <c r="E18" i="7"/>
  <c r="D19" i="7"/>
  <c r="E19" i="7"/>
  <c r="D20" i="7"/>
  <c r="E20" i="7"/>
  <c r="D21" i="7"/>
  <c r="E21" i="7"/>
  <c r="E22" i="7"/>
  <c r="D23" i="7"/>
  <c r="E23" i="7"/>
  <c r="D24" i="7"/>
  <c r="E24" i="7"/>
  <c r="D25" i="7"/>
  <c r="E25" i="7"/>
  <c r="E26" i="7"/>
  <c r="D27" i="7"/>
  <c r="E27" i="7"/>
  <c r="D28" i="7"/>
  <c r="E28" i="7"/>
  <c r="D29" i="7"/>
  <c r="E29" i="7"/>
  <c r="C4" i="7"/>
  <c r="C5" i="7"/>
  <c r="C8" i="7"/>
  <c r="C9" i="7"/>
  <c r="C12" i="7"/>
  <c r="C13" i="7"/>
  <c r="C16" i="7"/>
  <c r="C17" i="7"/>
  <c r="C20" i="7"/>
  <c r="C21" i="7"/>
  <c r="C24" i="7"/>
  <c r="C25" i="7"/>
  <c r="C28" i="7"/>
  <c r="C29" i="7"/>
  <c r="A4" i="7"/>
  <c r="A5" i="7"/>
  <c r="A8" i="7"/>
  <c r="A12" i="7"/>
  <c r="A16" i="7"/>
  <c r="A20" i="7"/>
  <c r="A21" i="7"/>
  <c r="A24" i="7"/>
  <c r="A28" i="7"/>
  <c r="A29" i="7"/>
  <c r="C3" i="7"/>
  <c r="O27" i="3"/>
  <c r="N27" i="3"/>
  <c r="O26" i="3"/>
  <c r="N26" i="3"/>
  <c r="P26" i="3" s="1"/>
  <c r="O25" i="3"/>
  <c r="N25" i="3"/>
  <c r="P25" i="3"/>
  <c r="O23" i="3"/>
  <c r="P23" i="3" s="1"/>
  <c r="AA23" i="3"/>
  <c r="AB23" i="3" s="1"/>
  <c r="AL28" i="3"/>
  <c r="AA27" i="3" s="1"/>
  <c r="AL27" i="3"/>
  <c r="AM27" i="3" s="1"/>
  <c r="AL26" i="3"/>
  <c r="AL25" i="3" s="1"/>
  <c r="AL24" i="3"/>
  <c r="AM24" i="3" s="1"/>
  <c r="AK27" i="3"/>
  <c r="AK28" i="3" s="1"/>
  <c r="Z27" i="3" s="1"/>
  <c r="C7" i="7" l="1"/>
  <c r="C6" i="7"/>
  <c r="K5" i="6"/>
  <c r="K2" i="6" s="1"/>
  <c r="L3" i="6"/>
  <c r="L4" i="6"/>
  <c r="D6" i="7"/>
  <c r="J5" i="6"/>
  <c r="A3" i="7"/>
  <c r="M2" i="6"/>
  <c r="L2" i="6"/>
  <c r="J3" i="6"/>
  <c r="A7" i="7"/>
  <c r="A32" i="7" s="1"/>
  <c r="J4" i="6"/>
  <c r="G3" i="7" a="1"/>
  <c r="AA6" i="7" s="1"/>
  <c r="O24" i="3"/>
  <c r="P24" i="3" s="1"/>
  <c r="Q24" i="3" s="1"/>
  <c r="AA25" i="3"/>
  <c r="AA26" i="3"/>
  <c r="Z26" i="3"/>
  <c r="Y29" i="3" s="1"/>
  <c r="AM25" i="3"/>
  <c r="AN25" i="3" s="1"/>
  <c r="AJ30" i="3"/>
  <c r="AM26" i="3"/>
  <c r="A31" i="7" l="1"/>
  <c r="D41" i="7" s="1"/>
  <c r="G27" i="7" a="1"/>
  <c r="G27" i="7" s="1"/>
  <c r="H31" i="7" s="1"/>
  <c r="E41" i="7" s="1"/>
  <c r="F41" i="7" s="1"/>
  <c r="J2" i="6"/>
  <c r="L6" i="7"/>
  <c r="R5" i="7"/>
  <c r="W4" i="7"/>
  <c r="AC3" i="7"/>
  <c r="H3" i="7"/>
  <c r="K6" i="7"/>
  <c r="P5" i="7"/>
  <c r="V4" i="7"/>
  <c r="AB3" i="7"/>
  <c r="Y6" i="7"/>
  <c r="K3" i="7"/>
  <c r="AA3" i="7"/>
  <c r="P4" i="7"/>
  <c r="AF4" i="7"/>
  <c r="U5" i="7"/>
  <c r="J6" i="7"/>
  <c r="Z6" i="7"/>
  <c r="AE5" i="7"/>
  <c r="O4" i="7"/>
  <c r="T6" i="7"/>
  <c r="P3" i="7"/>
  <c r="X5" i="7"/>
  <c r="I4" i="7"/>
  <c r="M6" i="7"/>
  <c r="Y4" i="7"/>
  <c r="I3" i="7"/>
  <c r="Z3" i="7"/>
  <c r="G6" i="7"/>
  <c r="AB6" i="7"/>
  <c r="V3" i="7"/>
  <c r="T4" i="7"/>
  <c r="AD6" i="7"/>
  <c r="AF6" i="7"/>
  <c r="AD5" i="7"/>
  <c r="I6" i="7"/>
  <c r="AE6" i="7"/>
  <c r="L5" i="7"/>
  <c r="R4" i="7"/>
  <c r="X3" i="7"/>
  <c r="AF5" i="7"/>
  <c r="K5" i="7"/>
  <c r="Q4" i="7"/>
  <c r="AC6" i="7"/>
  <c r="O3" i="7"/>
  <c r="AE3" i="7"/>
  <c r="I5" i="7"/>
  <c r="Y5" i="7"/>
  <c r="N6" i="7"/>
  <c r="T5" i="7"/>
  <c r="AF3" i="7"/>
  <c r="Z5" i="7"/>
  <c r="N5" i="7"/>
  <c r="Y3" i="7"/>
  <c r="N4" i="7"/>
  <c r="W6" i="7"/>
  <c r="AB5" i="7"/>
  <c r="G5" i="7"/>
  <c r="M4" i="7"/>
  <c r="R3" i="7"/>
  <c r="U6" i="7"/>
  <c r="AA5" i="7"/>
  <c r="AG4" i="7"/>
  <c r="K4" i="7"/>
  <c r="Q3" i="7"/>
  <c r="AG6" i="7"/>
  <c r="S3" i="7"/>
  <c r="H4" i="7"/>
  <c r="X4" i="7"/>
  <c r="M5" i="7"/>
  <c r="AC5" i="7"/>
  <c r="R6" i="7"/>
  <c r="D40" i="7"/>
  <c r="H39" i="7" s="1"/>
  <c r="J5" i="7"/>
  <c r="U3" i="7"/>
  <c r="AE4" i="7"/>
  <c r="S6" i="7"/>
  <c r="AD4" i="7"/>
  <c r="N3" i="7"/>
  <c r="S5" i="7"/>
  <c r="AD3" i="7"/>
  <c r="O5" i="7"/>
  <c r="Q6" i="7"/>
  <c r="W5" i="7"/>
  <c r="AC4" i="7"/>
  <c r="G4" i="7"/>
  <c r="M3" i="7"/>
  <c r="P6" i="7"/>
  <c r="V5" i="7"/>
  <c r="AA4" i="7"/>
  <c r="AG3" i="7"/>
  <c r="L3" i="7"/>
  <c r="G3" i="7"/>
  <c r="W3" i="7"/>
  <c r="L4" i="7"/>
  <c r="AB4" i="7"/>
  <c r="Q5" i="7"/>
  <c r="AG5" i="7"/>
  <c r="V6" i="7"/>
  <c r="O6" i="7"/>
  <c r="Z4" i="7"/>
  <c r="J3" i="7"/>
  <c r="J4" i="7"/>
  <c r="H6" i="7"/>
  <c r="S4" i="7"/>
  <c r="X6" i="7"/>
  <c r="H5" i="7"/>
  <c r="T3" i="7"/>
  <c r="U4" i="7"/>
  <c r="AB26" i="3"/>
  <c r="AB25" i="3"/>
  <c r="AA24" i="3"/>
  <c r="AB24" i="3" s="1"/>
  <c r="G20" i="7" l="1" a="1"/>
  <c r="G22" i="7" s="1"/>
  <c r="G13" i="7" a="1"/>
  <c r="J15" i="7" s="1"/>
  <c r="I61" i="7"/>
  <c r="AC24" i="3"/>
  <c r="G23" i="7" l="1"/>
  <c r="G20" i="7"/>
  <c r="G21" i="7"/>
  <c r="H15" i="7"/>
  <c r="G16" i="7"/>
  <c r="I16" i="7"/>
  <c r="J16" i="7"/>
  <c r="H14" i="7"/>
  <c r="G13" i="7"/>
  <c r="I13" i="7"/>
  <c r="J13" i="7"/>
  <c r="H16" i="7"/>
  <c r="G15" i="7"/>
  <c r="I14" i="7"/>
  <c r="J14" i="7"/>
  <c r="H13" i="7"/>
  <c r="N13" i="7" s="1" a="1"/>
  <c r="G14" i="7"/>
  <c r="I15" i="7"/>
  <c r="A32" i="2"/>
  <c r="A31" i="2"/>
  <c r="D40" i="2" s="1"/>
  <c r="G27" i="2" a="1"/>
  <c r="G27" i="2" s="1"/>
  <c r="H31" i="2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/>
  <c r="F27" i="1"/>
  <c r="G27" i="1" s="1"/>
  <c r="F28" i="1"/>
  <c r="G28" i="1" s="1"/>
  <c r="F2" i="1"/>
  <c r="G2" i="1" s="1"/>
  <c r="G3" i="2" a="1"/>
  <c r="P16" i="7" l="1"/>
  <c r="P15" i="7"/>
  <c r="P14" i="7"/>
  <c r="P13" i="7"/>
  <c r="O16" i="7"/>
  <c r="O15" i="7"/>
  <c r="O14" i="7"/>
  <c r="O13" i="7"/>
  <c r="Q15" i="7"/>
  <c r="Q13" i="7"/>
  <c r="Q16" i="7"/>
  <c r="Q14" i="7"/>
  <c r="N15" i="7"/>
  <c r="N13" i="7"/>
  <c r="N16" i="7"/>
  <c r="N14" i="7"/>
  <c r="E41" i="2"/>
  <c r="I61" i="2"/>
  <c r="H39" i="2"/>
  <c r="D41" i="2"/>
  <c r="G3" i="2"/>
  <c r="K3" i="2"/>
  <c r="O3" i="2"/>
  <c r="S3" i="2"/>
  <c r="W3" i="2"/>
  <c r="AA3" i="2"/>
  <c r="AE3" i="2"/>
  <c r="H4" i="2"/>
  <c r="L4" i="2"/>
  <c r="P4" i="2"/>
  <c r="T4" i="2"/>
  <c r="X4" i="2"/>
  <c r="AB4" i="2"/>
  <c r="AF4" i="2"/>
  <c r="I5" i="2"/>
  <c r="M5" i="2"/>
  <c r="Q5" i="2"/>
  <c r="U5" i="2"/>
  <c r="Y5" i="2"/>
  <c r="AC5" i="2"/>
  <c r="AG5" i="2"/>
  <c r="J6" i="2"/>
  <c r="N6" i="2"/>
  <c r="R6" i="2"/>
  <c r="V6" i="2"/>
  <c r="Z6" i="2"/>
  <c r="AD6" i="2"/>
  <c r="AG6" i="2"/>
  <c r="H3" i="2"/>
  <c r="L3" i="2"/>
  <c r="P3" i="2"/>
  <c r="T3" i="2"/>
  <c r="X3" i="2"/>
  <c r="AB3" i="2"/>
  <c r="AF3" i="2"/>
  <c r="I4" i="2"/>
  <c r="M4" i="2"/>
  <c r="Q4" i="2"/>
  <c r="U4" i="2"/>
  <c r="Y4" i="2"/>
  <c r="AC4" i="2"/>
  <c r="AG4" i="2"/>
  <c r="J5" i="2"/>
  <c r="N5" i="2"/>
  <c r="R5" i="2"/>
  <c r="V5" i="2"/>
  <c r="Z5" i="2"/>
  <c r="AD5" i="2"/>
  <c r="G6" i="2"/>
  <c r="K6" i="2"/>
  <c r="O6" i="2"/>
  <c r="S6" i="2"/>
  <c r="W6" i="2"/>
  <c r="AA6" i="2"/>
  <c r="AE6" i="2"/>
  <c r="I3" i="2"/>
  <c r="M3" i="2"/>
  <c r="Q3" i="2"/>
  <c r="U3" i="2"/>
  <c r="Y3" i="2"/>
  <c r="AC3" i="2"/>
  <c r="AG3" i="2"/>
  <c r="J4" i="2"/>
  <c r="N4" i="2"/>
  <c r="R4" i="2"/>
  <c r="V4" i="2"/>
  <c r="Z4" i="2"/>
  <c r="AD4" i="2"/>
  <c r="G5" i="2"/>
  <c r="K5" i="2"/>
  <c r="O5" i="2"/>
  <c r="S5" i="2"/>
  <c r="W5" i="2"/>
  <c r="AA5" i="2"/>
  <c r="AE5" i="2"/>
  <c r="H6" i="2"/>
  <c r="L6" i="2"/>
  <c r="P6" i="2"/>
  <c r="T6" i="2"/>
  <c r="X6" i="2"/>
  <c r="AB6" i="2"/>
  <c r="AF6" i="2"/>
  <c r="J3" i="2"/>
  <c r="N3" i="2"/>
  <c r="R3" i="2"/>
  <c r="Q6" i="2"/>
  <c r="AB5" i="2"/>
  <c r="L5" i="2"/>
  <c r="W4" i="2"/>
  <c r="G4" i="2"/>
  <c r="AC6" i="2"/>
  <c r="M6" i="2"/>
  <c r="X5" i="2"/>
  <c r="H5" i="2"/>
  <c r="S4" i="2"/>
  <c r="AD3" i="2"/>
  <c r="Y6" i="2"/>
  <c r="I6" i="2"/>
  <c r="T5" i="2"/>
  <c r="AE4" i="2"/>
  <c r="O4" i="2"/>
  <c r="Z3" i="2"/>
  <c r="U6" i="2"/>
  <c r="AF5" i="2"/>
  <c r="P5" i="2"/>
  <c r="AA4" i="2"/>
  <c r="K4" i="2"/>
  <c r="V3" i="2"/>
  <c r="N20" i="7" l="1" a="1"/>
  <c r="F41" i="2"/>
  <c r="N20" i="7" l="1"/>
  <c r="N23" i="7"/>
  <c r="N21" i="7"/>
  <c r="N22" i="7"/>
  <c r="G20" i="2" a="1"/>
  <c r="G20" i="2" s="1"/>
  <c r="G13" i="2" a="1"/>
  <c r="G13" i="2" s="1"/>
  <c r="I27" i="7" l="1" a="1"/>
  <c r="I27" i="7" s="1"/>
  <c r="G23" i="2"/>
  <c r="G22" i="2"/>
  <c r="G21" i="2"/>
  <c r="J15" i="2"/>
  <c r="J14" i="2"/>
  <c r="J13" i="2"/>
  <c r="I16" i="2"/>
  <c r="I15" i="2"/>
  <c r="I14" i="2"/>
  <c r="I13" i="2"/>
  <c r="H16" i="2"/>
  <c r="H15" i="2"/>
  <c r="H14" i="2"/>
  <c r="H13" i="2"/>
  <c r="N13" i="2" s="1" a="1"/>
  <c r="J16" i="2"/>
  <c r="G16" i="2"/>
  <c r="G15" i="2"/>
  <c r="G14" i="2"/>
  <c r="H32" i="7" l="1"/>
  <c r="H33" i="7"/>
  <c r="E40" i="7" s="1"/>
  <c r="F40" i="7" s="1"/>
  <c r="K42" i="7" s="1"/>
  <c r="N13" i="2"/>
  <c r="Q15" i="2"/>
  <c r="O13" i="2"/>
  <c r="P15" i="2"/>
  <c r="N16" i="2"/>
  <c r="P13" i="2"/>
  <c r="Q13" i="2"/>
  <c r="Q16" i="2"/>
  <c r="P14" i="2"/>
  <c r="N15" i="2"/>
  <c r="O16" i="2"/>
  <c r="Q14" i="2"/>
  <c r="O14" i="2"/>
  <c r="P16" i="2"/>
  <c r="O15" i="2"/>
  <c r="N14" i="2"/>
  <c r="E39" i="7" l="1"/>
  <c r="F39" i="7" s="1"/>
  <c r="G39" i="7" s="1"/>
  <c r="H34" i="7"/>
  <c r="H35" i="7"/>
  <c r="I50" i="7"/>
  <c r="I53" i="7" s="1" a="1"/>
  <c r="N20" i="2" a="1"/>
  <c r="I56" i="7" l="1"/>
  <c r="I55" i="7"/>
  <c r="I54" i="7"/>
  <c r="I53" i="7"/>
  <c r="I60" i="7" s="1"/>
  <c r="L56" i="7"/>
  <c r="L60" i="7" s="1"/>
  <c r="L55" i="7"/>
  <c r="L54" i="7"/>
  <c r="L53" i="7"/>
  <c r="K55" i="7"/>
  <c r="K60" i="7" s="1"/>
  <c r="K53" i="7"/>
  <c r="K56" i="7"/>
  <c r="J55" i="7"/>
  <c r="J53" i="7"/>
  <c r="K54" i="7"/>
  <c r="J56" i="7"/>
  <c r="J54" i="7"/>
  <c r="J60" i="7" s="1"/>
  <c r="N20" i="2"/>
  <c r="N21" i="2"/>
  <c r="N23" i="2"/>
  <c r="N22" i="2"/>
  <c r="I27" i="2" l="1" a="1"/>
  <c r="I27" i="2" s="1"/>
  <c r="H32" i="2" l="1"/>
  <c r="H33" i="2"/>
  <c r="E40" i="2" s="1"/>
  <c r="F40" i="2" s="1"/>
  <c r="K42" i="2" s="1"/>
  <c r="H35" i="2" l="1"/>
  <c r="E39" i="2"/>
  <c r="F39" i="2" s="1"/>
  <c r="G39" i="2" s="1"/>
  <c r="H34" i="2"/>
  <c r="I50" i="2"/>
  <c r="I53" i="2" s="1" a="1"/>
  <c r="I53" i="2" l="1"/>
  <c r="I60" i="2" s="1"/>
  <c r="L55" i="2"/>
  <c r="K54" i="2"/>
  <c r="J55" i="2"/>
  <c r="I56" i="2"/>
  <c r="L53" i="2"/>
  <c r="K53" i="2"/>
  <c r="J54" i="2"/>
  <c r="J60" i="2" s="1"/>
  <c r="I55" i="2"/>
  <c r="K56" i="2"/>
  <c r="L54" i="2"/>
  <c r="J53" i="2"/>
  <c r="I54" i="2"/>
  <c r="K55" i="2"/>
  <c r="K60" i="2" s="1"/>
  <c r="J56" i="2"/>
  <c r="L56" i="2"/>
  <c r="L60" i="2" s="1"/>
</calcChain>
</file>

<file path=xl/sharedStrings.xml><?xml version="1.0" encoding="utf-8"?>
<sst xmlns="http://schemas.openxmlformats.org/spreadsheetml/2006/main" count="421" uniqueCount="182">
  <si>
    <t>UF</t>
  </si>
  <si>
    <t>Educacao</t>
  </si>
  <si>
    <t>Pobres</t>
  </si>
  <si>
    <t>Theil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</si>
  <si>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</si>
  <si>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</si>
  <si>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</si>
  <si>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</si>
  <si>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</si>
  <si>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</si>
  <si>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</si>
  <si>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</si>
  <si>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</si>
  <si>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</si>
  <si>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</si>
  <si>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</si>
  <si>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</si>
  <si>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</si>
  <si>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</si>
  <si>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</si>
  <si>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</si>
  <si>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</si>
  <si>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</si>
  <si>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</si>
  <si>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</si>
  <si>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</si>
  <si>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</si>
  <si>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</si>
  <si>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</si>
  <si>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</si>
  <si>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</si>
  <si>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Mortalidade = alfa + b1 (Educacao) + b2 (Pobres) + b3 (Theil)</t>
  </si>
  <si>
    <t>Educacao (X1)</t>
  </si>
  <si>
    <t>Pobres (X2)</t>
  </si>
  <si>
    <t>Theil (X3)</t>
  </si>
  <si>
    <t>Mortalidade (Y)</t>
  </si>
  <si>
    <r>
      <rPr>
        <sz val="10"/>
        <color rgb="FFFF0000"/>
        <rFont val="Calibri"/>
        <family val="2"/>
        <scheme val="minor"/>
      </rPr>
      <t>1º passo</t>
    </r>
    <r>
      <rPr>
        <sz val="10"/>
        <color indexed="8"/>
        <rFont val="Calibri"/>
        <family val="2"/>
        <scheme val="minor"/>
      </rPr>
      <t xml:space="preserve"> - compor a MATRIZ </t>
    </r>
    <r>
      <rPr>
        <b/>
        <sz val="10"/>
        <color rgb="FF000000"/>
        <rFont val="Calibri"/>
        <family val="2"/>
        <scheme val="minor"/>
      </rPr>
      <t>X</t>
    </r>
  </si>
  <si>
    <r>
      <rPr>
        <sz val="10"/>
        <color rgb="FFFF0000"/>
        <rFont val="Calibri"/>
        <family val="2"/>
        <scheme val="minor"/>
      </rPr>
      <t>2º passo</t>
    </r>
    <r>
      <rPr>
        <sz val="10"/>
        <color indexed="8"/>
        <rFont val="Calibri"/>
        <family val="2"/>
        <scheme val="minor"/>
      </rPr>
      <t xml:space="preserve"> - inverter a matriz </t>
    </r>
    <r>
      <rPr>
        <b/>
        <sz val="10"/>
        <color rgb="FF000000"/>
        <rFont val="Calibri"/>
        <family val="2"/>
        <scheme val="minor"/>
      </rPr>
      <t>X</t>
    </r>
    <r>
      <rPr>
        <sz val="10"/>
        <color rgb="FF000000"/>
        <rFont val="Calibri"/>
        <family val="2"/>
        <scheme val="minor"/>
      </rPr>
      <t xml:space="preserve"> para obter a</t>
    </r>
    <r>
      <rPr>
        <sz val="10"/>
        <color indexed="8"/>
        <rFont val="Calibri"/>
        <family val="2"/>
        <scheme val="minor"/>
      </rPr>
      <t xml:space="preserve"> MATRIZ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</si>
  <si>
    <r>
      <rPr>
        <sz val="10"/>
        <color rgb="FFFF0000"/>
        <rFont val="Calibri"/>
        <family val="2"/>
        <scheme val="minor"/>
      </rPr>
      <t>3º passo</t>
    </r>
    <r>
      <rPr>
        <sz val="10"/>
        <color indexed="8"/>
        <rFont val="Calibri"/>
        <family val="2"/>
        <scheme val="minor"/>
      </rPr>
      <t xml:space="preserve"> - multiplicar matrizes e obter a MATRIZ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X</t>
    </r>
  </si>
  <si>
    <r>
      <rPr>
        <sz val="10"/>
        <color rgb="FFFF0000"/>
        <rFont val="Calibri"/>
        <family val="2"/>
        <scheme val="minor"/>
      </rPr>
      <t>4º passo</t>
    </r>
    <r>
      <rPr>
        <sz val="10"/>
        <color indexed="8"/>
        <rFont val="Calibri"/>
        <family val="2"/>
        <scheme val="minor"/>
      </rPr>
      <t xml:space="preserve"> - inverter a matriz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X</t>
    </r>
  </si>
  <si>
    <r>
      <rPr>
        <sz val="10"/>
        <color rgb="FFFF0000"/>
        <rFont val="Calibri"/>
        <family val="2"/>
        <scheme val="minor"/>
      </rPr>
      <t>5º passo</t>
    </r>
    <r>
      <rPr>
        <sz val="10"/>
        <color indexed="8"/>
        <rFont val="Calibri"/>
        <family val="2"/>
        <scheme val="minor"/>
      </rPr>
      <t xml:space="preserve"> - multipliar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sz val="10"/>
        <color indexed="8"/>
        <rFont val="Calibri"/>
        <family val="2"/>
        <scheme val="minor"/>
      </rPr>
      <t xml:space="preserve"> pela matriz </t>
    </r>
    <r>
      <rPr>
        <b/>
        <sz val="10"/>
        <color rgb="FF000000"/>
        <rFont val="Calibri"/>
        <family val="2"/>
        <scheme val="minor"/>
      </rPr>
      <t>y</t>
    </r>
  </si>
  <si>
    <r>
      <rPr>
        <sz val="10"/>
        <color rgb="FFFF0000"/>
        <rFont val="Calibri"/>
        <family val="2"/>
        <scheme val="minor"/>
      </rPr>
      <t>6º passo</t>
    </r>
    <r>
      <rPr>
        <sz val="10"/>
        <color indexed="8"/>
        <rFont val="Calibri"/>
        <family val="2"/>
        <scheme val="minor"/>
      </rPr>
      <t xml:space="preserve"> - calcular os coeficientes beta, conforme a fórmula acima</t>
    </r>
  </si>
  <si>
    <t>α</t>
  </si>
  <si>
    <t>Mortalidade: óbitos de crianças até 5 anos em cada 1.000</t>
  </si>
  <si>
    <t>Educacao: número médio de anos estudados</t>
  </si>
  <si>
    <t>Pobres: percentual de pobres</t>
  </si>
  <si>
    <t>Theil: índice de desigualdade (0 a 1)</t>
  </si>
  <si>
    <r>
      <t xml:space="preserve">&lt;--- O aumento de 1 ANO na escolaridade média </t>
    </r>
    <r>
      <rPr>
        <u/>
        <sz val="10"/>
        <color rgb="FF000000"/>
        <rFont val="Calibri"/>
        <family val="2"/>
        <scheme val="minor"/>
      </rPr>
      <t>reduz</t>
    </r>
    <r>
      <rPr>
        <sz val="10"/>
        <color indexed="8"/>
        <rFont val="Calibri"/>
        <family val="2"/>
        <scheme val="minor"/>
      </rPr>
      <t xml:space="preserve"> em 0,7 o número de óbitos a cada 1.000 crianças</t>
    </r>
  </si>
  <si>
    <r>
      <t xml:space="preserve">&lt;--- O aumento em 1 PONTO PERCENTUAL no percentual de pobres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1,10 o número de óbitos a cada 1.000 crianças</t>
    </r>
  </si>
  <si>
    <r>
      <t xml:space="preserve">&lt;--- O aumento em 0,01 UNIDADES no índice de Theil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(13,95 / 100 = 0,1395) o número de óbitos a cada 1.000 crianças</t>
    </r>
  </si>
  <si>
    <t>ê</t>
  </si>
  <si>
    <t>Y^</t>
  </si>
  <si>
    <t>β1</t>
  </si>
  <si>
    <t>β2</t>
  </si>
  <si>
    <t>β3</t>
  </si>
  <si>
    <r>
      <rPr>
        <sz val="10"/>
        <color rgb="FF000000"/>
        <rFont val="Calibri"/>
        <family val="2"/>
        <scheme val="minor"/>
      </rPr>
      <t xml:space="preserve">Matriz </t>
    </r>
    <r>
      <rPr>
        <b/>
        <sz val="10"/>
        <color indexed="8"/>
        <rFont val="Calibri"/>
        <family val="2"/>
        <scheme val="minor"/>
      </rPr>
      <t>y</t>
    </r>
  </si>
  <si>
    <r>
      <t>y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y</t>
    </r>
  </si>
  <si>
    <t>n</t>
  </si>
  <si>
    <t>Y barra</t>
  </si>
  <si>
    <t>STQ</t>
  </si>
  <si>
    <t>SQReg</t>
  </si>
  <si>
    <t>SQRes</t>
  </si>
  <si>
    <r>
      <t>β</t>
    </r>
    <r>
      <rPr>
        <b/>
        <vertAlign val="subscript"/>
        <sz val="10"/>
        <color theme="0"/>
        <rFont val="Calibri"/>
        <family val="2"/>
        <scheme val="minor"/>
      </rPr>
      <t>1</t>
    </r>
  </si>
  <si>
    <r>
      <t>β</t>
    </r>
    <r>
      <rPr>
        <b/>
        <vertAlign val="subscript"/>
        <sz val="10"/>
        <color theme="0"/>
        <rFont val="Calibri"/>
        <family val="2"/>
        <scheme val="minor"/>
      </rPr>
      <t>2</t>
    </r>
  </si>
  <si>
    <r>
      <t>β</t>
    </r>
    <r>
      <rPr>
        <b/>
        <vertAlign val="subscript"/>
        <sz val="10"/>
        <color theme="0"/>
        <rFont val="Calibri"/>
        <family val="2"/>
        <scheme val="minor"/>
      </rPr>
      <t>3</t>
    </r>
  </si>
  <si>
    <r>
      <rPr>
        <b/>
        <sz val="10"/>
        <color rgb="FF000000"/>
        <rFont val="Calibri"/>
        <family val="2"/>
      </rPr>
      <t>β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y</t>
    </r>
  </si>
  <si>
    <t>R²</t>
  </si>
  <si>
    <t>TABELA ANOVA</t>
  </si>
  <si>
    <t>Fonte</t>
  </si>
  <si>
    <t>GL</t>
  </si>
  <si>
    <t>SQ</t>
  </si>
  <si>
    <t>QM</t>
  </si>
  <si>
    <t>F</t>
  </si>
  <si>
    <t>F(calc)</t>
  </si>
  <si>
    <t>Regressão</t>
  </si>
  <si>
    <t>Resíduos</t>
  </si>
  <si>
    <t>Total</t>
  </si>
  <si>
    <t>F(crit)</t>
  </si>
  <si>
    <r>
      <t xml:space="preserve">H0: </t>
    </r>
    <r>
      <rPr>
        <sz val="10"/>
        <color indexed="8"/>
        <rFont val="Calibri"/>
        <family val="2"/>
      </rPr>
      <t>β</t>
    </r>
    <r>
      <rPr>
        <vertAlign val="subscript"/>
        <sz val="10"/>
        <color rgb="FF000000"/>
        <rFont val="Calibri"/>
        <family val="2"/>
        <scheme val="minor"/>
      </rPr>
      <t>1</t>
    </r>
    <r>
      <rPr>
        <sz val="10"/>
        <color indexed="8"/>
        <rFont val="Calibri"/>
        <family val="2"/>
        <scheme val="minor"/>
      </rPr>
      <t>, β</t>
    </r>
    <r>
      <rPr>
        <vertAlign val="subscript"/>
        <sz val="10"/>
        <color rgb="FF000000"/>
        <rFont val="Calibri"/>
        <family val="2"/>
        <scheme val="minor"/>
      </rPr>
      <t>2</t>
    </r>
    <r>
      <rPr>
        <sz val="10"/>
        <color indexed="8"/>
        <rFont val="Calibri"/>
        <family val="2"/>
        <scheme val="minor"/>
      </rPr>
      <t>, .... , β</t>
    </r>
    <r>
      <rPr>
        <vertAlign val="subscript"/>
        <sz val="10"/>
        <color rgb="FF000000"/>
        <rFont val="Calibri"/>
        <family val="2"/>
        <scheme val="minor"/>
      </rPr>
      <t>k</t>
    </r>
    <r>
      <rPr>
        <sz val="10"/>
        <color indexed="8"/>
        <rFont val="Calibri"/>
        <family val="2"/>
        <scheme val="minor"/>
      </rPr>
      <t xml:space="preserve"> = 0</t>
    </r>
  </si>
  <si>
    <t>INVF</t>
  </si>
  <si>
    <t>Função antiga do Excel (só calcula a cauda direita)</t>
  </si>
  <si>
    <t>INV.F</t>
  </si>
  <si>
    <t>Função nova do Excel (calcula a cauda ESQUERDA)</t>
  </si>
  <si>
    <t>INV.F.CD</t>
  </si>
  <si>
    <t>Função nova do Excel (calcula a cauda DIREITA)</t>
  </si>
  <si>
    <t>INV.F(95%) = INV.F.CD(5%) = INVF(5%)</t>
  </si>
  <si>
    <r>
      <t xml:space="preserve">H1: pelo menos 1 dos β </t>
    </r>
    <r>
      <rPr>
        <sz val="10"/>
        <color indexed="8"/>
        <rFont val="Calibri"/>
        <family val="2"/>
      </rPr>
      <t>≠</t>
    </r>
    <r>
      <rPr>
        <sz val="10"/>
        <color indexed="8"/>
        <rFont val="Calibri"/>
        <family val="2"/>
        <scheme val="minor"/>
      </rPr>
      <t xml:space="preserve"> 0</t>
    </r>
  </si>
  <si>
    <t>R² adj.</t>
  </si>
  <si>
    <t>&lt;--- O modelo é significativo</t>
  </si>
  <si>
    <t>Matriz VAR-COVAR</t>
  </si>
  <si>
    <t>S² (alfa)</t>
  </si>
  <si>
    <r>
      <t>S² (</t>
    </r>
    <r>
      <rPr>
        <sz val="10"/>
        <color indexed="8"/>
        <rFont val="Calibri"/>
        <family val="2"/>
      </rPr>
      <t>β</t>
    </r>
    <r>
      <rPr>
        <sz val="10"/>
        <color indexed="8"/>
        <rFont val="Calibri"/>
        <family val="2"/>
        <scheme val="minor"/>
      </rPr>
      <t>3)</t>
    </r>
  </si>
  <si>
    <t>S² (β2)</t>
  </si>
  <si>
    <t>S² (β1)</t>
  </si>
  <si>
    <t>sigma^²</t>
  </si>
  <si>
    <t>t(calc)</t>
  </si>
  <si>
    <t>t(crit)</t>
  </si>
  <si>
    <t>Coeficientes</t>
  </si>
  <si>
    <r>
      <rPr>
        <sz val="10"/>
        <color indexed="8"/>
        <rFont val="Calibri"/>
        <family val="2"/>
      </rPr>
      <t>β</t>
    </r>
    <r>
      <rPr>
        <vertAlign val="subscript"/>
        <sz val="10"/>
        <color rgb="FF000000"/>
        <rFont val="Calibri"/>
        <family val="2"/>
        <scheme val="minor"/>
      </rPr>
      <t>1</t>
    </r>
    <r>
      <rPr>
        <sz val="10"/>
        <color indexed="8"/>
        <rFont val="Calibri"/>
        <family val="2"/>
        <scheme val="minor"/>
      </rPr>
      <t xml:space="preserve"> = 0</t>
    </r>
  </si>
  <si>
    <r>
      <t>β</t>
    </r>
    <r>
      <rPr>
        <vertAlign val="subscript"/>
        <sz val="10"/>
        <color rgb="FF000000"/>
        <rFont val="Calibri"/>
        <family val="2"/>
        <scheme val="minor"/>
      </rPr>
      <t>1</t>
    </r>
    <r>
      <rPr>
        <sz val="10"/>
        <color indexed="8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</rPr>
      <t>≠</t>
    </r>
    <r>
      <rPr>
        <sz val="10"/>
        <color indexed="8"/>
        <rFont val="Calibri"/>
        <family val="2"/>
        <scheme val="minor"/>
      </rPr>
      <t xml:space="preserve"> 0</t>
    </r>
  </si>
  <si>
    <r>
      <rPr>
        <sz val="10"/>
        <color indexed="8"/>
        <rFont val="Calibri"/>
        <family val="2"/>
      </rPr>
      <t>β</t>
    </r>
    <r>
      <rPr>
        <vertAlign val="subscript"/>
        <sz val="10"/>
        <color rgb="FF000000"/>
        <rFont val="Calibri"/>
        <family val="2"/>
        <scheme val="minor"/>
      </rPr>
      <t>2</t>
    </r>
    <r>
      <rPr>
        <sz val="10"/>
        <color indexed="8"/>
        <rFont val="Calibri"/>
        <family val="2"/>
        <scheme val="minor"/>
      </rPr>
      <t xml:space="preserve"> = 0</t>
    </r>
  </si>
  <si>
    <r>
      <t>β</t>
    </r>
    <r>
      <rPr>
        <vertAlign val="subscript"/>
        <sz val="10"/>
        <color rgb="FF000000"/>
        <rFont val="Calibri"/>
        <family val="2"/>
        <scheme val="minor"/>
      </rPr>
      <t>2</t>
    </r>
    <r>
      <rPr>
        <sz val="10"/>
        <color indexed="8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</rPr>
      <t>≠</t>
    </r>
    <r>
      <rPr>
        <sz val="10"/>
        <color indexed="8"/>
        <rFont val="Calibri"/>
        <family val="2"/>
        <scheme val="minor"/>
      </rPr>
      <t xml:space="preserve"> 0</t>
    </r>
  </si>
  <si>
    <r>
      <t>β</t>
    </r>
    <r>
      <rPr>
        <vertAlign val="subscript"/>
        <sz val="10"/>
        <color rgb="FF000000"/>
        <rFont val="Calibri"/>
        <family val="2"/>
        <scheme val="minor"/>
      </rPr>
      <t>3</t>
    </r>
    <r>
      <rPr>
        <sz val="10"/>
        <color indexed="8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</rPr>
      <t>≠</t>
    </r>
    <r>
      <rPr>
        <sz val="10"/>
        <color indexed="8"/>
        <rFont val="Calibri"/>
        <family val="2"/>
        <scheme val="minor"/>
      </rPr>
      <t xml:space="preserve"> 0</t>
    </r>
  </si>
  <si>
    <r>
      <rPr>
        <sz val="10"/>
        <color indexed="8"/>
        <rFont val="Calibri"/>
        <family val="2"/>
      </rPr>
      <t>β</t>
    </r>
    <r>
      <rPr>
        <vertAlign val="subscript"/>
        <sz val="10"/>
        <color rgb="FF000000"/>
        <rFont val="Calibri"/>
        <family val="2"/>
        <scheme val="minor"/>
      </rPr>
      <t>3</t>
    </r>
    <r>
      <rPr>
        <sz val="10"/>
        <color indexed="8"/>
        <rFont val="Calibri"/>
        <family val="2"/>
        <scheme val="minor"/>
      </rPr>
      <t xml:space="preserve"> = 0</t>
    </r>
  </si>
  <si>
    <r>
      <rPr>
        <sz val="10"/>
        <color indexed="8"/>
        <rFont val="Calibri"/>
        <family val="2"/>
      </rPr>
      <t>α</t>
    </r>
    <r>
      <rPr>
        <sz val="10"/>
        <color indexed="8"/>
        <rFont val="Calibri"/>
        <family val="2"/>
        <scheme val="minor"/>
      </rPr>
      <t xml:space="preserve"> = 0</t>
    </r>
  </si>
  <si>
    <t>α = 1</t>
  </si>
  <si>
    <t>H0</t>
  </si>
  <si>
    <t>H1</t>
  </si>
  <si>
    <t>INVT</t>
  </si>
  <si>
    <t>INV.T</t>
  </si>
  <si>
    <t>INVT.BC</t>
  </si>
  <si>
    <t>Função antiga do Excel (só calcula a cauda direita - BICAUDAL)</t>
  </si>
  <si>
    <t>Função nova do Excel (calcula a cauda ESQUERDA - UNICAUDAL)</t>
  </si>
  <si>
    <t>Função nova do Excel (calcula a cauda DIREITA - BICAUDAL)</t>
  </si>
  <si>
    <t>INV.T.BC(95%) = INVT(5%) = INV.T(97,5%)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</si>
  <si>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</si>
  <si>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</si>
  <si>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</si>
  <si>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</si>
  <si>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</si>
  <si>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</si>
  <si>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</si>
  <si>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</si>
  <si>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Resíduo</t>
  </si>
  <si>
    <t>Interseção</t>
  </si>
  <si>
    <t>gl</t>
  </si>
  <si>
    <t>MQ</t>
  </si>
  <si>
    <t>F de significação</t>
  </si>
  <si>
    <t>Stat t</t>
  </si>
  <si>
    <t>valor-P</t>
  </si>
  <si>
    <t>95% inferiores</t>
  </si>
  <si>
    <t>95% superiores</t>
  </si>
  <si>
    <t>Inferior 95,0%</t>
  </si>
  <si>
    <t>Superior 95,0%</t>
  </si>
  <si>
    <t>&lt;----</t>
  </si>
  <si>
    <t>Y = a + b1X1 + b2X2 + b3X3</t>
  </si>
  <si>
    <t>&lt;---- OK!</t>
  </si>
  <si>
    <t>Y = a + b1X1 + b2X2</t>
  </si>
  <si>
    <t>Y = a + b1X1 + b3X3</t>
  </si>
  <si>
    <t>Y = a + b2X2 + b3X3</t>
  </si>
  <si>
    <t>O método rápido do Excel só funciona se as variáveis X estiverem em colunas CONTÍGUAS</t>
  </si>
  <si>
    <t>Y</t>
  </si>
  <si>
    <t>X1</t>
  </si>
  <si>
    <t>X2</t>
  </si>
  <si>
    <t>X3</t>
  </si>
  <si>
    <t>REGRESSÃO 1 - Y = f(X1,X2)</t>
  </si>
  <si>
    <t>SQReg RESTRITA</t>
  </si>
  <si>
    <t xml:space="preserve">SQReg(r) </t>
  </si>
  <si>
    <t>Reg. Restrita</t>
  </si>
  <si>
    <t>Contribuição</t>
  </si>
  <si>
    <t>Reg. Irrestrita</t>
  </si>
  <si>
    <r>
      <t xml:space="preserve">Os coeficientes das "q" variáveis que não estão no modelo restrito </t>
    </r>
    <r>
      <rPr>
        <i/>
        <sz val="10"/>
        <color rgb="FF000000"/>
        <rFont val="Calibri"/>
        <family val="2"/>
        <scheme val="minor"/>
      </rPr>
      <t>são iguais a 0</t>
    </r>
  </si>
  <si>
    <r>
      <t xml:space="preserve">Os coeficientes das "q" variáveis que não estão no modelo restrito </t>
    </r>
    <r>
      <rPr>
        <i/>
        <sz val="10"/>
        <color rgb="FF000000"/>
        <rFont val="Calibri"/>
        <family val="2"/>
        <scheme val="minor"/>
      </rPr>
      <t>são diferentes de 0</t>
    </r>
  </si>
  <si>
    <t>H0:</t>
  </si>
  <si>
    <t>H1:</t>
  </si>
  <si>
    <t>&lt;-----</t>
  </si>
  <si>
    <t>NÃO REJEITO H0, POIS F(calc) &lt; F(crit)</t>
  </si>
  <si>
    <t>REGRESSÃO 2 - Y = f(X2,X3)</t>
  </si>
  <si>
    <t>REGRESSÃO 3 - Y = f(X1,X3)</t>
  </si>
  <si>
    <t>&lt;---- A variável X2, isoladamente, tem contribuição marginal significativa</t>
  </si>
  <si>
    <t>TESTE DE CONTRIBUIÇÃO MARGINAL</t>
  </si>
  <si>
    <t>Assimetria</t>
  </si>
  <si>
    <t>Média</t>
  </si>
  <si>
    <t>Mediana</t>
  </si>
  <si>
    <t>DP</t>
  </si>
  <si>
    <t>ln(Y)</t>
  </si>
  <si>
    <t>ln(Y) = a + b1X1 + b2X2 + b3X3</t>
  </si>
  <si>
    <t>ANTES</t>
  </si>
  <si>
    <t>PROCESSO DE ALTERAÇÃO DE FORMA FUNCIONAL DA VARIÁVEL Y (ANAMORFOSE)</t>
  </si>
  <si>
    <r>
      <t xml:space="preserve">&lt;--- O aumento de 1 ANO na escolaridade média </t>
    </r>
    <r>
      <rPr>
        <u/>
        <sz val="10"/>
        <color rgb="FF000000"/>
        <rFont val="Calibri"/>
        <family val="2"/>
        <scheme val="minor"/>
      </rPr>
      <t>reduz</t>
    </r>
    <r>
      <rPr>
        <sz val="10"/>
        <color indexed="8"/>
        <rFont val="Calibri"/>
        <family val="2"/>
        <scheme val="minor"/>
      </rPr>
      <t xml:space="preserve"> em 2,5% o número de óbitos a cada 1.000 crianças</t>
    </r>
  </si>
  <si>
    <r>
      <t xml:space="preserve">&lt;--- O aumento em 1 PONTO PERCENTUAL no percentual de pobres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2,4% o número de óbitos a cada 1.000 crianças</t>
    </r>
  </si>
  <si>
    <r>
      <t xml:space="preserve">&lt;--- O aumento em 0,01 UNIDADES no índice de Theil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(84,8 / 100 =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u/>
        <sz val="10"/>
        <color rgb="FFFF0000"/>
        <rFont val="Calibri"/>
        <family val="2"/>
        <scheme val="minor"/>
      </rPr>
      <t>0,848%</t>
    </r>
    <r>
      <rPr>
        <sz val="10"/>
        <color rgb="FF000000"/>
        <rFont val="Calibri"/>
        <family val="2"/>
        <scheme val="minor"/>
      </rPr>
      <t>) o número de óbitos a cada 1.000 crianças</t>
    </r>
  </si>
  <si>
    <t>DEPOIS (Y vira Log)</t>
  </si>
  <si>
    <t>DEPOIS (X2 vira Log)</t>
  </si>
  <si>
    <t>DEPOIS (X2 também vira Log)</t>
  </si>
  <si>
    <r>
      <t xml:space="preserve">&lt;--- O aumento em 0,01 UNIDADES no índice de Theil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(176,4 / 100 =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u/>
        <sz val="10"/>
        <color rgb="FFFF0000"/>
        <rFont val="Calibri"/>
        <family val="2"/>
        <scheme val="minor"/>
      </rPr>
      <t>1,764%</t>
    </r>
    <r>
      <rPr>
        <sz val="10"/>
        <color rgb="FF000000"/>
        <rFont val="Calibri"/>
        <family val="2"/>
        <scheme val="minor"/>
      </rPr>
      <t>) o número de óbitos a cada 1.000 crianças</t>
    </r>
  </si>
  <si>
    <t>ln(X1)</t>
  </si>
  <si>
    <t>NÃO FAÇA TRANSFORMAÇÃO LOGARITMICA EM VARIÁVEIS PERCENTUAIS!!!</t>
  </si>
  <si>
    <r>
      <t xml:space="preserve">&lt;--- O aumento em 1 PONTO PERCENTUAL no percentual de pobres </t>
    </r>
    <r>
      <rPr>
        <u/>
        <sz val="10"/>
        <color rgb="FF000000"/>
        <rFont val="Calibri"/>
        <family val="2"/>
        <scheme val="minor"/>
      </rPr>
      <t>aumenta</t>
    </r>
    <r>
      <rPr>
        <sz val="10"/>
        <color rgb="FF000000"/>
        <rFont val="Calibri"/>
        <family val="2"/>
        <scheme val="minor"/>
      </rPr>
      <t xml:space="preserve"> em 2,3% o número de óbitos a cada 1.000 crianças</t>
    </r>
  </si>
  <si>
    <r>
      <t xml:space="preserve">&lt;--- O aumento em UM PORCENTO na escolaridade média </t>
    </r>
    <r>
      <rPr>
        <u/>
        <sz val="10"/>
        <color rgb="FF000000"/>
        <rFont val="Calibri"/>
        <family val="2"/>
        <scheme val="minor"/>
      </rPr>
      <t>reduz</t>
    </r>
    <r>
      <rPr>
        <sz val="10"/>
        <color rgb="FF000000"/>
        <rFont val="Calibri"/>
        <family val="2"/>
        <scheme val="minor"/>
      </rPr>
      <t xml:space="preserve"> em 23,8% o número de óbitos a cada 1.000 crianças</t>
    </r>
  </si>
  <si>
    <t>&lt;--- É esperado que, se X1=X2=X3 = 0, então o número de óbitos a cada 1.000 crianças seria 9.32</t>
  </si>
  <si>
    <t>&lt;--- É esperado que, se X1=X2=X3 = 0, então o número de óbitos a cada 1.000 crianças seria 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</si>
</sst>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25" x14ac:knownFonts="1"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</font>
    <font>
      <vertAlign val="subscript"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vertAlign val="subscript"/>
      <sz val="10"/>
      <color theme="0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70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9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2" fontId="14" fillId="7" borderId="4" xfId="0" applyNumberFormat="1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2" fontId="14" fillId="7" borderId="6" xfId="0" applyNumberFormat="1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2" fontId="14" fillId="7" borderId="9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6" fontId="3" fillId="9" borderId="0" xfId="1" applyNumberFormat="1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164" fontId="3" fillId="12" borderId="0" xfId="0" applyNumberFormat="1" applyFont="1" applyFill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20" fillId="0" borderId="27" xfId="0" applyFont="1" applyFill="1" applyBorder="1" applyAlignment="1">
      <alignment horizontal="center"/>
    </xf>
    <xf numFmtId="0" fontId="20" fillId="0" borderId="27" xfId="0" applyFont="1" applyFill="1" applyBorder="1" applyAlignment="1">
      <alignment horizontal="centerContinuous"/>
    </xf>
    <xf numFmtId="164" fontId="3" fillId="0" borderId="0" xfId="0" applyNumberFormat="1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0" fillId="9" borderId="0" xfId="0" applyFill="1" applyBorder="1" applyAlignment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9" borderId="0" xfId="0" applyFill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0" fontId="3" fillId="3" borderId="15" xfId="1" applyNumberFormat="1" applyFont="1" applyFill="1" applyBorder="1" applyAlignment="1">
      <alignment horizontal="center" vertical="center"/>
    </xf>
    <xf numFmtId="0" fontId="3" fillId="4" borderId="0" xfId="0" applyFont="1" applyFill="1"/>
    <xf numFmtId="0" fontId="7" fillId="0" borderId="1" xfId="0" applyFont="1" applyBorder="1"/>
    <xf numFmtId="0" fontId="3" fillId="0" borderId="1" xfId="0" applyFont="1" applyBorder="1"/>
    <xf numFmtId="0" fontId="3" fillId="9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indent="1"/>
    </xf>
    <xf numFmtId="0" fontId="0" fillId="4" borderId="0" xfId="0" applyFill="1" applyBorder="1" applyAlignment="1"/>
    <xf numFmtId="0" fontId="3" fillId="4" borderId="0" xfId="0" applyFont="1" applyFill="1" applyAlignment="1">
      <alignment horizontal="right" indent="1"/>
    </xf>
    <xf numFmtId="0" fontId="3" fillId="4" borderId="1" xfId="0" applyFont="1" applyFill="1" applyBorder="1"/>
    <xf numFmtId="164" fontId="3" fillId="0" borderId="0" xfId="0" applyNumberFormat="1" applyFont="1"/>
    <xf numFmtId="0" fontId="21" fillId="0" borderId="29" xfId="0" applyFont="1" applyBorder="1" applyAlignment="1">
      <alignment horizontal="center"/>
    </xf>
    <xf numFmtId="4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34" xfId="0" applyFont="1" applyBorder="1" applyAlignment="1">
      <alignment horizontal="center"/>
    </xf>
    <xf numFmtId="166" fontId="3" fillId="0" borderId="0" xfId="1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2" fontId="3" fillId="0" borderId="0" xfId="0" applyNumberFormat="1" applyFont="1" applyFill="1" applyAlignment="1">
      <alignment vertical="center"/>
    </xf>
    <xf numFmtId="166" fontId="3" fillId="0" borderId="0" xfId="1" applyNumberFormat="1" applyFont="1" applyFill="1" applyAlignment="1">
      <alignment vertical="center"/>
    </xf>
    <xf numFmtId="166" fontId="3" fillId="0" borderId="0" xfId="1" applyNumberFormat="1" applyFont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166" fontId="3" fillId="0" borderId="0" xfId="1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164" fontId="3" fillId="8" borderId="0" xfId="0" applyNumberFormat="1" applyFont="1" applyFill="1" applyAlignment="1">
      <alignment horizontal="right" vertical="center"/>
    </xf>
    <xf numFmtId="166" fontId="3" fillId="8" borderId="0" xfId="1" applyNumberFormat="1" applyFont="1" applyFill="1" applyAlignment="1">
      <alignment horizontal="right" vertical="center"/>
    </xf>
    <xf numFmtId="0" fontId="21" fillId="0" borderId="0" xfId="0" applyFont="1"/>
    <xf numFmtId="0" fontId="7" fillId="0" borderId="1" xfId="0" applyFont="1" applyBorder="1" applyAlignment="1">
      <alignment vertical="center"/>
    </xf>
    <xf numFmtId="2" fontId="7" fillId="4" borderId="1" xfId="0" applyNumberFormat="1" applyFont="1" applyFill="1" applyBorder="1" applyAlignment="1">
      <alignment vertical="center"/>
    </xf>
    <xf numFmtId="2" fontId="7" fillId="0" borderId="1" xfId="0" applyNumberFormat="1" applyFont="1" applyBorder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564930</xdr:colOff>
      <xdr:row>0</xdr:row>
      <xdr:rowOff>152640</xdr:rowOff>
    </xdr:from>
    <xdr:to>
      <xdr:col>18</xdr:col>
      <xdr:colOff>499240</xdr:colOff>
      <xdr:row>14</xdr:row>
      <xdr:rowOff>59122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05CD867-1470-4623-B07E-8EC0677BB143}"/>
            </a:ext>
          </a:extLst>
        </xdr:cNvPr>
        <xdr:cNvSpPr/>
      </xdr:nvSpPr>
      <xdr:spPr>
        <a:xfrm>
          <a:off x="8165223" y="152640"/>
          <a:ext cx="2325414" cy="22056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   Y</a:t>
          </a:r>
        </a:p>
      </xdr:txBody>
    </xdr:sp>
    <xdr:clientData/>
  </xdr:twoCellAnchor>
  <xdr:twoCellAnchor>
    <xdr:from>
      <xdr:col>14</xdr:col>
      <xdr:colOff>395452</xdr:colOff>
      <xdr:row>5</xdr:row>
      <xdr:rowOff>14452</xdr:rowOff>
    </xdr:from>
    <xdr:to>
      <xdr:col>17</xdr:col>
      <xdr:colOff>474279</xdr:colOff>
      <xdr:row>16</xdr:row>
      <xdr:rowOff>80142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DE5D42D-B0DD-43F7-B5F7-5894AEF46BF5}"/>
            </a:ext>
          </a:extLst>
        </xdr:cNvPr>
        <xdr:cNvSpPr/>
      </xdr:nvSpPr>
      <xdr:spPr>
        <a:xfrm>
          <a:off x="7995745" y="835573"/>
          <a:ext cx="1872155" cy="1872155"/>
        </a:xfrm>
        <a:prstGeom prst="ellipse">
          <a:avLst/>
        </a:prstGeom>
        <a:solidFill>
          <a:schemeClr val="accent2">
            <a:alpha val="3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400" b="1">
              <a:solidFill>
                <a:schemeClr val="tx1"/>
              </a:solidFill>
            </a:rPr>
            <a:t>X2</a:t>
          </a:r>
        </a:p>
      </xdr:txBody>
    </xdr:sp>
    <xdr:clientData/>
  </xdr:twoCellAnchor>
  <xdr:twoCellAnchor>
    <xdr:from>
      <xdr:col>15</xdr:col>
      <xdr:colOff>239111</xdr:colOff>
      <xdr:row>5</xdr:row>
      <xdr:rowOff>15766</xdr:rowOff>
    </xdr:from>
    <xdr:to>
      <xdr:col>18</xdr:col>
      <xdr:colOff>317938</xdr:colOff>
      <xdr:row>16</xdr:row>
      <xdr:rowOff>81456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E792AD6C-32BD-43B6-908F-0F3EA790948A}"/>
            </a:ext>
          </a:extLst>
        </xdr:cNvPr>
        <xdr:cNvSpPr/>
      </xdr:nvSpPr>
      <xdr:spPr>
        <a:xfrm>
          <a:off x="8437180" y="836887"/>
          <a:ext cx="1872155" cy="1872155"/>
        </a:xfrm>
        <a:prstGeom prst="ellipse">
          <a:avLst/>
        </a:prstGeom>
        <a:solidFill>
          <a:schemeClr val="accent6">
            <a:alpha val="3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2400" b="1">
              <a:solidFill>
                <a:schemeClr val="tx1"/>
              </a:solidFill>
            </a:rPr>
            <a:t>X3</a:t>
          </a:r>
        </a:p>
      </xdr:txBody>
    </xdr:sp>
    <xdr:clientData/>
  </xdr:twoCellAnchor>
  <xdr:twoCellAnchor>
    <xdr:from>
      <xdr:col>13</xdr:col>
      <xdr:colOff>496613</xdr:colOff>
      <xdr:row>3</xdr:row>
      <xdr:rowOff>148458</xdr:rowOff>
    </xdr:from>
    <xdr:to>
      <xdr:col>16</xdr:col>
      <xdr:colOff>575440</xdr:colOff>
      <xdr:row>15</xdr:row>
      <xdr:rowOff>49923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410497F4-53F1-4B7A-9EFD-A975F6D004DD}"/>
            </a:ext>
          </a:extLst>
        </xdr:cNvPr>
        <xdr:cNvSpPr/>
      </xdr:nvSpPr>
      <xdr:spPr>
        <a:xfrm>
          <a:off x="7499130" y="641130"/>
          <a:ext cx="1872155" cy="1872155"/>
        </a:xfrm>
        <a:prstGeom prst="ellipse">
          <a:avLst/>
        </a:prstGeom>
        <a:solidFill>
          <a:schemeClr val="accent4">
            <a:alpha val="3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solidFill>
                <a:schemeClr val="tx1"/>
              </a:solidFill>
            </a:rPr>
            <a:t>X1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18</xdr:col>
      <xdr:colOff>97142</xdr:colOff>
      <xdr:row>10</xdr:row>
      <xdr:rowOff>74626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834E74-4738-45CC-AB75-918C20AC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0966" y="1195552"/>
          <a:ext cx="3188346" cy="587005"/>
        </a:xfrm>
        <a:prstGeom prst="rect">
          <a:avLst/>
        </a:prstGeom>
      </xdr:spPr>
    </xdr:pic>
    <xdr:clientData/>
  </xdr:twoCellAnchor>
  <xdr:twoCellAnchor editAs="oneCell">
    <xdr:from>
      <xdr:col>8</xdr:col>
      <xdr:colOff>498229</xdr:colOff>
      <xdr:row>30</xdr:row>
      <xdr:rowOff>82524</xdr:rowOff>
    </xdr:from>
    <xdr:to>
      <xdr:col>16</xdr:col>
      <xdr:colOff>172041</xdr:colOff>
      <xdr:row>39</xdr:row>
      <xdr:rowOff>127926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085D19C-FFD9-45BC-B967-F6034AA0F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3787" y="5138101"/>
          <a:ext cx="3776889" cy="1562075"/>
        </a:xfrm>
        <a:prstGeom prst="rect">
          <a:avLst/>
        </a:prstGeom>
      </xdr:spPr>
    </xdr:pic>
    <xdr:clientData/>
  </xdr:twoCellAnchor>
  <xdr:twoCellAnchor editAs="oneCell">
    <xdr:from>
      <xdr:col>11</xdr:col>
      <xdr:colOff>51289</xdr:colOff>
      <xdr:row>40</xdr:row>
      <xdr:rowOff>2</xdr:rowOff>
    </xdr:from>
    <xdr:to>
      <xdr:col>15</xdr:col>
      <xdr:colOff>381000</xdr:colOff>
      <xdr:row>43</xdr:row>
      <xdr:rowOff>113668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E836EA4-1D34-4D12-AA6C-B0009D09CA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4593"/>
        <a:stretch/>
      </xdr:blipFill>
      <xdr:spPr>
        <a:xfrm>
          <a:off x="5905501" y="6740771"/>
          <a:ext cx="2381249" cy="61922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24</xdr:col>
      <xdr:colOff>325128</xdr:colOff>
      <xdr:row>32</xdr:row>
      <xdr:rowOff>123181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73453C7-CB26-4937-9B0D-62D3B063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31519" y="4887058"/>
          <a:ext cx="3915321" cy="62873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24</xdr:col>
      <xdr:colOff>115549</xdr:colOff>
      <xdr:row>36</xdr:row>
      <xdr:rowOff>113654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568D4F1-0FEA-484A-A69B-B51045A0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1519" y="5561135"/>
          <a:ext cx="3705742" cy="61921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24</xdr:col>
      <xdr:colOff>410865</xdr:colOff>
      <xdr:row>40</xdr:row>
      <xdr:rowOff>132707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8BE4C9D-BC34-4EDD-8326-B8028D26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31519" y="6235212"/>
          <a:ext cx="4001058" cy="63826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23</xdr:col>
      <xdr:colOff>274469</xdr:colOff>
      <xdr:row>50</xdr:row>
      <xdr:rowOff>167679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A3A0FF8-E826-4B2D-8E2B-F29BB47B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31519" y="7751885"/>
          <a:ext cx="3351777" cy="84175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23</xdr:col>
      <xdr:colOff>464325</xdr:colOff>
      <xdr:row>56</xdr:row>
      <xdr:rowOff>167648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AC867B5-505D-4FDF-874B-05C2C1E4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1519" y="8763000"/>
          <a:ext cx="3541633" cy="841725"/>
        </a:xfrm>
        <a:prstGeom prst="rect">
          <a:avLst/>
        </a:prstGeom>
      </xdr:spPr>
    </xdr:pic>
    <xdr:clientData/>
  </xdr:twoCellAnchor>
  <xdr:twoCellAnchor>
    <xdr:from>
      <xdr:col>8</xdr:col>
      <xdr:colOff>488838</xdr:colOff>
      <xdr:row>49</xdr:row>
      <xdr:rowOff>58615</xdr:rowOff>
    </xdr:from>
    <xdr:to>
      <xdr:col>24</xdr:col>
      <xdr:colOff>270410</xdr:colOff>
      <xdr:row>58</xdr:row>
      <xdr:rowOff>58616</xdr:rowOff>
    </xdr:to>
    <xdr:sp macro="" textlink="">
      <xdr:nvSpPr>
        <xdr:cNvPr id="19" name="Forma Livre: Forma 18">
          <a:extLst>
            <a:ext uri="{FF2B5EF4-FFF2-40B4-BE49-F238E27FC236}">
              <a16:creationId xmlns:a16="http://schemas.microsoft.com/office/drawing/2014/main" id="{9C5F5F58-3B19-421C-98F6-5BF76E7A9A5C}"/>
            </a:ext>
          </a:extLst>
        </xdr:cNvPr>
        <xdr:cNvSpPr/>
      </xdr:nvSpPr>
      <xdr:spPr>
        <a:xfrm>
          <a:off x="4804396" y="8316057"/>
          <a:ext cx="7987726" cy="1516674"/>
        </a:xfrm>
        <a:custGeom>
          <a:avLst/>
          <a:gdLst>
            <a:gd name="connsiteX0" fmla="*/ 7951777 w 7987726"/>
            <a:gd name="connsiteY0" fmla="*/ 439616 h 1516674"/>
            <a:gd name="connsiteX1" fmla="*/ 7929796 w 7987726"/>
            <a:gd name="connsiteY1" fmla="*/ 402981 h 1516674"/>
            <a:gd name="connsiteX2" fmla="*/ 7878508 w 7987726"/>
            <a:gd name="connsiteY2" fmla="*/ 366347 h 1516674"/>
            <a:gd name="connsiteX3" fmla="*/ 7841873 w 7987726"/>
            <a:gd name="connsiteY3" fmla="*/ 337039 h 1516674"/>
            <a:gd name="connsiteX4" fmla="*/ 7761277 w 7987726"/>
            <a:gd name="connsiteY4" fmla="*/ 307731 h 1516674"/>
            <a:gd name="connsiteX5" fmla="*/ 7541469 w 7987726"/>
            <a:gd name="connsiteY5" fmla="*/ 241789 h 1516674"/>
            <a:gd name="connsiteX6" fmla="*/ 7504835 w 7987726"/>
            <a:gd name="connsiteY6" fmla="*/ 234462 h 1516674"/>
            <a:gd name="connsiteX7" fmla="*/ 7446219 w 7987726"/>
            <a:gd name="connsiteY7" fmla="*/ 219808 h 1516674"/>
            <a:gd name="connsiteX8" fmla="*/ 7387604 w 7987726"/>
            <a:gd name="connsiteY8" fmla="*/ 212481 h 1516674"/>
            <a:gd name="connsiteX9" fmla="*/ 7314335 w 7987726"/>
            <a:gd name="connsiteY9" fmla="*/ 197827 h 1516674"/>
            <a:gd name="connsiteX10" fmla="*/ 7241066 w 7987726"/>
            <a:gd name="connsiteY10" fmla="*/ 190500 h 1516674"/>
            <a:gd name="connsiteX11" fmla="*/ 7204431 w 7987726"/>
            <a:gd name="connsiteY11" fmla="*/ 183174 h 1516674"/>
            <a:gd name="connsiteX12" fmla="*/ 7087200 w 7987726"/>
            <a:gd name="connsiteY12" fmla="*/ 175847 h 1516674"/>
            <a:gd name="connsiteX13" fmla="*/ 6750162 w 7987726"/>
            <a:gd name="connsiteY13" fmla="*/ 190500 h 1516674"/>
            <a:gd name="connsiteX14" fmla="*/ 6728181 w 7987726"/>
            <a:gd name="connsiteY14" fmla="*/ 197827 h 1516674"/>
            <a:gd name="connsiteX15" fmla="*/ 6669566 w 7987726"/>
            <a:gd name="connsiteY15" fmla="*/ 205154 h 1516674"/>
            <a:gd name="connsiteX16" fmla="*/ 6625604 w 7987726"/>
            <a:gd name="connsiteY16" fmla="*/ 219808 h 1516674"/>
            <a:gd name="connsiteX17" fmla="*/ 6588969 w 7987726"/>
            <a:gd name="connsiteY17" fmla="*/ 227135 h 1516674"/>
            <a:gd name="connsiteX18" fmla="*/ 6523027 w 7987726"/>
            <a:gd name="connsiteY18" fmla="*/ 249116 h 1516674"/>
            <a:gd name="connsiteX19" fmla="*/ 6493719 w 7987726"/>
            <a:gd name="connsiteY19" fmla="*/ 256443 h 1516674"/>
            <a:gd name="connsiteX20" fmla="*/ 6427777 w 7987726"/>
            <a:gd name="connsiteY20" fmla="*/ 278424 h 1516674"/>
            <a:gd name="connsiteX21" fmla="*/ 6383816 w 7987726"/>
            <a:gd name="connsiteY21" fmla="*/ 285750 h 1516674"/>
            <a:gd name="connsiteX22" fmla="*/ 6207969 w 7987726"/>
            <a:gd name="connsiteY22" fmla="*/ 359020 h 1516674"/>
            <a:gd name="connsiteX23" fmla="*/ 6076085 w 7987726"/>
            <a:gd name="connsiteY23" fmla="*/ 476250 h 1516674"/>
            <a:gd name="connsiteX24" fmla="*/ 6017469 w 7987726"/>
            <a:gd name="connsiteY24" fmla="*/ 556847 h 1516674"/>
            <a:gd name="connsiteX25" fmla="*/ 5980835 w 7987726"/>
            <a:gd name="connsiteY25" fmla="*/ 659424 h 1516674"/>
            <a:gd name="connsiteX26" fmla="*/ 5958854 w 7987726"/>
            <a:gd name="connsiteY26" fmla="*/ 718039 h 1516674"/>
            <a:gd name="connsiteX27" fmla="*/ 5951527 w 7987726"/>
            <a:gd name="connsiteY27" fmla="*/ 762000 h 1516674"/>
            <a:gd name="connsiteX28" fmla="*/ 5958854 w 7987726"/>
            <a:gd name="connsiteY28" fmla="*/ 901212 h 1516674"/>
            <a:gd name="connsiteX29" fmla="*/ 6039450 w 7987726"/>
            <a:gd name="connsiteY29" fmla="*/ 1099039 h 1516674"/>
            <a:gd name="connsiteX30" fmla="*/ 6061431 w 7987726"/>
            <a:gd name="connsiteY30" fmla="*/ 1128347 h 1516674"/>
            <a:gd name="connsiteX31" fmla="*/ 6076085 w 7987726"/>
            <a:gd name="connsiteY31" fmla="*/ 1157654 h 1516674"/>
            <a:gd name="connsiteX32" fmla="*/ 6112719 w 7987726"/>
            <a:gd name="connsiteY32" fmla="*/ 1194289 h 1516674"/>
            <a:gd name="connsiteX33" fmla="*/ 6127373 w 7987726"/>
            <a:gd name="connsiteY33" fmla="*/ 1216270 h 1516674"/>
            <a:gd name="connsiteX34" fmla="*/ 6222623 w 7987726"/>
            <a:gd name="connsiteY34" fmla="*/ 1304193 h 1516674"/>
            <a:gd name="connsiteX35" fmla="*/ 6369162 w 7987726"/>
            <a:gd name="connsiteY35" fmla="*/ 1406770 h 1516674"/>
            <a:gd name="connsiteX36" fmla="*/ 6420450 w 7987726"/>
            <a:gd name="connsiteY36" fmla="*/ 1428750 h 1516674"/>
            <a:gd name="connsiteX37" fmla="*/ 6449758 w 7987726"/>
            <a:gd name="connsiteY37" fmla="*/ 1450731 h 1516674"/>
            <a:gd name="connsiteX38" fmla="*/ 6486392 w 7987726"/>
            <a:gd name="connsiteY38" fmla="*/ 1458058 h 1516674"/>
            <a:gd name="connsiteX39" fmla="*/ 6574316 w 7987726"/>
            <a:gd name="connsiteY39" fmla="*/ 1494693 h 1516674"/>
            <a:gd name="connsiteX40" fmla="*/ 6684219 w 7987726"/>
            <a:gd name="connsiteY40" fmla="*/ 1516674 h 1516674"/>
            <a:gd name="connsiteX41" fmla="*/ 7138489 w 7987726"/>
            <a:gd name="connsiteY41" fmla="*/ 1487366 h 1516674"/>
            <a:gd name="connsiteX42" fmla="*/ 7226412 w 7987726"/>
            <a:gd name="connsiteY42" fmla="*/ 1472712 h 1516674"/>
            <a:gd name="connsiteX43" fmla="*/ 7328989 w 7987726"/>
            <a:gd name="connsiteY43" fmla="*/ 1443404 h 1516674"/>
            <a:gd name="connsiteX44" fmla="*/ 7416912 w 7987726"/>
            <a:gd name="connsiteY44" fmla="*/ 1406770 h 1516674"/>
            <a:gd name="connsiteX45" fmla="*/ 7504835 w 7987726"/>
            <a:gd name="connsiteY45" fmla="*/ 1370135 h 1516674"/>
            <a:gd name="connsiteX46" fmla="*/ 7526816 w 7987726"/>
            <a:gd name="connsiteY46" fmla="*/ 1362808 h 1516674"/>
            <a:gd name="connsiteX47" fmla="*/ 7658700 w 7987726"/>
            <a:gd name="connsiteY47" fmla="*/ 1274885 h 1516674"/>
            <a:gd name="connsiteX48" fmla="*/ 7702662 w 7987726"/>
            <a:gd name="connsiteY48" fmla="*/ 1238250 h 1516674"/>
            <a:gd name="connsiteX49" fmla="*/ 7761277 w 7987726"/>
            <a:gd name="connsiteY49" fmla="*/ 1186962 h 1516674"/>
            <a:gd name="connsiteX50" fmla="*/ 7812566 w 7987726"/>
            <a:gd name="connsiteY50" fmla="*/ 1135674 h 1516674"/>
            <a:gd name="connsiteX51" fmla="*/ 7827219 w 7987726"/>
            <a:gd name="connsiteY51" fmla="*/ 1106366 h 1516674"/>
            <a:gd name="connsiteX52" fmla="*/ 7849200 w 7987726"/>
            <a:gd name="connsiteY52" fmla="*/ 1084385 h 1516674"/>
            <a:gd name="connsiteX53" fmla="*/ 7885835 w 7987726"/>
            <a:gd name="connsiteY53" fmla="*/ 1040424 h 1516674"/>
            <a:gd name="connsiteX54" fmla="*/ 7915142 w 7987726"/>
            <a:gd name="connsiteY54" fmla="*/ 989135 h 1516674"/>
            <a:gd name="connsiteX55" fmla="*/ 7951777 w 7987726"/>
            <a:gd name="connsiteY55" fmla="*/ 901212 h 1516674"/>
            <a:gd name="connsiteX56" fmla="*/ 7966431 w 7987726"/>
            <a:gd name="connsiteY56" fmla="*/ 857250 h 1516674"/>
            <a:gd name="connsiteX57" fmla="*/ 7973758 w 7987726"/>
            <a:gd name="connsiteY57" fmla="*/ 835270 h 1516674"/>
            <a:gd name="connsiteX58" fmla="*/ 7973758 w 7987726"/>
            <a:gd name="connsiteY58" fmla="*/ 520212 h 1516674"/>
            <a:gd name="connsiteX59" fmla="*/ 7929796 w 7987726"/>
            <a:gd name="connsiteY59" fmla="*/ 439616 h 1516674"/>
            <a:gd name="connsiteX60" fmla="*/ 7893162 w 7987726"/>
            <a:gd name="connsiteY60" fmla="*/ 402981 h 1516674"/>
            <a:gd name="connsiteX61" fmla="*/ 7878508 w 7987726"/>
            <a:gd name="connsiteY61" fmla="*/ 381000 h 1516674"/>
            <a:gd name="connsiteX62" fmla="*/ 7856527 w 7987726"/>
            <a:gd name="connsiteY62" fmla="*/ 359020 h 1516674"/>
            <a:gd name="connsiteX63" fmla="*/ 7731969 w 7987726"/>
            <a:gd name="connsiteY63" fmla="*/ 285750 h 1516674"/>
            <a:gd name="connsiteX64" fmla="*/ 7666027 w 7987726"/>
            <a:gd name="connsiteY64" fmla="*/ 263770 h 1516674"/>
            <a:gd name="connsiteX65" fmla="*/ 7585431 w 7987726"/>
            <a:gd name="connsiteY65" fmla="*/ 241789 h 1516674"/>
            <a:gd name="connsiteX66" fmla="*/ 7526816 w 7987726"/>
            <a:gd name="connsiteY66" fmla="*/ 227135 h 1516674"/>
            <a:gd name="connsiteX67" fmla="*/ 7504835 w 7987726"/>
            <a:gd name="connsiteY67" fmla="*/ 219808 h 1516674"/>
            <a:gd name="connsiteX68" fmla="*/ 7380277 w 7987726"/>
            <a:gd name="connsiteY68" fmla="*/ 197827 h 1516674"/>
            <a:gd name="connsiteX69" fmla="*/ 7328989 w 7987726"/>
            <a:gd name="connsiteY69" fmla="*/ 190500 h 1516674"/>
            <a:gd name="connsiteX70" fmla="*/ 7263046 w 7987726"/>
            <a:gd name="connsiteY70" fmla="*/ 183174 h 1516674"/>
            <a:gd name="connsiteX71" fmla="*/ 6969969 w 7987726"/>
            <a:gd name="connsiteY71" fmla="*/ 139212 h 1516674"/>
            <a:gd name="connsiteX72" fmla="*/ 6676892 w 7987726"/>
            <a:gd name="connsiteY72" fmla="*/ 117231 h 1516674"/>
            <a:gd name="connsiteX73" fmla="*/ 6398469 w 7987726"/>
            <a:gd name="connsiteY73" fmla="*/ 102577 h 1516674"/>
            <a:gd name="connsiteX74" fmla="*/ 6010142 w 7987726"/>
            <a:gd name="connsiteY74" fmla="*/ 87924 h 1516674"/>
            <a:gd name="connsiteX75" fmla="*/ 5358046 w 7987726"/>
            <a:gd name="connsiteY75" fmla="*/ 73270 h 1516674"/>
            <a:gd name="connsiteX76" fmla="*/ 5130912 w 7987726"/>
            <a:gd name="connsiteY76" fmla="*/ 65943 h 1516674"/>
            <a:gd name="connsiteX77" fmla="*/ 4969719 w 7987726"/>
            <a:gd name="connsiteY77" fmla="*/ 58616 h 1516674"/>
            <a:gd name="connsiteX78" fmla="*/ 4530104 w 7987726"/>
            <a:gd name="connsiteY78" fmla="*/ 51289 h 1516674"/>
            <a:gd name="connsiteX79" fmla="*/ 3834046 w 7987726"/>
            <a:gd name="connsiteY79" fmla="*/ 36635 h 1516674"/>
            <a:gd name="connsiteX80" fmla="*/ 2962142 w 7987726"/>
            <a:gd name="connsiteY80" fmla="*/ 29308 h 1516674"/>
            <a:gd name="connsiteX81" fmla="*/ 2066 w 7987726"/>
            <a:gd name="connsiteY81" fmla="*/ 29308 h 1516674"/>
            <a:gd name="connsiteX82" fmla="*/ 31373 w 7987726"/>
            <a:gd name="connsiteY82" fmla="*/ 21981 h 1516674"/>
            <a:gd name="connsiteX83" fmla="*/ 82662 w 7987726"/>
            <a:gd name="connsiteY83" fmla="*/ 14654 h 1516674"/>
            <a:gd name="connsiteX84" fmla="*/ 207219 w 7987726"/>
            <a:gd name="connsiteY84" fmla="*/ 7327 h 1516674"/>
            <a:gd name="connsiteX85" fmla="*/ 251181 w 7987726"/>
            <a:gd name="connsiteY85" fmla="*/ 0 h 1516674"/>
            <a:gd name="connsiteX86" fmla="*/ 273162 w 7987726"/>
            <a:gd name="connsiteY86" fmla="*/ 7327 h 1516674"/>
            <a:gd name="connsiteX87" fmla="*/ 243854 w 7987726"/>
            <a:gd name="connsiteY87" fmla="*/ 80597 h 1516674"/>
            <a:gd name="connsiteX88" fmla="*/ 75335 w 7987726"/>
            <a:gd name="connsiteY88" fmla="*/ 73270 h 1516674"/>
            <a:gd name="connsiteX89" fmla="*/ 38700 w 7987726"/>
            <a:gd name="connsiteY89" fmla="*/ 65943 h 1516674"/>
            <a:gd name="connsiteX90" fmla="*/ 68008 w 7987726"/>
            <a:gd name="connsiteY90" fmla="*/ 29308 h 15166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</a:cxnLst>
          <a:rect l="l" t="t" r="r" b="b"/>
          <a:pathLst>
            <a:path w="7987726" h="1516674">
              <a:moveTo>
                <a:pt x="7951777" y="439616"/>
              </a:moveTo>
              <a:cubicBezTo>
                <a:pt x="7944450" y="427404"/>
                <a:pt x="7938341" y="414374"/>
                <a:pt x="7929796" y="402981"/>
              </a:cubicBezTo>
              <a:cubicBezTo>
                <a:pt x="7905793" y="370977"/>
                <a:pt x="7911075" y="388058"/>
                <a:pt x="7878508" y="366347"/>
              </a:cubicBezTo>
              <a:cubicBezTo>
                <a:pt x="7865496" y="357672"/>
                <a:pt x="7855642" y="344453"/>
                <a:pt x="7841873" y="337039"/>
              </a:cubicBezTo>
              <a:cubicBezTo>
                <a:pt x="7836271" y="334023"/>
                <a:pt x="7780756" y="313634"/>
                <a:pt x="7761277" y="307731"/>
              </a:cubicBezTo>
              <a:lnTo>
                <a:pt x="7541469" y="241789"/>
              </a:lnTo>
              <a:cubicBezTo>
                <a:pt x="7529495" y="238368"/>
                <a:pt x="7516969" y="237262"/>
                <a:pt x="7504835" y="234462"/>
              </a:cubicBezTo>
              <a:cubicBezTo>
                <a:pt x="7485211" y="229933"/>
                <a:pt x="7466014" y="223520"/>
                <a:pt x="7446219" y="219808"/>
              </a:cubicBezTo>
              <a:cubicBezTo>
                <a:pt x="7426866" y="216179"/>
                <a:pt x="7407026" y="215718"/>
                <a:pt x="7387604" y="212481"/>
              </a:cubicBezTo>
              <a:cubicBezTo>
                <a:pt x="7292978" y="196710"/>
                <a:pt x="7443327" y="213951"/>
                <a:pt x="7314335" y="197827"/>
              </a:cubicBezTo>
              <a:cubicBezTo>
                <a:pt x="7289980" y="194783"/>
                <a:pt x="7265396" y="193744"/>
                <a:pt x="7241066" y="190500"/>
              </a:cubicBezTo>
              <a:cubicBezTo>
                <a:pt x="7228722" y="188854"/>
                <a:pt x="7216828" y="184355"/>
                <a:pt x="7204431" y="183174"/>
              </a:cubicBezTo>
              <a:cubicBezTo>
                <a:pt x="7165454" y="179462"/>
                <a:pt x="7126277" y="178289"/>
                <a:pt x="7087200" y="175847"/>
              </a:cubicBezTo>
              <a:lnTo>
                <a:pt x="6750162" y="190500"/>
              </a:lnTo>
              <a:cubicBezTo>
                <a:pt x="6742453" y="190972"/>
                <a:pt x="6735780" y="196445"/>
                <a:pt x="6728181" y="197827"/>
              </a:cubicBezTo>
              <a:cubicBezTo>
                <a:pt x="6708808" y="201349"/>
                <a:pt x="6689104" y="202712"/>
                <a:pt x="6669566" y="205154"/>
              </a:cubicBezTo>
              <a:cubicBezTo>
                <a:pt x="6654912" y="210039"/>
                <a:pt x="6640506" y="215744"/>
                <a:pt x="6625604" y="219808"/>
              </a:cubicBezTo>
              <a:cubicBezTo>
                <a:pt x="6613589" y="223085"/>
                <a:pt x="6600943" y="223714"/>
                <a:pt x="6588969" y="227135"/>
              </a:cubicBezTo>
              <a:cubicBezTo>
                <a:pt x="6566691" y="233500"/>
                <a:pt x="6545172" y="242302"/>
                <a:pt x="6523027" y="249116"/>
              </a:cubicBezTo>
              <a:cubicBezTo>
                <a:pt x="6513402" y="252077"/>
                <a:pt x="6503344" y="253482"/>
                <a:pt x="6493719" y="256443"/>
              </a:cubicBezTo>
              <a:cubicBezTo>
                <a:pt x="6471574" y="263257"/>
                <a:pt x="6450164" y="272454"/>
                <a:pt x="6427777" y="278424"/>
              </a:cubicBezTo>
              <a:cubicBezTo>
                <a:pt x="6413423" y="282252"/>
                <a:pt x="6398470" y="283308"/>
                <a:pt x="6383816" y="285750"/>
              </a:cubicBezTo>
              <a:cubicBezTo>
                <a:pt x="6222851" y="354735"/>
                <a:pt x="6282887" y="334047"/>
                <a:pt x="6207969" y="359020"/>
              </a:cubicBezTo>
              <a:cubicBezTo>
                <a:pt x="6164402" y="391695"/>
                <a:pt x="6106265" y="430980"/>
                <a:pt x="6076085" y="476250"/>
              </a:cubicBezTo>
              <a:cubicBezTo>
                <a:pt x="6038102" y="533224"/>
                <a:pt x="6057779" y="506459"/>
                <a:pt x="6017469" y="556847"/>
              </a:cubicBezTo>
              <a:cubicBezTo>
                <a:pt x="6005258" y="591039"/>
                <a:pt x="5993387" y="625355"/>
                <a:pt x="5980835" y="659424"/>
              </a:cubicBezTo>
              <a:cubicBezTo>
                <a:pt x="5977639" y="668099"/>
                <a:pt x="5961927" y="704210"/>
                <a:pt x="5958854" y="718039"/>
              </a:cubicBezTo>
              <a:cubicBezTo>
                <a:pt x="5955631" y="732541"/>
                <a:pt x="5953969" y="747346"/>
                <a:pt x="5951527" y="762000"/>
              </a:cubicBezTo>
              <a:cubicBezTo>
                <a:pt x="5953969" y="808404"/>
                <a:pt x="5949741" y="855646"/>
                <a:pt x="5958854" y="901212"/>
              </a:cubicBezTo>
              <a:cubicBezTo>
                <a:pt x="5980231" y="1008097"/>
                <a:pt x="5991712" y="1030842"/>
                <a:pt x="6039450" y="1099039"/>
              </a:cubicBezTo>
              <a:cubicBezTo>
                <a:pt x="6046453" y="1109043"/>
                <a:pt x="6054959" y="1117992"/>
                <a:pt x="6061431" y="1128347"/>
              </a:cubicBezTo>
              <a:cubicBezTo>
                <a:pt x="6067220" y="1137609"/>
                <a:pt x="6069379" y="1149033"/>
                <a:pt x="6076085" y="1157654"/>
              </a:cubicBezTo>
              <a:cubicBezTo>
                <a:pt x="6086688" y="1171286"/>
                <a:pt x="6101347" y="1181292"/>
                <a:pt x="6112719" y="1194289"/>
              </a:cubicBezTo>
              <a:cubicBezTo>
                <a:pt x="6118518" y="1200916"/>
                <a:pt x="6121482" y="1209725"/>
                <a:pt x="6127373" y="1216270"/>
              </a:cubicBezTo>
              <a:cubicBezTo>
                <a:pt x="6151846" y="1243462"/>
                <a:pt x="6191886" y="1281731"/>
                <a:pt x="6222623" y="1304193"/>
              </a:cubicBezTo>
              <a:cubicBezTo>
                <a:pt x="6270763" y="1339373"/>
                <a:pt x="6312597" y="1387914"/>
                <a:pt x="6369162" y="1406770"/>
              </a:cubicBezTo>
              <a:cubicBezTo>
                <a:pt x="6390526" y="1413892"/>
                <a:pt x="6399759" y="1415819"/>
                <a:pt x="6420450" y="1428750"/>
              </a:cubicBezTo>
              <a:cubicBezTo>
                <a:pt x="6430806" y="1435222"/>
                <a:pt x="6438599" y="1445771"/>
                <a:pt x="6449758" y="1450731"/>
              </a:cubicBezTo>
              <a:cubicBezTo>
                <a:pt x="6461138" y="1455789"/>
                <a:pt x="6474649" y="1453913"/>
                <a:pt x="6486392" y="1458058"/>
              </a:cubicBezTo>
              <a:cubicBezTo>
                <a:pt x="6516332" y="1468625"/>
                <a:pt x="6543182" y="1488466"/>
                <a:pt x="6574316" y="1494693"/>
              </a:cubicBezTo>
              <a:lnTo>
                <a:pt x="6684219" y="1516674"/>
              </a:lnTo>
              <a:lnTo>
                <a:pt x="7138489" y="1487366"/>
              </a:lnTo>
              <a:cubicBezTo>
                <a:pt x="7168104" y="1484965"/>
                <a:pt x="7226412" y="1472712"/>
                <a:pt x="7226412" y="1472712"/>
              </a:cubicBezTo>
              <a:cubicBezTo>
                <a:pt x="7289479" y="1451689"/>
                <a:pt x="7255388" y="1461804"/>
                <a:pt x="7328989" y="1443404"/>
              </a:cubicBezTo>
              <a:cubicBezTo>
                <a:pt x="7399459" y="1401123"/>
                <a:pt x="7328720" y="1439262"/>
                <a:pt x="7416912" y="1406770"/>
              </a:cubicBezTo>
              <a:cubicBezTo>
                <a:pt x="7446704" y="1395794"/>
                <a:pt x="7474714" y="1380175"/>
                <a:pt x="7504835" y="1370135"/>
              </a:cubicBezTo>
              <a:lnTo>
                <a:pt x="7526816" y="1362808"/>
              </a:lnTo>
              <a:cubicBezTo>
                <a:pt x="7570777" y="1333500"/>
                <a:pt x="7621340" y="1312245"/>
                <a:pt x="7658700" y="1274885"/>
              </a:cubicBezTo>
              <a:cubicBezTo>
                <a:pt x="7746923" y="1186662"/>
                <a:pt x="7621056" y="1309655"/>
                <a:pt x="7702662" y="1238250"/>
              </a:cubicBezTo>
              <a:cubicBezTo>
                <a:pt x="7771240" y="1178244"/>
                <a:pt x="7711813" y="1219938"/>
                <a:pt x="7761277" y="1186962"/>
              </a:cubicBezTo>
              <a:cubicBezTo>
                <a:pt x="7808129" y="1116684"/>
                <a:pt x="7727280" y="1233144"/>
                <a:pt x="7812566" y="1135674"/>
              </a:cubicBezTo>
              <a:cubicBezTo>
                <a:pt x="7819758" y="1127454"/>
                <a:pt x="7820871" y="1115254"/>
                <a:pt x="7827219" y="1106366"/>
              </a:cubicBezTo>
              <a:cubicBezTo>
                <a:pt x="7833242" y="1097934"/>
                <a:pt x="7842316" y="1092130"/>
                <a:pt x="7849200" y="1084385"/>
              </a:cubicBezTo>
              <a:cubicBezTo>
                <a:pt x="7861873" y="1070128"/>
                <a:pt x="7873623" y="1055078"/>
                <a:pt x="7885835" y="1040424"/>
              </a:cubicBezTo>
              <a:cubicBezTo>
                <a:pt x="7908245" y="973195"/>
                <a:pt x="7870786" y="1077847"/>
                <a:pt x="7915142" y="989135"/>
              </a:cubicBezTo>
              <a:cubicBezTo>
                <a:pt x="7929341" y="960737"/>
                <a:pt x="7940269" y="930803"/>
                <a:pt x="7951777" y="901212"/>
              </a:cubicBezTo>
              <a:cubicBezTo>
                <a:pt x="7957376" y="886816"/>
                <a:pt x="7961546" y="871904"/>
                <a:pt x="7966431" y="857250"/>
              </a:cubicBezTo>
              <a:lnTo>
                <a:pt x="7973758" y="835270"/>
              </a:lnTo>
              <a:cubicBezTo>
                <a:pt x="7994531" y="710635"/>
                <a:pt x="7990102" y="754468"/>
                <a:pt x="7973758" y="520212"/>
              </a:cubicBezTo>
              <a:cubicBezTo>
                <a:pt x="7970999" y="480660"/>
                <a:pt x="7951705" y="468827"/>
                <a:pt x="7929796" y="439616"/>
              </a:cubicBezTo>
              <a:cubicBezTo>
                <a:pt x="7905372" y="407051"/>
                <a:pt x="7927354" y="425777"/>
                <a:pt x="7893162" y="402981"/>
              </a:cubicBezTo>
              <a:cubicBezTo>
                <a:pt x="7888277" y="395654"/>
                <a:pt x="7884146" y="387765"/>
                <a:pt x="7878508" y="381000"/>
              </a:cubicBezTo>
              <a:cubicBezTo>
                <a:pt x="7871875" y="373040"/>
                <a:pt x="7864706" y="365381"/>
                <a:pt x="7856527" y="359020"/>
              </a:cubicBezTo>
              <a:cubicBezTo>
                <a:pt x="7826732" y="335847"/>
                <a:pt x="7759167" y="297989"/>
                <a:pt x="7731969" y="285750"/>
              </a:cubicBezTo>
              <a:cubicBezTo>
                <a:pt x="7710840" y="276242"/>
                <a:pt x="7688008" y="271097"/>
                <a:pt x="7666027" y="263770"/>
              </a:cubicBezTo>
              <a:cubicBezTo>
                <a:pt x="7590976" y="238753"/>
                <a:pt x="7652754" y="257325"/>
                <a:pt x="7585431" y="241789"/>
              </a:cubicBezTo>
              <a:cubicBezTo>
                <a:pt x="7565807" y="237260"/>
                <a:pt x="7546246" y="232434"/>
                <a:pt x="7526816" y="227135"/>
              </a:cubicBezTo>
              <a:cubicBezTo>
                <a:pt x="7519365" y="225103"/>
                <a:pt x="7512408" y="221323"/>
                <a:pt x="7504835" y="219808"/>
              </a:cubicBezTo>
              <a:cubicBezTo>
                <a:pt x="7463493" y="211540"/>
                <a:pt x="7422014" y="203790"/>
                <a:pt x="7380277" y="197827"/>
              </a:cubicBezTo>
              <a:lnTo>
                <a:pt x="7328989" y="190500"/>
              </a:lnTo>
              <a:cubicBezTo>
                <a:pt x="7307044" y="187757"/>
                <a:pt x="7284940" y="186302"/>
                <a:pt x="7263046" y="183174"/>
              </a:cubicBezTo>
              <a:lnTo>
                <a:pt x="6969969" y="139212"/>
              </a:lnTo>
              <a:cubicBezTo>
                <a:pt x="6819089" y="117265"/>
                <a:pt x="6864600" y="124739"/>
                <a:pt x="6676892" y="117231"/>
              </a:cubicBezTo>
              <a:cubicBezTo>
                <a:pt x="6541721" y="100334"/>
                <a:pt x="6652148" y="112334"/>
                <a:pt x="6398469" y="102577"/>
              </a:cubicBezTo>
              <a:cubicBezTo>
                <a:pt x="6146043" y="92868"/>
                <a:pt x="6312951" y="95494"/>
                <a:pt x="6010142" y="87924"/>
              </a:cubicBezTo>
              <a:lnTo>
                <a:pt x="5358046" y="73270"/>
              </a:lnTo>
              <a:lnTo>
                <a:pt x="5130912" y="65943"/>
              </a:lnTo>
              <a:cubicBezTo>
                <a:pt x="5077164" y="63915"/>
                <a:pt x="5023489" y="59927"/>
                <a:pt x="4969719" y="58616"/>
              </a:cubicBezTo>
              <a:lnTo>
                <a:pt x="4530104" y="51289"/>
              </a:lnTo>
              <a:cubicBezTo>
                <a:pt x="4203363" y="37675"/>
                <a:pt x="4346775" y="42032"/>
                <a:pt x="3834046" y="36635"/>
              </a:cubicBezTo>
              <a:lnTo>
                <a:pt x="2962142" y="29308"/>
              </a:lnTo>
              <a:cubicBezTo>
                <a:pt x="1608936" y="38905"/>
                <a:pt x="1672435" y="42207"/>
                <a:pt x="2066" y="29308"/>
              </a:cubicBezTo>
              <a:cubicBezTo>
                <a:pt x="-8003" y="29230"/>
                <a:pt x="21466" y="23782"/>
                <a:pt x="31373" y="21981"/>
              </a:cubicBezTo>
              <a:cubicBezTo>
                <a:pt x="48364" y="18892"/>
                <a:pt x="65452" y="16088"/>
                <a:pt x="82662" y="14654"/>
              </a:cubicBezTo>
              <a:cubicBezTo>
                <a:pt x="124109" y="11200"/>
                <a:pt x="165700" y="9769"/>
                <a:pt x="207219" y="7327"/>
              </a:cubicBezTo>
              <a:cubicBezTo>
                <a:pt x="221873" y="4885"/>
                <a:pt x="236325" y="0"/>
                <a:pt x="251181" y="0"/>
              </a:cubicBezTo>
              <a:cubicBezTo>
                <a:pt x="258904" y="0"/>
                <a:pt x="271487" y="-212"/>
                <a:pt x="273162" y="7327"/>
              </a:cubicBezTo>
              <a:cubicBezTo>
                <a:pt x="285112" y="61102"/>
                <a:pt x="273109" y="61093"/>
                <a:pt x="243854" y="80597"/>
              </a:cubicBezTo>
              <a:cubicBezTo>
                <a:pt x="187681" y="78155"/>
                <a:pt x="131418" y="77276"/>
                <a:pt x="75335" y="73270"/>
              </a:cubicBezTo>
              <a:cubicBezTo>
                <a:pt x="62913" y="72383"/>
                <a:pt x="46172" y="75906"/>
                <a:pt x="38700" y="65943"/>
              </a:cubicBezTo>
              <a:cubicBezTo>
                <a:pt x="34739" y="60661"/>
                <a:pt x="64736" y="32580"/>
                <a:pt x="68008" y="29308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51288</xdr:colOff>
      <xdr:row>58</xdr:row>
      <xdr:rowOff>0</xdr:rowOff>
    </xdr:from>
    <xdr:to>
      <xdr:col>6</xdr:col>
      <xdr:colOff>490144</xdr:colOff>
      <xdr:row>65</xdr:row>
      <xdr:rowOff>157795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DBC1A40-FE0C-40AA-9E26-7F976897F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6920"/>
        <a:stretch/>
      </xdr:blipFill>
      <xdr:spPr>
        <a:xfrm>
          <a:off x="564173" y="9774115"/>
          <a:ext cx="3003279" cy="133743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26275</xdr:colOff>
      <xdr:row>22</xdr:row>
      <xdr:rowOff>0</xdr:rowOff>
    </xdr:from>
    <xdr:to>
      <xdr:col>43</xdr:col>
      <xdr:colOff>146432</xdr:colOff>
      <xdr:row>24</xdr:row>
      <xdr:rowOff>138342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11E301-F601-44E5-A818-C4A786790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7465" y="3652345"/>
          <a:ext cx="1952898" cy="466790"/>
        </a:xfrm>
        <a:prstGeom prst="rect">
          <a:avLst/>
        </a:prstGeom>
      </xdr:spPr>
    </xdr:pic>
    <xdr:clientData/>
  </xdr:twoCellAnchor>
  <xdr:twoCellAnchor editAs="oneCell">
    <xdr:from>
      <xdr:col>40</xdr:col>
      <xdr:colOff>26276</xdr:colOff>
      <xdr:row>25</xdr:row>
      <xdr:rowOff>72258</xdr:rowOff>
    </xdr:from>
    <xdr:to>
      <xdr:col>44</xdr:col>
      <xdr:colOff>59121</xdr:colOff>
      <xdr:row>28</xdr:row>
      <xdr:rowOff>154394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771298-6230-4384-B5BB-C23B04E4F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7466" y="4217275"/>
          <a:ext cx="2476500" cy="574809"/>
        </a:xfrm>
        <a:prstGeom prst="rect">
          <a:avLst/>
        </a:prstGeom>
      </xdr:spPr>
    </xdr:pic>
    <xdr:clientData/>
  </xdr:twoCellAnchor>
  <xdr:twoCellAnchor editAs="oneCell">
    <xdr:from>
      <xdr:col>36</xdr:col>
      <xdr:colOff>222706</xdr:colOff>
      <xdr:row>28</xdr:row>
      <xdr:rowOff>85397</xdr:rowOff>
    </xdr:from>
    <xdr:to>
      <xdr:col>39</xdr:col>
      <xdr:colOff>570723</xdr:colOff>
      <xdr:row>37</xdr:row>
      <xdr:rowOff>161980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1A28BC-0554-436C-8F48-D3A1FFE8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0240" y="4723087"/>
          <a:ext cx="2180758" cy="1554600"/>
        </a:xfrm>
        <a:prstGeom prst="rect">
          <a:avLst/>
        </a:prstGeom>
      </xdr:spPr>
    </xdr:pic>
    <xdr:clientData/>
  </xdr:twoCellAnchor>
  <xdr:twoCellAnchor>
    <xdr:from>
      <xdr:col>36</xdr:col>
      <xdr:colOff>151087</xdr:colOff>
      <xdr:row>24</xdr:row>
      <xdr:rowOff>72259</xdr:rowOff>
    </xdr:from>
    <xdr:to>
      <xdr:col>38</xdr:col>
      <xdr:colOff>65690</xdr:colOff>
      <xdr:row>32</xdr:row>
      <xdr:rowOff>0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E96419C3-5670-47B2-92FA-E91D786EB08F}"/>
            </a:ext>
          </a:extLst>
        </xdr:cNvPr>
        <xdr:cNvSpPr/>
      </xdr:nvSpPr>
      <xdr:spPr>
        <a:xfrm>
          <a:off x="7488621" y="4053052"/>
          <a:ext cx="1136431" cy="1241534"/>
        </a:xfrm>
        <a:custGeom>
          <a:avLst/>
          <a:gdLst>
            <a:gd name="connsiteX0" fmla="*/ 151086 w 1136431"/>
            <a:gd name="connsiteY0" fmla="*/ 0 h 1241534"/>
            <a:gd name="connsiteX1" fmla="*/ 124810 w 1136431"/>
            <a:gd name="connsiteY1" fmla="*/ 59120 h 1241534"/>
            <a:gd name="connsiteX2" fmla="*/ 111672 w 1136431"/>
            <a:gd name="connsiteY2" fmla="*/ 78827 h 1241534"/>
            <a:gd name="connsiteX3" fmla="*/ 59120 w 1136431"/>
            <a:gd name="connsiteY3" fmla="*/ 197069 h 1241534"/>
            <a:gd name="connsiteX4" fmla="*/ 52551 w 1136431"/>
            <a:gd name="connsiteY4" fmla="*/ 216776 h 1241534"/>
            <a:gd name="connsiteX5" fmla="*/ 39413 w 1136431"/>
            <a:gd name="connsiteY5" fmla="*/ 249620 h 1241534"/>
            <a:gd name="connsiteX6" fmla="*/ 32845 w 1136431"/>
            <a:gd name="connsiteY6" fmla="*/ 275896 h 1241534"/>
            <a:gd name="connsiteX7" fmla="*/ 19707 w 1136431"/>
            <a:gd name="connsiteY7" fmla="*/ 308741 h 1241534"/>
            <a:gd name="connsiteX8" fmla="*/ 13138 w 1136431"/>
            <a:gd name="connsiteY8" fmla="*/ 348155 h 1241534"/>
            <a:gd name="connsiteX9" fmla="*/ 6569 w 1136431"/>
            <a:gd name="connsiteY9" fmla="*/ 367862 h 1241534"/>
            <a:gd name="connsiteX10" fmla="*/ 0 w 1136431"/>
            <a:gd name="connsiteY10" fmla="*/ 400707 h 1241534"/>
            <a:gd name="connsiteX11" fmla="*/ 6569 w 1136431"/>
            <a:gd name="connsiteY11" fmla="*/ 676603 h 1241534"/>
            <a:gd name="connsiteX12" fmla="*/ 13138 w 1136431"/>
            <a:gd name="connsiteY12" fmla="*/ 696310 h 1241534"/>
            <a:gd name="connsiteX13" fmla="*/ 19707 w 1136431"/>
            <a:gd name="connsiteY13" fmla="*/ 762000 h 1241534"/>
            <a:gd name="connsiteX14" fmla="*/ 32845 w 1136431"/>
            <a:gd name="connsiteY14" fmla="*/ 860534 h 1241534"/>
            <a:gd name="connsiteX15" fmla="*/ 39413 w 1136431"/>
            <a:gd name="connsiteY15" fmla="*/ 913086 h 1241534"/>
            <a:gd name="connsiteX16" fmla="*/ 45982 w 1136431"/>
            <a:gd name="connsiteY16" fmla="*/ 932793 h 1241534"/>
            <a:gd name="connsiteX17" fmla="*/ 52551 w 1136431"/>
            <a:gd name="connsiteY17" fmla="*/ 972207 h 1241534"/>
            <a:gd name="connsiteX18" fmla="*/ 78827 w 1136431"/>
            <a:gd name="connsiteY18" fmla="*/ 1051034 h 1241534"/>
            <a:gd name="connsiteX19" fmla="*/ 91965 w 1136431"/>
            <a:gd name="connsiteY19" fmla="*/ 1070741 h 1241534"/>
            <a:gd name="connsiteX20" fmla="*/ 131379 w 1136431"/>
            <a:gd name="connsiteY20" fmla="*/ 1149569 h 1241534"/>
            <a:gd name="connsiteX21" fmla="*/ 157655 w 1136431"/>
            <a:gd name="connsiteY21" fmla="*/ 1182414 h 1241534"/>
            <a:gd name="connsiteX22" fmla="*/ 197069 w 1136431"/>
            <a:gd name="connsiteY22" fmla="*/ 1208689 h 1241534"/>
            <a:gd name="connsiteX23" fmla="*/ 210207 w 1136431"/>
            <a:gd name="connsiteY23" fmla="*/ 1228396 h 1241534"/>
            <a:gd name="connsiteX24" fmla="*/ 262758 w 1136431"/>
            <a:gd name="connsiteY24" fmla="*/ 1241534 h 1241534"/>
            <a:gd name="connsiteX25" fmla="*/ 453258 w 1136431"/>
            <a:gd name="connsiteY25" fmla="*/ 1208689 h 1241534"/>
            <a:gd name="connsiteX26" fmla="*/ 486103 w 1136431"/>
            <a:gd name="connsiteY26" fmla="*/ 1202120 h 1241534"/>
            <a:gd name="connsiteX27" fmla="*/ 551793 w 1136431"/>
            <a:gd name="connsiteY27" fmla="*/ 1182414 h 1241534"/>
            <a:gd name="connsiteX28" fmla="*/ 578069 w 1136431"/>
            <a:gd name="connsiteY28" fmla="*/ 1175845 h 1241534"/>
            <a:gd name="connsiteX29" fmla="*/ 630620 w 1136431"/>
            <a:gd name="connsiteY29" fmla="*/ 1156138 h 1241534"/>
            <a:gd name="connsiteX30" fmla="*/ 656896 w 1136431"/>
            <a:gd name="connsiteY30" fmla="*/ 1149569 h 1241534"/>
            <a:gd name="connsiteX31" fmla="*/ 709448 w 1136431"/>
            <a:gd name="connsiteY31" fmla="*/ 1129862 h 1241534"/>
            <a:gd name="connsiteX32" fmla="*/ 735724 w 1136431"/>
            <a:gd name="connsiteY32" fmla="*/ 1123293 h 1241534"/>
            <a:gd name="connsiteX33" fmla="*/ 762000 w 1136431"/>
            <a:gd name="connsiteY33" fmla="*/ 1110155 h 1241534"/>
            <a:gd name="connsiteX34" fmla="*/ 840827 w 1136431"/>
            <a:gd name="connsiteY34" fmla="*/ 1083879 h 1241534"/>
            <a:gd name="connsiteX35" fmla="*/ 886810 w 1136431"/>
            <a:gd name="connsiteY35" fmla="*/ 1057603 h 1241534"/>
            <a:gd name="connsiteX36" fmla="*/ 939362 w 1136431"/>
            <a:gd name="connsiteY36" fmla="*/ 1044465 h 1241534"/>
            <a:gd name="connsiteX37" fmla="*/ 978776 w 1136431"/>
            <a:gd name="connsiteY37" fmla="*/ 1031327 h 1241534"/>
            <a:gd name="connsiteX38" fmla="*/ 1018189 w 1136431"/>
            <a:gd name="connsiteY38" fmla="*/ 1024758 h 1241534"/>
            <a:gd name="connsiteX39" fmla="*/ 1064172 w 1136431"/>
            <a:gd name="connsiteY39" fmla="*/ 1018189 h 1241534"/>
            <a:gd name="connsiteX40" fmla="*/ 1097017 w 1136431"/>
            <a:gd name="connsiteY40" fmla="*/ 1011620 h 1241534"/>
            <a:gd name="connsiteX41" fmla="*/ 1136431 w 1136431"/>
            <a:gd name="connsiteY41" fmla="*/ 1005051 h 1241534"/>
            <a:gd name="connsiteX42" fmla="*/ 1116724 w 1136431"/>
            <a:gd name="connsiteY42" fmla="*/ 998482 h 1241534"/>
            <a:gd name="connsiteX43" fmla="*/ 1136431 w 1136431"/>
            <a:gd name="connsiteY43" fmla="*/ 998482 h 1241534"/>
            <a:gd name="connsiteX44" fmla="*/ 1116724 w 1136431"/>
            <a:gd name="connsiteY44" fmla="*/ 1011620 h 1241534"/>
            <a:gd name="connsiteX45" fmla="*/ 1083879 w 1136431"/>
            <a:gd name="connsiteY45" fmla="*/ 1044465 h 1241534"/>
            <a:gd name="connsiteX46" fmla="*/ 1070741 w 1136431"/>
            <a:gd name="connsiteY46" fmla="*/ 1064172 h 1241534"/>
            <a:gd name="connsiteX47" fmla="*/ 1051034 w 1136431"/>
            <a:gd name="connsiteY47" fmla="*/ 1070741 h 1241534"/>
            <a:gd name="connsiteX48" fmla="*/ 1044465 w 1136431"/>
            <a:gd name="connsiteY48" fmla="*/ 1090448 h 12415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1136431" h="1241534">
              <a:moveTo>
                <a:pt x="151086" y="0"/>
              </a:moveTo>
              <a:cubicBezTo>
                <a:pt x="141700" y="23465"/>
                <a:pt x="137086" y="37638"/>
                <a:pt x="124810" y="59120"/>
              </a:cubicBezTo>
              <a:cubicBezTo>
                <a:pt x="120893" y="65975"/>
                <a:pt x="115066" y="71699"/>
                <a:pt x="111672" y="78827"/>
              </a:cubicBezTo>
              <a:cubicBezTo>
                <a:pt x="93128" y="117769"/>
                <a:pt x="76110" y="157425"/>
                <a:pt x="59120" y="197069"/>
              </a:cubicBezTo>
              <a:cubicBezTo>
                <a:pt x="56392" y="203433"/>
                <a:pt x="54982" y="210293"/>
                <a:pt x="52551" y="216776"/>
              </a:cubicBezTo>
              <a:cubicBezTo>
                <a:pt x="48411" y="227817"/>
                <a:pt x="43142" y="238434"/>
                <a:pt x="39413" y="249620"/>
              </a:cubicBezTo>
              <a:cubicBezTo>
                <a:pt x="36558" y="258185"/>
                <a:pt x="35700" y="267331"/>
                <a:pt x="32845" y="275896"/>
              </a:cubicBezTo>
              <a:cubicBezTo>
                <a:pt x="29116" y="287083"/>
                <a:pt x="24086" y="297793"/>
                <a:pt x="19707" y="308741"/>
              </a:cubicBezTo>
              <a:cubicBezTo>
                <a:pt x="17517" y="321879"/>
                <a:pt x="16027" y="335153"/>
                <a:pt x="13138" y="348155"/>
              </a:cubicBezTo>
              <a:cubicBezTo>
                <a:pt x="11636" y="354914"/>
                <a:pt x="8248" y="361144"/>
                <a:pt x="6569" y="367862"/>
              </a:cubicBezTo>
              <a:cubicBezTo>
                <a:pt x="3861" y="378694"/>
                <a:pt x="2190" y="389759"/>
                <a:pt x="0" y="400707"/>
              </a:cubicBezTo>
              <a:cubicBezTo>
                <a:pt x="2190" y="492672"/>
                <a:pt x="2484" y="584702"/>
                <a:pt x="6569" y="676603"/>
              </a:cubicBezTo>
              <a:cubicBezTo>
                <a:pt x="6876" y="683521"/>
                <a:pt x="12085" y="689466"/>
                <a:pt x="13138" y="696310"/>
              </a:cubicBezTo>
              <a:cubicBezTo>
                <a:pt x="16484" y="718060"/>
                <a:pt x="17403" y="740115"/>
                <a:pt x="19707" y="762000"/>
              </a:cubicBezTo>
              <a:cubicBezTo>
                <a:pt x="31995" y="878740"/>
                <a:pt x="20162" y="771749"/>
                <a:pt x="32845" y="860534"/>
              </a:cubicBezTo>
              <a:cubicBezTo>
                <a:pt x="35341" y="878010"/>
                <a:pt x="36255" y="895717"/>
                <a:pt x="39413" y="913086"/>
              </a:cubicBezTo>
              <a:cubicBezTo>
                <a:pt x="40652" y="919899"/>
                <a:pt x="44480" y="926034"/>
                <a:pt x="45982" y="932793"/>
              </a:cubicBezTo>
              <a:cubicBezTo>
                <a:pt x="48871" y="945795"/>
                <a:pt x="48986" y="959374"/>
                <a:pt x="52551" y="972207"/>
              </a:cubicBezTo>
              <a:cubicBezTo>
                <a:pt x="59964" y="998894"/>
                <a:pt x="68540" y="1025318"/>
                <a:pt x="78827" y="1051034"/>
              </a:cubicBezTo>
              <a:cubicBezTo>
                <a:pt x="81759" y="1058364"/>
                <a:pt x="88759" y="1063526"/>
                <a:pt x="91965" y="1070741"/>
              </a:cubicBezTo>
              <a:cubicBezTo>
                <a:pt x="116249" y="1125380"/>
                <a:pt x="90406" y="1098353"/>
                <a:pt x="131379" y="1149569"/>
              </a:cubicBezTo>
              <a:cubicBezTo>
                <a:pt x="140138" y="1160517"/>
                <a:pt x="147233" y="1173035"/>
                <a:pt x="157655" y="1182414"/>
              </a:cubicBezTo>
              <a:cubicBezTo>
                <a:pt x="169391" y="1192977"/>
                <a:pt x="197069" y="1208689"/>
                <a:pt x="197069" y="1208689"/>
              </a:cubicBezTo>
              <a:cubicBezTo>
                <a:pt x="201448" y="1215258"/>
                <a:pt x="204042" y="1223464"/>
                <a:pt x="210207" y="1228396"/>
              </a:cubicBezTo>
              <a:cubicBezTo>
                <a:pt x="216941" y="1233783"/>
                <a:pt x="261122" y="1241207"/>
                <a:pt x="262758" y="1241534"/>
              </a:cubicBezTo>
              <a:cubicBezTo>
                <a:pt x="326258" y="1230586"/>
                <a:pt x="390072" y="1221326"/>
                <a:pt x="453258" y="1208689"/>
              </a:cubicBezTo>
              <a:cubicBezTo>
                <a:pt x="464206" y="1206499"/>
                <a:pt x="475204" y="1204542"/>
                <a:pt x="486103" y="1202120"/>
              </a:cubicBezTo>
              <a:cubicBezTo>
                <a:pt x="579911" y="1181274"/>
                <a:pt x="420834" y="1215154"/>
                <a:pt x="551793" y="1182414"/>
              </a:cubicBezTo>
              <a:cubicBezTo>
                <a:pt x="560552" y="1180224"/>
                <a:pt x="569388" y="1178325"/>
                <a:pt x="578069" y="1175845"/>
              </a:cubicBezTo>
              <a:cubicBezTo>
                <a:pt x="610360" y="1166619"/>
                <a:pt x="588968" y="1170022"/>
                <a:pt x="630620" y="1156138"/>
              </a:cubicBezTo>
              <a:cubicBezTo>
                <a:pt x="639185" y="1153283"/>
                <a:pt x="648215" y="1152049"/>
                <a:pt x="656896" y="1149569"/>
              </a:cubicBezTo>
              <a:cubicBezTo>
                <a:pt x="689184" y="1140344"/>
                <a:pt x="667800" y="1143745"/>
                <a:pt x="709448" y="1129862"/>
              </a:cubicBezTo>
              <a:cubicBezTo>
                <a:pt x="718013" y="1127007"/>
                <a:pt x="727271" y="1126463"/>
                <a:pt x="735724" y="1123293"/>
              </a:cubicBezTo>
              <a:cubicBezTo>
                <a:pt x="744893" y="1119855"/>
                <a:pt x="752831" y="1113593"/>
                <a:pt x="762000" y="1110155"/>
              </a:cubicBezTo>
              <a:cubicBezTo>
                <a:pt x="787933" y="1100430"/>
                <a:pt x="815111" y="1094166"/>
                <a:pt x="840827" y="1083879"/>
              </a:cubicBezTo>
              <a:cubicBezTo>
                <a:pt x="912903" y="1055048"/>
                <a:pt x="798623" y="1086999"/>
                <a:pt x="886810" y="1057603"/>
              </a:cubicBezTo>
              <a:cubicBezTo>
                <a:pt x="903940" y="1051893"/>
                <a:pt x="922232" y="1050175"/>
                <a:pt x="939362" y="1044465"/>
              </a:cubicBezTo>
              <a:cubicBezTo>
                <a:pt x="952500" y="1040086"/>
                <a:pt x="965116" y="1033604"/>
                <a:pt x="978776" y="1031327"/>
              </a:cubicBezTo>
              <a:lnTo>
                <a:pt x="1018189" y="1024758"/>
              </a:lnTo>
              <a:cubicBezTo>
                <a:pt x="1033492" y="1022404"/>
                <a:pt x="1048899" y="1020734"/>
                <a:pt x="1064172" y="1018189"/>
              </a:cubicBezTo>
              <a:cubicBezTo>
                <a:pt x="1075185" y="1016353"/>
                <a:pt x="1086032" y="1013617"/>
                <a:pt x="1097017" y="1011620"/>
              </a:cubicBezTo>
              <a:cubicBezTo>
                <a:pt x="1110121" y="1009237"/>
                <a:pt x="1123293" y="1007241"/>
                <a:pt x="1136431" y="1005051"/>
              </a:cubicBezTo>
              <a:cubicBezTo>
                <a:pt x="1129862" y="1002861"/>
                <a:pt x="1123442" y="1000161"/>
                <a:pt x="1116724" y="998482"/>
              </a:cubicBezTo>
              <a:cubicBezTo>
                <a:pt x="1086635" y="990960"/>
                <a:pt x="1041071" y="986564"/>
                <a:pt x="1136431" y="998482"/>
              </a:cubicBezTo>
              <a:cubicBezTo>
                <a:pt x="1129862" y="1002861"/>
                <a:pt x="1122307" y="1006037"/>
                <a:pt x="1116724" y="1011620"/>
              </a:cubicBezTo>
              <a:cubicBezTo>
                <a:pt x="1072931" y="1055413"/>
                <a:pt x="1136431" y="1009430"/>
                <a:pt x="1083879" y="1044465"/>
              </a:cubicBezTo>
              <a:cubicBezTo>
                <a:pt x="1079500" y="1051034"/>
                <a:pt x="1076906" y="1059240"/>
                <a:pt x="1070741" y="1064172"/>
              </a:cubicBezTo>
              <a:cubicBezTo>
                <a:pt x="1065334" y="1068498"/>
                <a:pt x="1055930" y="1065845"/>
                <a:pt x="1051034" y="1070741"/>
              </a:cubicBezTo>
              <a:cubicBezTo>
                <a:pt x="1046138" y="1075637"/>
                <a:pt x="1044465" y="1090448"/>
                <a:pt x="1044465" y="1090448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597776</xdr:colOff>
      <xdr:row>26</xdr:row>
      <xdr:rowOff>52552</xdr:rowOff>
    </xdr:from>
    <xdr:to>
      <xdr:col>38</xdr:col>
      <xdr:colOff>512379</xdr:colOff>
      <xdr:row>29</xdr:row>
      <xdr:rowOff>79795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522B40D6-E484-422E-AF13-FED600BCF7B6}"/>
            </a:ext>
          </a:extLst>
        </xdr:cNvPr>
        <xdr:cNvSpPr/>
      </xdr:nvSpPr>
      <xdr:spPr>
        <a:xfrm>
          <a:off x="7935310" y="4361793"/>
          <a:ext cx="1136431" cy="519916"/>
        </a:xfrm>
        <a:custGeom>
          <a:avLst/>
          <a:gdLst>
            <a:gd name="connsiteX0" fmla="*/ 0 w 1136431"/>
            <a:gd name="connsiteY0" fmla="*/ 0 h 519916"/>
            <a:gd name="connsiteX1" fmla="*/ 32845 w 1136431"/>
            <a:gd name="connsiteY1" fmla="*/ 13138 h 519916"/>
            <a:gd name="connsiteX2" fmla="*/ 52552 w 1136431"/>
            <a:gd name="connsiteY2" fmla="*/ 26276 h 519916"/>
            <a:gd name="connsiteX3" fmla="*/ 118242 w 1136431"/>
            <a:gd name="connsiteY3" fmla="*/ 52552 h 519916"/>
            <a:gd name="connsiteX4" fmla="*/ 144518 w 1136431"/>
            <a:gd name="connsiteY4" fmla="*/ 59121 h 519916"/>
            <a:gd name="connsiteX5" fmla="*/ 164224 w 1136431"/>
            <a:gd name="connsiteY5" fmla="*/ 65690 h 519916"/>
            <a:gd name="connsiteX6" fmla="*/ 236483 w 1136431"/>
            <a:gd name="connsiteY6" fmla="*/ 78828 h 519916"/>
            <a:gd name="connsiteX7" fmla="*/ 656897 w 1136431"/>
            <a:gd name="connsiteY7" fmla="*/ 98535 h 519916"/>
            <a:gd name="connsiteX8" fmla="*/ 748862 w 1136431"/>
            <a:gd name="connsiteY8" fmla="*/ 111673 h 519916"/>
            <a:gd name="connsiteX9" fmla="*/ 840828 w 1136431"/>
            <a:gd name="connsiteY9" fmla="*/ 144517 h 519916"/>
            <a:gd name="connsiteX10" fmla="*/ 860535 w 1136431"/>
            <a:gd name="connsiteY10" fmla="*/ 157655 h 519916"/>
            <a:gd name="connsiteX11" fmla="*/ 899949 w 1136431"/>
            <a:gd name="connsiteY11" fmla="*/ 170793 h 519916"/>
            <a:gd name="connsiteX12" fmla="*/ 919656 w 1136431"/>
            <a:gd name="connsiteY12" fmla="*/ 183931 h 519916"/>
            <a:gd name="connsiteX13" fmla="*/ 959069 w 1136431"/>
            <a:gd name="connsiteY13" fmla="*/ 197069 h 519916"/>
            <a:gd name="connsiteX14" fmla="*/ 978776 w 1136431"/>
            <a:gd name="connsiteY14" fmla="*/ 203638 h 519916"/>
            <a:gd name="connsiteX15" fmla="*/ 1018190 w 1136431"/>
            <a:gd name="connsiteY15" fmla="*/ 229914 h 519916"/>
            <a:gd name="connsiteX16" fmla="*/ 1037897 w 1136431"/>
            <a:gd name="connsiteY16" fmla="*/ 243052 h 519916"/>
            <a:gd name="connsiteX17" fmla="*/ 1024759 w 1136431"/>
            <a:gd name="connsiteY17" fmla="*/ 341586 h 519916"/>
            <a:gd name="connsiteX18" fmla="*/ 1011621 w 1136431"/>
            <a:gd name="connsiteY18" fmla="*/ 381000 h 519916"/>
            <a:gd name="connsiteX19" fmla="*/ 991914 w 1136431"/>
            <a:gd name="connsiteY19" fmla="*/ 420414 h 519916"/>
            <a:gd name="connsiteX20" fmla="*/ 978776 w 1136431"/>
            <a:gd name="connsiteY20" fmla="*/ 472966 h 519916"/>
            <a:gd name="connsiteX21" fmla="*/ 965638 w 1136431"/>
            <a:gd name="connsiteY21" fmla="*/ 512379 h 519916"/>
            <a:gd name="connsiteX22" fmla="*/ 945931 w 1136431"/>
            <a:gd name="connsiteY22" fmla="*/ 518948 h 519916"/>
            <a:gd name="connsiteX23" fmla="*/ 939362 w 1136431"/>
            <a:gd name="connsiteY23" fmla="*/ 446690 h 519916"/>
            <a:gd name="connsiteX24" fmla="*/ 959069 w 1136431"/>
            <a:gd name="connsiteY24" fmla="*/ 459828 h 519916"/>
            <a:gd name="connsiteX25" fmla="*/ 965638 w 1136431"/>
            <a:gd name="connsiteY25" fmla="*/ 479535 h 519916"/>
            <a:gd name="connsiteX26" fmla="*/ 978776 w 1136431"/>
            <a:gd name="connsiteY26" fmla="*/ 499241 h 519916"/>
            <a:gd name="connsiteX27" fmla="*/ 985345 w 1136431"/>
            <a:gd name="connsiteY27" fmla="*/ 518948 h 519916"/>
            <a:gd name="connsiteX28" fmla="*/ 1024759 w 1136431"/>
            <a:gd name="connsiteY28" fmla="*/ 492673 h 519916"/>
            <a:gd name="connsiteX29" fmla="*/ 1044466 w 1136431"/>
            <a:gd name="connsiteY29" fmla="*/ 486104 h 519916"/>
            <a:gd name="connsiteX30" fmla="*/ 1064173 w 1136431"/>
            <a:gd name="connsiteY30" fmla="*/ 472966 h 519916"/>
            <a:gd name="connsiteX31" fmla="*/ 1103587 w 1136431"/>
            <a:gd name="connsiteY31" fmla="*/ 459828 h 519916"/>
            <a:gd name="connsiteX32" fmla="*/ 1123293 w 1136431"/>
            <a:gd name="connsiteY32" fmla="*/ 453259 h 519916"/>
            <a:gd name="connsiteX33" fmla="*/ 1136431 w 1136431"/>
            <a:gd name="connsiteY33" fmla="*/ 440121 h 5199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1136431" h="519916">
              <a:moveTo>
                <a:pt x="0" y="0"/>
              </a:moveTo>
              <a:cubicBezTo>
                <a:pt x="10948" y="4379"/>
                <a:pt x="22298" y="7865"/>
                <a:pt x="32845" y="13138"/>
              </a:cubicBezTo>
              <a:cubicBezTo>
                <a:pt x="39906" y="16669"/>
                <a:pt x="45384" y="22968"/>
                <a:pt x="52552" y="26276"/>
              </a:cubicBezTo>
              <a:cubicBezTo>
                <a:pt x="73965" y="36159"/>
                <a:pt x="96032" y="44620"/>
                <a:pt x="118242" y="52552"/>
              </a:cubicBezTo>
              <a:cubicBezTo>
                <a:pt x="126744" y="55589"/>
                <a:pt x="135837" y="56641"/>
                <a:pt x="144518" y="59121"/>
              </a:cubicBezTo>
              <a:cubicBezTo>
                <a:pt x="151176" y="61023"/>
                <a:pt x="157507" y="64011"/>
                <a:pt x="164224" y="65690"/>
              </a:cubicBezTo>
              <a:cubicBezTo>
                <a:pt x="178658" y="69299"/>
                <a:pt x="223599" y="77071"/>
                <a:pt x="236483" y="78828"/>
              </a:cubicBezTo>
              <a:cubicBezTo>
                <a:pt x="425303" y="104576"/>
                <a:pt x="367619" y="92508"/>
                <a:pt x="656897" y="98535"/>
              </a:cubicBezTo>
              <a:cubicBezTo>
                <a:pt x="672455" y="100480"/>
                <a:pt x="729916" y="106937"/>
                <a:pt x="748862" y="111673"/>
              </a:cubicBezTo>
              <a:cubicBezTo>
                <a:pt x="763882" y="115428"/>
                <a:pt x="832241" y="140614"/>
                <a:pt x="840828" y="144517"/>
              </a:cubicBezTo>
              <a:cubicBezTo>
                <a:pt x="848015" y="147784"/>
                <a:pt x="853320" y="154449"/>
                <a:pt x="860535" y="157655"/>
              </a:cubicBezTo>
              <a:cubicBezTo>
                <a:pt x="873190" y="163279"/>
                <a:pt x="888426" y="163111"/>
                <a:pt x="899949" y="170793"/>
              </a:cubicBezTo>
              <a:cubicBezTo>
                <a:pt x="906518" y="175172"/>
                <a:pt x="912442" y="180725"/>
                <a:pt x="919656" y="183931"/>
              </a:cubicBezTo>
              <a:cubicBezTo>
                <a:pt x="932311" y="189555"/>
                <a:pt x="945931" y="192690"/>
                <a:pt x="959069" y="197069"/>
              </a:cubicBezTo>
              <a:cubicBezTo>
                <a:pt x="965638" y="199259"/>
                <a:pt x="973015" y="199797"/>
                <a:pt x="978776" y="203638"/>
              </a:cubicBezTo>
              <a:lnTo>
                <a:pt x="1018190" y="229914"/>
              </a:lnTo>
              <a:lnTo>
                <a:pt x="1037897" y="243052"/>
              </a:lnTo>
              <a:cubicBezTo>
                <a:pt x="1033407" y="292438"/>
                <a:pt x="1036112" y="303741"/>
                <a:pt x="1024759" y="341586"/>
              </a:cubicBezTo>
              <a:cubicBezTo>
                <a:pt x="1020780" y="354851"/>
                <a:pt x="1019303" y="369477"/>
                <a:pt x="1011621" y="381000"/>
              </a:cubicBezTo>
              <a:cubicBezTo>
                <a:pt x="997822" y="401698"/>
                <a:pt x="998190" y="397401"/>
                <a:pt x="991914" y="420414"/>
              </a:cubicBezTo>
              <a:cubicBezTo>
                <a:pt x="987163" y="437834"/>
                <a:pt x="984486" y="455836"/>
                <a:pt x="978776" y="472966"/>
              </a:cubicBezTo>
              <a:cubicBezTo>
                <a:pt x="974397" y="486104"/>
                <a:pt x="978776" y="508000"/>
                <a:pt x="965638" y="512379"/>
              </a:cubicBezTo>
              <a:lnTo>
                <a:pt x="945931" y="518948"/>
              </a:lnTo>
              <a:cubicBezTo>
                <a:pt x="929262" y="468943"/>
                <a:pt x="930077" y="493114"/>
                <a:pt x="939362" y="446690"/>
              </a:cubicBezTo>
              <a:cubicBezTo>
                <a:pt x="945931" y="451069"/>
                <a:pt x="954137" y="453663"/>
                <a:pt x="959069" y="459828"/>
              </a:cubicBezTo>
              <a:cubicBezTo>
                <a:pt x="963395" y="465235"/>
                <a:pt x="962541" y="473342"/>
                <a:pt x="965638" y="479535"/>
              </a:cubicBezTo>
              <a:cubicBezTo>
                <a:pt x="969169" y="486596"/>
                <a:pt x="974397" y="492672"/>
                <a:pt x="978776" y="499241"/>
              </a:cubicBezTo>
              <a:cubicBezTo>
                <a:pt x="980966" y="505810"/>
                <a:pt x="979152" y="515851"/>
                <a:pt x="985345" y="518948"/>
              </a:cubicBezTo>
              <a:cubicBezTo>
                <a:pt x="998732" y="525642"/>
                <a:pt x="1020458" y="495541"/>
                <a:pt x="1024759" y="492673"/>
              </a:cubicBezTo>
              <a:cubicBezTo>
                <a:pt x="1030520" y="488832"/>
                <a:pt x="1038273" y="489201"/>
                <a:pt x="1044466" y="486104"/>
              </a:cubicBezTo>
              <a:cubicBezTo>
                <a:pt x="1051527" y="482573"/>
                <a:pt x="1056958" y="476172"/>
                <a:pt x="1064173" y="472966"/>
              </a:cubicBezTo>
              <a:cubicBezTo>
                <a:pt x="1076828" y="467342"/>
                <a:pt x="1090449" y="464207"/>
                <a:pt x="1103587" y="459828"/>
              </a:cubicBezTo>
              <a:cubicBezTo>
                <a:pt x="1110156" y="457638"/>
                <a:pt x="1118397" y="458155"/>
                <a:pt x="1123293" y="453259"/>
              </a:cubicBezTo>
              <a:lnTo>
                <a:pt x="1136431" y="440121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18</xdr:col>
      <xdr:colOff>97142</xdr:colOff>
      <xdr:row>10</xdr:row>
      <xdr:rowOff>74626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359F91-A645-459E-913C-2E9A75A5C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1200150"/>
          <a:ext cx="3183242" cy="588976"/>
        </a:xfrm>
        <a:prstGeom prst="rect">
          <a:avLst/>
        </a:prstGeom>
      </xdr:spPr>
    </xdr:pic>
    <xdr:clientData/>
  </xdr:twoCellAnchor>
  <xdr:twoCellAnchor editAs="oneCell">
    <xdr:from>
      <xdr:col>8</xdr:col>
      <xdr:colOff>498229</xdr:colOff>
      <xdr:row>30</xdr:row>
      <xdr:rowOff>82524</xdr:rowOff>
    </xdr:from>
    <xdr:to>
      <xdr:col>16</xdr:col>
      <xdr:colOff>172041</xdr:colOff>
      <xdr:row>39</xdr:row>
      <xdr:rowOff>127926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2C44E9-F252-466C-8990-AAFA4679D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2579" y="5226024"/>
          <a:ext cx="3788612" cy="1588452"/>
        </a:xfrm>
        <a:prstGeom prst="rect">
          <a:avLst/>
        </a:prstGeom>
      </xdr:spPr>
    </xdr:pic>
    <xdr:clientData/>
  </xdr:twoCellAnchor>
  <xdr:twoCellAnchor editAs="oneCell">
    <xdr:from>
      <xdr:col>11</xdr:col>
      <xdr:colOff>51289</xdr:colOff>
      <xdr:row>40</xdr:row>
      <xdr:rowOff>2</xdr:rowOff>
    </xdr:from>
    <xdr:to>
      <xdr:col>15</xdr:col>
      <xdr:colOff>381000</xdr:colOff>
      <xdr:row>43</xdr:row>
      <xdr:rowOff>113668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747B76-115B-4E2B-9AAC-2DF7E4754E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4593"/>
        <a:stretch/>
      </xdr:blipFill>
      <xdr:spPr>
        <a:xfrm>
          <a:off x="5918689" y="6858002"/>
          <a:ext cx="2387111" cy="62801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24</xdr:col>
      <xdr:colOff>325128</xdr:colOff>
      <xdr:row>32</xdr:row>
      <xdr:rowOff>123181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88CD2D-1145-4989-9582-79465DEB1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0" y="4972050"/>
          <a:ext cx="3925578" cy="63753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24</xdr:col>
      <xdr:colOff>115549</xdr:colOff>
      <xdr:row>36</xdr:row>
      <xdr:rowOff>113654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8D6F812-6B20-4DCF-B8BF-C6B722C7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0" y="5657850"/>
          <a:ext cx="3715999" cy="62800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24</xdr:col>
      <xdr:colOff>410865</xdr:colOff>
      <xdr:row>40</xdr:row>
      <xdr:rowOff>132707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AC5BCA7-C116-4FDD-A8B2-57825CCF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53500" y="6343650"/>
          <a:ext cx="4011315" cy="64705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23</xdr:col>
      <xdr:colOff>274469</xdr:colOff>
      <xdr:row>50</xdr:row>
      <xdr:rowOff>167679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CF6EB11-5204-443A-ACEF-2D5EF210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53500" y="7886700"/>
          <a:ext cx="3360569" cy="85347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23</xdr:col>
      <xdr:colOff>464325</xdr:colOff>
      <xdr:row>56</xdr:row>
      <xdr:rowOff>167648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46C4051-BE85-4929-AD86-3E452DA4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53500" y="8915400"/>
          <a:ext cx="3550425" cy="853448"/>
        </a:xfrm>
        <a:prstGeom prst="rect">
          <a:avLst/>
        </a:prstGeom>
      </xdr:spPr>
    </xdr:pic>
    <xdr:clientData/>
  </xdr:twoCellAnchor>
  <xdr:twoCellAnchor>
    <xdr:from>
      <xdr:col>8</xdr:col>
      <xdr:colOff>488838</xdr:colOff>
      <xdr:row>49</xdr:row>
      <xdr:rowOff>58615</xdr:rowOff>
    </xdr:from>
    <xdr:to>
      <xdr:col>24</xdr:col>
      <xdr:colOff>270410</xdr:colOff>
      <xdr:row>58</xdr:row>
      <xdr:rowOff>58616</xdr:rowOff>
    </xdr:to>
    <xdr:sp macro="" textlink="">
      <xdr:nvSpPr>
        <xdr:cNvPr id="10" name="Forma Livre: Forma 9">
          <a:extLst>
            <a:ext uri="{FF2B5EF4-FFF2-40B4-BE49-F238E27FC236}">
              <a16:creationId xmlns:a16="http://schemas.microsoft.com/office/drawing/2014/main" id="{4135E0AE-1FB5-4040-96D1-9DC54E66ADDA}"/>
            </a:ext>
          </a:extLst>
        </xdr:cNvPr>
        <xdr:cNvSpPr/>
      </xdr:nvSpPr>
      <xdr:spPr>
        <a:xfrm>
          <a:off x="4813188" y="8459665"/>
          <a:ext cx="8011172" cy="1543051"/>
        </a:xfrm>
        <a:custGeom>
          <a:avLst/>
          <a:gdLst>
            <a:gd name="connsiteX0" fmla="*/ 7951777 w 7987726"/>
            <a:gd name="connsiteY0" fmla="*/ 439616 h 1516674"/>
            <a:gd name="connsiteX1" fmla="*/ 7929796 w 7987726"/>
            <a:gd name="connsiteY1" fmla="*/ 402981 h 1516674"/>
            <a:gd name="connsiteX2" fmla="*/ 7878508 w 7987726"/>
            <a:gd name="connsiteY2" fmla="*/ 366347 h 1516674"/>
            <a:gd name="connsiteX3" fmla="*/ 7841873 w 7987726"/>
            <a:gd name="connsiteY3" fmla="*/ 337039 h 1516674"/>
            <a:gd name="connsiteX4" fmla="*/ 7761277 w 7987726"/>
            <a:gd name="connsiteY4" fmla="*/ 307731 h 1516674"/>
            <a:gd name="connsiteX5" fmla="*/ 7541469 w 7987726"/>
            <a:gd name="connsiteY5" fmla="*/ 241789 h 1516674"/>
            <a:gd name="connsiteX6" fmla="*/ 7504835 w 7987726"/>
            <a:gd name="connsiteY6" fmla="*/ 234462 h 1516674"/>
            <a:gd name="connsiteX7" fmla="*/ 7446219 w 7987726"/>
            <a:gd name="connsiteY7" fmla="*/ 219808 h 1516674"/>
            <a:gd name="connsiteX8" fmla="*/ 7387604 w 7987726"/>
            <a:gd name="connsiteY8" fmla="*/ 212481 h 1516674"/>
            <a:gd name="connsiteX9" fmla="*/ 7314335 w 7987726"/>
            <a:gd name="connsiteY9" fmla="*/ 197827 h 1516674"/>
            <a:gd name="connsiteX10" fmla="*/ 7241066 w 7987726"/>
            <a:gd name="connsiteY10" fmla="*/ 190500 h 1516674"/>
            <a:gd name="connsiteX11" fmla="*/ 7204431 w 7987726"/>
            <a:gd name="connsiteY11" fmla="*/ 183174 h 1516674"/>
            <a:gd name="connsiteX12" fmla="*/ 7087200 w 7987726"/>
            <a:gd name="connsiteY12" fmla="*/ 175847 h 1516674"/>
            <a:gd name="connsiteX13" fmla="*/ 6750162 w 7987726"/>
            <a:gd name="connsiteY13" fmla="*/ 190500 h 1516674"/>
            <a:gd name="connsiteX14" fmla="*/ 6728181 w 7987726"/>
            <a:gd name="connsiteY14" fmla="*/ 197827 h 1516674"/>
            <a:gd name="connsiteX15" fmla="*/ 6669566 w 7987726"/>
            <a:gd name="connsiteY15" fmla="*/ 205154 h 1516674"/>
            <a:gd name="connsiteX16" fmla="*/ 6625604 w 7987726"/>
            <a:gd name="connsiteY16" fmla="*/ 219808 h 1516674"/>
            <a:gd name="connsiteX17" fmla="*/ 6588969 w 7987726"/>
            <a:gd name="connsiteY17" fmla="*/ 227135 h 1516674"/>
            <a:gd name="connsiteX18" fmla="*/ 6523027 w 7987726"/>
            <a:gd name="connsiteY18" fmla="*/ 249116 h 1516674"/>
            <a:gd name="connsiteX19" fmla="*/ 6493719 w 7987726"/>
            <a:gd name="connsiteY19" fmla="*/ 256443 h 1516674"/>
            <a:gd name="connsiteX20" fmla="*/ 6427777 w 7987726"/>
            <a:gd name="connsiteY20" fmla="*/ 278424 h 1516674"/>
            <a:gd name="connsiteX21" fmla="*/ 6383816 w 7987726"/>
            <a:gd name="connsiteY21" fmla="*/ 285750 h 1516674"/>
            <a:gd name="connsiteX22" fmla="*/ 6207969 w 7987726"/>
            <a:gd name="connsiteY22" fmla="*/ 359020 h 1516674"/>
            <a:gd name="connsiteX23" fmla="*/ 6076085 w 7987726"/>
            <a:gd name="connsiteY23" fmla="*/ 476250 h 1516674"/>
            <a:gd name="connsiteX24" fmla="*/ 6017469 w 7987726"/>
            <a:gd name="connsiteY24" fmla="*/ 556847 h 1516674"/>
            <a:gd name="connsiteX25" fmla="*/ 5980835 w 7987726"/>
            <a:gd name="connsiteY25" fmla="*/ 659424 h 1516674"/>
            <a:gd name="connsiteX26" fmla="*/ 5958854 w 7987726"/>
            <a:gd name="connsiteY26" fmla="*/ 718039 h 1516674"/>
            <a:gd name="connsiteX27" fmla="*/ 5951527 w 7987726"/>
            <a:gd name="connsiteY27" fmla="*/ 762000 h 1516674"/>
            <a:gd name="connsiteX28" fmla="*/ 5958854 w 7987726"/>
            <a:gd name="connsiteY28" fmla="*/ 901212 h 1516674"/>
            <a:gd name="connsiteX29" fmla="*/ 6039450 w 7987726"/>
            <a:gd name="connsiteY29" fmla="*/ 1099039 h 1516674"/>
            <a:gd name="connsiteX30" fmla="*/ 6061431 w 7987726"/>
            <a:gd name="connsiteY30" fmla="*/ 1128347 h 1516674"/>
            <a:gd name="connsiteX31" fmla="*/ 6076085 w 7987726"/>
            <a:gd name="connsiteY31" fmla="*/ 1157654 h 1516674"/>
            <a:gd name="connsiteX32" fmla="*/ 6112719 w 7987726"/>
            <a:gd name="connsiteY32" fmla="*/ 1194289 h 1516674"/>
            <a:gd name="connsiteX33" fmla="*/ 6127373 w 7987726"/>
            <a:gd name="connsiteY33" fmla="*/ 1216270 h 1516674"/>
            <a:gd name="connsiteX34" fmla="*/ 6222623 w 7987726"/>
            <a:gd name="connsiteY34" fmla="*/ 1304193 h 1516674"/>
            <a:gd name="connsiteX35" fmla="*/ 6369162 w 7987726"/>
            <a:gd name="connsiteY35" fmla="*/ 1406770 h 1516674"/>
            <a:gd name="connsiteX36" fmla="*/ 6420450 w 7987726"/>
            <a:gd name="connsiteY36" fmla="*/ 1428750 h 1516674"/>
            <a:gd name="connsiteX37" fmla="*/ 6449758 w 7987726"/>
            <a:gd name="connsiteY37" fmla="*/ 1450731 h 1516674"/>
            <a:gd name="connsiteX38" fmla="*/ 6486392 w 7987726"/>
            <a:gd name="connsiteY38" fmla="*/ 1458058 h 1516674"/>
            <a:gd name="connsiteX39" fmla="*/ 6574316 w 7987726"/>
            <a:gd name="connsiteY39" fmla="*/ 1494693 h 1516674"/>
            <a:gd name="connsiteX40" fmla="*/ 6684219 w 7987726"/>
            <a:gd name="connsiteY40" fmla="*/ 1516674 h 1516674"/>
            <a:gd name="connsiteX41" fmla="*/ 7138489 w 7987726"/>
            <a:gd name="connsiteY41" fmla="*/ 1487366 h 1516674"/>
            <a:gd name="connsiteX42" fmla="*/ 7226412 w 7987726"/>
            <a:gd name="connsiteY42" fmla="*/ 1472712 h 1516674"/>
            <a:gd name="connsiteX43" fmla="*/ 7328989 w 7987726"/>
            <a:gd name="connsiteY43" fmla="*/ 1443404 h 1516674"/>
            <a:gd name="connsiteX44" fmla="*/ 7416912 w 7987726"/>
            <a:gd name="connsiteY44" fmla="*/ 1406770 h 1516674"/>
            <a:gd name="connsiteX45" fmla="*/ 7504835 w 7987726"/>
            <a:gd name="connsiteY45" fmla="*/ 1370135 h 1516674"/>
            <a:gd name="connsiteX46" fmla="*/ 7526816 w 7987726"/>
            <a:gd name="connsiteY46" fmla="*/ 1362808 h 1516674"/>
            <a:gd name="connsiteX47" fmla="*/ 7658700 w 7987726"/>
            <a:gd name="connsiteY47" fmla="*/ 1274885 h 1516674"/>
            <a:gd name="connsiteX48" fmla="*/ 7702662 w 7987726"/>
            <a:gd name="connsiteY48" fmla="*/ 1238250 h 1516674"/>
            <a:gd name="connsiteX49" fmla="*/ 7761277 w 7987726"/>
            <a:gd name="connsiteY49" fmla="*/ 1186962 h 1516674"/>
            <a:gd name="connsiteX50" fmla="*/ 7812566 w 7987726"/>
            <a:gd name="connsiteY50" fmla="*/ 1135674 h 1516674"/>
            <a:gd name="connsiteX51" fmla="*/ 7827219 w 7987726"/>
            <a:gd name="connsiteY51" fmla="*/ 1106366 h 1516674"/>
            <a:gd name="connsiteX52" fmla="*/ 7849200 w 7987726"/>
            <a:gd name="connsiteY52" fmla="*/ 1084385 h 1516674"/>
            <a:gd name="connsiteX53" fmla="*/ 7885835 w 7987726"/>
            <a:gd name="connsiteY53" fmla="*/ 1040424 h 1516674"/>
            <a:gd name="connsiteX54" fmla="*/ 7915142 w 7987726"/>
            <a:gd name="connsiteY54" fmla="*/ 989135 h 1516674"/>
            <a:gd name="connsiteX55" fmla="*/ 7951777 w 7987726"/>
            <a:gd name="connsiteY55" fmla="*/ 901212 h 1516674"/>
            <a:gd name="connsiteX56" fmla="*/ 7966431 w 7987726"/>
            <a:gd name="connsiteY56" fmla="*/ 857250 h 1516674"/>
            <a:gd name="connsiteX57" fmla="*/ 7973758 w 7987726"/>
            <a:gd name="connsiteY57" fmla="*/ 835270 h 1516674"/>
            <a:gd name="connsiteX58" fmla="*/ 7973758 w 7987726"/>
            <a:gd name="connsiteY58" fmla="*/ 520212 h 1516674"/>
            <a:gd name="connsiteX59" fmla="*/ 7929796 w 7987726"/>
            <a:gd name="connsiteY59" fmla="*/ 439616 h 1516674"/>
            <a:gd name="connsiteX60" fmla="*/ 7893162 w 7987726"/>
            <a:gd name="connsiteY60" fmla="*/ 402981 h 1516674"/>
            <a:gd name="connsiteX61" fmla="*/ 7878508 w 7987726"/>
            <a:gd name="connsiteY61" fmla="*/ 381000 h 1516674"/>
            <a:gd name="connsiteX62" fmla="*/ 7856527 w 7987726"/>
            <a:gd name="connsiteY62" fmla="*/ 359020 h 1516674"/>
            <a:gd name="connsiteX63" fmla="*/ 7731969 w 7987726"/>
            <a:gd name="connsiteY63" fmla="*/ 285750 h 1516674"/>
            <a:gd name="connsiteX64" fmla="*/ 7666027 w 7987726"/>
            <a:gd name="connsiteY64" fmla="*/ 263770 h 1516674"/>
            <a:gd name="connsiteX65" fmla="*/ 7585431 w 7987726"/>
            <a:gd name="connsiteY65" fmla="*/ 241789 h 1516674"/>
            <a:gd name="connsiteX66" fmla="*/ 7526816 w 7987726"/>
            <a:gd name="connsiteY66" fmla="*/ 227135 h 1516674"/>
            <a:gd name="connsiteX67" fmla="*/ 7504835 w 7987726"/>
            <a:gd name="connsiteY67" fmla="*/ 219808 h 1516674"/>
            <a:gd name="connsiteX68" fmla="*/ 7380277 w 7987726"/>
            <a:gd name="connsiteY68" fmla="*/ 197827 h 1516674"/>
            <a:gd name="connsiteX69" fmla="*/ 7328989 w 7987726"/>
            <a:gd name="connsiteY69" fmla="*/ 190500 h 1516674"/>
            <a:gd name="connsiteX70" fmla="*/ 7263046 w 7987726"/>
            <a:gd name="connsiteY70" fmla="*/ 183174 h 1516674"/>
            <a:gd name="connsiteX71" fmla="*/ 6969969 w 7987726"/>
            <a:gd name="connsiteY71" fmla="*/ 139212 h 1516674"/>
            <a:gd name="connsiteX72" fmla="*/ 6676892 w 7987726"/>
            <a:gd name="connsiteY72" fmla="*/ 117231 h 1516674"/>
            <a:gd name="connsiteX73" fmla="*/ 6398469 w 7987726"/>
            <a:gd name="connsiteY73" fmla="*/ 102577 h 1516674"/>
            <a:gd name="connsiteX74" fmla="*/ 6010142 w 7987726"/>
            <a:gd name="connsiteY74" fmla="*/ 87924 h 1516674"/>
            <a:gd name="connsiteX75" fmla="*/ 5358046 w 7987726"/>
            <a:gd name="connsiteY75" fmla="*/ 73270 h 1516674"/>
            <a:gd name="connsiteX76" fmla="*/ 5130912 w 7987726"/>
            <a:gd name="connsiteY76" fmla="*/ 65943 h 1516674"/>
            <a:gd name="connsiteX77" fmla="*/ 4969719 w 7987726"/>
            <a:gd name="connsiteY77" fmla="*/ 58616 h 1516674"/>
            <a:gd name="connsiteX78" fmla="*/ 4530104 w 7987726"/>
            <a:gd name="connsiteY78" fmla="*/ 51289 h 1516674"/>
            <a:gd name="connsiteX79" fmla="*/ 3834046 w 7987726"/>
            <a:gd name="connsiteY79" fmla="*/ 36635 h 1516674"/>
            <a:gd name="connsiteX80" fmla="*/ 2962142 w 7987726"/>
            <a:gd name="connsiteY80" fmla="*/ 29308 h 1516674"/>
            <a:gd name="connsiteX81" fmla="*/ 2066 w 7987726"/>
            <a:gd name="connsiteY81" fmla="*/ 29308 h 1516674"/>
            <a:gd name="connsiteX82" fmla="*/ 31373 w 7987726"/>
            <a:gd name="connsiteY82" fmla="*/ 21981 h 1516674"/>
            <a:gd name="connsiteX83" fmla="*/ 82662 w 7987726"/>
            <a:gd name="connsiteY83" fmla="*/ 14654 h 1516674"/>
            <a:gd name="connsiteX84" fmla="*/ 207219 w 7987726"/>
            <a:gd name="connsiteY84" fmla="*/ 7327 h 1516674"/>
            <a:gd name="connsiteX85" fmla="*/ 251181 w 7987726"/>
            <a:gd name="connsiteY85" fmla="*/ 0 h 1516674"/>
            <a:gd name="connsiteX86" fmla="*/ 273162 w 7987726"/>
            <a:gd name="connsiteY86" fmla="*/ 7327 h 1516674"/>
            <a:gd name="connsiteX87" fmla="*/ 243854 w 7987726"/>
            <a:gd name="connsiteY87" fmla="*/ 80597 h 1516674"/>
            <a:gd name="connsiteX88" fmla="*/ 75335 w 7987726"/>
            <a:gd name="connsiteY88" fmla="*/ 73270 h 1516674"/>
            <a:gd name="connsiteX89" fmla="*/ 38700 w 7987726"/>
            <a:gd name="connsiteY89" fmla="*/ 65943 h 1516674"/>
            <a:gd name="connsiteX90" fmla="*/ 68008 w 7987726"/>
            <a:gd name="connsiteY90" fmla="*/ 29308 h 15166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</a:cxnLst>
          <a:rect l="l" t="t" r="r" b="b"/>
          <a:pathLst>
            <a:path w="7987726" h="1516674">
              <a:moveTo>
                <a:pt x="7951777" y="439616"/>
              </a:moveTo>
              <a:cubicBezTo>
                <a:pt x="7944450" y="427404"/>
                <a:pt x="7938341" y="414374"/>
                <a:pt x="7929796" y="402981"/>
              </a:cubicBezTo>
              <a:cubicBezTo>
                <a:pt x="7905793" y="370977"/>
                <a:pt x="7911075" y="388058"/>
                <a:pt x="7878508" y="366347"/>
              </a:cubicBezTo>
              <a:cubicBezTo>
                <a:pt x="7865496" y="357672"/>
                <a:pt x="7855642" y="344453"/>
                <a:pt x="7841873" y="337039"/>
              </a:cubicBezTo>
              <a:cubicBezTo>
                <a:pt x="7836271" y="334023"/>
                <a:pt x="7780756" y="313634"/>
                <a:pt x="7761277" y="307731"/>
              </a:cubicBezTo>
              <a:lnTo>
                <a:pt x="7541469" y="241789"/>
              </a:lnTo>
              <a:cubicBezTo>
                <a:pt x="7529495" y="238368"/>
                <a:pt x="7516969" y="237262"/>
                <a:pt x="7504835" y="234462"/>
              </a:cubicBezTo>
              <a:cubicBezTo>
                <a:pt x="7485211" y="229933"/>
                <a:pt x="7466014" y="223520"/>
                <a:pt x="7446219" y="219808"/>
              </a:cubicBezTo>
              <a:cubicBezTo>
                <a:pt x="7426866" y="216179"/>
                <a:pt x="7407026" y="215718"/>
                <a:pt x="7387604" y="212481"/>
              </a:cubicBezTo>
              <a:cubicBezTo>
                <a:pt x="7292978" y="196710"/>
                <a:pt x="7443327" y="213951"/>
                <a:pt x="7314335" y="197827"/>
              </a:cubicBezTo>
              <a:cubicBezTo>
                <a:pt x="7289980" y="194783"/>
                <a:pt x="7265396" y="193744"/>
                <a:pt x="7241066" y="190500"/>
              </a:cubicBezTo>
              <a:cubicBezTo>
                <a:pt x="7228722" y="188854"/>
                <a:pt x="7216828" y="184355"/>
                <a:pt x="7204431" y="183174"/>
              </a:cubicBezTo>
              <a:cubicBezTo>
                <a:pt x="7165454" y="179462"/>
                <a:pt x="7126277" y="178289"/>
                <a:pt x="7087200" y="175847"/>
              </a:cubicBezTo>
              <a:lnTo>
                <a:pt x="6750162" y="190500"/>
              </a:lnTo>
              <a:cubicBezTo>
                <a:pt x="6742453" y="190972"/>
                <a:pt x="6735780" y="196445"/>
                <a:pt x="6728181" y="197827"/>
              </a:cubicBezTo>
              <a:cubicBezTo>
                <a:pt x="6708808" y="201349"/>
                <a:pt x="6689104" y="202712"/>
                <a:pt x="6669566" y="205154"/>
              </a:cubicBezTo>
              <a:cubicBezTo>
                <a:pt x="6654912" y="210039"/>
                <a:pt x="6640506" y="215744"/>
                <a:pt x="6625604" y="219808"/>
              </a:cubicBezTo>
              <a:cubicBezTo>
                <a:pt x="6613589" y="223085"/>
                <a:pt x="6600943" y="223714"/>
                <a:pt x="6588969" y="227135"/>
              </a:cubicBezTo>
              <a:cubicBezTo>
                <a:pt x="6566691" y="233500"/>
                <a:pt x="6545172" y="242302"/>
                <a:pt x="6523027" y="249116"/>
              </a:cubicBezTo>
              <a:cubicBezTo>
                <a:pt x="6513402" y="252077"/>
                <a:pt x="6503344" y="253482"/>
                <a:pt x="6493719" y="256443"/>
              </a:cubicBezTo>
              <a:cubicBezTo>
                <a:pt x="6471574" y="263257"/>
                <a:pt x="6450164" y="272454"/>
                <a:pt x="6427777" y="278424"/>
              </a:cubicBezTo>
              <a:cubicBezTo>
                <a:pt x="6413423" y="282252"/>
                <a:pt x="6398470" y="283308"/>
                <a:pt x="6383816" y="285750"/>
              </a:cubicBezTo>
              <a:cubicBezTo>
                <a:pt x="6222851" y="354735"/>
                <a:pt x="6282887" y="334047"/>
                <a:pt x="6207969" y="359020"/>
              </a:cubicBezTo>
              <a:cubicBezTo>
                <a:pt x="6164402" y="391695"/>
                <a:pt x="6106265" y="430980"/>
                <a:pt x="6076085" y="476250"/>
              </a:cubicBezTo>
              <a:cubicBezTo>
                <a:pt x="6038102" y="533224"/>
                <a:pt x="6057779" y="506459"/>
                <a:pt x="6017469" y="556847"/>
              </a:cubicBezTo>
              <a:cubicBezTo>
                <a:pt x="6005258" y="591039"/>
                <a:pt x="5993387" y="625355"/>
                <a:pt x="5980835" y="659424"/>
              </a:cubicBezTo>
              <a:cubicBezTo>
                <a:pt x="5977639" y="668099"/>
                <a:pt x="5961927" y="704210"/>
                <a:pt x="5958854" y="718039"/>
              </a:cubicBezTo>
              <a:cubicBezTo>
                <a:pt x="5955631" y="732541"/>
                <a:pt x="5953969" y="747346"/>
                <a:pt x="5951527" y="762000"/>
              </a:cubicBezTo>
              <a:cubicBezTo>
                <a:pt x="5953969" y="808404"/>
                <a:pt x="5949741" y="855646"/>
                <a:pt x="5958854" y="901212"/>
              </a:cubicBezTo>
              <a:cubicBezTo>
                <a:pt x="5980231" y="1008097"/>
                <a:pt x="5991712" y="1030842"/>
                <a:pt x="6039450" y="1099039"/>
              </a:cubicBezTo>
              <a:cubicBezTo>
                <a:pt x="6046453" y="1109043"/>
                <a:pt x="6054959" y="1117992"/>
                <a:pt x="6061431" y="1128347"/>
              </a:cubicBezTo>
              <a:cubicBezTo>
                <a:pt x="6067220" y="1137609"/>
                <a:pt x="6069379" y="1149033"/>
                <a:pt x="6076085" y="1157654"/>
              </a:cubicBezTo>
              <a:cubicBezTo>
                <a:pt x="6086688" y="1171286"/>
                <a:pt x="6101347" y="1181292"/>
                <a:pt x="6112719" y="1194289"/>
              </a:cubicBezTo>
              <a:cubicBezTo>
                <a:pt x="6118518" y="1200916"/>
                <a:pt x="6121482" y="1209725"/>
                <a:pt x="6127373" y="1216270"/>
              </a:cubicBezTo>
              <a:cubicBezTo>
                <a:pt x="6151846" y="1243462"/>
                <a:pt x="6191886" y="1281731"/>
                <a:pt x="6222623" y="1304193"/>
              </a:cubicBezTo>
              <a:cubicBezTo>
                <a:pt x="6270763" y="1339373"/>
                <a:pt x="6312597" y="1387914"/>
                <a:pt x="6369162" y="1406770"/>
              </a:cubicBezTo>
              <a:cubicBezTo>
                <a:pt x="6390526" y="1413892"/>
                <a:pt x="6399759" y="1415819"/>
                <a:pt x="6420450" y="1428750"/>
              </a:cubicBezTo>
              <a:cubicBezTo>
                <a:pt x="6430806" y="1435222"/>
                <a:pt x="6438599" y="1445771"/>
                <a:pt x="6449758" y="1450731"/>
              </a:cubicBezTo>
              <a:cubicBezTo>
                <a:pt x="6461138" y="1455789"/>
                <a:pt x="6474649" y="1453913"/>
                <a:pt x="6486392" y="1458058"/>
              </a:cubicBezTo>
              <a:cubicBezTo>
                <a:pt x="6516332" y="1468625"/>
                <a:pt x="6543182" y="1488466"/>
                <a:pt x="6574316" y="1494693"/>
              </a:cubicBezTo>
              <a:lnTo>
                <a:pt x="6684219" y="1516674"/>
              </a:lnTo>
              <a:lnTo>
                <a:pt x="7138489" y="1487366"/>
              </a:lnTo>
              <a:cubicBezTo>
                <a:pt x="7168104" y="1484965"/>
                <a:pt x="7226412" y="1472712"/>
                <a:pt x="7226412" y="1472712"/>
              </a:cubicBezTo>
              <a:cubicBezTo>
                <a:pt x="7289479" y="1451689"/>
                <a:pt x="7255388" y="1461804"/>
                <a:pt x="7328989" y="1443404"/>
              </a:cubicBezTo>
              <a:cubicBezTo>
                <a:pt x="7399459" y="1401123"/>
                <a:pt x="7328720" y="1439262"/>
                <a:pt x="7416912" y="1406770"/>
              </a:cubicBezTo>
              <a:cubicBezTo>
                <a:pt x="7446704" y="1395794"/>
                <a:pt x="7474714" y="1380175"/>
                <a:pt x="7504835" y="1370135"/>
              </a:cubicBezTo>
              <a:lnTo>
                <a:pt x="7526816" y="1362808"/>
              </a:lnTo>
              <a:cubicBezTo>
                <a:pt x="7570777" y="1333500"/>
                <a:pt x="7621340" y="1312245"/>
                <a:pt x="7658700" y="1274885"/>
              </a:cubicBezTo>
              <a:cubicBezTo>
                <a:pt x="7746923" y="1186662"/>
                <a:pt x="7621056" y="1309655"/>
                <a:pt x="7702662" y="1238250"/>
              </a:cubicBezTo>
              <a:cubicBezTo>
                <a:pt x="7771240" y="1178244"/>
                <a:pt x="7711813" y="1219938"/>
                <a:pt x="7761277" y="1186962"/>
              </a:cubicBezTo>
              <a:cubicBezTo>
                <a:pt x="7808129" y="1116684"/>
                <a:pt x="7727280" y="1233144"/>
                <a:pt x="7812566" y="1135674"/>
              </a:cubicBezTo>
              <a:cubicBezTo>
                <a:pt x="7819758" y="1127454"/>
                <a:pt x="7820871" y="1115254"/>
                <a:pt x="7827219" y="1106366"/>
              </a:cubicBezTo>
              <a:cubicBezTo>
                <a:pt x="7833242" y="1097934"/>
                <a:pt x="7842316" y="1092130"/>
                <a:pt x="7849200" y="1084385"/>
              </a:cubicBezTo>
              <a:cubicBezTo>
                <a:pt x="7861873" y="1070128"/>
                <a:pt x="7873623" y="1055078"/>
                <a:pt x="7885835" y="1040424"/>
              </a:cubicBezTo>
              <a:cubicBezTo>
                <a:pt x="7908245" y="973195"/>
                <a:pt x="7870786" y="1077847"/>
                <a:pt x="7915142" y="989135"/>
              </a:cubicBezTo>
              <a:cubicBezTo>
                <a:pt x="7929341" y="960737"/>
                <a:pt x="7940269" y="930803"/>
                <a:pt x="7951777" y="901212"/>
              </a:cubicBezTo>
              <a:cubicBezTo>
                <a:pt x="7957376" y="886816"/>
                <a:pt x="7961546" y="871904"/>
                <a:pt x="7966431" y="857250"/>
              </a:cubicBezTo>
              <a:lnTo>
                <a:pt x="7973758" y="835270"/>
              </a:lnTo>
              <a:cubicBezTo>
                <a:pt x="7994531" y="710635"/>
                <a:pt x="7990102" y="754468"/>
                <a:pt x="7973758" y="520212"/>
              </a:cubicBezTo>
              <a:cubicBezTo>
                <a:pt x="7970999" y="480660"/>
                <a:pt x="7951705" y="468827"/>
                <a:pt x="7929796" y="439616"/>
              </a:cubicBezTo>
              <a:cubicBezTo>
                <a:pt x="7905372" y="407051"/>
                <a:pt x="7927354" y="425777"/>
                <a:pt x="7893162" y="402981"/>
              </a:cubicBezTo>
              <a:cubicBezTo>
                <a:pt x="7888277" y="395654"/>
                <a:pt x="7884146" y="387765"/>
                <a:pt x="7878508" y="381000"/>
              </a:cubicBezTo>
              <a:cubicBezTo>
                <a:pt x="7871875" y="373040"/>
                <a:pt x="7864706" y="365381"/>
                <a:pt x="7856527" y="359020"/>
              </a:cubicBezTo>
              <a:cubicBezTo>
                <a:pt x="7826732" y="335847"/>
                <a:pt x="7759167" y="297989"/>
                <a:pt x="7731969" y="285750"/>
              </a:cubicBezTo>
              <a:cubicBezTo>
                <a:pt x="7710840" y="276242"/>
                <a:pt x="7688008" y="271097"/>
                <a:pt x="7666027" y="263770"/>
              </a:cubicBezTo>
              <a:cubicBezTo>
                <a:pt x="7590976" y="238753"/>
                <a:pt x="7652754" y="257325"/>
                <a:pt x="7585431" y="241789"/>
              </a:cubicBezTo>
              <a:cubicBezTo>
                <a:pt x="7565807" y="237260"/>
                <a:pt x="7546246" y="232434"/>
                <a:pt x="7526816" y="227135"/>
              </a:cubicBezTo>
              <a:cubicBezTo>
                <a:pt x="7519365" y="225103"/>
                <a:pt x="7512408" y="221323"/>
                <a:pt x="7504835" y="219808"/>
              </a:cubicBezTo>
              <a:cubicBezTo>
                <a:pt x="7463493" y="211540"/>
                <a:pt x="7422014" y="203790"/>
                <a:pt x="7380277" y="197827"/>
              </a:cubicBezTo>
              <a:lnTo>
                <a:pt x="7328989" y="190500"/>
              </a:lnTo>
              <a:cubicBezTo>
                <a:pt x="7307044" y="187757"/>
                <a:pt x="7284940" y="186302"/>
                <a:pt x="7263046" y="183174"/>
              </a:cubicBezTo>
              <a:lnTo>
                <a:pt x="6969969" y="139212"/>
              </a:lnTo>
              <a:cubicBezTo>
                <a:pt x="6819089" y="117265"/>
                <a:pt x="6864600" y="124739"/>
                <a:pt x="6676892" y="117231"/>
              </a:cubicBezTo>
              <a:cubicBezTo>
                <a:pt x="6541721" y="100334"/>
                <a:pt x="6652148" y="112334"/>
                <a:pt x="6398469" y="102577"/>
              </a:cubicBezTo>
              <a:cubicBezTo>
                <a:pt x="6146043" y="92868"/>
                <a:pt x="6312951" y="95494"/>
                <a:pt x="6010142" y="87924"/>
              </a:cubicBezTo>
              <a:lnTo>
                <a:pt x="5358046" y="73270"/>
              </a:lnTo>
              <a:lnTo>
                <a:pt x="5130912" y="65943"/>
              </a:lnTo>
              <a:cubicBezTo>
                <a:pt x="5077164" y="63915"/>
                <a:pt x="5023489" y="59927"/>
                <a:pt x="4969719" y="58616"/>
              </a:cubicBezTo>
              <a:lnTo>
                <a:pt x="4530104" y="51289"/>
              </a:lnTo>
              <a:cubicBezTo>
                <a:pt x="4203363" y="37675"/>
                <a:pt x="4346775" y="42032"/>
                <a:pt x="3834046" y="36635"/>
              </a:cubicBezTo>
              <a:lnTo>
                <a:pt x="2962142" y="29308"/>
              </a:lnTo>
              <a:cubicBezTo>
                <a:pt x="1608936" y="38905"/>
                <a:pt x="1672435" y="42207"/>
                <a:pt x="2066" y="29308"/>
              </a:cubicBezTo>
              <a:cubicBezTo>
                <a:pt x="-8003" y="29230"/>
                <a:pt x="21466" y="23782"/>
                <a:pt x="31373" y="21981"/>
              </a:cubicBezTo>
              <a:cubicBezTo>
                <a:pt x="48364" y="18892"/>
                <a:pt x="65452" y="16088"/>
                <a:pt x="82662" y="14654"/>
              </a:cubicBezTo>
              <a:cubicBezTo>
                <a:pt x="124109" y="11200"/>
                <a:pt x="165700" y="9769"/>
                <a:pt x="207219" y="7327"/>
              </a:cubicBezTo>
              <a:cubicBezTo>
                <a:pt x="221873" y="4885"/>
                <a:pt x="236325" y="0"/>
                <a:pt x="251181" y="0"/>
              </a:cubicBezTo>
              <a:cubicBezTo>
                <a:pt x="258904" y="0"/>
                <a:pt x="271487" y="-212"/>
                <a:pt x="273162" y="7327"/>
              </a:cubicBezTo>
              <a:cubicBezTo>
                <a:pt x="285112" y="61102"/>
                <a:pt x="273109" y="61093"/>
                <a:pt x="243854" y="80597"/>
              </a:cubicBezTo>
              <a:cubicBezTo>
                <a:pt x="187681" y="78155"/>
                <a:pt x="131418" y="77276"/>
                <a:pt x="75335" y="73270"/>
              </a:cubicBezTo>
              <a:cubicBezTo>
                <a:pt x="62913" y="72383"/>
                <a:pt x="46172" y="75906"/>
                <a:pt x="38700" y="65943"/>
              </a:cubicBezTo>
              <a:cubicBezTo>
                <a:pt x="34739" y="60661"/>
                <a:pt x="64736" y="32580"/>
                <a:pt x="68008" y="29308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51288</xdr:colOff>
      <xdr:row>58</xdr:row>
      <xdr:rowOff>0</xdr:rowOff>
    </xdr:from>
    <xdr:to>
      <xdr:col>6</xdr:col>
      <xdr:colOff>490144</xdr:colOff>
      <xdr:row>65</xdr:row>
      <xdr:rowOff>157795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9739636-DB68-47A2-A7CB-06CA6BD01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6920"/>
        <a:stretch/>
      </xdr:blipFill>
      <xdr:spPr>
        <a:xfrm>
          <a:off x="565638" y="9944100"/>
          <a:ext cx="3010606" cy="135794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0BBC-6C65-468F-B781-88FAD4728615}">
  <dimension ref="A1:Q29"/>
  <sheetViews>
    <sheetView zoomScale="145" zoomScaleNormal="145" workbookViewId="0">
      <selection activeCell="I1" sqref="I1:L2"/>
    </sheetView>
  </sheetViews>
  <sheetFormatPr defaultColWidth="9.140625" defaultRowHeight="12.75" customHeight="1" x14ac:dyDescent="0.2"/>
  <cols>
    <col min="1" max="1" width="3.7109375" style="2" bestFit="1" customWidth="1"/>
    <col min="2" max="2" width="11.85546875" style="3" customWidth="1"/>
    <col min="3" max="5" width="11.85546875" style="2" customWidth="1"/>
    <col min="6" max="7" width="11.85546875" style="2" hidden="1" customWidth="1"/>
    <col min="8" max="8" width="9.140625" style="2"/>
    <col min="9" max="19" width="9" style="2" customWidth="1"/>
    <col min="20" max="16384" width="9.140625" style="2"/>
  </cols>
  <sheetData>
    <row r="1" spans="1:17" ht="12.75" customHeight="1" x14ac:dyDescent="0.2">
      <c r="A1" s="1" t="s">
        <v>0</v>
      </c>
      <c r="B1" s="6" t="s">
        <v>35</v>
      </c>
      <c r="C1" s="4" t="s">
        <v>32</v>
      </c>
      <c r="D1" s="4" t="s">
        <v>33</v>
      </c>
      <c r="E1" s="4" t="s">
        <v>34</v>
      </c>
      <c r="F1" s="56" t="s">
        <v>51</v>
      </c>
      <c r="G1" s="56" t="s">
        <v>50</v>
      </c>
      <c r="I1" s="128" t="s">
        <v>42</v>
      </c>
      <c r="J1" s="129" t="s">
        <v>52</v>
      </c>
      <c r="K1" s="129" t="s">
        <v>53</v>
      </c>
      <c r="L1" s="130" t="s">
        <v>54</v>
      </c>
    </row>
    <row r="2" spans="1:17" ht="12.75" customHeight="1" x14ac:dyDescent="0.2">
      <c r="A2" s="1" t="s">
        <v>4</v>
      </c>
      <c r="B2" s="7">
        <v>34.079000000000001</v>
      </c>
      <c r="C2" s="5">
        <v>4.593</v>
      </c>
      <c r="D2" s="5">
        <v>47.829000000000001</v>
      </c>
      <c r="E2" s="5">
        <v>0.71799999999999997</v>
      </c>
      <c r="F2" s="57">
        <f>$I$2+SUMPRODUCT(C2:E2,$J$2:$L$2)</f>
        <v>53.630715639921192</v>
      </c>
      <c r="G2" s="57">
        <f>B2-F2</f>
        <v>-19.551715639921191</v>
      </c>
      <c r="H2" s="58"/>
      <c r="I2" s="131">
        <v>-5.8231536331049938</v>
      </c>
      <c r="J2" s="132">
        <v>-0.70330149227424954</v>
      </c>
      <c r="K2" s="132">
        <v>1.1012157774578668</v>
      </c>
      <c r="L2" s="133">
        <v>13.947191653216578</v>
      </c>
    </row>
    <row r="3" spans="1:17" ht="12.75" customHeight="1" x14ac:dyDescent="0.2">
      <c r="A3" s="1" t="s">
        <v>5</v>
      </c>
      <c r="B3" s="7">
        <v>62.052</v>
      </c>
      <c r="C3" s="5">
        <v>4.1109999999999998</v>
      </c>
      <c r="D3" s="5">
        <v>62.24</v>
      </c>
      <c r="E3" s="5">
        <v>0.81599999999999995</v>
      </c>
      <c r="F3" s="57">
        <f>$I$2+SUMPRODUCT(C3:E3,$J$2:$L$2)</f>
        <v>71.206152310157933</v>
      </c>
      <c r="G3" s="57">
        <f t="shared" ref="G3:G28" si="0">B3-F3</f>
        <v>-9.154152310157933</v>
      </c>
    </row>
    <row r="4" spans="1:17" ht="12.75" customHeight="1" x14ac:dyDescent="0.2">
      <c r="A4" s="1" t="s">
        <v>6</v>
      </c>
      <c r="B4" s="7">
        <v>51.313000000000002</v>
      </c>
      <c r="C4" s="5">
        <v>5.548</v>
      </c>
      <c r="D4" s="5">
        <v>52.968000000000004</v>
      </c>
      <c r="E4" s="5">
        <v>0.78600000000000003</v>
      </c>
      <c r="F4" s="57">
        <f>$I$2+SUMPRODUCT(C4:E4,$J$2:$L$2)</f>
        <v>59.566619627573999</v>
      </c>
      <c r="G4" s="57">
        <f t="shared" si="0"/>
        <v>-8.2536196275739968</v>
      </c>
    </row>
    <row r="5" spans="1:17" ht="12.75" customHeight="1" x14ac:dyDescent="0.2">
      <c r="A5" s="1" t="s">
        <v>7</v>
      </c>
      <c r="B5" s="7">
        <v>36.350999999999999</v>
      </c>
      <c r="C5" s="5">
        <v>6.05</v>
      </c>
      <c r="D5" s="5">
        <v>42.947000000000003</v>
      </c>
      <c r="E5" s="5">
        <v>0.70799999999999996</v>
      </c>
      <c r="F5" s="57">
        <f>$I$2+SUMPRODUCT(C5:E5,$J$2:$L$2)</f>
        <v>47.090398023596137</v>
      </c>
      <c r="G5" s="57">
        <f t="shared" si="0"/>
        <v>-10.739398023596138</v>
      </c>
      <c r="I5" s="2" t="s">
        <v>135</v>
      </c>
      <c r="L5" s="2" t="s">
        <v>136</v>
      </c>
    </row>
    <row r="6" spans="1:17" ht="12.75" customHeight="1" x14ac:dyDescent="0.2">
      <c r="A6" s="1" t="s">
        <v>8</v>
      </c>
      <c r="B6" s="7">
        <v>70.186999999999998</v>
      </c>
      <c r="C6" s="5">
        <v>4.4550000000000001</v>
      </c>
      <c r="D6" s="5">
        <v>55.316000000000003</v>
      </c>
      <c r="E6" s="5">
        <v>0.77500000000000002</v>
      </c>
      <c r="F6" s="57">
        <f>$I$2+SUMPRODUCT(C6:E6,$J$2:$L$2)</f>
        <v>62.767563695915428</v>
      </c>
      <c r="G6" s="57">
        <f t="shared" si="0"/>
        <v>7.4194363040845701</v>
      </c>
      <c r="I6" s="135" t="s">
        <v>137</v>
      </c>
      <c r="J6" s="135"/>
      <c r="K6" s="135"/>
      <c r="L6" s="135"/>
      <c r="M6" s="135"/>
      <c r="N6" s="135"/>
      <c r="O6" s="135"/>
      <c r="P6" s="135"/>
      <c r="Q6" s="135"/>
    </row>
    <row r="7" spans="1:17" ht="12.75" customHeight="1" x14ac:dyDescent="0.2">
      <c r="A7" s="1" t="s">
        <v>9</v>
      </c>
      <c r="B7" s="7">
        <v>64.965999999999994</v>
      </c>
      <c r="C7" s="5">
        <v>4.42</v>
      </c>
      <c r="D7" s="5">
        <v>57</v>
      </c>
      <c r="E7" s="5">
        <v>0.81599999999999995</v>
      </c>
      <c r="F7" s="57">
        <f>$I$2+SUMPRODUCT(C7:E7,$J$2:$L$2)</f>
        <v>65.218461475165967</v>
      </c>
      <c r="G7" s="57">
        <f t="shared" si="0"/>
        <v>-0.25246147516597262</v>
      </c>
      <c r="I7" s="135" t="s">
        <v>138</v>
      </c>
      <c r="J7" s="135"/>
      <c r="K7" s="135"/>
      <c r="L7" s="135"/>
      <c r="M7" s="135"/>
      <c r="N7" s="135"/>
      <c r="O7" s="135"/>
      <c r="P7" s="135"/>
      <c r="Q7" s="135"/>
    </row>
    <row r="8" spans="1:17" ht="12.75" customHeight="1" x14ac:dyDescent="0.2">
      <c r="A8" s="1" t="s">
        <v>10</v>
      </c>
      <c r="B8" s="7">
        <v>24</v>
      </c>
      <c r="C8" s="5">
        <v>8.2490000000000006</v>
      </c>
      <c r="D8" s="5">
        <v>16.071999999999999</v>
      </c>
      <c r="E8" s="5">
        <v>0.78100000000000003</v>
      </c>
      <c r="F8" s="57">
        <f>$I$2+SUMPRODUCT(C8:E8,$J$2:$L$2)</f>
        <v>16.966809013589703</v>
      </c>
      <c r="G8" s="57">
        <f t="shared" si="0"/>
        <v>7.0331909864102968</v>
      </c>
      <c r="I8" s="135" t="s">
        <v>139</v>
      </c>
      <c r="J8" s="135"/>
      <c r="K8" s="135"/>
      <c r="L8" s="135"/>
      <c r="M8" s="135"/>
      <c r="N8" s="135"/>
      <c r="O8" s="135"/>
      <c r="P8" s="135"/>
      <c r="Q8" s="135"/>
    </row>
    <row r="9" spans="1:17" ht="12.75" customHeight="1" x14ac:dyDescent="0.2">
      <c r="A9" s="1" t="s">
        <v>11</v>
      </c>
      <c r="B9" s="7">
        <v>33.710999999999999</v>
      </c>
      <c r="C9" s="5">
        <v>5.9020000000000001</v>
      </c>
      <c r="D9" s="5">
        <v>28.04</v>
      </c>
      <c r="E9" s="5">
        <v>0.65100000000000002</v>
      </c>
      <c r="F9" s="57">
        <f>$I$2+SUMPRODUCT(C9:E9,$J$2:$L$2)</f>
        <v>29.98367312565496</v>
      </c>
      <c r="G9" s="57">
        <f t="shared" si="0"/>
        <v>3.7273268743450387</v>
      </c>
      <c r="I9" s="135"/>
      <c r="J9" s="135"/>
      <c r="K9" s="135"/>
      <c r="L9" s="135"/>
      <c r="M9" s="135"/>
      <c r="N9" s="135"/>
      <c r="O9" s="135"/>
      <c r="P9" s="135"/>
      <c r="Q9" s="135"/>
    </row>
    <row r="10" spans="1:17" ht="12.75" customHeight="1" x14ac:dyDescent="0.2">
      <c r="A10" s="1" t="s">
        <v>12</v>
      </c>
      <c r="B10" s="7">
        <v>24.545000000000002</v>
      </c>
      <c r="C10" s="5">
        <v>5.6619999999999999</v>
      </c>
      <c r="D10" s="5">
        <v>26.65</v>
      </c>
      <c r="E10" s="5">
        <v>0.64800000000000002</v>
      </c>
      <c r="F10" s="57">
        <f>$I$2+SUMPRODUCT(C10:E10,$J$2:$L$2)</f>
        <v>28.579933978174701</v>
      </c>
      <c r="G10" s="57">
        <f t="shared" si="0"/>
        <v>-4.0349339781746991</v>
      </c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12.75" customHeight="1" x14ac:dyDescent="0.2">
      <c r="A11" s="1" t="s">
        <v>13</v>
      </c>
      <c r="B11" s="7">
        <v>85.7</v>
      </c>
      <c r="C11" s="5">
        <v>3.9689999999999999</v>
      </c>
      <c r="D11" s="5">
        <v>66.813000000000002</v>
      </c>
      <c r="E11" s="5">
        <v>0.75800000000000001</v>
      </c>
      <c r="F11" s="57">
        <f>$I$2+SUMPRODUCT(C11:E11,$J$2:$L$2)</f>
        <v>75.532943756489132</v>
      </c>
      <c r="G11" s="57">
        <f t="shared" si="0"/>
        <v>10.167056243510871</v>
      </c>
      <c r="J11" s="135"/>
      <c r="K11" s="135"/>
      <c r="L11" s="135"/>
      <c r="M11" s="135"/>
      <c r="N11" s="135"/>
      <c r="O11" s="135"/>
      <c r="P11" s="135"/>
      <c r="Q11" s="135"/>
    </row>
    <row r="12" spans="1:17" ht="12.75" customHeight="1" x14ac:dyDescent="0.2">
      <c r="A12" s="1" t="s">
        <v>14</v>
      </c>
      <c r="B12" s="7">
        <v>30.369</v>
      </c>
      <c r="C12" s="5">
        <v>5.6230000000000002</v>
      </c>
      <c r="D12" s="5">
        <v>29.765999999999998</v>
      </c>
      <c r="E12" s="5">
        <v>0.67100000000000004</v>
      </c>
      <c r="F12" s="57">
        <f>$I$2+SUMPRODUCT(C12:E12,$J$2:$L$2)</f>
        <v>32.35953650695609</v>
      </c>
      <c r="G12" s="57">
        <f t="shared" si="0"/>
        <v>-1.9905365069560901</v>
      </c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2.75" customHeight="1" x14ac:dyDescent="0.2">
      <c r="A13" s="1" t="s">
        <v>15</v>
      </c>
      <c r="B13" s="7">
        <v>26.565000000000001</v>
      </c>
      <c r="C13" s="5">
        <v>5.7290000000000001</v>
      </c>
      <c r="D13" s="5">
        <v>28.66</v>
      </c>
      <c r="E13" s="5">
        <v>0.69199999999999995</v>
      </c>
      <c r="F13" s="57">
        <f>$I$2+SUMPRODUCT(C13:E13,$J$2:$L$2)</f>
        <v>31.359932923624164</v>
      </c>
      <c r="G13" s="57">
        <f t="shared" si="0"/>
        <v>-4.7949329236241631</v>
      </c>
      <c r="I13" s="135"/>
      <c r="J13" s="135"/>
      <c r="K13" s="135"/>
      <c r="L13" s="135"/>
      <c r="M13" s="135"/>
      <c r="N13" s="135"/>
      <c r="O13" s="135"/>
      <c r="P13" s="135"/>
      <c r="Q13" s="135"/>
    </row>
    <row r="14" spans="1:17" ht="12.75" customHeight="1" x14ac:dyDescent="0.2">
      <c r="A14" s="1" t="s">
        <v>16</v>
      </c>
      <c r="B14" s="7">
        <v>30.548999999999999</v>
      </c>
      <c r="C14" s="5">
        <v>5.5019999999999998</v>
      </c>
      <c r="D14" s="5">
        <v>27.783999999999999</v>
      </c>
      <c r="E14" s="5">
        <v>0.68500000000000005</v>
      </c>
      <c r="F14" s="57">
        <f>$I$2+SUMPRODUCT(C14:E14,$J$2:$L$2)</f>
        <v>30.457286999744809</v>
      </c>
      <c r="G14" s="57">
        <f t="shared" si="0"/>
        <v>9.1713000255190025E-2</v>
      </c>
      <c r="I14" s="135"/>
      <c r="J14" s="135"/>
      <c r="K14" s="135"/>
      <c r="L14" s="135"/>
      <c r="M14" s="135"/>
      <c r="N14" s="135"/>
      <c r="O14" s="135"/>
      <c r="P14" s="135"/>
      <c r="Q14" s="135"/>
    </row>
    <row r="15" spans="1:17" ht="12.75" customHeight="1" x14ac:dyDescent="0.2">
      <c r="A15" s="1" t="s">
        <v>17</v>
      </c>
      <c r="B15" s="7">
        <v>35.594999999999999</v>
      </c>
      <c r="C15" s="5">
        <v>5.0049999999999999</v>
      </c>
      <c r="D15" s="5">
        <v>51.887</v>
      </c>
      <c r="E15" s="5">
        <v>0.74399999999999999</v>
      </c>
      <c r="F15" s="57">
        <f>$I$2+SUMPRODUCT(C15:E15,$J$2:$L$2)</f>
        <v>58.172316033011853</v>
      </c>
      <c r="G15" s="57">
        <f t="shared" si="0"/>
        <v>-22.577316033011854</v>
      </c>
      <c r="I15" s="135"/>
      <c r="J15" s="135"/>
      <c r="K15" s="135"/>
      <c r="L15" s="135"/>
      <c r="M15" s="135"/>
      <c r="N15" s="135"/>
      <c r="O15" s="135"/>
      <c r="P15" s="135"/>
      <c r="Q15" s="135"/>
    </row>
    <row r="16" spans="1:17" ht="12.75" customHeight="1" x14ac:dyDescent="0.2">
      <c r="A16" s="1" t="s">
        <v>18</v>
      </c>
      <c r="B16" s="7">
        <v>77.715000000000003</v>
      </c>
      <c r="C16" s="5">
        <v>4.3289999999999997</v>
      </c>
      <c r="D16" s="5">
        <v>55.262</v>
      </c>
      <c r="E16" s="5">
        <v>0.73399999999999999</v>
      </c>
      <c r="F16" s="57">
        <f>$I$2+SUMPRODUCT(C16:E16,$J$2:$L$2)</f>
        <v>62.224879174177389</v>
      </c>
      <c r="G16" s="57">
        <f t="shared" si="0"/>
        <v>15.490120825822615</v>
      </c>
      <c r="I16" s="135"/>
      <c r="J16" s="135"/>
      <c r="K16" s="135"/>
      <c r="L16" s="135"/>
      <c r="M16" s="135"/>
      <c r="N16" s="135"/>
      <c r="O16" s="135"/>
      <c r="P16" s="135"/>
      <c r="Q16" s="135"/>
    </row>
    <row r="17" spans="1:17" ht="12.75" customHeight="1" x14ac:dyDescent="0.2">
      <c r="A17" s="1" t="s">
        <v>19</v>
      </c>
      <c r="B17" s="7">
        <v>54.597999999999999</v>
      </c>
      <c r="C17" s="5">
        <v>5.0529999999999999</v>
      </c>
      <c r="D17" s="5">
        <v>51.305999999999997</v>
      </c>
      <c r="E17" s="5">
        <v>0.79500000000000004</v>
      </c>
      <c r="F17" s="57">
        <f>$I$2+SUMPRODUCT(C17:E17,$J$2:$L$2)</f>
        <v>58.210057968993723</v>
      </c>
      <c r="G17" s="57">
        <f t="shared" si="0"/>
        <v>-3.6120579689937244</v>
      </c>
      <c r="I17" s="135"/>
      <c r="J17" s="135"/>
      <c r="K17" s="135"/>
      <c r="L17" s="135"/>
      <c r="M17" s="135"/>
      <c r="N17" s="135"/>
      <c r="O17" s="135"/>
      <c r="P17" s="135"/>
      <c r="Q17" s="135"/>
    </row>
    <row r="18" spans="1:17" ht="12.75" customHeight="1" x14ac:dyDescent="0.2">
      <c r="A18" s="1" t="s">
        <v>20</v>
      </c>
      <c r="B18" s="7">
        <v>73.533000000000001</v>
      </c>
      <c r="C18" s="5">
        <v>3.9489999999999998</v>
      </c>
      <c r="D18" s="5">
        <v>61.811</v>
      </c>
      <c r="E18" s="5">
        <v>0.79600000000000004</v>
      </c>
      <c r="F18" s="57">
        <f>$I$2+SUMPRODUCT(C18:E18,$J$2:$L$2)</f>
        <v>70.568721750312591</v>
      </c>
      <c r="G18" s="57">
        <f t="shared" si="0"/>
        <v>2.9642782496874105</v>
      </c>
      <c r="I18" s="135"/>
      <c r="J18" s="135"/>
      <c r="K18" s="135"/>
      <c r="L18" s="135"/>
      <c r="M18" s="135"/>
      <c r="N18" s="135"/>
      <c r="O18" s="135"/>
      <c r="P18" s="135"/>
      <c r="Q18" s="135"/>
    </row>
    <row r="19" spans="1:17" ht="12.75" customHeight="1" x14ac:dyDescent="0.2">
      <c r="A19" s="1" t="s">
        <v>21</v>
      </c>
      <c r="B19" s="7">
        <v>23.527000000000001</v>
      </c>
      <c r="C19" s="5">
        <v>5.9809999999999999</v>
      </c>
      <c r="D19" s="5">
        <v>23.693999999999999</v>
      </c>
      <c r="E19" s="5">
        <v>0.65200000000000002</v>
      </c>
      <c r="F19" s="57">
        <f>$I$2+SUMPRODUCT(C19:E19,$J$2:$L$2)</f>
        <v>25.156175730586625</v>
      </c>
      <c r="G19" s="57">
        <f t="shared" si="0"/>
        <v>-1.6291757305866241</v>
      </c>
      <c r="I19" s="135"/>
      <c r="J19" s="135"/>
      <c r="K19" s="135"/>
      <c r="L19" s="135"/>
      <c r="M19" s="135"/>
      <c r="N19" s="135"/>
      <c r="O19" s="135"/>
      <c r="P19" s="135"/>
      <c r="Q19" s="135"/>
    </row>
    <row r="20" spans="1:17" ht="12.75" customHeight="1" x14ac:dyDescent="0.2">
      <c r="A20" s="1" t="s">
        <v>22</v>
      </c>
      <c r="B20" s="7">
        <v>23.07</v>
      </c>
      <c r="C20" s="5">
        <v>7.2350000000000003</v>
      </c>
      <c r="D20" s="5">
        <v>19.228000000000002</v>
      </c>
      <c r="E20" s="5">
        <v>0.66400000000000003</v>
      </c>
      <c r="F20" s="57">
        <f>$I$2+SUMPRODUCT(C20:E20,$J$2:$L$2)</f>
        <v>19.523572296986487</v>
      </c>
      <c r="G20" s="57">
        <f t="shared" si="0"/>
        <v>3.5464277030135136</v>
      </c>
      <c r="I20" s="135"/>
      <c r="J20" s="135"/>
      <c r="K20" s="135"/>
      <c r="L20" s="135"/>
      <c r="M20" s="135"/>
      <c r="N20" s="135"/>
      <c r="O20" s="135"/>
      <c r="P20" s="135"/>
      <c r="Q20" s="135"/>
    </row>
    <row r="21" spans="1:17" ht="12.75" customHeight="1" x14ac:dyDescent="0.2">
      <c r="A21" s="1" t="s">
        <v>23</v>
      </c>
      <c r="B21" s="7">
        <v>67.712000000000003</v>
      </c>
      <c r="C21" s="5">
        <v>4.95</v>
      </c>
      <c r="D21" s="5">
        <v>50.634</v>
      </c>
      <c r="E21" s="5">
        <v>0.73099999999999998</v>
      </c>
      <c r="F21" s="57">
        <f>$I$2+SUMPRODUCT(C21:E21,$J$2:$L$2)</f>
        <v>56.649860754440418</v>
      </c>
      <c r="G21" s="57">
        <f t="shared" si="0"/>
        <v>11.062139245559585</v>
      </c>
      <c r="I21" s="135"/>
      <c r="J21" s="135"/>
      <c r="K21" s="135"/>
      <c r="L21" s="135"/>
      <c r="M21" s="135"/>
      <c r="N21" s="135"/>
      <c r="O21" s="135"/>
      <c r="P21" s="135"/>
      <c r="Q21" s="135"/>
    </row>
    <row r="22" spans="1:17" ht="12.75" customHeight="1" x14ac:dyDescent="0.2">
      <c r="A22" s="1" t="s">
        <v>24</v>
      </c>
      <c r="B22" s="7">
        <v>36.351999999999997</v>
      </c>
      <c r="C22" s="5">
        <v>4.859</v>
      </c>
      <c r="D22" s="5">
        <v>35.203000000000003</v>
      </c>
      <c r="E22" s="5">
        <v>0.63900000000000001</v>
      </c>
      <c r="F22" s="57">
        <f>$I$2+SUMPRODUCT(C22:E22,$J$2:$L$2)</f>
        <v>38.437858896189105</v>
      </c>
      <c r="G22" s="57">
        <f t="shared" si="0"/>
        <v>-2.0858588961891087</v>
      </c>
      <c r="I22" s="137" t="s">
        <v>140</v>
      </c>
      <c r="J22" s="137"/>
      <c r="K22" s="137"/>
      <c r="L22" s="137"/>
      <c r="M22" s="137"/>
      <c r="N22" s="137"/>
      <c r="O22" s="137"/>
      <c r="P22" s="137"/>
      <c r="Q22" s="135"/>
    </row>
    <row r="23" spans="1:17" ht="12.75" customHeight="1" x14ac:dyDescent="0.2">
      <c r="A23" s="1" t="s">
        <v>25</v>
      </c>
      <c r="B23" s="7">
        <v>39.18</v>
      </c>
      <c r="C23" s="5">
        <v>5.681</v>
      </c>
      <c r="D23" s="5">
        <v>35.896999999999998</v>
      </c>
      <c r="E23" s="5">
        <v>0.64300000000000002</v>
      </c>
      <c r="F23" s="57">
        <f>$I$2+SUMPRODUCT(C23:E23,$J$2:$L$2)</f>
        <v>38.679777585708301</v>
      </c>
      <c r="G23" s="57">
        <f t="shared" si="0"/>
        <v>0.50022241429169867</v>
      </c>
      <c r="I23" s="135"/>
      <c r="J23" s="135"/>
      <c r="K23" s="135"/>
      <c r="L23" s="135"/>
      <c r="M23" s="135"/>
      <c r="N23" s="135"/>
      <c r="O23" s="135"/>
      <c r="P23" s="135"/>
      <c r="Q23" s="135"/>
    </row>
    <row r="24" spans="1:17" ht="12.75" customHeight="1" x14ac:dyDescent="0.2">
      <c r="A24" s="1" t="s">
        <v>26</v>
      </c>
      <c r="B24" s="7">
        <v>17.268999999999998</v>
      </c>
      <c r="C24" s="5">
        <v>6.4160000000000004</v>
      </c>
      <c r="D24" s="5">
        <v>19.687000000000001</v>
      </c>
      <c r="E24" s="5">
        <v>0.61699999999999999</v>
      </c>
      <c r="F24" s="57">
        <f>$I$2+SUMPRODUCT(C24:E24,$J$2:$L$2)</f>
        <v>19.949516253311074</v>
      </c>
      <c r="G24" s="57">
        <f t="shared" si="0"/>
        <v>-2.680516253311076</v>
      </c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7" ht="12.75" customHeight="1" x14ac:dyDescent="0.2">
      <c r="A25" s="1" t="s">
        <v>27</v>
      </c>
      <c r="B25" s="7">
        <v>16.797000000000001</v>
      </c>
      <c r="C25" s="5">
        <v>6.1989999999999998</v>
      </c>
      <c r="D25" s="5">
        <v>16.244</v>
      </c>
      <c r="E25" s="5">
        <v>0.55100000000000005</v>
      </c>
      <c r="F25" s="57">
        <f>$I$2+SUMPRODUCT(C25:E25,$J$2:$L$2)</f>
        <v>15.390132106234859</v>
      </c>
      <c r="G25" s="57">
        <f t="shared" si="0"/>
        <v>1.406867893765142</v>
      </c>
      <c r="I25" s="135"/>
      <c r="J25" s="135"/>
      <c r="K25" s="135"/>
      <c r="L25" s="135"/>
      <c r="M25" s="135"/>
      <c r="N25" s="135"/>
      <c r="O25" s="135"/>
      <c r="P25" s="135"/>
      <c r="Q25" s="135"/>
    </row>
    <row r="26" spans="1:17" ht="12.75" customHeight="1" x14ac:dyDescent="0.2">
      <c r="A26" s="1" t="s">
        <v>28</v>
      </c>
      <c r="B26" s="7">
        <v>72.664000000000001</v>
      </c>
      <c r="C26" s="5">
        <v>4.6909999999999998</v>
      </c>
      <c r="D26" s="5">
        <v>53.993000000000002</v>
      </c>
      <c r="E26" s="5">
        <v>0.76300000000000001</v>
      </c>
      <c r="F26" s="57">
        <f>$I$2+SUMPRODUCT(C26:E26,$J$2:$L$2)</f>
        <v>60.977309770323359</v>
      </c>
      <c r="G26" s="57">
        <f t="shared" si="0"/>
        <v>11.686690229676643</v>
      </c>
      <c r="I26" s="135"/>
      <c r="J26" s="135"/>
      <c r="K26" s="135"/>
      <c r="L26" s="135"/>
      <c r="M26" s="135"/>
      <c r="N26" s="135"/>
      <c r="O26" s="135"/>
      <c r="P26" s="135"/>
      <c r="Q26" s="135"/>
    </row>
    <row r="27" spans="1:17" ht="12.75" customHeight="1" x14ac:dyDescent="0.2">
      <c r="A27" s="1" t="s">
        <v>29</v>
      </c>
      <c r="B27" s="7">
        <v>20.007999999999999</v>
      </c>
      <c r="C27" s="5">
        <v>6.8470000000000004</v>
      </c>
      <c r="D27" s="5">
        <v>14.369</v>
      </c>
      <c r="E27" s="5">
        <v>0.60699999999999998</v>
      </c>
      <c r="F27" s="57">
        <f>$I$2+SUMPRODUCT(C27:E27,$J$2:$L$2)</f>
        <v>13.650655889087773</v>
      </c>
      <c r="G27" s="57">
        <f t="shared" si="0"/>
        <v>6.3573441109122264</v>
      </c>
      <c r="I27" s="135"/>
      <c r="J27" s="135"/>
      <c r="K27" s="135"/>
      <c r="L27" s="135"/>
      <c r="M27" s="135"/>
      <c r="N27" s="135"/>
      <c r="O27" s="135"/>
      <c r="P27" s="135"/>
      <c r="Q27" s="135"/>
    </row>
    <row r="28" spans="1:17" ht="12.75" customHeight="1" x14ac:dyDescent="0.2">
      <c r="A28" s="1" t="s">
        <v>30</v>
      </c>
      <c r="B28" s="7">
        <v>67.022999999999996</v>
      </c>
      <c r="C28" s="5">
        <v>4.6580000000000004</v>
      </c>
      <c r="D28" s="5">
        <v>50.784999999999997</v>
      </c>
      <c r="E28" s="5">
        <v>0.73799999999999999</v>
      </c>
      <c r="F28" s="57">
        <f>$I$2+SUMPRODUCT(C28:E28,$J$2:$L$2)</f>
        <v>57.119138714153145</v>
      </c>
      <c r="G28" s="57">
        <f t="shared" si="0"/>
        <v>9.9038612858468511</v>
      </c>
      <c r="I28" s="135"/>
      <c r="J28" s="135"/>
      <c r="K28" s="135"/>
      <c r="L28" s="135"/>
      <c r="M28" s="135"/>
      <c r="N28" s="135"/>
      <c r="O28" s="135"/>
      <c r="P28" s="135"/>
      <c r="Q28" s="135"/>
    </row>
    <row r="29" spans="1:17" ht="12.75" customHeight="1" x14ac:dyDescent="0.2">
      <c r="I29" s="135"/>
      <c r="J29" s="135"/>
      <c r="K29" s="135"/>
      <c r="L29" s="135"/>
      <c r="M29" s="135"/>
      <c r="N29" s="135"/>
      <c r="O29" s="135"/>
      <c r="P29" s="135"/>
      <c r="Q29" s="135"/>
    </row>
  </sheetData>
  <mergeCells count="1">
    <mergeCell ref="I22:P22"/>
  </mergeCells>
  <pageMargins left="0.78740157499999996" right="0.78740157499999996" top="0.984251969" bottom="0.984251969" header="0.5" footer="0.5"/>
  <pageSetup paperSize="9" fitToWidth="0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2D53-D105-4B0A-B23B-4DBDF9251391}">
  <dimension ref="A2:AG64"/>
  <sheetViews>
    <sheetView zoomScale="130" zoomScaleNormal="130" workbookViewId="0">
      <selection activeCell="O21" sqref="O21:O23"/>
    </sheetView>
  </sheetViews>
  <sheetFormatPr defaultColWidth="7.7109375" defaultRowHeight="13.5" customHeight="1" x14ac:dyDescent="0.2"/>
  <cols>
    <col min="1" max="7" width="7.7109375" style="9"/>
    <col min="8" max="8" width="10.85546875" style="9" bestFit="1" customWidth="1"/>
    <col min="9" max="16384" width="7.7109375" style="9"/>
  </cols>
  <sheetData>
    <row r="2" spans="1:33" ht="13.5" customHeight="1" thickBot="1" x14ac:dyDescent="0.25">
      <c r="A2" s="44" t="s">
        <v>55</v>
      </c>
      <c r="B2" s="15" t="s">
        <v>36</v>
      </c>
      <c r="C2" s="15"/>
      <c r="D2" s="15"/>
      <c r="E2" s="15"/>
      <c r="G2" s="16" t="s">
        <v>37</v>
      </c>
    </row>
    <row r="3" spans="1:33" ht="13.5" customHeight="1" x14ac:dyDescent="0.2">
      <c r="A3" s="48">
        <v>34.079000000000001</v>
      </c>
      <c r="B3" s="45">
        <v>1</v>
      </c>
      <c r="C3" s="10">
        <v>4.593</v>
      </c>
      <c r="D3" s="10">
        <v>47.829000000000001</v>
      </c>
      <c r="E3" s="11">
        <v>0.71799999999999997</v>
      </c>
      <c r="G3" s="17">
        <f t="array" ref="G3:AG6">TRANSPOSE(B3:E29)</f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>
        <v>1</v>
      </c>
      <c r="T3" s="18">
        <v>1</v>
      </c>
      <c r="U3" s="18">
        <v>1</v>
      </c>
      <c r="V3" s="18">
        <v>1</v>
      </c>
      <c r="W3" s="18">
        <v>1</v>
      </c>
      <c r="X3" s="18">
        <v>1</v>
      </c>
      <c r="Y3" s="18">
        <v>1</v>
      </c>
      <c r="Z3" s="18">
        <v>1</v>
      </c>
      <c r="AA3" s="18">
        <v>1</v>
      </c>
      <c r="AB3" s="18">
        <v>1</v>
      </c>
      <c r="AC3" s="18">
        <v>1</v>
      </c>
      <c r="AD3" s="18">
        <v>1</v>
      </c>
      <c r="AE3" s="18">
        <v>1</v>
      </c>
      <c r="AF3" s="18">
        <v>1</v>
      </c>
      <c r="AG3" s="19">
        <v>1</v>
      </c>
    </row>
    <row r="4" spans="1:33" ht="13.5" customHeight="1" x14ac:dyDescent="0.2">
      <c r="A4" s="49">
        <v>62.052</v>
      </c>
      <c r="B4" s="46">
        <v>1</v>
      </c>
      <c r="C4" s="8">
        <v>4.1109999999999998</v>
      </c>
      <c r="D4" s="8">
        <v>62.24</v>
      </c>
      <c r="E4" s="12">
        <v>0.81599999999999995</v>
      </c>
      <c r="G4" s="20">
        <v>4.593</v>
      </c>
      <c r="H4" s="21">
        <v>4.1109999999999998</v>
      </c>
      <c r="I4" s="21">
        <v>5.548</v>
      </c>
      <c r="J4" s="21">
        <v>6.05</v>
      </c>
      <c r="K4" s="21">
        <v>4.4550000000000001</v>
      </c>
      <c r="L4" s="21">
        <v>4.42</v>
      </c>
      <c r="M4" s="21">
        <v>8.2490000000000006</v>
      </c>
      <c r="N4" s="21">
        <v>5.9020000000000001</v>
      </c>
      <c r="O4" s="21">
        <v>5.6619999999999999</v>
      </c>
      <c r="P4" s="21">
        <v>3.9689999999999999</v>
      </c>
      <c r="Q4" s="21">
        <v>5.6230000000000002</v>
      </c>
      <c r="R4" s="21">
        <v>5.7290000000000001</v>
      </c>
      <c r="S4" s="21">
        <v>5.5019999999999998</v>
      </c>
      <c r="T4" s="21">
        <v>5.0049999999999999</v>
      </c>
      <c r="U4" s="21">
        <v>4.3289999999999997</v>
      </c>
      <c r="V4" s="21">
        <v>5.0529999999999999</v>
      </c>
      <c r="W4" s="21">
        <v>3.9489999999999998</v>
      </c>
      <c r="X4" s="21">
        <v>5.9809999999999999</v>
      </c>
      <c r="Y4" s="21">
        <v>7.2350000000000003</v>
      </c>
      <c r="Z4" s="21">
        <v>4.95</v>
      </c>
      <c r="AA4" s="21">
        <v>4.859</v>
      </c>
      <c r="AB4" s="21">
        <v>5.681</v>
      </c>
      <c r="AC4" s="21">
        <v>6.4160000000000004</v>
      </c>
      <c r="AD4" s="21">
        <v>6.1989999999999998</v>
      </c>
      <c r="AE4" s="21">
        <v>4.6909999999999998</v>
      </c>
      <c r="AF4" s="21">
        <v>6.8470000000000004</v>
      </c>
      <c r="AG4" s="22">
        <v>4.6580000000000004</v>
      </c>
    </row>
    <row r="5" spans="1:33" ht="13.5" customHeight="1" x14ac:dyDescent="0.2">
      <c r="A5" s="49">
        <v>51.313000000000002</v>
      </c>
      <c r="B5" s="46">
        <v>1</v>
      </c>
      <c r="C5" s="8">
        <v>5.548</v>
      </c>
      <c r="D5" s="8">
        <v>52.968000000000004</v>
      </c>
      <c r="E5" s="12">
        <v>0.78600000000000003</v>
      </c>
      <c r="G5" s="20">
        <v>47.829000000000001</v>
      </c>
      <c r="H5" s="21">
        <v>62.24</v>
      </c>
      <c r="I5" s="21">
        <v>52.968000000000004</v>
      </c>
      <c r="J5" s="21">
        <v>42.947000000000003</v>
      </c>
      <c r="K5" s="21">
        <v>55.316000000000003</v>
      </c>
      <c r="L5" s="21">
        <v>57</v>
      </c>
      <c r="M5" s="21">
        <v>16.071999999999999</v>
      </c>
      <c r="N5" s="21">
        <v>28.04</v>
      </c>
      <c r="O5" s="21">
        <v>26.65</v>
      </c>
      <c r="P5" s="21">
        <v>66.813000000000002</v>
      </c>
      <c r="Q5" s="21">
        <v>29.765999999999998</v>
      </c>
      <c r="R5" s="21">
        <v>28.66</v>
      </c>
      <c r="S5" s="21">
        <v>27.783999999999999</v>
      </c>
      <c r="T5" s="21">
        <v>51.887</v>
      </c>
      <c r="U5" s="21">
        <v>55.262</v>
      </c>
      <c r="V5" s="21">
        <v>51.305999999999997</v>
      </c>
      <c r="W5" s="21">
        <v>61.811</v>
      </c>
      <c r="X5" s="21">
        <v>23.693999999999999</v>
      </c>
      <c r="Y5" s="21">
        <v>19.228000000000002</v>
      </c>
      <c r="Z5" s="21">
        <v>50.634</v>
      </c>
      <c r="AA5" s="21">
        <v>35.203000000000003</v>
      </c>
      <c r="AB5" s="21">
        <v>35.896999999999998</v>
      </c>
      <c r="AC5" s="21">
        <v>19.687000000000001</v>
      </c>
      <c r="AD5" s="21">
        <v>16.244</v>
      </c>
      <c r="AE5" s="21">
        <v>53.993000000000002</v>
      </c>
      <c r="AF5" s="21">
        <v>14.369</v>
      </c>
      <c r="AG5" s="22">
        <v>50.784999999999997</v>
      </c>
    </row>
    <row r="6" spans="1:33" ht="13.5" customHeight="1" thickBot="1" x14ac:dyDescent="0.25">
      <c r="A6" s="49">
        <v>36.350999999999999</v>
      </c>
      <c r="B6" s="46">
        <v>1</v>
      </c>
      <c r="C6" s="8">
        <v>6.05</v>
      </c>
      <c r="D6" s="8">
        <v>42.947000000000003</v>
      </c>
      <c r="E6" s="12">
        <v>0.70799999999999996</v>
      </c>
      <c r="G6" s="23">
        <v>0.71799999999999997</v>
      </c>
      <c r="H6" s="24">
        <v>0.81599999999999995</v>
      </c>
      <c r="I6" s="24">
        <v>0.78600000000000003</v>
      </c>
      <c r="J6" s="24">
        <v>0.70799999999999996</v>
      </c>
      <c r="K6" s="24">
        <v>0.77500000000000002</v>
      </c>
      <c r="L6" s="24">
        <v>0.81599999999999995</v>
      </c>
      <c r="M6" s="24">
        <v>0.78100000000000003</v>
      </c>
      <c r="N6" s="24">
        <v>0.65100000000000002</v>
      </c>
      <c r="O6" s="24">
        <v>0.64800000000000002</v>
      </c>
      <c r="P6" s="24">
        <v>0.75800000000000001</v>
      </c>
      <c r="Q6" s="24">
        <v>0.67100000000000004</v>
      </c>
      <c r="R6" s="24">
        <v>0.69199999999999995</v>
      </c>
      <c r="S6" s="24">
        <v>0.68500000000000005</v>
      </c>
      <c r="T6" s="24">
        <v>0.74399999999999999</v>
      </c>
      <c r="U6" s="24">
        <v>0.73399999999999999</v>
      </c>
      <c r="V6" s="24">
        <v>0.79500000000000004</v>
      </c>
      <c r="W6" s="24">
        <v>0.79600000000000004</v>
      </c>
      <c r="X6" s="24">
        <v>0.65200000000000002</v>
      </c>
      <c r="Y6" s="24">
        <v>0.66400000000000003</v>
      </c>
      <c r="Z6" s="24">
        <v>0.73099999999999998</v>
      </c>
      <c r="AA6" s="24">
        <v>0.63900000000000001</v>
      </c>
      <c r="AB6" s="24">
        <v>0.64300000000000002</v>
      </c>
      <c r="AC6" s="24">
        <v>0.61699999999999999</v>
      </c>
      <c r="AD6" s="24">
        <v>0.55100000000000005</v>
      </c>
      <c r="AE6" s="24">
        <v>0.76300000000000001</v>
      </c>
      <c r="AF6" s="24">
        <v>0.60699999999999998</v>
      </c>
      <c r="AG6" s="25">
        <v>0.73799999999999999</v>
      </c>
    </row>
    <row r="7" spans="1:33" ht="13.5" customHeight="1" x14ac:dyDescent="0.2">
      <c r="A7" s="49">
        <v>70.186999999999998</v>
      </c>
      <c r="B7" s="46">
        <v>1</v>
      </c>
      <c r="C7" s="8">
        <v>4.4550000000000001</v>
      </c>
      <c r="D7" s="8">
        <v>55.316000000000003</v>
      </c>
      <c r="E7" s="12">
        <v>0.77500000000000002</v>
      </c>
    </row>
    <row r="8" spans="1:33" ht="13.5" customHeight="1" x14ac:dyDescent="0.2">
      <c r="A8" s="49">
        <v>64.965999999999994</v>
      </c>
      <c r="B8" s="46">
        <v>1</v>
      </c>
      <c r="C8" s="8">
        <v>4.42</v>
      </c>
      <c r="D8" s="8">
        <v>57</v>
      </c>
      <c r="E8" s="12">
        <v>0.81599999999999995</v>
      </c>
    </row>
    <row r="9" spans="1:33" ht="13.5" customHeight="1" x14ac:dyDescent="0.2">
      <c r="A9" s="49">
        <v>24</v>
      </c>
      <c r="B9" s="46">
        <v>1</v>
      </c>
      <c r="C9" s="8">
        <v>8.2490000000000006</v>
      </c>
      <c r="D9" s="8">
        <v>16.071999999999999</v>
      </c>
      <c r="E9" s="12">
        <v>0.78100000000000003</v>
      </c>
    </row>
    <row r="10" spans="1:33" ht="13.5" customHeight="1" x14ac:dyDescent="0.2">
      <c r="A10" s="49">
        <v>33.710999999999999</v>
      </c>
      <c r="B10" s="46">
        <v>1</v>
      </c>
      <c r="C10" s="8">
        <v>5.9020000000000001</v>
      </c>
      <c r="D10" s="8">
        <v>28.04</v>
      </c>
      <c r="E10" s="12">
        <v>0.65100000000000002</v>
      </c>
    </row>
    <row r="11" spans="1:33" ht="13.5" customHeight="1" x14ac:dyDescent="0.2">
      <c r="A11" s="49">
        <v>24.545000000000002</v>
      </c>
      <c r="B11" s="46">
        <v>1</v>
      </c>
      <c r="C11" s="8">
        <v>5.6619999999999999</v>
      </c>
      <c r="D11" s="8">
        <v>26.65</v>
      </c>
      <c r="E11" s="12">
        <v>0.64800000000000002</v>
      </c>
    </row>
    <row r="12" spans="1:33" ht="13.5" customHeight="1" thickBot="1" x14ac:dyDescent="0.25">
      <c r="A12" s="49">
        <v>85.7</v>
      </c>
      <c r="B12" s="46">
        <v>1</v>
      </c>
      <c r="C12" s="8">
        <v>3.9689999999999999</v>
      </c>
      <c r="D12" s="8">
        <v>66.813000000000002</v>
      </c>
      <c r="E12" s="12">
        <v>0.75800000000000001</v>
      </c>
      <c r="G12" s="16" t="s">
        <v>38</v>
      </c>
      <c r="N12" s="16" t="s">
        <v>39</v>
      </c>
    </row>
    <row r="13" spans="1:33" ht="13.5" customHeight="1" x14ac:dyDescent="0.2">
      <c r="A13" s="49">
        <v>30.369</v>
      </c>
      <c r="B13" s="46">
        <v>1</v>
      </c>
      <c r="C13" s="8">
        <v>5.6230000000000002</v>
      </c>
      <c r="D13" s="8">
        <v>29.765999999999998</v>
      </c>
      <c r="E13" s="12">
        <v>0.67100000000000004</v>
      </c>
      <c r="G13" s="26">
        <f t="array" ref="G13:J16">MMULT(G3:AG6,B3:E29)</f>
        <v>27</v>
      </c>
      <c r="H13" s="27">
        <v>145.66599999999997</v>
      </c>
      <c r="I13" s="27">
        <v>1082.085</v>
      </c>
      <c r="J13" s="28">
        <v>19.178999999999995</v>
      </c>
      <c r="N13" s="35">
        <f t="array" ref="N13:Q16">MINVERSE(G13:J16)</f>
        <v>9.9807858680837729</v>
      </c>
      <c r="O13" s="36">
        <v>-0.87409433618697596</v>
      </c>
      <c r="P13" s="36">
        <v>-3.5753675475032325E-2</v>
      </c>
      <c r="Q13" s="37">
        <v>-5.342660041548025</v>
      </c>
    </row>
    <row r="14" spans="1:33" ht="13.5" customHeight="1" x14ac:dyDescent="0.2">
      <c r="A14" s="49">
        <v>26.565000000000001</v>
      </c>
      <c r="B14" s="46">
        <v>1</v>
      </c>
      <c r="C14" s="8">
        <v>5.7290000000000001</v>
      </c>
      <c r="D14" s="8">
        <v>28.66</v>
      </c>
      <c r="E14" s="12">
        <v>0.69199999999999995</v>
      </c>
      <c r="G14" s="29">
        <v>145.66599999999997</v>
      </c>
      <c r="H14" s="30">
        <v>813.76249800000016</v>
      </c>
      <c r="I14" s="30">
        <v>5450.1378639999994</v>
      </c>
      <c r="J14" s="31">
        <v>102.513261</v>
      </c>
      <c r="N14" s="38">
        <v>-0.87409433618702359</v>
      </c>
      <c r="O14" s="39">
        <v>0.26572018114499546</v>
      </c>
      <c r="P14" s="39">
        <v>2.1472965746683417E-2</v>
      </c>
      <c r="Q14" s="40">
        <v>-1.9991356676373739</v>
      </c>
    </row>
    <row r="15" spans="1:33" ht="13.5" customHeight="1" x14ac:dyDescent="0.2">
      <c r="A15" s="49">
        <v>30.548999999999999</v>
      </c>
      <c r="B15" s="46">
        <v>1</v>
      </c>
      <c r="C15" s="8">
        <v>5.5019999999999998</v>
      </c>
      <c r="D15" s="8">
        <v>27.783999999999999</v>
      </c>
      <c r="E15" s="12">
        <v>0.68500000000000005</v>
      </c>
      <c r="G15" s="29">
        <v>1082.085</v>
      </c>
      <c r="H15" s="30">
        <v>5450.1378639999994</v>
      </c>
      <c r="I15" s="30">
        <v>50392.553899000006</v>
      </c>
      <c r="J15" s="31">
        <v>792.56493699999987</v>
      </c>
      <c r="N15" s="38">
        <v>-3.575367547503739E-2</v>
      </c>
      <c r="O15" s="39">
        <v>2.1472965746683705E-2</v>
      </c>
      <c r="P15" s="39">
        <v>2.1184155779961841E-3</v>
      </c>
      <c r="Q15" s="40">
        <v>-0.2322768398428709</v>
      </c>
    </row>
    <row r="16" spans="1:33" ht="13.5" customHeight="1" thickBot="1" x14ac:dyDescent="0.25">
      <c r="A16" s="49">
        <v>35.594999999999999</v>
      </c>
      <c r="B16" s="46">
        <v>1</v>
      </c>
      <c r="C16" s="8">
        <v>5.0049999999999999</v>
      </c>
      <c r="D16" s="8">
        <v>51.887</v>
      </c>
      <c r="E16" s="12">
        <v>0.74399999999999999</v>
      </c>
      <c r="G16" s="32">
        <v>19.178999999999995</v>
      </c>
      <c r="H16" s="33">
        <v>102.513261</v>
      </c>
      <c r="I16" s="33">
        <v>792.56493699999987</v>
      </c>
      <c r="J16" s="34">
        <v>13.753097000000002</v>
      </c>
      <c r="N16" s="41">
        <v>-5.3426600415473757</v>
      </c>
      <c r="O16" s="42">
        <v>-1.9991356676374574</v>
      </c>
      <c r="P16" s="42">
        <v>-0.23227683984287575</v>
      </c>
      <c r="Q16" s="43">
        <v>35.81006316936417</v>
      </c>
    </row>
    <row r="17" spans="1:15" ht="13.5" customHeight="1" x14ac:dyDescent="0.2">
      <c r="A17" s="49">
        <v>77.715000000000003</v>
      </c>
      <c r="B17" s="46">
        <v>1</v>
      </c>
      <c r="C17" s="8">
        <v>4.3289999999999997</v>
      </c>
      <c r="D17" s="8">
        <v>55.262</v>
      </c>
      <c r="E17" s="12">
        <v>0.73399999999999999</v>
      </c>
    </row>
    <row r="18" spans="1:15" ht="13.5" customHeight="1" x14ac:dyDescent="0.2">
      <c r="A18" s="49">
        <v>54.597999999999999</v>
      </c>
      <c r="B18" s="46">
        <v>1</v>
      </c>
      <c r="C18" s="8">
        <v>5.0529999999999999</v>
      </c>
      <c r="D18" s="8">
        <v>51.305999999999997</v>
      </c>
      <c r="E18" s="12">
        <v>0.79500000000000004</v>
      </c>
    </row>
    <row r="19" spans="1:15" ht="13.5" customHeight="1" thickBot="1" x14ac:dyDescent="0.25">
      <c r="A19" s="49">
        <v>73.533000000000001</v>
      </c>
      <c r="B19" s="46">
        <v>1</v>
      </c>
      <c r="C19" s="8">
        <v>3.9489999999999998</v>
      </c>
      <c r="D19" s="8">
        <v>61.811</v>
      </c>
      <c r="E19" s="12">
        <v>0.79600000000000004</v>
      </c>
      <c r="G19" s="51" t="s">
        <v>40</v>
      </c>
      <c r="M19" s="51" t="s">
        <v>41</v>
      </c>
    </row>
    <row r="20" spans="1:15" ht="13.5" customHeight="1" x14ac:dyDescent="0.2">
      <c r="A20" s="49">
        <v>23.527000000000001</v>
      </c>
      <c r="B20" s="46">
        <v>1</v>
      </c>
      <c r="C20" s="8">
        <v>5.9809999999999999</v>
      </c>
      <c r="D20" s="8">
        <v>23.693999999999999</v>
      </c>
      <c r="E20" s="12">
        <v>0.65200000000000002</v>
      </c>
      <c r="G20" s="52">
        <f t="array" ref="G20:G23">MMULT(G3:AG6,A3:A29)</f>
        <v>1199.43</v>
      </c>
      <c r="M20" s="62" t="s">
        <v>42</v>
      </c>
      <c r="N20" s="63">
        <f t="array" ref="N20:N23">MMULT(N13:Q16,G20:G23)</f>
        <v>-5.8231536331049938</v>
      </c>
    </row>
    <row r="21" spans="1:15" ht="13.5" customHeight="1" x14ac:dyDescent="0.2">
      <c r="A21" s="49">
        <v>23.07</v>
      </c>
      <c r="B21" s="46">
        <v>1</v>
      </c>
      <c r="C21" s="8">
        <v>7.2350000000000003</v>
      </c>
      <c r="D21" s="8">
        <v>19.228000000000002</v>
      </c>
      <c r="E21" s="12">
        <v>0.66400000000000003</v>
      </c>
      <c r="G21" s="53">
        <v>6010.9940269999997</v>
      </c>
      <c r="L21" s="55" t="s">
        <v>1</v>
      </c>
      <c r="M21" s="64" t="s">
        <v>62</v>
      </c>
      <c r="N21" s="65">
        <v>-0.70330149227424954</v>
      </c>
      <c r="O21" s="51" t="s">
        <v>47</v>
      </c>
    </row>
    <row r="22" spans="1:15" ht="13.5" customHeight="1" x14ac:dyDescent="0.2">
      <c r="A22" s="49">
        <v>67.712000000000003</v>
      </c>
      <c r="B22" s="46">
        <v>1</v>
      </c>
      <c r="C22" s="8">
        <v>4.95</v>
      </c>
      <c r="D22" s="8">
        <v>50.634</v>
      </c>
      <c r="E22" s="12">
        <v>0.73099999999999998</v>
      </c>
      <c r="G22" s="53">
        <v>56412.893201999992</v>
      </c>
      <c r="L22" s="55" t="s">
        <v>2</v>
      </c>
      <c r="M22" s="64" t="s">
        <v>63</v>
      </c>
      <c r="N22" s="65">
        <v>1.1012157774578668</v>
      </c>
      <c r="O22" s="51" t="s">
        <v>48</v>
      </c>
    </row>
    <row r="23" spans="1:15" ht="13.5" customHeight="1" thickBot="1" x14ac:dyDescent="0.25">
      <c r="A23" s="49">
        <v>36.351999999999997</v>
      </c>
      <c r="B23" s="46">
        <v>1</v>
      </c>
      <c r="C23" s="8">
        <v>4.859</v>
      </c>
      <c r="D23" s="8">
        <v>35.203000000000003</v>
      </c>
      <c r="E23" s="12">
        <v>0.63900000000000001</v>
      </c>
      <c r="G23" s="54">
        <v>880.82209999999998</v>
      </c>
      <c r="L23" s="55" t="s">
        <v>3</v>
      </c>
      <c r="M23" s="66" t="s">
        <v>64</v>
      </c>
      <c r="N23" s="67">
        <v>13.947191653216578</v>
      </c>
      <c r="O23" s="51" t="s">
        <v>49</v>
      </c>
    </row>
    <row r="24" spans="1:15" ht="13.5" customHeight="1" x14ac:dyDescent="0.2">
      <c r="A24" s="49">
        <v>39.18</v>
      </c>
      <c r="B24" s="46">
        <v>1</v>
      </c>
      <c r="C24" s="8">
        <v>5.681</v>
      </c>
      <c r="D24" s="8">
        <v>35.896999999999998</v>
      </c>
      <c r="E24" s="12">
        <v>0.64300000000000002</v>
      </c>
    </row>
    <row r="25" spans="1:15" ht="13.5" customHeight="1" x14ac:dyDescent="0.2">
      <c r="A25" s="49">
        <v>17.268999999999998</v>
      </c>
      <c r="B25" s="46">
        <v>1</v>
      </c>
      <c r="C25" s="8">
        <v>6.4160000000000004</v>
      </c>
      <c r="D25" s="8">
        <v>19.687000000000001</v>
      </c>
      <c r="E25" s="12">
        <v>0.61699999999999999</v>
      </c>
      <c r="M25" s="2" t="s">
        <v>31</v>
      </c>
    </row>
    <row r="26" spans="1:15" ht="13.5" customHeight="1" thickBot="1" x14ac:dyDescent="0.25">
      <c r="A26" s="49">
        <v>16.797000000000001</v>
      </c>
      <c r="B26" s="46">
        <v>1</v>
      </c>
      <c r="C26" s="8">
        <v>6.1989999999999998</v>
      </c>
      <c r="D26" s="8">
        <v>16.244</v>
      </c>
      <c r="E26" s="12">
        <v>0.55100000000000005</v>
      </c>
      <c r="G26" s="60" t="s">
        <v>56</v>
      </c>
      <c r="I26" s="60" t="s">
        <v>65</v>
      </c>
    </row>
    <row r="27" spans="1:15" ht="13.5" customHeight="1" thickBot="1" x14ac:dyDescent="0.25">
      <c r="A27" s="49">
        <v>72.664000000000001</v>
      </c>
      <c r="B27" s="46">
        <v>1</v>
      </c>
      <c r="C27" s="8">
        <v>4.6909999999999998</v>
      </c>
      <c r="D27" s="8">
        <v>53.993000000000002</v>
      </c>
      <c r="E27" s="12">
        <v>0.76300000000000001</v>
      </c>
      <c r="G27" s="59">
        <f t="array" ref="G27">MMULT(TRANSPOSE(A3:A29),A3:A29)</f>
        <v>65308.325451999997</v>
      </c>
      <c r="I27" s="59">
        <f t="array" ref="I27">MMULT(TRANSPOSE(N20:N23),MMULT(G3:AG6,A3:A29))</f>
        <v>63195.756455780902</v>
      </c>
      <c r="M27" s="51" t="s">
        <v>43</v>
      </c>
    </row>
    <row r="28" spans="1:15" ht="13.5" customHeight="1" x14ac:dyDescent="0.2">
      <c r="A28" s="49">
        <v>20.007999999999999</v>
      </c>
      <c r="B28" s="46">
        <v>1</v>
      </c>
      <c r="C28" s="8">
        <v>6.8470000000000004</v>
      </c>
      <c r="D28" s="8">
        <v>14.369</v>
      </c>
      <c r="E28" s="12">
        <v>0.60699999999999998</v>
      </c>
      <c r="M28" s="51" t="s">
        <v>44</v>
      </c>
    </row>
    <row r="29" spans="1:15" ht="13.5" customHeight="1" thickBot="1" x14ac:dyDescent="0.25">
      <c r="A29" s="50">
        <v>67.022999999999996</v>
      </c>
      <c r="B29" s="47">
        <v>1</v>
      </c>
      <c r="C29" s="13">
        <v>4.6580000000000004</v>
      </c>
      <c r="D29" s="13">
        <v>50.784999999999997</v>
      </c>
      <c r="E29" s="14">
        <v>0.73799999999999999</v>
      </c>
      <c r="M29" s="51" t="s">
        <v>45</v>
      </c>
    </row>
    <row r="30" spans="1:15" ht="13.5" customHeight="1" x14ac:dyDescent="0.2">
      <c r="M30" s="51" t="s">
        <v>46</v>
      </c>
    </row>
    <row r="31" spans="1:15" ht="13.5" customHeight="1" x14ac:dyDescent="0.2">
      <c r="A31" s="9">
        <f>COUNTA(A3:A29)</f>
        <v>27</v>
      </c>
      <c r="B31" s="44" t="s">
        <v>57</v>
      </c>
      <c r="G31" s="9" t="s">
        <v>59</v>
      </c>
      <c r="H31" s="9">
        <f>G27-A31*A32^2</f>
        <v>12025.646751999979</v>
      </c>
    </row>
    <row r="32" spans="1:15" ht="13.5" customHeight="1" x14ac:dyDescent="0.2">
      <c r="A32" s="61">
        <f>AVERAGE(A3:A29)</f>
        <v>44.423333333333339</v>
      </c>
      <c r="B32" s="44" t="s">
        <v>58</v>
      </c>
      <c r="G32" s="9" t="s">
        <v>60</v>
      </c>
      <c r="H32" s="9">
        <f>I27-A31*A32^2</f>
        <v>9913.0777557808833</v>
      </c>
    </row>
    <row r="33" spans="3:11" ht="13.5" customHeight="1" x14ac:dyDescent="0.2">
      <c r="G33" s="9" t="s">
        <v>61</v>
      </c>
      <c r="H33" s="9">
        <f>G27-I27</f>
        <v>2112.5689962190954</v>
      </c>
    </row>
    <row r="34" spans="3:11" ht="13.5" customHeight="1" x14ac:dyDescent="0.2">
      <c r="H34" s="9" t="b">
        <f>H32+H33=H31</f>
        <v>1</v>
      </c>
    </row>
    <row r="35" spans="3:11" ht="13.5" customHeight="1" x14ac:dyDescent="0.2">
      <c r="G35" s="72" t="s">
        <v>66</v>
      </c>
      <c r="H35" s="73">
        <f>H32/H31</f>
        <v>0.82432803492521056</v>
      </c>
    </row>
    <row r="36" spans="3:11" ht="13.5" customHeight="1" thickBot="1" x14ac:dyDescent="0.25"/>
    <row r="37" spans="3:11" ht="13.5" customHeight="1" thickBot="1" x14ac:dyDescent="0.25">
      <c r="C37" s="117" t="s">
        <v>67</v>
      </c>
      <c r="D37" s="118"/>
      <c r="E37" s="118"/>
      <c r="F37" s="118"/>
      <c r="G37" s="119"/>
    </row>
    <row r="38" spans="3:11" ht="13.5" customHeight="1" x14ac:dyDescent="0.2">
      <c r="C38" s="76" t="s">
        <v>68</v>
      </c>
      <c r="D38" s="77" t="s">
        <v>69</v>
      </c>
      <c r="E38" s="77" t="s">
        <v>70</v>
      </c>
      <c r="F38" s="77" t="s">
        <v>71</v>
      </c>
      <c r="G38" s="78" t="s">
        <v>73</v>
      </c>
      <c r="H38" s="70" t="s">
        <v>77</v>
      </c>
    </row>
    <row r="39" spans="3:11" ht="13.5" customHeight="1" x14ac:dyDescent="0.2">
      <c r="C39" s="79" t="s">
        <v>74</v>
      </c>
      <c r="D39" s="68">
        <v>3</v>
      </c>
      <c r="E39" s="69">
        <f>H32</f>
        <v>9913.0777557808833</v>
      </c>
      <c r="F39" s="69">
        <f>E39/D39</f>
        <v>3304.359251926961</v>
      </c>
      <c r="G39" s="80">
        <f>F39/F40</f>
        <v>35.975280774421662</v>
      </c>
      <c r="H39" s="71">
        <f>FINV(5%,D39,D40)</f>
        <v>3.0279983823321985</v>
      </c>
    </row>
    <row r="40" spans="3:11" ht="13.5" customHeight="1" x14ac:dyDescent="0.2">
      <c r="C40" s="79" t="s">
        <v>75</v>
      </c>
      <c r="D40" s="68">
        <f>A31-(D39+1)</f>
        <v>23</v>
      </c>
      <c r="E40" s="69">
        <f>H33</f>
        <v>2112.5689962190954</v>
      </c>
      <c r="F40" s="69">
        <f>E40/D40</f>
        <v>91.850825922569371</v>
      </c>
      <c r="G40" s="81"/>
    </row>
    <row r="41" spans="3:11" ht="13.5" customHeight="1" thickBot="1" x14ac:dyDescent="0.25">
      <c r="C41" s="82" t="s">
        <v>76</v>
      </c>
      <c r="D41" s="83">
        <f>A31-1</f>
        <v>26</v>
      </c>
      <c r="E41" s="84">
        <f>H31</f>
        <v>12025.646751999979</v>
      </c>
      <c r="F41" s="84">
        <f>E41/D41</f>
        <v>462.52487507692229</v>
      </c>
      <c r="G41" s="85"/>
    </row>
    <row r="42" spans="3:11" ht="13.5" customHeight="1" thickBot="1" x14ac:dyDescent="0.25">
      <c r="J42" s="74" t="s">
        <v>87</v>
      </c>
      <c r="K42" s="138">
        <f>1-(F40/F41)</f>
        <v>0.80141430035023808</v>
      </c>
    </row>
    <row r="43" spans="3:11" ht="13.5" customHeight="1" x14ac:dyDescent="0.2">
      <c r="C43" s="120" t="s">
        <v>78</v>
      </c>
      <c r="D43" s="121"/>
      <c r="E43" s="121"/>
      <c r="F43" s="122"/>
    </row>
    <row r="44" spans="3:11" ht="13.5" customHeight="1" thickBot="1" x14ac:dyDescent="0.25">
      <c r="C44" s="123" t="s">
        <v>86</v>
      </c>
      <c r="D44" s="124"/>
      <c r="E44" s="124"/>
      <c r="F44" s="125"/>
      <c r="G44" s="75" t="s">
        <v>88</v>
      </c>
    </row>
    <row r="46" spans="3:11" ht="13.5" customHeight="1" x14ac:dyDescent="0.2">
      <c r="C46" s="51" t="s">
        <v>79</v>
      </c>
      <c r="D46" s="51" t="s">
        <v>80</v>
      </c>
    </row>
    <row r="47" spans="3:11" ht="13.5" customHeight="1" x14ac:dyDescent="0.2">
      <c r="C47" s="51" t="s">
        <v>81</v>
      </c>
      <c r="D47" s="51" t="s">
        <v>82</v>
      </c>
    </row>
    <row r="48" spans="3:11" ht="13.5" customHeight="1" x14ac:dyDescent="0.2">
      <c r="C48" s="51" t="s">
        <v>83</v>
      </c>
      <c r="D48" s="51" t="s">
        <v>84</v>
      </c>
    </row>
    <row r="49" spans="3:15" ht="13.5" customHeight="1" x14ac:dyDescent="0.2">
      <c r="C49" s="51" t="s">
        <v>85</v>
      </c>
      <c r="D49" s="51"/>
    </row>
    <row r="50" spans="3:15" ht="13.5" customHeight="1" x14ac:dyDescent="0.2">
      <c r="D50" s="51"/>
      <c r="H50" s="9" t="s">
        <v>94</v>
      </c>
      <c r="I50" s="9">
        <f>(H31-H32)/D40</f>
        <v>91.850825922569371</v>
      </c>
    </row>
    <row r="52" spans="3:15" ht="13.5" customHeight="1" thickBot="1" x14ac:dyDescent="0.25">
      <c r="C52" s="126" t="s">
        <v>89</v>
      </c>
      <c r="D52" s="126"/>
      <c r="E52" s="126"/>
      <c r="F52" s="126"/>
    </row>
    <row r="53" spans="3:15" ht="13.5" customHeight="1" x14ac:dyDescent="0.2">
      <c r="C53" s="101" t="s">
        <v>90</v>
      </c>
      <c r="D53" s="86"/>
      <c r="E53" s="86"/>
      <c r="F53" s="87"/>
      <c r="I53" s="101">
        <f t="array" ref="I53:L56">N13:Q16*I50</f>
        <v>916.74342533980303</v>
      </c>
      <c r="J53" s="94">
        <v>-80.286286713013752</v>
      </c>
      <c r="K53" s="94">
        <v>-3.2840046221492316</v>
      </c>
      <c r="L53" s="95">
        <v>-490.72773743969486</v>
      </c>
    </row>
    <row r="54" spans="3:15" ht="13.5" customHeight="1" x14ac:dyDescent="0.2">
      <c r="C54" s="88"/>
      <c r="D54" s="102" t="s">
        <v>93</v>
      </c>
      <c r="E54" s="89"/>
      <c r="F54" s="90"/>
      <c r="I54" s="96">
        <v>-80.286286713018129</v>
      </c>
      <c r="J54" s="102">
        <v>24.406618102462577</v>
      </c>
      <c r="K54" s="97">
        <v>1.9723096388399133</v>
      </c>
      <c r="L54" s="98">
        <v>-183.62226220375993</v>
      </c>
    </row>
    <row r="55" spans="3:15" ht="13.5" customHeight="1" x14ac:dyDescent="0.2">
      <c r="C55" s="88"/>
      <c r="D55" s="89"/>
      <c r="E55" s="102" t="s">
        <v>92</v>
      </c>
      <c r="F55" s="90"/>
      <c r="I55" s="96">
        <v>-3.284004622149697</v>
      </c>
      <c r="J55" s="97">
        <v>1.9723096388399397</v>
      </c>
      <c r="K55" s="102">
        <v>0.1945782204861867</v>
      </c>
      <c r="L55" s="98">
        <v>-21.334819582252059</v>
      </c>
    </row>
    <row r="56" spans="3:15" ht="13.5" customHeight="1" thickBot="1" x14ac:dyDescent="0.25">
      <c r="C56" s="91"/>
      <c r="D56" s="92"/>
      <c r="E56" s="92"/>
      <c r="F56" s="103" t="s">
        <v>91</v>
      </c>
      <c r="I56" s="99">
        <v>-490.72773743963523</v>
      </c>
      <c r="J56" s="100">
        <v>-183.6222622037676</v>
      </c>
      <c r="K56" s="100">
        <v>-21.334819582252507</v>
      </c>
      <c r="L56" s="103">
        <v>3289.1838784454812</v>
      </c>
    </row>
    <row r="58" spans="3:15" ht="13.5" customHeight="1" x14ac:dyDescent="0.2">
      <c r="H58" s="89"/>
      <c r="I58" s="104" t="s">
        <v>42</v>
      </c>
      <c r="J58" s="105" t="s">
        <v>62</v>
      </c>
      <c r="K58" s="105" t="s">
        <v>63</v>
      </c>
      <c r="L58" s="105" t="s">
        <v>64</v>
      </c>
    </row>
    <row r="59" spans="3:15" ht="13.5" customHeight="1" x14ac:dyDescent="0.2">
      <c r="H59" s="89" t="s">
        <v>97</v>
      </c>
      <c r="I59" s="104">
        <v>-5.8231536331049938</v>
      </c>
      <c r="J59" s="105">
        <v>-0.70330149227424954</v>
      </c>
      <c r="K59" s="105">
        <v>1.1012157774578668</v>
      </c>
      <c r="L59" s="105">
        <v>13.947191653216578</v>
      </c>
      <c r="N59" s="9" t="s">
        <v>108</v>
      </c>
      <c r="O59" s="51" t="s">
        <v>111</v>
      </c>
    </row>
    <row r="60" spans="3:15" ht="13.5" customHeight="1" x14ac:dyDescent="0.2">
      <c r="H60" s="9" t="s">
        <v>95</v>
      </c>
      <c r="I60" s="109">
        <f>I59/SQRT(I53)</f>
        <v>-0.192324382325083</v>
      </c>
      <c r="J60" s="109">
        <f>J59/SQRT(J54)</f>
        <v>-0.14235992026027411</v>
      </c>
      <c r="K60" s="108">
        <f>K59/SQRT(K55)</f>
        <v>2.4964640211551812</v>
      </c>
      <c r="L60" s="109">
        <f>L59/SQRT(L56)</f>
        <v>0.24318830864704055</v>
      </c>
      <c r="N60" s="9" t="s">
        <v>109</v>
      </c>
      <c r="O60" s="51" t="s">
        <v>112</v>
      </c>
    </row>
    <row r="61" spans="3:15" ht="13.5" customHeight="1" x14ac:dyDescent="0.2">
      <c r="H61" s="9" t="s">
        <v>96</v>
      </c>
      <c r="I61" s="116">
        <f>TINV(5%,D40)</f>
        <v>2.0686576104190491</v>
      </c>
      <c r="J61" s="116"/>
      <c r="K61" s="116"/>
      <c r="L61" s="116"/>
      <c r="N61" s="9" t="s">
        <v>110</v>
      </c>
      <c r="O61" s="51" t="s">
        <v>113</v>
      </c>
    </row>
    <row r="62" spans="3:15" ht="13.5" customHeight="1" x14ac:dyDescent="0.2">
      <c r="N62" s="51" t="s">
        <v>114</v>
      </c>
    </row>
    <row r="63" spans="3:15" ht="13.5" customHeight="1" x14ac:dyDescent="0.2">
      <c r="H63" s="9" t="s">
        <v>106</v>
      </c>
      <c r="I63" s="110" t="s">
        <v>104</v>
      </c>
      <c r="J63" s="110" t="s">
        <v>98</v>
      </c>
      <c r="K63" s="106" t="s">
        <v>100</v>
      </c>
      <c r="L63" s="110" t="s">
        <v>103</v>
      </c>
      <c r="N63" s="51"/>
    </row>
    <row r="64" spans="3:15" ht="13.5" customHeight="1" x14ac:dyDescent="0.2">
      <c r="H64" s="9" t="s">
        <v>107</v>
      </c>
      <c r="I64" s="106" t="s">
        <v>105</v>
      </c>
      <c r="J64" s="106" t="s">
        <v>99</v>
      </c>
      <c r="K64" s="111" t="s">
        <v>101</v>
      </c>
      <c r="L64" s="106" t="s">
        <v>102</v>
      </c>
    </row>
  </sheetData>
  <mergeCells count="5">
    <mergeCell ref="I61:L61"/>
    <mergeCell ref="C37:G37"/>
    <mergeCell ref="C43:F43"/>
    <mergeCell ref="C44:F44"/>
    <mergeCell ref="C52:F5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B-3A1F-4162-8BC2-6307DB09CFA2}">
  <dimension ref="A1:AR35"/>
  <sheetViews>
    <sheetView zoomScale="145" zoomScaleNormal="145" workbookViewId="0">
      <selection activeCell="I18" sqref="I18"/>
    </sheetView>
  </sheetViews>
  <sheetFormatPr defaultRowHeight="12.75" x14ac:dyDescent="0.2"/>
  <cols>
    <col min="1" max="3" width="9.140625" style="135"/>
    <col min="4" max="4" width="2.7109375" style="135" customWidth="1"/>
    <col min="5" max="7" width="9.140625" style="135"/>
    <col min="8" max="8" width="2.7109375" style="135" customWidth="1"/>
    <col min="9" max="11" width="9.140625" style="135"/>
    <col min="35" max="35" width="9.140625" style="135"/>
    <col min="36" max="36" width="12.85546875" style="135" customWidth="1"/>
    <col min="37" max="16384" width="9.140625" style="135"/>
  </cols>
  <sheetData>
    <row r="1" spans="1:44" x14ac:dyDescent="0.2">
      <c r="A1" s="6" t="s">
        <v>141</v>
      </c>
      <c r="B1" s="4" t="s">
        <v>142</v>
      </c>
      <c r="C1" s="4" t="s">
        <v>143</v>
      </c>
      <c r="E1" s="6" t="s">
        <v>141</v>
      </c>
      <c r="F1" s="4" t="s">
        <v>143</v>
      </c>
      <c r="G1" s="4" t="s">
        <v>144</v>
      </c>
      <c r="I1" s="6" t="s">
        <v>141</v>
      </c>
      <c r="J1" s="4" t="s">
        <v>142</v>
      </c>
      <c r="K1" s="4" t="s">
        <v>144</v>
      </c>
      <c r="M1" s="136" t="s">
        <v>158</v>
      </c>
      <c r="Y1" s="136" t="s">
        <v>157</v>
      </c>
      <c r="AJ1" s="136" t="s">
        <v>145</v>
      </c>
    </row>
    <row r="2" spans="1:44" x14ac:dyDescent="0.2">
      <c r="A2" s="7">
        <v>34.079000000000001</v>
      </c>
      <c r="B2" s="5">
        <v>4.593</v>
      </c>
      <c r="C2" s="5">
        <v>47.829000000000001</v>
      </c>
      <c r="E2" s="7">
        <v>34.079000000000001</v>
      </c>
      <c r="F2" s="5">
        <v>47.829000000000001</v>
      </c>
      <c r="G2" s="5">
        <v>0.71799999999999997</v>
      </c>
      <c r="I2" s="7">
        <v>34.079000000000001</v>
      </c>
      <c r="J2" s="5">
        <v>4.593</v>
      </c>
      <c r="K2" s="5">
        <v>0.71799999999999997</v>
      </c>
      <c r="M2" t="s">
        <v>115</v>
      </c>
      <c r="Y2" t="s">
        <v>115</v>
      </c>
      <c r="AJ2" t="s">
        <v>115</v>
      </c>
      <c r="AK2"/>
      <c r="AL2"/>
      <c r="AM2"/>
      <c r="AN2"/>
      <c r="AO2"/>
      <c r="AP2"/>
      <c r="AQ2"/>
      <c r="AR2"/>
    </row>
    <row r="3" spans="1:44" ht="13.5" thickBot="1" x14ac:dyDescent="0.25">
      <c r="A3" s="7">
        <v>62.052</v>
      </c>
      <c r="B3" s="5">
        <v>4.1109999999999998</v>
      </c>
      <c r="C3" s="5">
        <v>62.24</v>
      </c>
      <c r="E3" s="7">
        <v>62.052</v>
      </c>
      <c r="F3" s="5">
        <v>62.24</v>
      </c>
      <c r="G3" s="5">
        <v>0.81599999999999995</v>
      </c>
      <c r="I3" s="7">
        <v>62.052</v>
      </c>
      <c r="J3" s="5">
        <v>4.1109999999999998</v>
      </c>
      <c r="K3" s="5">
        <v>0.81599999999999995</v>
      </c>
      <c r="AJ3"/>
      <c r="AK3"/>
      <c r="AL3"/>
      <c r="AM3"/>
      <c r="AN3"/>
      <c r="AO3"/>
      <c r="AP3"/>
      <c r="AQ3"/>
      <c r="AR3"/>
    </row>
    <row r="4" spans="1:44" x14ac:dyDescent="0.2">
      <c r="A4" s="7">
        <v>51.313000000000002</v>
      </c>
      <c r="B4" s="5">
        <v>5.548</v>
      </c>
      <c r="C4" s="5">
        <v>52.968000000000004</v>
      </c>
      <c r="E4" s="7">
        <v>51.313000000000002</v>
      </c>
      <c r="F4" s="5">
        <v>52.968000000000004</v>
      </c>
      <c r="G4" s="5">
        <v>0.78600000000000003</v>
      </c>
      <c r="I4" s="7">
        <v>51.313000000000002</v>
      </c>
      <c r="J4" s="5">
        <v>5.548</v>
      </c>
      <c r="K4" s="5">
        <v>0.78600000000000003</v>
      </c>
      <c r="M4" s="115" t="s">
        <v>116</v>
      </c>
      <c r="N4" s="115"/>
      <c r="Y4" s="115" t="s">
        <v>116</v>
      </c>
      <c r="Z4" s="115"/>
      <c r="AJ4" s="115" t="s">
        <v>116</v>
      </c>
      <c r="AK4" s="115"/>
      <c r="AL4"/>
      <c r="AM4"/>
      <c r="AN4"/>
      <c r="AO4"/>
      <c r="AP4"/>
      <c r="AQ4"/>
      <c r="AR4"/>
    </row>
    <row r="5" spans="1:44" x14ac:dyDescent="0.2">
      <c r="A5" s="7">
        <v>36.350999999999999</v>
      </c>
      <c r="B5" s="5">
        <v>6.05</v>
      </c>
      <c r="C5" s="5">
        <v>42.947000000000003</v>
      </c>
      <c r="E5" s="7">
        <v>36.350999999999999</v>
      </c>
      <c r="F5" s="5">
        <v>42.947000000000003</v>
      </c>
      <c r="G5" s="5">
        <v>0.70799999999999996</v>
      </c>
      <c r="I5" s="7">
        <v>36.350999999999999</v>
      </c>
      <c r="J5" s="5">
        <v>6.05</v>
      </c>
      <c r="K5" s="5">
        <v>0.70799999999999996</v>
      </c>
      <c r="M5" s="112" t="s">
        <v>117</v>
      </c>
      <c r="N5" s="112">
        <v>0.88132061695143005</v>
      </c>
      <c r="Y5" s="112" t="s">
        <v>117</v>
      </c>
      <c r="Z5" s="112">
        <v>0.90783987704902058</v>
      </c>
      <c r="AJ5" s="112" t="s">
        <v>117</v>
      </c>
      <c r="AK5" s="112">
        <v>0.90767633251618129</v>
      </c>
      <c r="AL5"/>
      <c r="AM5"/>
      <c r="AN5"/>
      <c r="AO5"/>
      <c r="AP5"/>
      <c r="AQ5"/>
      <c r="AR5"/>
    </row>
    <row r="6" spans="1:44" x14ac:dyDescent="0.2">
      <c r="A6" s="7">
        <v>70.186999999999998</v>
      </c>
      <c r="B6" s="5">
        <v>4.4550000000000001</v>
      </c>
      <c r="C6" s="5">
        <v>55.316000000000003</v>
      </c>
      <c r="E6" s="7">
        <v>70.186999999999998</v>
      </c>
      <c r="F6" s="5">
        <v>55.316000000000003</v>
      </c>
      <c r="G6" s="5">
        <v>0.77500000000000002</v>
      </c>
      <c r="I6" s="7">
        <v>70.186999999999998</v>
      </c>
      <c r="J6" s="5">
        <v>4.4550000000000001</v>
      </c>
      <c r="K6" s="5">
        <v>0.77500000000000002</v>
      </c>
      <c r="M6" s="112" t="s">
        <v>118</v>
      </c>
      <c r="N6" s="112">
        <v>0.77672602986364925</v>
      </c>
      <c r="Y6" s="112" t="s">
        <v>118</v>
      </c>
      <c r="Z6" s="112">
        <v>0.82417324236038081</v>
      </c>
      <c r="AJ6" s="112" t="s">
        <v>118</v>
      </c>
      <c r="AK6" s="112">
        <v>0.82387632461002536</v>
      </c>
      <c r="AL6"/>
      <c r="AM6"/>
      <c r="AN6"/>
      <c r="AO6"/>
      <c r="AP6"/>
      <c r="AQ6"/>
      <c r="AR6"/>
    </row>
    <row r="7" spans="1:44" x14ac:dyDescent="0.2">
      <c r="A7" s="7">
        <v>64.965999999999994</v>
      </c>
      <c r="B7" s="5">
        <v>4.42</v>
      </c>
      <c r="C7" s="5">
        <v>57</v>
      </c>
      <c r="E7" s="7">
        <v>64.965999999999994</v>
      </c>
      <c r="F7" s="5">
        <v>57</v>
      </c>
      <c r="G7" s="5">
        <v>0.81599999999999995</v>
      </c>
      <c r="I7" s="7">
        <v>64.965999999999994</v>
      </c>
      <c r="J7" s="5">
        <v>4.42</v>
      </c>
      <c r="K7" s="5">
        <v>0.81599999999999995</v>
      </c>
      <c r="M7" s="147" t="s">
        <v>119</v>
      </c>
      <c r="N7" s="147">
        <v>0.75811986568561995</v>
      </c>
      <c r="O7" t="s">
        <v>134</v>
      </c>
      <c r="Y7" s="147" t="s">
        <v>119</v>
      </c>
      <c r="Z7" s="147">
        <v>0.8095210125570792</v>
      </c>
      <c r="AA7" t="s">
        <v>134</v>
      </c>
      <c r="AJ7" s="147" t="s">
        <v>119</v>
      </c>
      <c r="AK7" s="147">
        <v>0.80919935166086088</v>
      </c>
      <c r="AL7" t="s">
        <v>155</v>
      </c>
      <c r="AM7"/>
      <c r="AN7"/>
      <c r="AO7"/>
      <c r="AP7"/>
      <c r="AQ7"/>
      <c r="AR7"/>
    </row>
    <row r="8" spans="1:44" x14ac:dyDescent="0.2">
      <c r="A8" s="7">
        <v>24</v>
      </c>
      <c r="B8" s="5">
        <v>8.2490000000000006</v>
      </c>
      <c r="C8" s="5">
        <v>16.071999999999999</v>
      </c>
      <c r="E8" s="7">
        <v>24</v>
      </c>
      <c r="F8" s="5">
        <v>16.071999999999999</v>
      </c>
      <c r="G8" s="5">
        <v>0.78100000000000003</v>
      </c>
      <c r="I8" s="7">
        <v>24</v>
      </c>
      <c r="J8" s="5">
        <v>8.2490000000000006</v>
      </c>
      <c r="K8" s="5">
        <v>0.78100000000000003</v>
      </c>
      <c r="M8" s="112" t="s">
        <v>120</v>
      </c>
      <c r="N8" s="112">
        <v>10.577125266694537</v>
      </c>
      <c r="Y8" s="112" t="s">
        <v>120</v>
      </c>
      <c r="Z8" s="112">
        <v>9.3862276699329943</v>
      </c>
      <c r="AJ8" s="112" t="s">
        <v>120</v>
      </c>
      <c r="AK8" s="112">
        <v>9.3941495643648505</v>
      </c>
      <c r="AL8"/>
      <c r="AM8"/>
      <c r="AN8"/>
      <c r="AO8"/>
      <c r="AP8"/>
      <c r="AQ8"/>
      <c r="AR8"/>
    </row>
    <row r="9" spans="1:44" ht="13.5" thickBot="1" x14ac:dyDescent="0.25">
      <c r="A9" s="7">
        <v>33.710999999999999</v>
      </c>
      <c r="B9" s="5">
        <v>5.9020000000000001</v>
      </c>
      <c r="C9" s="5">
        <v>28.04</v>
      </c>
      <c r="E9" s="7">
        <v>33.710999999999999</v>
      </c>
      <c r="F9" s="5">
        <v>28.04</v>
      </c>
      <c r="G9" s="5">
        <v>0.65100000000000002</v>
      </c>
      <c r="I9" s="7">
        <v>33.710999999999999</v>
      </c>
      <c r="J9" s="5">
        <v>5.9020000000000001</v>
      </c>
      <c r="K9" s="5">
        <v>0.65100000000000002</v>
      </c>
      <c r="M9" s="113" t="s">
        <v>121</v>
      </c>
      <c r="N9" s="113">
        <v>27</v>
      </c>
      <c r="Y9" s="113" t="s">
        <v>121</v>
      </c>
      <c r="Z9" s="113">
        <v>27</v>
      </c>
      <c r="AJ9" s="113" t="s">
        <v>121</v>
      </c>
      <c r="AK9" s="113">
        <v>27</v>
      </c>
      <c r="AL9"/>
      <c r="AM9"/>
      <c r="AN9"/>
      <c r="AO9"/>
      <c r="AP9"/>
      <c r="AQ9"/>
      <c r="AR9"/>
    </row>
    <row r="10" spans="1:44" x14ac:dyDescent="0.2">
      <c r="A10" s="7">
        <v>24.545000000000002</v>
      </c>
      <c r="B10" s="5">
        <v>5.6619999999999999</v>
      </c>
      <c r="C10" s="5">
        <v>26.65</v>
      </c>
      <c r="E10" s="7">
        <v>24.545000000000002</v>
      </c>
      <c r="F10" s="5">
        <v>26.65</v>
      </c>
      <c r="G10" s="5">
        <v>0.64800000000000002</v>
      </c>
      <c r="I10" s="7">
        <v>24.545000000000002</v>
      </c>
      <c r="J10" s="5">
        <v>5.6619999999999999</v>
      </c>
      <c r="K10" s="5">
        <v>0.64800000000000002</v>
      </c>
      <c r="AJ10"/>
      <c r="AK10"/>
      <c r="AL10"/>
      <c r="AM10"/>
      <c r="AN10"/>
      <c r="AO10"/>
      <c r="AP10"/>
      <c r="AQ10"/>
      <c r="AR10"/>
    </row>
    <row r="11" spans="1:44" ht="13.5" thickBot="1" x14ac:dyDescent="0.25">
      <c r="A11" s="7">
        <v>85.7</v>
      </c>
      <c r="B11" s="5">
        <v>3.9689999999999999</v>
      </c>
      <c r="C11" s="5">
        <v>66.813000000000002</v>
      </c>
      <c r="E11" s="7">
        <v>85.7</v>
      </c>
      <c r="F11" s="5">
        <v>66.813000000000002</v>
      </c>
      <c r="G11" s="5">
        <v>0.75800000000000001</v>
      </c>
      <c r="I11" s="7">
        <v>85.7</v>
      </c>
      <c r="J11" s="5">
        <v>3.9689999999999999</v>
      </c>
      <c r="K11" s="5">
        <v>0.75800000000000001</v>
      </c>
      <c r="M11" t="s">
        <v>122</v>
      </c>
      <c r="Y11" t="s">
        <v>122</v>
      </c>
      <c r="AJ11" t="s">
        <v>122</v>
      </c>
      <c r="AK11"/>
      <c r="AL11"/>
      <c r="AM11"/>
      <c r="AN11"/>
      <c r="AO11"/>
      <c r="AP11"/>
      <c r="AQ11"/>
      <c r="AR11"/>
    </row>
    <row r="12" spans="1:44" x14ac:dyDescent="0.2">
      <c r="A12" s="7">
        <v>30.369</v>
      </c>
      <c r="B12" s="5">
        <v>5.6230000000000002</v>
      </c>
      <c r="C12" s="5">
        <v>29.765999999999998</v>
      </c>
      <c r="E12" s="7">
        <v>30.369</v>
      </c>
      <c r="F12" s="5">
        <v>29.765999999999998</v>
      </c>
      <c r="G12" s="5">
        <v>0.67100000000000004</v>
      </c>
      <c r="I12" s="7">
        <v>30.369</v>
      </c>
      <c r="J12" s="5">
        <v>5.6230000000000002</v>
      </c>
      <c r="K12" s="5">
        <v>0.67100000000000004</v>
      </c>
      <c r="M12" s="114"/>
      <c r="N12" s="114" t="s">
        <v>125</v>
      </c>
      <c r="O12" s="114" t="s">
        <v>70</v>
      </c>
      <c r="P12" s="114" t="s">
        <v>126</v>
      </c>
      <c r="Q12" s="114" t="s">
        <v>72</v>
      </c>
      <c r="R12" s="114" t="s">
        <v>127</v>
      </c>
      <c r="Y12" s="114"/>
      <c r="Z12" s="114" t="s">
        <v>125</v>
      </c>
      <c r="AA12" s="114" t="s">
        <v>70</v>
      </c>
      <c r="AB12" s="114" t="s">
        <v>126</v>
      </c>
      <c r="AC12" s="114" t="s">
        <v>72</v>
      </c>
      <c r="AD12" s="114" t="s">
        <v>127</v>
      </c>
      <c r="AJ12" s="114"/>
      <c r="AK12" s="114" t="s">
        <v>125</v>
      </c>
      <c r="AL12" s="114" t="s">
        <v>70</v>
      </c>
      <c r="AM12" s="114" t="s">
        <v>126</v>
      </c>
      <c r="AN12" s="114" t="s">
        <v>72</v>
      </c>
      <c r="AO12" s="114" t="s">
        <v>127</v>
      </c>
      <c r="AP12"/>
      <c r="AQ12"/>
      <c r="AR12"/>
    </row>
    <row r="13" spans="1:44" x14ac:dyDescent="0.2">
      <c r="A13" s="7">
        <v>26.565000000000001</v>
      </c>
      <c r="B13" s="5">
        <v>5.7290000000000001</v>
      </c>
      <c r="C13" s="5">
        <v>28.66</v>
      </c>
      <c r="E13" s="7">
        <v>26.565000000000001</v>
      </c>
      <c r="F13" s="5">
        <v>28.66</v>
      </c>
      <c r="G13" s="5">
        <v>0.69199999999999995</v>
      </c>
      <c r="I13" s="7">
        <v>26.565000000000001</v>
      </c>
      <c r="J13" s="5">
        <v>5.7290000000000001</v>
      </c>
      <c r="K13" s="5">
        <v>0.69199999999999995</v>
      </c>
      <c r="M13" s="112" t="s">
        <v>74</v>
      </c>
      <c r="N13" s="112">
        <v>2</v>
      </c>
      <c r="O13" s="127">
        <v>9340.6328582236511</v>
      </c>
      <c r="P13" s="112">
        <v>4670.3164291118255</v>
      </c>
      <c r="Q13" s="112">
        <v>41.745629159869125</v>
      </c>
      <c r="R13" s="112">
        <v>1.534818898221302E-8</v>
      </c>
      <c r="Y13" s="112" t="s">
        <v>74</v>
      </c>
      <c r="Z13" s="112">
        <v>2</v>
      </c>
      <c r="AA13" s="112">
        <v>9911.2162750764237</v>
      </c>
      <c r="AB13" s="112">
        <v>4955.6081375382118</v>
      </c>
      <c r="AC13" s="112">
        <v>56.248997826574431</v>
      </c>
      <c r="AD13" s="112">
        <v>8.7301078718150394E-10</v>
      </c>
      <c r="AJ13" s="112" t="s">
        <v>74</v>
      </c>
      <c r="AK13" s="112">
        <v>2</v>
      </c>
      <c r="AL13" s="127">
        <v>9907.6456470962512</v>
      </c>
      <c r="AM13" s="112">
        <v>4953.8228235481256</v>
      </c>
      <c r="AN13" s="112">
        <v>56.133940388363399</v>
      </c>
      <c r="AO13" s="112">
        <v>8.9086701279432619E-10</v>
      </c>
      <c r="AP13"/>
      <c r="AQ13" s="134" t="s">
        <v>146</v>
      </c>
      <c r="AR13"/>
    </row>
    <row r="14" spans="1:44" x14ac:dyDescent="0.2">
      <c r="A14" s="7">
        <v>30.548999999999999</v>
      </c>
      <c r="B14" s="5">
        <v>5.5019999999999998</v>
      </c>
      <c r="C14" s="5">
        <v>27.783999999999999</v>
      </c>
      <c r="E14" s="7">
        <v>30.548999999999999</v>
      </c>
      <c r="F14" s="5">
        <v>27.783999999999999</v>
      </c>
      <c r="G14" s="5">
        <v>0.68500000000000005</v>
      </c>
      <c r="I14" s="7">
        <v>30.548999999999999</v>
      </c>
      <c r="J14" s="5">
        <v>5.5019999999999998</v>
      </c>
      <c r="K14" s="5">
        <v>0.68500000000000005</v>
      </c>
      <c r="M14" s="112" t="s">
        <v>123</v>
      </c>
      <c r="N14" s="112">
        <v>24</v>
      </c>
      <c r="O14" s="112">
        <v>2685.0138937763518</v>
      </c>
      <c r="P14" s="112">
        <v>111.87557890734799</v>
      </c>
      <c r="Q14" s="112"/>
      <c r="R14" s="112"/>
      <c r="Y14" s="112" t="s">
        <v>123</v>
      </c>
      <c r="Z14" s="112">
        <v>24</v>
      </c>
      <c r="AA14" s="112">
        <v>2114.4304769235782</v>
      </c>
      <c r="AB14" s="112">
        <v>88.101269871815759</v>
      </c>
      <c r="AC14" s="112"/>
      <c r="AD14" s="112"/>
      <c r="AJ14" s="112" t="s">
        <v>123</v>
      </c>
      <c r="AK14" s="112">
        <v>24</v>
      </c>
      <c r="AL14" s="112">
        <v>2118.0011049037516</v>
      </c>
      <c r="AM14" s="112">
        <v>88.250046037656318</v>
      </c>
      <c r="AN14" s="112"/>
      <c r="AO14" s="112"/>
      <c r="AP14"/>
      <c r="AQ14" t="s">
        <v>147</v>
      </c>
      <c r="AR14"/>
    </row>
    <row r="15" spans="1:44" ht="13.5" thickBot="1" x14ac:dyDescent="0.25">
      <c r="A15" s="7">
        <v>35.594999999999999</v>
      </c>
      <c r="B15" s="5">
        <v>5.0049999999999999</v>
      </c>
      <c r="C15" s="5">
        <v>51.887</v>
      </c>
      <c r="E15" s="7">
        <v>35.594999999999999</v>
      </c>
      <c r="F15" s="5">
        <v>51.887</v>
      </c>
      <c r="G15" s="5">
        <v>0.74399999999999999</v>
      </c>
      <c r="I15" s="7">
        <v>35.594999999999999</v>
      </c>
      <c r="J15" s="5">
        <v>5.0049999999999999</v>
      </c>
      <c r="K15" s="5">
        <v>0.74399999999999999</v>
      </c>
      <c r="M15" s="113" t="s">
        <v>76</v>
      </c>
      <c r="N15" s="113">
        <v>26</v>
      </c>
      <c r="O15" s="113">
        <v>12025.646752000002</v>
      </c>
      <c r="P15" s="113"/>
      <c r="Q15" s="113"/>
      <c r="R15" s="113"/>
      <c r="Y15" s="113" t="s">
        <v>76</v>
      </c>
      <c r="Z15" s="113">
        <v>26</v>
      </c>
      <c r="AA15" s="113">
        <v>12025.646752000002</v>
      </c>
      <c r="AB15" s="113"/>
      <c r="AC15" s="113"/>
      <c r="AD15" s="113"/>
      <c r="AJ15" s="113" t="s">
        <v>76</v>
      </c>
      <c r="AK15" s="113">
        <v>26</v>
      </c>
      <c r="AL15" s="113">
        <v>12025.646752000002</v>
      </c>
      <c r="AM15" s="113"/>
      <c r="AN15" s="113"/>
      <c r="AO15" s="113"/>
      <c r="AP15"/>
      <c r="AQ15"/>
      <c r="AR15"/>
    </row>
    <row r="16" spans="1:44" ht="13.5" thickBot="1" x14ac:dyDescent="0.25">
      <c r="A16" s="7">
        <v>77.715000000000003</v>
      </c>
      <c r="B16" s="5">
        <v>4.3289999999999997</v>
      </c>
      <c r="C16" s="5">
        <v>55.262</v>
      </c>
      <c r="E16" s="7">
        <v>77.715000000000003</v>
      </c>
      <c r="F16" s="5">
        <v>55.262</v>
      </c>
      <c r="G16" s="5">
        <v>0.73399999999999999</v>
      </c>
      <c r="I16" s="7">
        <v>77.715000000000003</v>
      </c>
      <c r="J16" s="5">
        <v>4.3289999999999997</v>
      </c>
      <c r="K16" s="5">
        <v>0.73399999999999999</v>
      </c>
      <c r="AJ16"/>
      <c r="AK16"/>
      <c r="AL16"/>
      <c r="AM16"/>
      <c r="AN16"/>
      <c r="AO16"/>
      <c r="AP16"/>
      <c r="AQ16"/>
      <c r="AR16"/>
    </row>
    <row r="17" spans="1:44" x14ac:dyDescent="0.2">
      <c r="A17" s="7">
        <v>54.597999999999999</v>
      </c>
      <c r="B17" s="5">
        <v>5.0529999999999999</v>
      </c>
      <c r="C17" s="5">
        <v>51.305999999999997</v>
      </c>
      <c r="E17" s="7">
        <v>54.597999999999999</v>
      </c>
      <c r="F17" s="5">
        <v>51.305999999999997</v>
      </c>
      <c r="G17" s="5">
        <v>0.79500000000000004</v>
      </c>
      <c r="I17" s="7">
        <v>54.597999999999999</v>
      </c>
      <c r="J17" s="5">
        <v>5.0529999999999999</v>
      </c>
      <c r="K17" s="5">
        <v>0.79500000000000004</v>
      </c>
      <c r="M17" s="114"/>
      <c r="N17" s="114" t="s">
        <v>97</v>
      </c>
      <c r="O17" s="114" t="s">
        <v>120</v>
      </c>
      <c r="P17" s="114" t="s">
        <v>128</v>
      </c>
      <c r="Q17" s="114" t="s">
        <v>129</v>
      </c>
      <c r="R17" s="114" t="s">
        <v>130</v>
      </c>
      <c r="S17" s="114" t="s">
        <v>131</v>
      </c>
      <c r="T17" s="114" t="s">
        <v>132</v>
      </c>
      <c r="U17" s="114" t="s">
        <v>133</v>
      </c>
      <c r="Y17" s="114"/>
      <c r="Z17" s="114" t="s">
        <v>97</v>
      </c>
      <c r="AA17" s="114" t="s">
        <v>120</v>
      </c>
      <c r="AB17" s="114" t="s">
        <v>128</v>
      </c>
      <c r="AC17" s="114" t="s">
        <v>129</v>
      </c>
      <c r="AD17" s="114" t="s">
        <v>130</v>
      </c>
      <c r="AE17" s="114" t="s">
        <v>131</v>
      </c>
      <c r="AF17" s="114" t="s">
        <v>132</v>
      </c>
      <c r="AG17" s="114" t="s">
        <v>133</v>
      </c>
      <c r="AJ17" s="114"/>
      <c r="AK17" s="114" t="s">
        <v>97</v>
      </c>
      <c r="AL17" s="114" t="s">
        <v>120</v>
      </c>
      <c r="AM17" s="114" t="s">
        <v>128</v>
      </c>
      <c r="AN17" s="114" t="s">
        <v>129</v>
      </c>
      <c r="AO17" s="114" t="s">
        <v>130</v>
      </c>
      <c r="AP17" s="114" t="s">
        <v>131</v>
      </c>
      <c r="AQ17" s="114" t="s">
        <v>132</v>
      </c>
      <c r="AR17" s="114" t="s">
        <v>133</v>
      </c>
    </row>
    <row r="18" spans="1:44" x14ac:dyDescent="0.2">
      <c r="A18" s="7">
        <v>73.533000000000001</v>
      </c>
      <c r="B18" s="5">
        <v>3.9489999999999998</v>
      </c>
      <c r="C18" s="5">
        <v>61.811</v>
      </c>
      <c r="E18" s="7">
        <v>73.533000000000001</v>
      </c>
      <c r="F18" s="5">
        <v>61.811</v>
      </c>
      <c r="G18" s="5">
        <v>0.79600000000000004</v>
      </c>
      <c r="I18" s="7">
        <v>73.533000000000001</v>
      </c>
      <c r="J18" s="5">
        <v>3.9489999999999998</v>
      </c>
      <c r="K18" s="5">
        <v>0.79600000000000004</v>
      </c>
      <c r="M18" s="112" t="s">
        <v>124</v>
      </c>
      <c r="N18" s="112">
        <v>12.762676240961554</v>
      </c>
      <c r="O18" s="112">
        <v>32.389760711278583</v>
      </c>
      <c r="P18" s="112">
        <v>0.39403428616616504</v>
      </c>
      <c r="Q18" s="112">
        <v>0.69703501716184069</v>
      </c>
      <c r="R18" s="112">
        <v>-54.086504302522243</v>
      </c>
      <c r="S18" s="112">
        <v>79.611856784445351</v>
      </c>
      <c r="T18" s="112">
        <v>-54.086504302522243</v>
      </c>
      <c r="U18" s="112">
        <v>79.611856784445351</v>
      </c>
      <c r="Y18" s="112" t="s">
        <v>124</v>
      </c>
      <c r="Z18" s="112">
        <v>-8.1366845376051558</v>
      </c>
      <c r="AA18" s="112">
        <v>25.019934691699302</v>
      </c>
      <c r="AB18" s="112">
        <v>-0.32520806460396595</v>
      </c>
      <c r="AC18" s="112">
        <v>0.74784169071876971</v>
      </c>
      <c r="AD18" s="112">
        <v>-59.77529175983048</v>
      </c>
      <c r="AE18" s="112">
        <v>43.501922684620169</v>
      </c>
      <c r="AF18" s="112">
        <v>-59.77529175983048</v>
      </c>
      <c r="AG18" s="112">
        <v>43.501922684620169</v>
      </c>
      <c r="AJ18" s="112" t="s">
        <v>124</v>
      </c>
      <c r="AK18" s="112">
        <v>-3.74231107259358</v>
      </c>
      <c r="AL18" s="112">
        <v>28.46859948517184</v>
      </c>
      <c r="AM18" s="112">
        <v>-0.13145399282963677</v>
      </c>
      <c r="AN18" s="112">
        <v>0.89651195159827091</v>
      </c>
      <c r="AO18" s="112">
        <v>-62.498612601604087</v>
      </c>
      <c r="AP18" s="112">
        <v>55.013990456416927</v>
      </c>
      <c r="AQ18" s="112">
        <v>-62.498612601604087</v>
      </c>
      <c r="AR18" s="112">
        <v>55.013990456416927</v>
      </c>
    </row>
    <row r="19" spans="1:44" x14ac:dyDescent="0.2">
      <c r="A19" s="7">
        <v>23.527000000000001</v>
      </c>
      <c r="B19" s="5">
        <v>5.9809999999999999</v>
      </c>
      <c r="C19" s="5">
        <v>23.693999999999999</v>
      </c>
      <c r="E19" s="7">
        <v>23.527000000000001</v>
      </c>
      <c r="F19" s="5">
        <v>23.693999999999999</v>
      </c>
      <c r="G19" s="5">
        <v>0.65200000000000002</v>
      </c>
      <c r="I19" s="7">
        <v>23.527000000000001</v>
      </c>
      <c r="J19" s="5">
        <v>5.9809999999999999</v>
      </c>
      <c r="K19" s="5">
        <v>0.65200000000000002</v>
      </c>
      <c r="M19" s="112" t="s">
        <v>142</v>
      </c>
      <c r="N19" s="112">
        <v>-11.865591325616336</v>
      </c>
      <c r="O19" s="112">
        <v>2.3188534897571467</v>
      </c>
      <c r="P19" s="112">
        <v>-5.1170077704473771</v>
      </c>
      <c r="Q19" s="112">
        <v>3.0911715128604645E-5</v>
      </c>
      <c r="R19" s="112">
        <v>-16.651469707752238</v>
      </c>
      <c r="S19" s="112">
        <v>-7.079712943480434</v>
      </c>
      <c r="T19" s="112">
        <v>-16.651469707752238</v>
      </c>
      <c r="U19" s="112">
        <v>-7.079712943480434</v>
      </c>
      <c r="Y19" s="112" t="s">
        <v>143</v>
      </c>
      <c r="Z19" s="112">
        <v>1.1580498831254462</v>
      </c>
      <c r="AA19" s="112">
        <v>0.18373422293474651</v>
      </c>
      <c r="AB19" s="112">
        <v>6.3028534620723837</v>
      </c>
      <c r="AC19" s="112">
        <v>1.6258078639381419E-6</v>
      </c>
      <c r="AD19" s="112">
        <v>0.77884108468857993</v>
      </c>
      <c r="AE19" s="112">
        <v>1.5372586815623124</v>
      </c>
      <c r="AF19" s="112">
        <v>0.77884108468857993</v>
      </c>
      <c r="AG19" s="112">
        <v>1.5372586815623124</v>
      </c>
      <c r="AJ19" s="112" t="s">
        <v>142</v>
      </c>
      <c r="AK19" s="112">
        <v>7.5315628992498773E-2</v>
      </c>
      <c r="AL19" s="112">
        <v>3.6879217941479943</v>
      </c>
      <c r="AM19" s="112">
        <v>2.0422241358808053E-2</v>
      </c>
      <c r="AN19" s="112">
        <v>0.98387538231406035</v>
      </c>
      <c r="AO19" s="112">
        <v>-7.536180857346193</v>
      </c>
      <c r="AP19" s="112">
        <v>7.6868121153311906</v>
      </c>
      <c r="AQ19" s="112">
        <v>-7.536180857346193</v>
      </c>
      <c r="AR19" s="112">
        <v>7.6868121153311906</v>
      </c>
    </row>
    <row r="20" spans="1:44" ht="13.5" thickBot="1" x14ac:dyDescent="0.25">
      <c r="A20" s="7">
        <v>23.07</v>
      </c>
      <c r="B20" s="5">
        <v>7.2350000000000003</v>
      </c>
      <c r="C20" s="5">
        <v>19.228000000000002</v>
      </c>
      <c r="E20" s="7">
        <v>23.07</v>
      </c>
      <c r="F20" s="5">
        <v>19.228000000000002</v>
      </c>
      <c r="G20" s="5">
        <v>0.66400000000000003</v>
      </c>
      <c r="I20" s="7">
        <v>23.07</v>
      </c>
      <c r="J20" s="5">
        <v>7.2350000000000003</v>
      </c>
      <c r="K20" s="5">
        <v>0.66400000000000003</v>
      </c>
      <c r="M20" s="113" t="s">
        <v>144</v>
      </c>
      <c r="N20" s="113">
        <v>134.69164020706333</v>
      </c>
      <c r="O20" s="113">
        <v>34.01449917627226</v>
      </c>
      <c r="P20" s="113">
        <v>3.9598301744516395</v>
      </c>
      <c r="Q20" s="113">
        <v>5.8316581003114499E-4</v>
      </c>
      <c r="R20" s="113">
        <v>64.489164282657356</v>
      </c>
      <c r="S20" s="113">
        <v>204.8941161314693</v>
      </c>
      <c r="T20" s="113">
        <v>64.489164282657356</v>
      </c>
      <c r="U20" s="113">
        <v>204.8941161314693</v>
      </c>
      <c r="Y20" s="113" t="s">
        <v>144</v>
      </c>
      <c r="Z20" s="113">
        <v>8.6559296487585797</v>
      </c>
      <c r="AA20" s="113">
        <v>42.776533772789236</v>
      </c>
      <c r="AB20" s="113">
        <v>0.20235229190694129</v>
      </c>
      <c r="AC20" s="113">
        <v>0.84134687425384769</v>
      </c>
      <c r="AD20" s="113">
        <v>-79.63049687633378</v>
      </c>
      <c r="AE20" s="113">
        <v>96.942356173850925</v>
      </c>
      <c r="AF20" s="113">
        <v>-79.63049687633378</v>
      </c>
      <c r="AG20" s="113">
        <v>96.942356173850925</v>
      </c>
      <c r="AJ20" s="113" t="s">
        <v>143</v>
      </c>
      <c r="AK20" s="113">
        <v>1.1916822361895834</v>
      </c>
      <c r="AL20" s="113">
        <v>0.23235763128407064</v>
      </c>
      <c r="AM20" s="113">
        <v>5.1286554678838279</v>
      </c>
      <c r="AN20" s="113">
        <v>3.0014646011245018E-5</v>
      </c>
      <c r="AO20" s="113">
        <v>0.71211965519909493</v>
      </c>
      <c r="AP20" s="113">
        <v>1.6712448171800718</v>
      </c>
      <c r="AQ20" s="113">
        <v>0.71211965519909493</v>
      </c>
      <c r="AR20" s="113">
        <v>1.6712448171800718</v>
      </c>
    </row>
    <row r="21" spans="1:44" x14ac:dyDescent="0.2">
      <c r="A21" s="7">
        <v>67.712000000000003</v>
      </c>
      <c r="B21" s="5">
        <v>4.95</v>
      </c>
      <c r="C21" s="5">
        <v>50.634</v>
      </c>
      <c r="E21" s="7">
        <v>67.712000000000003</v>
      </c>
      <c r="F21" s="5">
        <v>50.634</v>
      </c>
      <c r="G21" s="5">
        <v>0.73099999999999998</v>
      </c>
      <c r="I21" s="7">
        <v>67.712000000000003</v>
      </c>
      <c r="J21" s="5">
        <v>4.95</v>
      </c>
      <c r="K21" s="5">
        <v>0.73099999999999998</v>
      </c>
      <c r="AJ21"/>
      <c r="AK21"/>
      <c r="AL21"/>
      <c r="AM21"/>
      <c r="AN21"/>
      <c r="AO21"/>
      <c r="AP21"/>
      <c r="AQ21"/>
      <c r="AR21"/>
    </row>
    <row r="22" spans="1:44" x14ac:dyDescent="0.2">
      <c r="A22" s="7">
        <v>36.351999999999997</v>
      </c>
      <c r="B22" s="5">
        <v>4.859</v>
      </c>
      <c r="C22" s="5">
        <v>35.203000000000003</v>
      </c>
      <c r="E22" s="7">
        <v>36.351999999999997</v>
      </c>
      <c r="F22" s="5">
        <v>35.203000000000003</v>
      </c>
      <c r="G22" s="5">
        <v>0.63900000000000001</v>
      </c>
      <c r="I22" s="7">
        <v>36.351999999999997</v>
      </c>
      <c r="J22" s="5">
        <v>4.859</v>
      </c>
      <c r="K22" s="5">
        <v>0.63900000000000001</v>
      </c>
      <c r="M22" s="140" t="s">
        <v>68</v>
      </c>
      <c r="N22" s="140" t="s">
        <v>69</v>
      </c>
      <c r="O22" s="140" t="s">
        <v>70</v>
      </c>
      <c r="P22" s="140" t="s">
        <v>71</v>
      </c>
      <c r="Q22" s="140" t="s">
        <v>72</v>
      </c>
      <c r="Y22" s="140" t="s">
        <v>68</v>
      </c>
      <c r="Z22" s="140" t="s">
        <v>69</v>
      </c>
      <c r="AA22" s="140" t="s">
        <v>70</v>
      </c>
      <c r="AB22" s="140" t="s">
        <v>71</v>
      </c>
      <c r="AC22" s="140" t="s">
        <v>72</v>
      </c>
      <c r="AJ22"/>
      <c r="AK22"/>
      <c r="AL22"/>
      <c r="AM22"/>
      <c r="AN22"/>
      <c r="AO22"/>
      <c r="AP22"/>
      <c r="AQ22"/>
      <c r="AR22"/>
    </row>
    <row r="23" spans="1:44" x14ac:dyDescent="0.2">
      <c r="A23" s="7">
        <v>39.18</v>
      </c>
      <c r="B23" s="5">
        <v>5.681</v>
      </c>
      <c r="C23" s="5">
        <v>35.896999999999998</v>
      </c>
      <c r="E23" s="7">
        <v>39.18</v>
      </c>
      <c r="F23" s="5">
        <v>35.896999999999998</v>
      </c>
      <c r="G23" s="5">
        <v>0.64300000000000002</v>
      </c>
      <c r="I23" s="7">
        <v>39.18</v>
      </c>
      <c r="J23" s="5">
        <v>5.681</v>
      </c>
      <c r="K23" s="5">
        <v>0.64300000000000002</v>
      </c>
      <c r="M23" s="140" t="s">
        <v>148</v>
      </c>
      <c r="N23" s="141">
        <v>2</v>
      </c>
      <c r="O23" s="142">
        <f>O13</f>
        <v>9340.6328582236511</v>
      </c>
      <c r="P23" s="141">
        <f>O23/N23</f>
        <v>4670.3164291118255</v>
      </c>
      <c r="Q23" s="141"/>
      <c r="Y23" s="140" t="s">
        <v>148</v>
      </c>
      <c r="Z23" s="141">
        <v>2</v>
      </c>
      <c r="AA23" s="142">
        <f>AA13</f>
        <v>9911.2162750764237</v>
      </c>
      <c r="AB23" s="141">
        <f>AA23/Z23</f>
        <v>4955.6081375382118</v>
      </c>
      <c r="AC23" s="141"/>
      <c r="AJ23" s="140" t="s">
        <v>68</v>
      </c>
      <c r="AK23" s="140" t="s">
        <v>69</v>
      </c>
      <c r="AL23" s="140" t="s">
        <v>70</v>
      </c>
      <c r="AM23" s="140" t="s">
        <v>71</v>
      </c>
      <c r="AN23" s="140" t="s">
        <v>72</v>
      </c>
      <c r="AO23"/>
      <c r="AP23"/>
      <c r="AQ23"/>
      <c r="AR23"/>
    </row>
    <row r="24" spans="1:44" x14ac:dyDescent="0.2">
      <c r="A24" s="7">
        <v>17.268999999999998</v>
      </c>
      <c r="B24" s="5">
        <v>6.4160000000000004</v>
      </c>
      <c r="C24" s="5">
        <v>19.687000000000001</v>
      </c>
      <c r="E24" s="7">
        <v>17.268999999999998</v>
      </c>
      <c r="F24" s="5">
        <v>19.687000000000001</v>
      </c>
      <c r="G24" s="5">
        <v>0.61699999999999999</v>
      </c>
      <c r="I24" s="7">
        <v>17.268999999999998</v>
      </c>
      <c r="J24" s="5">
        <v>6.4160000000000004</v>
      </c>
      <c r="K24" s="5">
        <v>0.61699999999999999</v>
      </c>
      <c r="M24" s="140" t="s">
        <v>149</v>
      </c>
      <c r="N24" s="141">
        <v>1</v>
      </c>
      <c r="O24" s="149">
        <f>O25-O23</f>
        <v>572.44489755723225</v>
      </c>
      <c r="P24" s="141">
        <f t="shared" ref="P24:P26" si="0">O24/N24</f>
        <v>572.44489755723225</v>
      </c>
      <c r="Q24" s="143">
        <f>P24/P26</f>
        <v>6.2323326089610305</v>
      </c>
      <c r="R24" t="s">
        <v>159</v>
      </c>
      <c r="Y24" s="140" t="s">
        <v>149</v>
      </c>
      <c r="Z24" s="141">
        <v>1</v>
      </c>
      <c r="AA24" s="149">
        <f>AA25-AA23</f>
        <v>1.8614807044596091</v>
      </c>
      <c r="AB24" s="141">
        <f t="shared" ref="AB24:AB26" si="1">AA24/Z24</f>
        <v>1.8614807044596091</v>
      </c>
      <c r="AC24" s="143">
        <f>AB24/AB26</f>
        <v>2.0266346935506548E-2</v>
      </c>
      <c r="AJ24" s="140" t="s">
        <v>148</v>
      </c>
      <c r="AK24" s="141">
        <v>2</v>
      </c>
      <c r="AL24" s="142">
        <f>AL13</f>
        <v>9907.6456470962512</v>
      </c>
      <c r="AM24" s="141">
        <f>AL24/AK24</f>
        <v>4953.8228235481256</v>
      </c>
      <c r="AN24" s="141"/>
    </row>
    <row r="25" spans="1:44" x14ac:dyDescent="0.2">
      <c r="A25" s="7">
        <v>16.797000000000001</v>
      </c>
      <c r="B25" s="5">
        <v>6.1989999999999998</v>
      </c>
      <c r="C25" s="5">
        <v>16.244</v>
      </c>
      <c r="E25" s="7">
        <v>16.797000000000001</v>
      </c>
      <c r="F25" s="5">
        <v>16.244</v>
      </c>
      <c r="G25" s="5">
        <v>0.55100000000000005</v>
      </c>
      <c r="I25" s="7">
        <v>16.797000000000001</v>
      </c>
      <c r="J25" s="5">
        <v>6.1989999999999998</v>
      </c>
      <c r="K25" s="5">
        <v>0.55100000000000005</v>
      </c>
      <c r="M25" s="140" t="s">
        <v>150</v>
      </c>
      <c r="N25" s="141">
        <f>Z25</f>
        <v>3</v>
      </c>
      <c r="O25" s="141">
        <f t="shared" ref="O25:O27" si="2">AA25</f>
        <v>9913.0777557808833</v>
      </c>
      <c r="P25" s="141">
        <f t="shared" si="0"/>
        <v>3304.359251926961</v>
      </c>
      <c r="Q25" s="141"/>
      <c r="Y25" s="140" t="s">
        <v>150</v>
      </c>
      <c r="Z25" s="141">
        <v>3</v>
      </c>
      <c r="AA25" s="141">
        <f>AL26</f>
        <v>9913.0777557808833</v>
      </c>
      <c r="AB25" s="141">
        <f t="shared" si="1"/>
        <v>3304.359251926961</v>
      </c>
      <c r="AC25" s="141"/>
      <c r="AJ25" s="140" t="s">
        <v>149</v>
      </c>
      <c r="AK25" s="141">
        <v>1</v>
      </c>
      <c r="AL25" s="149">
        <f>AL26-AL24</f>
        <v>5.4321086846321123</v>
      </c>
      <c r="AM25" s="141">
        <f t="shared" ref="AM25:AM27" si="3">AL25/AK25</f>
        <v>5.4321086846321123</v>
      </c>
      <c r="AN25" s="143">
        <f>AM25/AM27</f>
        <v>5.9140553501515626E-2</v>
      </c>
    </row>
    <row r="26" spans="1:44" x14ac:dyDescent="0.2">
      <c r="A26" s="7">
        <v>72.664000000000001</v>
      </c>
      <c r="B26" s="5">
        <v>4.6909999999999998</v>
      </c>
      <c r="C26" s="5">
        <v>53.993000000000002</v>
      </c>
      <c r="E26" s="7">
        <v>72.664000000000001</v>
      </c>
      <c r="F26" s="5">
        <v>53.993000000000002</v>
      </c>
      <c r="G26" s="5">
        <v>0.76300000000000001</v>
      </c>
      <c r="I26" s="7">
        <v>72.664000000000001</v>
      </c>
      <c r="J26" s="5">
        <v>4.6909999999999998</v>
      </c>
      <c r="K26" s="5">
        <v>0.76300000000000001</v>
      </c>
      <c r="M26" s="140" t="s">
        <v>75</v>
      </c>
      <c r="N26" s="141">
        <f t="shared" ref="N26:N27" si="4">Z26</f>
        <v>23</v>
      </c>
      <c r="O26" s="141">
        <f t="shared" si="2"/>
        <v>2112.5689962190954</v>
      </c>
      <c r="P26" s="141">
        <f t="shared" si="0"/>
        <v>91.850825922569371</v>
      </c>
      <c r="Q26" s="141"/>
      <c r="Y26" s="140" t="s">
        <v>75</v>
      </c>
      <c r="Z26" s="141">
        <f>AK27</f>
        <v>23</v>
      </c>
      <c r="AA26" s="141">
        <f>AL27</f>
        <v>2112.5689962190954</v>
      </c>
      <c r="AB26" s="141">
        <f t="shared" si="1"/>
        <v>91.850825922569371</v>
      </c>
      <c r="AC26" s="141"/>
      <c r="AJ26" s="140" t="s">
        <v>150</v>
      </c>
      <c r="AK26" s="141">
        <v>3</v>
      </c>
      <c r="AL26" s="141">
        <f>Matrizes!E39</f>
        <v>9913.0777557808833</v>
      </c>
      <c r="AM26" s="141">
        <f t="shared" si="3"/>
        <v>3304.359251926961</v>
      </c>
      <c r="AN26" s="141"/>
    </row>
    <row r="27" spans="1:44" x14ac:dyDescent="0.2">
      <c r="A27" s="7">
        <v>20.007999999999999</v>
      </c>
      <c r="B27" s="5">
        <v>6.8470000000000004</v>
      </c>
      <c r="C27" s="5">
        <v>14.369</v>
      </c>
      <c r="E27" s="7">
        <v>20.007999999999999</v>
      </c>
      <c r="F27" s="5">
        <v>14.369</v>
      </c>
      <c r="G27" s="5">
        <v>0.60699999999999998</v>
      </c>
      <c r="I27" s="7">
        <v>20.007999999999999</v>
      </c>
      <c r="J27" s="5">
        <v>6.8470000000000004</v>
      </c>
      <c r="K27" s="5">
        <v>0.60699999999999998</v>
      </c>
      <c r="M27" s="140" t="s">
        <v>76</v>
      </c>
      <c r="N27" s="141">
        <f t="shared" si="4"/>
        <v>26</v>
      </c>
      <c r="O27" s="141">
        <f t="shared" si="2"/>
        <v>12025.646752000002</v>
      </c>
      <c r="P27" s="141"/>
      <c r="Q27" s="141"/>
      <c r="Y27" s="140" t="s">
        <v>76</v>
      </c>
      <c r="Z27" s="141">
        <f>AK28</f>
        <v>26</v>
      </c>
      <c r="AA27" s="141">
        <f>AL28</f>
        <v>12025.646752000002</v>
      </c>
      <c r="AB27" s="141"/>
      <c r="AC27" s="141"/>
      <c r="AJ27" s="140" t="s">
        <v>75</v>
      </c>
      <c r="AK27" s="141">
        <f>AK9-(AK26+1)</f>
        <v>23</v>
      </c>
      <c r="AL27" s="141">
        <f>Matrizes!E40</f>
        <v>2112.5689962190954</v>
      </c>
      <c r="AM27" s="141">
        <f t="shared" si="3"/>
        <v>91.850825922569371</v>
      </c>
      <c r="AN27" s="141"/>
    </row>
    <row r="28" spans="1:44" x14ac:dyDescent="0.2">
      <c r="A28" s="7">
        <v>67.022999999999996</v>
      </c>
      <c r="B28" s="5">
        <v>4.6580000000000004</v>
      </c>
      <c r="C28" s="5">
        <v>50.784999999999997</v>
      </c>
      <c r="E28" s="7">
        <v>67.022999999999996</v>
      </c>
      <c r="F28" s="5">
        <v>50.784999999999997</v>
      </c>
      <c r="G28" s="5">
        <v>0.73799999999999999</v>
      </c>
      <c r="I28" s="7">
        <v>67.022999999999996</v>
      </c>
      <c r="J28" s="5">
        <v>4.6580000000000004</v>
      </c>
      <c r="K28" s="5">
        <v>0.73799999999999999</v>
      </c>
      <c r="M28" s="151" t="s">
        <v>160</v>
      </c>
      <c r="N28" s="151"/>
      <c r="O28" s="151"/>
      <c r="P28" s="151"/>
      <c r="Q28" s="151"/>
      <c r="AJ28" s="140" t="s">
        <v>76</v>
      </c>
      <c r="AK28" s="141">
        <f>AK27+AK26</f>
        <v>26</v>
      </c>
      <c r="AL28" s="141">
        <f>AL15</f>
        <v>12025.646752000002</v>
      </c>
      <c r="AM28" s="141"/>
      <c r="AN28" s="141"/>
    </row>
    <row r="29" spans="1:44" x14ac:dyDescent="0.2">
      <c r="B29" s="150"/>
      <c r="F29" s="150"/>
      <c r="J29" s="150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 t="s">
        <v>77</v>
      </c>
      <c r="Y29" s="145">
        <f>FINV(5%,Z24,Z26)</f>
        <v>4.2793443091446495</v>
      </c>
    </row>
    <row r="30" spans="1:44" x14ac:dyDescent="0.2">
      <c r="AI30" s="135" t="s">
        <v>77</v>
      </c>
      <c r="AJ30" s="145">
        <f>FINV(5%,AK25,AK27)</f>
        <v>4.2793443091446495</v>
      </c>
    </row>
    <row r="33" spans="41:42" x14ac:dyDescent="0.2">
      <c r="AO33" s="136" t="s">
        <v>156</v>
      </c>
    </row>
    <row r="34" spans="41:42" x14ac:dyDescent="0.2">
      <c r="AO34" s="148" t="s">
        <v>153</v>
      </c>
      <c r="AP34" s="139" t="s">
        <v>151</v>
      </c>
    </row>
    <row r="35" spans="41:42" x14ac:dyDescent="0.2">
      <c r="AO35" s="146" t="s">
        <v>154</v>
      </c>
      <c r="AP35" s="135" t="s">
        <v>152</v>
      </c>
    </row>
  </sheetData>
  <mergeCells count="1">
    <mergeCell ref="M28:Q2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383C-1A4F-41BE-9F97-1CBB53CBC653}">
  <dimension ref="A1:M34"/>
  <sheetViews>
    <sheetView tabSelected="1" topLeftCell="A7" zoomScale="145" zoomScaleNormal="145" workbookViewId="0">
      <selection activeCell="R35" sqref="R35"/>
    </sheetView>
  </sheetViews>
  <sheetFormatPr defaultColWidth="9.140625" defaultRowHeight="12.75" customHeight="1" x14ac:dyDescent="0.2"/>
  <cols>
    <col min="1" max="1" width="3.7109375" style="2" bestFit="1" customWidth="1"/>
    <col min="2" max="2" width="11.85546875" style="3" customWidth="1"/>
    <col min="3" max="5" width="11.85546875" style="2" customWidth="1"/>
    <col min="6" max="6" width="3.7109375" style="2" hidden="1" customWidth="1"/>
    <col min="7" max="8" width="13.28515625" customWidth="1"/>
    <col min="9" max="9" width="16.85546875" style="2" customWidth="1"/>
    <col min="10" max="16384" width="9.140625" style="2"/>
  </cols>
  <sheetData>
    <row r="1" spans="1:13" ht="12.75" customHeight="1" x14ac:dyDescent="0.2">
      <c r="A1" s="1" t="s">
        <v>0</v>
      </c>
      <c r="B1" s="56" t="s">
        <v>165</v>
      </c>
      <c r="C1" s="6" t="s">
        <v>176</v>
      </c>
      <c r="D1" s="4" t="s">
        <v>33</v>
      </c>
      <c r="E1" s="4" t="s">
        <v>34</v>
      </c>
      <c r="F1" s="56" t="s">
        <v>35</v>
      </c>
      <c r="G1" s="4" t="s">
        <v>32</v>
      </c>
      <c r="H1" s="135"/>
      <c r="I1" s="167"/>
      <c r="J1" s="167" t="s">
        <v>141</v>
      </c>
      <c r="K1" s="167" t="s">
        <v>142</v>
      </c>
      <c r="L1" s="167" t="s">
        <v>143</v>
      </c>
      <c r="M1" s="167" t="s">
        <v>144</v>
      </c>
    </row>
    <row r="2" spans="1:13" ht="12.75" customHeight="1" x14ac:dyDescent="0.2">
      <c r="A2" s="1" t="s">
        <v>4</v>
      </c>
      <c r="B2" s="57">
        <f>LN(F2)</f>
        <v>3.5286813588076043</v>
      </c>
      <c r="C2" s="7">
        <f>LN(G2)</f>
        <v>1.5245334053436563</v>
      </c>
      <c r="D2" s="5">
        <v>47.829000000000001</v>
      </c>
      <c r="E2" s="5">
        <v>0.71799999999999997</v>
      </c>
      <c r="F2" s="57">
        <v>34.079000000000001</v>
      </c>
      <c r="G2" s="5">
        <v>4.593</v>
      </c>
      <c r="H2" s="135"/>
      <c r="I2" s="167" t="s">
        <v>161</v>
      </c>
      <c r="J2" s="168">
        <f>3*(J3-J4)/J5</f>
        <v>0.48655862587112925</v>
      </c>
      <c r="K2" s="169">
        <f t="shared" ref="K2:M2" si="0">3*(K3-K4)/K5</f>
        <v>-0.59067027350663626</v>
      </c>
      <c r="L2" s="169">
        <f t="shared" si="0"/>
        <v>-0.52373874939907539</v>
      </c>
      <c r="M2" s="169">
        <f t="shared" si="0"/>
        <v>-0.3257530969324744</v>
      </c>
    </row>
    <row r="3" spans="1:13" ht="12.75" customHeight="1" x14ac:dyDescent="0.2">
      <c r="A3" s="1" t="s">
        <v>5</v>
      </c>
      <c r="B3" s="57">
        <f t="shared" ref="B3:B28" si="1">LN(F3)</f>
        <v>4.1279727432020845</v>
      </c>
      <c r="C3" s="7">
        <f t="shared" ref="C3:C28" si="2">LN(G3)</f>
        <v>1.4136663079157412</v>
      </c>
      <c r="D3" s="5">
        <v>62.24</v>
      </c>
      <c r="E3" s="5">
        <v>0.81599999999999995</v>
      </c>
      <c r="F3" s="57">
        <v>62.052</v>
      </c>
      <c r="G3" s="5">
        <v>4.1109999999999998</v>
      </c>
      <c r="H3" s="135"/>
      <c r="I3" s="2" t="s">
        <v>162</v>
      </c>
      <c r="J3" s="144">
        <f>AVERAGE(B2:B28)</f>
        <v>3.6750336377289261</v>
      </c>
      <c r="K3" s="144">
        <f t="shared" ref="K3:M3" si="3">AVERAGE(C2:C28)</f>
        <v>1.6686060886553302</v>
      </c>
      <c r="L3" s="144">
        <f t="shared" si="3"/>
        <v>40.077222222222225</v>
      </c>
      <c r="M3" s="144">
        <f t="shared" si="3"/>
        <v>0.71033333333333315</v>
      </c>
    </row>
    <row r="4" spans="1:13" ht="12.75" customHeight="1" x14ac:dyDescent="0.2">
      <c r="A4" s="1" t="s">
        <v>6</v>
      </c>
      <c r="B4" s="57">
        <f t="shared" si="1"/>
        <v>3.9379441313795454</v>
      </c>
      <c r="C4" s="7">
        <f t="shared" si="2"/>
        <v>1.7134375024525852</v>
      </c>
      <c r="D4" s="5">
        <v>52.968000000000004</v>
      </c>
      <c r="E4" s="5">
        <v>0.78600000000000003</v>
      </c>
      <c r="F4" s="57">
        <v>51.313000000000002</v>
      </c>
      <c r="G4" s="5">
        <v>5.548</v>
      </c>
      <c r="H4" s="135"/>
      <c r="I4" s="2" t="s">
        <v>163</v>
      </c>
      <c r="J4" s="144">
        <f>MEDIAN(B2:B28)</f>
        <v>3.5932217139174951</v>
      </c>
      <c r="K4" s="144">
        <f t="shared" ref="K4:M4" si="4">MEDIAN(C2:C28)</f>
        <v>1.7051116625023828</v>
      </c>
      <c r="L4" s="144">
        <f t="shared" si="4"/>
        <v>42.947000000000003</v>
      </c>
      <c r="M4" s="144">
        <f t="shared" si="4"/>
        <v>0.71799999999999997</v>
      </c>
    </row>
    <row r="5" spans="1:13" ht="12.75" customHeight="1" x14ac:dyDescent="0.2">
      <c r="A5" s="1" t="s">
        <v>7</v>
      </c>
      <c r="B5" s="57">
        <f t="shared" si="1"/>
        <v>3.5932217139174951</v>
      </c>
      <c r="C5" s="7">
        <f t="shared" si="2"/>
        <v>1.80005827204275</v>
      </c>
      <c r="D5" s="5">
        <v>42.947000000000003</v>
      </c>
      <c r="E5" s="5">
        <v>0.70799999999999996</v>
      </c>
      <c r="F5" s="57">
        <v>36.350999999999999</v>
      </c>
      <c r="G5" s="5">
        <v>6.05</v>
      </c>
      <c r="H5" s="135"/>
      <c r="I5" s="2" t="s">
        <v>164</v>
      </c>
      <c r="J5" s="144">
        <f>_xlfn.STDEV.S(B2:B28)</f>
        <v>0.50443206303221411</v>
      </c>
      <c r="K5" s="144">
        <f t="shared" ref="K5:M5" si="5">_xlfn.STDEV.S(C2:C28)</f>
        <v>0.18541092459417161</v>
      </c>
      <c r="L5" s="144">
        <f t="shared" si="5"/>
        <v>16.438221046679214</v>
      </c>
      <c r="M5" s="144">
        <f t="shared" si="5"/>
        <v>7.0605621916061637E-2</v>
      </c>
    </row>
    <row r="6" spans="1:13" ht="12.75" customHeight="1" x14ac:dyDescent="0.2">
      <c r="A6" s="1" t="s">
        <v>8</v>
      </c>
      <c r="B6" s="57">
        <f t="shared" si="1"/>
        <v>4.2511631086976864</v>
      </c>
      <c r="C6" s="7">
        <f t="shared" si="2"/>
        <v>1.4940270609227726</v>
      </c>
      <c r="D6" s="5">
        <v>55.316000000000003</v>
      </c>
      <c r="E6" s="5">
        <v>0.77500000000000002</v>
      </c>
      <c r="F6" s="57">
        <v>70.186999999999998</v>
      </c>
      <c r="G6" s="5">
        <v>4.4550000000000001</v>
      </c>
      <c r="H6" s="135"/>
    </row>
    <row r="7" spans="1:13" ht="12.75" customHeight="1" x14ac:dyDescent="0.2">
      <c r="A7" s="1" t="s">
        <v>9</v>
      </c>
      <c r="B7" s="57">
        <f t="shared" si="1"/>
        <v>4.1738640561201015</v>
      </c>
      <c r="C7" s="7">
        <f t="shared" si="2"/>
        <v>1.4861396960896067</v>
      </c>
      <c r="D7" s="5">
        <v>57</v>
      </c>
      <c r="E7" s="5">
        <v>0.81599999999999995</v>
      </c>
      <c r="F7" s="57">
        <v>64.965999999999994</v>
      </c>
      <c r="G7" s="5">
        <v>4.42</v>
      </c>
      <c r="H7" s="135"/>
    </row>
    <row r="8" spans="1:13" ht="12.75" customHeight="1" x14ac:dyDescent="0.2">
      <c r="A8" s="1" t="s">
        <v>10</v>
      </c>
      <c r="B8" s="57">
        <f t="shared" si="1"/>
        <v>3.1780538303479458</v>
      </c>
      <c r="C8" s="7">
        <f t="shared" si="2"/>
        <v>2.1100919808785945</v>
      </c>
      <c r="D8" s="5">
        <v>16.071999999999999</v>
      </c>
      <c r="E8" s="5">
        <v>0.78100000000000003</v>
      </c>
      <c r="F8" s="57">
        <v>24</v>
      </c>
      <c r="G8" s="5">
        <v>8.2490000000000006</v>
      </c>
      <c r="H8" s="135"/>
      <c r="J8" s="2" t="s">
        <v>135</v>
      </c>
    </row>
    <row r="9" spans="1:13" ht="12.75" customHeight="1" x14ac:dyDescent="0.2">
      <c r="A9" s="1" t="s">
        <v>11</v>
      </c>
      <c r="B9" s="57">
        <f t="shared" si="1"/>
        <v>3.5178241935938748</v>
      </c>
      <c r="C9" s="7">
        <f t="shared" si="2"/>
        <v>1.7752912765207476</v>
      </c>
      <c r="D9" s="5">
        <v>28.04</v>
      </c>
      <c r="E9" s="5">
        <v>0.65100000000000002</v>
      </c>
      <c r="F9" s="57">
        <v>33.710999999999999</v>
      </c>
      <c r="G9" s="5">
        <v>5.9020000000000001</v>
      </c>
      <c r="H9" s="135"/>
      <c r="J9" s="2" t="s">
        <v>166</v>
      </c>
    </row>
    <row r="10" spans="1:13" ht="12.75" customHeight="1" x14ac:dyDescent="0.2">
      <c r="A10" s="1" t="s">
        <v>12</v>
      </c>
      <c r="B10" s="57">
        <f t="shared" si="1"/>
        <v>3.2005081675100158</v>
      </c>
      <c r="C10" s="7">
        <f t="shared" si="2"/>
        <v>1.7337771866897078</v>
      </c>
      <c r="D10" s="5">
        <v>26.65</v>
      </c>
      <c r="E10" s="5">
        <v>0.64800000000000002</v>
      </c>
      <c r="F10" s="57">
        <v>24.545000000000002</v>
      </c>
      <c r="G10" s="5">
        <v>5.6619999999999999</v>
      </c>
      <c r="H10" s="135"/>
    </row>
    <row r="11" spans="1:13" ht="12.75" customHeight="1" x14ac:dyDescent="0.2">
      <c r="A11" s="1" t="s">
        <v>13</v>
      </c>
      <c r="B11" s="57">
        <f t="shared" si="1"/>
        <v>4.4508528256037341</v>
      </c>
      <c r="C11" s="7">
        <f t="shared" si="2"/>
        <v>1.3785141738009283</v>
      </c>
      <c r="D11" s="5">
        <v>66.813000000000002</v>
      </c>
      <c r="E11" s="5">
        <v>0.75800000000000001</v>
      </c>
      <c r="F11" s="57">
        <v>85.7</v>
      </c>
      <c r="G11" s="5">
        <v>3.9689999999999999</v>
      </c>
      <c r="H11" s="135"/>
      <c r="J11" s="2" t="s">
        <v>42</v>
      </c>
      <c r="K11" s="2" t="s">
        <v>52</v>
      </c>
      <c r="L11" s="2" t="s">
        <v>53</v>
      </c>
      <c r="M11" s="2" t="s">
        <v>54</v>
      </c>
    </row>
    <row r="12" spans="1:13" ht="12.75" customHeight="1" x14ac:dyDescent="0.2">
      <c r="A12" s="1" t="s">
        <v>14</v>
      </c>
      <c r="B12" s="57">
        <f t="shared" si="1"/>
        <v>3.4134223512847242</v>
      </c>
      <c r="C12" s="7">
        <f t="shared" si="2"/>
        <v>1.7268653293100646</v>
      </c>
      <c r="D12" s="5">
        <v>29.765999999999998</v>
      </c>
      <c r="E12" s="5">
        <v>0.67100000000000004</v>
      </c>
      <c r="F12" s="57">
        <v>30.369</v>
      </c>
      <c r="G12" s="5">
        <v>5.6230000000000002</v>
      </c>
      <c r="H12" s="135"/>
      <c r="I12" s="2" t="s">
        <v>167</v>
      </c>
      <c r="J12" s="2">
        <v>-5.8231536331049938</v>
      </c>
      <c r="K12" s="2">
        <v>-0.70330149227424954</v>
      </c>
      <c r="L12" s="2">
        <v>1.1012157774578668</v>
      </c>
      <c r="M12" s="2">
        <v>13.947191653216578</v>
      </c>
    </row>
    <row r="13" spans="1:13" ht="12.75" customHeight="1" x14ac:dyDescent="0.2">
      <c r="A13" s="1" t="s">
        <v>15</v>
      </c>
      <c r="B13" s="57">
        <f t="shared" si="1"/>
        <v>3.2795945599029066</v>
      </c>
      <c r="C13" s="7">
        <f t="shared" si="2"/>
        <v>1.7455409954264407</v>
      </c>
      <c r="D13" s="5">
        <v>28.66</v>
      </c>
      <c r="E13" s="5">
        <v>0.69199999999999995</v>
      </c>
      <c r="F13" s="57">
        <v>26.565000000000001</v>
      </c>
      <c r="G13" s="5">
        <v>5.7290000000000001</v>
      </c>
      <c r="H13" s="135"/>
      <c r="I13" s="2" t="s">
        <v>172</v>
      </c>
      <c r="J13" s="2">
        <v>2.2317546866423186</v>
      </c>
      <c r="K13" s="2">
        <v>-2.5295690179092389E-2</v>
      </c>
      <c r="L13" s="2">
        <v>2.4389152306358852E-2</v>
      </c>
      <c r="M13" s="2">
        <v>0.84791270720779721</v>
      </c>
    </row>
    <row r="14" spans="1:13" ht="12.75" customHeight="1" x14ac:dyDescent="0.2">
      <c r="A14" s="1" t="s">
        <v>16</v>
      </c>
      <c r="B14" s="57">
        <f t="shared" si="1"/>
        <v>3.4193319518576382</v>
      </c>
      <c r="C14" s="7">
        <f t="shared" si="2"/>
        <v>1.7051116625023828</v>
      </c>
      <c r="D14" s="5">
        <v>27.783999999999999</v>
      </c>
      <c r="E14" s="5">
        <v>0.68500000000000005</v>
      </c>
      <c r="F14" s="57">
        <v>30.548999999999999</v>
      </c>
      <c r="G14" s="5">
        <v>5.5019999999999998</v>
      </c>
      <c r="H14" s="135"/>
      <c r="I14" s="2" t="s">
        <v>173</v>
      </c>
      <c r="J14" s="2">
        <v>2.4935443089509022</v>
      </c>
      <c r="K14" s="2">
        <v>-0.23787593939641738</v>
      </c>
      <c r="L14" s="2">
        <v>2.3148931416004714E-2</v>
      </c>
      <c r="M14" s="2">
        <v>0.91600051764407908</v>
      </c>
    </row>
    <row r="15" spans="1:13" ht="12.75" customHeight="1" x14ac:dyDescent="0.2">
      <c r="A15" s="1" t="s">
        <v>17</v>
      </c>
      <c r="B15" s="57">
        <f t="shared" si="1"/>
        <v>3.5722051785558366</v>
      </c>
      <c r="C15" s="7">
        <f t="shared" si="2"/>
        <v>1.6104374127671839</v>
      </c>
      <c r="D15" s="5">
        <v>51.887</v>
      </c>
      <c r="E15" s="5">
        <v>0.74399999999999999</v>
      </c>
      <c r="F15" s="57">
        <v>35.594999999999999</v>
      </c>
      <c r="G15" s="5">
        <v>5.0049999999999999</v>
      </c>
      <c r="H15" s="135"/>
    </row>
    <row r="16" spans="1:13" ht="12.75" customHeight="1" x14ac:dyDescent="0.2">
      <c r="A16" s="1" t="s">
        <v>18</v>
      </c>
      <c r="B16" s="57">
        <f t="shared" si="1"/>
        <v>4.3530482889348612</v>
      </c>
      <c r="C16" s="7">
        <f t="shared" si="2"/>
        <v>1.4653365684598434</v>
      </c>
      <c r="D16" s="5">
        <v>55.262</v>
      </c>
      <c r="E16" s="5">
        <v>0.73399999999999999</v>
      </c>
      <c r="F16" s="57">
        <v>77.715000000000003</v>
      </c>
      <c r="G16" s="5">
        <v>4.3289999999999997</v>
      </c>
      <c r="H16" s="135"/>
      <c r="I16" s="2" t="s">
        <v>168</v>
      </c>
    </row>
    <row r="17" spans="1:11" ht="12.75" customHeight="1" x14ac:dyDescent="0.2">
      <c r="A17" s="1" t="s">
        <v>19</v>
      </c>
      <c r="B17" s="57">
        <f t="shared" si="1"/>
        <v>3.9999972520433333</v>
      </c>
      <c r="C17" s="7">
        <f t="shared" si="2"/>
        <v>1.6199821263097716</v>
      </c>
      <c r="D17" s="5">
        <v>51.305999999999997</v>
      </c>
      <c r="E17" s="5">
        <v>0.79500000000000004</v>
      </c>
      <c r="F17" s="57">
        <v>54.597999999999999</v>
      </c>
      <c r="G17" s="5">
        <v>5.0529999999999999</v>
      </c>
      <c r="H17" s="154" t="s">
        <v>167</v>
      </c>
      <c r="I17" s="153"/>
    </row>
    <row r="18" spans="1:11" ht="12.75" customHeight="1" x14ac:dyDescent="0.2">
      <c r="A18" s="1" t="s">
        <v>20</v>
      </c>
      <c r="B18" s="57">
        <f t="shared" si="1"/>
        <v>4.2977342850494491</v>
      </c>
      <c r="C18" s="7">
        <f t="shared" si="2"/>
        <v>1.3734623823045122</v>
      </c>
      <c r="D18" s="5">
        <v>61.811</v>
      </c>
      <c r="E18" s="5">
        <v>0.79600000000000004</v>
      </c>
      <c r="F18" s="57">
        <v>73.533000000000001</v>
      </c>
      <c r="G18" s="5">
        <v>3.9489999999999998</v>
      </c>
      <c r="H18" s="55" t="s">
        <v>52</v>
      </c>
      <c r="I18" s="58">
        <v>-0.70330149227424954</v>
      </c>
      <c r="J18" s="51" t="s">
        <v>47</v>
      </c>
    </row>
    <row r="19" spans="1:11" ht="12.75" customHeight="1" x14ac:dyDescent="0.2">
      <c r="A19" s="1" t="s">
        <v>21</v>
      </c>
      <c r="B19" s="57">
        <f t="shared" si="1"/>
        <v>3.158148697798282</v>
      </c>
      <c r="C19" s="7">
        <f t="shared" si="2"/>
        <v>1.78858777806242</v>
      </c>
      <c r="D19" s="5">
        <v>23.693999999999999</v>
      </c>
      <c r="E19" s="5">
        <v>0.65200000000000002</v>
      </c>
      <c r="F19" s="57">
        <v>23.527000000000001</v>
      </c>
      <c r="G19" s="5">
        <v>5.9809999999999999</v>
      </c>
      <c r="H19" s="55" t="s">
        <v>53</v>
      </c>
      <c r="I19" s="58">
        <v>1.1012157774578668</v>
      </c>
      <c r="J19" s="51" t="s">
        <v>48</v>
      </c>
    </row>
    <row r="20" spans="1:11" ht="12.75" customHeight="1" x14ac:dyDescent="0.2">
      <c r="A20" s="1" t="s">
        <v>22</v>
      </c>
      <c r="B20" s="57">
        <f t="shared" si="1"/>
        <v>3.1385330721856621</v>
      </c>
      <c r="C20" s="7">
        <f t="shared" si="2"/>
        <v>1.9789303600834471</v>
      </c>
      <c r="D20" s="5">
        <v>19.228000000000002</v>
      </c>
      <c r="E20" s="5">
        <v>0.66400000000000003</v>
      </c>
      <c r="F20" s="57">
        <v>23.07</v>
      </c>
      <c r="G20" s="5">
        <v>7.2350000000000003</v>
      </c>
      <c r="H20" s="55" t="s">
        <v>54</v>
      </c>
      <c r="I20" s="58">
        <v>13.947191653216578</v>
      </c>
      <c r="J20" s="51" t="s">
        <v>49</v>
      </c>
    </row>
    <row r="21" spans="1:11" ht="12.75" customHeight="1" x14ac:dyDescent="0.2">
      <c r="A21" s="1" t="s">
        <v>23</v>
      </c>
      <c r="B21" s="57">
        <f t="shared" si="1"/>
        <v>4.2152634167957794</v>
      </c>
      <c r="C21" s="7">
        <f t="shared" si="2"/>
        <v>1.5993875765805989</v>
      </c>
      <c r="D21" s="5">
        <v>50.634</v>
      </c>
      <c r="E21" s="5">
        <v>0.73099999999999998</v>
      </c>
      <c r="F21" s="57">
        <v>67.712000000000003</v>
      </c>
      <c r="G21" s="5">
        <v>4.95</v>
      </c>
      <c r="H21" s="135"/>
    </row>
    <row r="22" spans="1:11" ht="12.75" customHeight="1" x14ac:dyDescent="0.2">
      <c r="A22" s="1" t="s">
        <v>24</v>
      </c>
      <c r="B22" s="57">
        <f t="shared" si="1"/>
        <v>3.5932492230986859</v>
      </c>
      <c r="C22" s="7">
        <f t="shared" si="2"/>
        <v>1.5808326554237659</v>
      </c>
      <c r="D22" s="5">
        <v>35.203000000000003</v>
      </c>
      <c r="E22" s="5">
        <v>0.63900000000000001</v>
      </c>
      <c r="F22" s="57">
        <v>36.351999999999997</v>
      </c>
      <c r="G22" s="5">
        <v>4.859</v>
      </c>
      <c r="H22" s="135"/>
    </row>
    <row r="23" spans="1:11" ht="12.75" customHeight="1" x14ac:dyDescent="0.2">
      <c r="A23" s="1" t="s">
        <v>25</v>
      </c>
      <c r="B23" s="57">
        <f t="shared" si="1"/>
        <v>3.6681664125163946</v>
      </c>
      <c r="C23" s="7">
        <f t="shared" si="2"/>
        <v>1.7371272735749899</v>
      </c>
      <c r="D23" s="5">
        <v>35.896999999999998</v>
      </c>
      <c r="E23" s="5">
        <v>0.64300000000000002</v>
      </c>
      <c r="F23" s="57">
        <v>39.18</v>
      </c>
      <c r="G23" s="5">
        <v>5.681</v>
      </c>
      <c r="H23" s="154" t="s">
        <v>172</v>
      </c>
      <c r="I23" s="153"/>
    </row>
    <row r="24" spans="1:11" ht="12.75" customHeight="1" x14ac:dyDescent="0.2">
      <c r="A24" s="1" t="s">
        <v>26</v>
      </c>
      <c r="B24" s="57">
        <f t="shared" si="1"/>
        <v>2.8489129866025329</v>
      </c>
      <c r="C24" s="7">
        <f t="shared" si="2"/>
        <v>1.8587948705642134</v>
      </c>
      <c r="D24" s="5">
        <v>19.687000000000001</v>
      </c>
      <c r="E24" s="5">
        <v>0.61699999999999999</v>
      </c>
      <c r="F24" s="57">
        <v>17.268999999999998</v>
      </c>
      <c r="G24" s="5">
        <v>6.4160000000000004</v>
      </c>
      <c r="H24" s="157" t="s">
        <v>52</v>
      </c>
      <c r="I24" s="158">
        <v>-2.5295690179092389E-2</v>
      </c>
      <c r="J24" s="159">
        <v>-2.5295690179092389E-2</v>
      </c>
      <c r="K24" s="51" t="s">
        <v>169</v>
      </c>
    </row>
    <row r="25" spans="1:11" ht="12.75" customHeight="1" x14ac:dyDescent="0.2">
      <c r="A25" s="1" t="s">
        <v>27</v>
      </c>
      <c r="B25" s="57">
        <f t="shared" si="1"/>
        <v>2.8212002990348659</v>
      </c>
      <c r="C25" s="7">
        <f t="shared" si="2"/>
        <v>1.8243879887197822</v>
      </c>
      <c r="D25" s="5">
        <v>16.244</v>
      </c>
      <c r="E25" s="5">
        <v>0.55100000000000005</v>
      </c>
      <c r="F25" s="57">
        <v>16.797000000000001</v>
      </c>
      <c r="G25" s="5">
        <v>6.1989999999999998</v>
      </c>
      <c r="H25" s="55" t="s">
        <v>53</v>
      </c>
      <c r="I25" s="144">
        <v>2.4389152306358852E-2</v>
      </c>
      <c r="J25" s="155">
        <v>2.4389152306358852E-2</v>
      </c>
      <c r="K25" s="51" t="s">
        <v>170</v>
      </c>
    </row>
    <row r="26" spans="1:11" ht="12.75" customHeight="1" x14ac:dyDescent="0.2">
      <c r="A26" s="1" t="s">
        <v>28</v>
      </c>
      <c r="B26" s="57">
        <f t="shared" si="1"/>
        <v>4.2858460761999124</v>
      </c>
      <c r="C26" s="7">
        <f t="shared" si="2"/>
        <v>1.545645779346321</v>
      </c>
      <c r="D26" s="5">
        <v>53.993000000000002</v>
      </c>
      <c r="E26" s="5">
        <v>0.76300000000000001</v>
      </c>
      <c r="F26" s="57">
        <v>72.664000000000001</v>
      </c>
      <c r="G26" s="5">
        <v>4.6909999999999998</v>
      </c>
      <c r="H26" s="55" t="s">
        <v>54</v>
      </c>
      <c r="I26" s="144">
        <v>0.84791270720779721</v>
      </c>
      <c r="J26" s="155">
        <v>0.84791270720779721</v>
      </c>
      <c r="K26" s="51" t="s">
        <v>171</v>
      </c>
    </row>
    <row r="27" spans="1:11" ht="12.75" customHeight="1" x14ac:dyDescent="0.2">
      <c r="A27" s="1" t="s">
        <v>29</v>
      </c>
      <c r="B27" s="57">
        <f t="shared" si="1"/>
        <v>2.9961321935753178</v>
      </c>
      <c r="C27" s="7">
        <f t="shared" si="2"/>
        <v>1.9238106001389259</v>
      </c>
      <c r="D27" s="5">
        <v>14.369</v>
      </c>
      <c r="E27" s="5">
        <v>0.60699999999999998</v>
      </c>
      <c r="F27" s="57">
        <v>20.007999999999999</v>
      </c>
      <c r="G27" s="5">
        <v>6.8470000000000004</v>
      </c>
      <c r="H27" s="2" t="s">
        <v>42</v>
      </c>
      <c r="I27" s="2">
        <f>EXP(J13)</f>
        <v>9.3161987554421852</v>
      </c>
      <c r="J27" s="2" t="s">
        <v>180</v>
      </c>
    </row>
    <row r="28" spans="1:11" ht="12.75" customHeight="1" x14ac:dyDescent="0.2">
      <c r="A28" s="1" t="s">
        <v>30</v>
      </c>
      <c r="B28" s="57">
        <f t="shared" si="1"/>
        <v>4.205035844064728</v>
      </c>
      <c r="C28" s="7">
        <f t="shared" si="2"/>
        <v>1.5385861714621494</v>
      </c>
      <c r="D28" s="5">
        <v>50.784999999999997</v>
      </c>
      <c r="E28" s="5">
        <v>0.73799999999999999</v>
      </c>
      <c r="F28" s="57">
        <v>67.022999999999996</v>
      </c>
      <c r="G28" s="5">
        <v>4.6580000000000004</v>
      </c>
      <c r="H28" s="2"/>
    </row>
    <row r="29" spans="1:11" ht="12.75" customHeight="1" x14ac:dyDescent="0.2">
      <c r="A29" s="16"/>
      <c r="B29" s="152"/>
      <c r="C29" s="152"/>
      <c r="D29" s="152"/>
      <c r="E29" s="152"/>
      <c r="H29" s="154" t="s">
        <v>174</v>
      </c>
      <c r="I29" s="153"/>
    </row>
    <row r="30" spans="1:11" ht="12.75" customHeight="1" x14ac:dyDescent="0.2">
      <c r="H30" s="163" t="s">
        <v>52</v>
      </c>
      <c r="I30" s="164">
        <v>-0.23787593939641738</v>
      </c>
      <c r="J30" s="165">
        <v>-0.23787593939641738</v>
      </c>
      <c r="K30" s="51" t="s">
        <v>179</v>
      </c>
    </row>
    <row r="31" spans="1:11" ht="12.75" customHeight="1" x14ac:dyDescent="0.2">
      <c r="H31" s="157" t="s">
        <v>53</v>
      </c>
      <c r="I31" s="161">
        <v>2.3148931416004714E-2</v>
      </c>
      <c r="J31" s="162">
        <v>2.3148931416004714E-2</v>
      </c>
      <c r="K31" s="51" t="s">
        <v>178</v>
      </c>
    </row>
    <row r="32" spans="1:11" ht="12.75" customHeight="1" x14ac:dyDescent="0.2">
      <c r="H32" s="55" t="s">
        <v>54</v>
      </c>
      <c r="I32" s="156">
        <v>0.91600051764407908</v>
      </c>
      <c r="J32" s="160">
        <v>0.91600051764407908</v>
      </c>
      <c r="K32" s="51" t="s">
        <v>175</v>
      </c>
    </row>
    <row r="33" spans="8:10" ht="12.75" customHeight="1" x14ac:dyDescent="0.2">
      <c r="H33" s="2" t="s">
        <v>42</v>
      </c>
      <c r="I33" s="2">
        <f>EXP(J14)</f>
        <v>12.104100856574703</v>
      </c>
      <c r="J33" s="2" t="s">
        <v>181</v>
      </c>
    </row>
    <row r="34" spans="8:10" ht="12.75" customHeight="1" x14ac:dyDescent="0.2">
      <c r="H34" s="166" t="s">
        <v>177</v>
      </c>
    </row>
  </sheetData>
  <mergeCells count="3">
    <mergeCell ref="H17:I17"/>
    <mergeCell ref="H23:I23"/>
    <mergeCell ref="H29:I29"/>
  </mergeCells>
  <pageMargins left="0.78740157499999996" right="0.78740157499999996" top="0.984251969" bottom="0.984251969" header="0.5" footer="0.5"/>
  <pageSetup paperSize="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641A-903E-4E99-B799-23BB15A73325}">
  <dimension ref="A2:AG64"/>
  <sheetViews>
    <sheetView zoomScale="130" zoomScaleNormal="130" workbookViewId="0">
      <selection activeCell="N20" sqref="N20:N23"/>
    </sheetView>
  </sheetViews>
  <sheetFormatPr defaultColWidth="7.7109375" defaultRowHeight="13.5" customHeight="1" x14ac:dyDescent="0.2"/>
  <cols>
    <col min="1" max="7" width="7.7109375" style="9"/>
    <col min="8" max="8" width="10.85546875" style="9" bestFit="1" customWidth="1"/>
    <col min="9" max="16384" width="7.7109375" style="9"/>
  </cols>
  <sheetData>
    <row r="2" spans="1:33" ht="13.5" customHeight="1" thickBot="1" x14ac:dyDescent="0.25">
      <c r="A2" s="44" t="s">
        <v>55</v>
      </c>
      <c r="B2" s="15" t="s">
        <v>36</v>
      </c>
      <c r="C2" s="15"/>
      <c r="D2" s="15"/>
      <c r="E2" s="15"/>
      <c r="G2" s="16" t="s">
        <v>37</v>
      </c>
    </row>
    <row r="3" spans="1:33" ht="13.5" customHeight="1" x14ac:dyDescent="0.2">
      <c r="A3" s="48">
        <f>'Dados (2)'!B2</f>
        <v>3.5286813588076043</v>
      </c>
      <c r="B3" s="45">
        <v>1</v>
      </c>
      <c r="C3" s="10">
        <f>'Dados (2)'!C2</f>
        <v>1.5245334053436563</v>
      </c>
      <c r="D3" s="10">
        <f>'Dados (2)'!D2</f>
        <v>47.829000000000001</v>
      </c>
      <c r="E3" s="11">
        <f>'Dados (2)'!E2</f>
        <v>0.71799999999999997</v>
      </c>
      <c r="G3" s="17">
        <f t="array" ref="G3:AG6">TRANSPOSE(B3:E29)</f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>
        <v>1</v>
      </c>
      <c r="T3" s="18">
        <v>1</v>
      </c>
      <c r="U3" s="18">
        <v>1</v>
      </c>
      <c r="V3" s="18">
        <v>1</v>
      </c>
      <c r="W3" s="18">
        <v>1</v>
      </c>
      <c r="X3" s="18">
        <v>1</v>
      </c>
      <c r="Y3" s="18">
        <v>1</v>
      </c>
      <c r="Z3" s="18">
        <v>1</v>
      </c>
      <c r="AA3" s="18">
        <v>1</v>
      </c>
      <c r="AB3" s="18">
        <v>1</v>
      </c>
      <c r="AC3" s="18">
        <v>1</v>
      </c>
      <c r="AD3" s="18">
        <v>1</v>
      </c>
      <c r="AE3" s="18">
        <v>1</v>
      </c>
      <c r="AF3" s="18">
        <v>1</v>
      </c>
      <c r="AG3" s="19">
        <v>1</v>
      </c>
    </row>
    <row r="4" spans="1:33" ht="13.5" customHeight="1" x14ac:dyDescent="0.2">
      <c r="A4" s="49">
        <f>'Dados (2)'!B3</f>
        <v>4.1279727432020845</v>
      </c>
      <c r="B4" s="46">
        <v>1</v>
      </c>
      <c r="C4" s="8">
        <f>'Dados (2)'!C3</f>
        <v>1.4136663079157412</v>
      </c>
      <c r="D4" s="8">
        <f>'Dados (2)'!D3</f>
        <v>62.24</v>
      </c>
      <c r="E4" s="12">
        <f>'Dados (2)'!E3</f>
        <v>0.81599999999999995</v>
      </c>
      <c r="G4" s="20">
        <v>1.5245334053436563</v>
      </c>
      <c r="H4" s="21">
        <v>1.4136663079157412</v>
      </c>
      <c r="I4" s="21">
        <v>1.7134375024525852</v>
      </c>
      <c r="J4" s="21">
        <v>1.80005827204275</v>
      </c>
      <c r="K4" s="21">
        <v>1.4940270609227726</v>
      </c>
      <c r="L4" s="21">
        <v>1.4861396960896067</v>
      </c>
      <c r="M4" s="21">
        <v>2.1100919808785945</v>
      </c>
      <c r="N4" s="21">
        <v>1.7752912765207476</v>
      </c>
      <c r="O4" s="21">
        <v>1.7337771866897078</v>
      </c>
      <c r="P4" s="21">
        <v>1.3785141738009283</v>
      </c>
      <c r="Q4" s="21">
        <v>1.7268653293100646</v>
      </c>
      <c r="R4" s="21">
        <v>1.7455409954264407</v>
      </c>
      <c r="S4" s="21">
        <v>1.7051116625023828</v>
      </c>
      <c r="T4" s="21">
        <v>1.6104374127671839</v>
      </c>
      <c r="U4" s="21">
        <v>1.4653365684598434</v>
      </c>
      <c r="V4" s="21">
        <v>1.6199821263097716</v>
      </c>
      <c r="W4" s="21">
        <v>1.3734623823045122</v>
      </c>
      <c r="X4" s="21">
        <v>1.78858777806242</v>
      </c>
      <c r="Y4" s="21">
        <v>1.9789303600834471</v>
      </c>
      <c r="Z4" s="21">
        <v>1.5993875765805989</v>
      </c>
      <c r="AA4" s="21">
        <v>1.5808326554237659</v>
      </c>
      <c r="AB4" s="21">
        <v>1.7371272735749899</v>
      </c>
      <c r="AC4" s="21">
        <v>1.8587948705642134</v>
      </c>
      <c r="AD4" s="21">
        <v>1.8243879887197822</v>
      </c>
      <c r="AE4" s="21">
        <v>1.545645779346321</v>
      </c>
      <c r="AF4" s="21">
        <v>1.9238106001389259</v>
      </c>
      <c r="AG4" s="22">
        <v>1.5385861714621494</v>
      </c>
    </row>
    <row r="5" spans="1:33" ht="13.5" customHeight="1" x14ac:dyDescent="0.2">
      <c r="A5" s="49">
        <f>'Dados (2)'!B4</f>
        <v>3.9379441313795454</v>
      </c>
      <c r="B5" s="46">
        <v>1</v>
      </c>
      <c r="C5" s="8">
        <f>'Dados (2)'!C4</f>
        <v>1.7134375024525852</v>
      </c>
      <c r="D5" s="8">
        <f>'Dados (2)'!D4</f>
        <v>52.968000000000004</v>
      </c>
      <c r="E5" s="12">
        <f>'Dados (2)'!E4</f>
        <v>0.78600000000000003</v>
      </c>
      <c r="G5" s="20">
        <v>47.829000000000001</v>
      </c>
      <c r="H5" s="21">
        <v>62.24</v>
      </c>
      <c r="I5" s="21">
        <v>52.968000000000004</v>
      </c>
      <c r="J5" s="21">
        <v>42.947000000000003</v>
      </c>
      <c r="K5" s="21">
        <v>55.316000000000003</v>
      </c>
      <c r="L5" s="21">
        <v>57</v>
      </c>
      <c r="M5" s="21">
        <v>16.071999999999999</v>
      </c>
      <c r="N5" s="21">
        <v>28.04</v>
      </c>
      <c r="O5" s="21">
        <v>26.65</v>
      </c>
      <c r="P5" s="21">
        <v>66.813000000000002</v>
      </c>
      <c r="Q5" s="21">
        <v>29.765999999999998</v>
      </c>
      <c r="R5" s="21">
        <v>28.66</v>
      </c>
      <c r="S5" s="21">
        <v>27.783999999999999</v>
      </c>
      <c r="T5" s="21">
        <v>51.887</v>
      </c>
      <c r="U5" s="21">
        <v>55.262</v>
      </c>
      <c r="V5" s="21">
        <v>51.305999999999997</v>
      </c>
      <c r="W5" s="21">
        <v>61.811</v>
      </c>
      <c r="X5" s="21">
        <v>23.693999999999999</v>
      </c>
      <c r="Y5" s="21">
        <v>19.228000000000002</v>
      </c>
      <c r="Z5" s="21">
        <v>50.634</v>
      </c>
      <c r="AA5" s="21">
        <v>35.203000000000003</v>
      </c>
      <c r="AB5" s="21">
        <v>35.896999999999998</v>
      </c>
      <c r="AC5" s="21">
        <v>19.687000000000001</v>
      </c>
      <c r="AD5" s="21">
        <v>16.244</v>
      </c>
      <c r="AE5" s="21">
        <v>53.993000000000002</v>
      </c>
      <c r="AF5" s="21">
        <v>14.369</v>
      </c>
      <c r="AG5" s="22">
        <v>50.784999999999997</v>
      </c>
    </row>
    <row r="6" spans="1:33" ht="13.5" customHeight="1" thickBot="1" x14ac:dyDescent="0.25">
      <c r="A6" s="49">
        <f>'Dados (2)'!B5</f>
        <v>3.5932217139174951</v>
      </c>
      <c r="B6" s="46">
        <v>1</v>
      </c>
      <c r="C6" s="8">
        <f>'Dados (2)'!C5</f>
        <v>1.80005827204275</v>
      </c>
      <c r="D6" s="8">
        <f>'Dados (2)'!D5</f>
        <v>42.947000000000003</v>
      </c>
      <c r="E6" s="12">
        <f>'Dados (2)'!E5</f>
        <v>0.70799999999999996</v>
      </c>
      <c r="G6" s="23">
        <v>0.71799999999999997</v>
      </c>
      <c r="H6" s="24">
        <v>0.81599999999999995</v>
      </c>
      <c r="I6" s="24">
        <v>0.78600000000000003</v>
      </c>
      <c r="J6" s="24">
        <v>0.70799999999999996</v>
      </c>
      <c r="K6" s="24">
        <v>0.77500000000000002</v>
      </c>
      <c r="L6" s="24">
        <v>0.81599999999999995</v>
      </c>
      <c r="M6" s="24">
        <v>0.78100000000000003</v>
      </c>
      <c r="N6" s="24">
        <v>0.65100000000000002</v>
      </c>
      <c r="O6" s="24">
        <v>0.64800000000000002</v>
      </c>
      <c r="P6" s="24">
        <v>0.75800000000000001</v>
      </c>
      <c r="Q6" s="24">
        <v>0.67100000000000004</v>
      </c>
      <c r="R6" s="24">
        <v>0.69199999999999995</v>
      </c>
      <c r="S6" s="24">
        <v>0.68500000000000005</v>
      </c>
      <c r="T6" s="24">
        <v>0.74399999999999999</v>
      </c>
      <c r="U6" s="24">
        <v>0.73399999999999999</v>
      </c>
      <c r="V6" s="24">
        <v>0.79500000000000004</v>
      </c>
      <c r="W6" s="24">
        <v>0.79600000000000004</v>
      </c>
      <c r="X6" s="24">
        <v>0.65200000000000002</v>
      </c>
      <c r="Y6" s="24">
        <v>0.66400000000000003</v>
      </c>
      <c r="Z6" s="24">
        <v>0.73099999999999998</v>
      </c>
      <c r="AA6" s="24">
        <v>0.63900000000000001</v>
      </c>
      <c r="AB6" s="24">
        <v>0.64300000000000002</v>
      </c>
      <c r="AC6" s="24">
        <v>0.61699999999999999</v>
      </c>
      <c r="AD6" s="24">
        <v>0.55100000000000005</v>
      </c>
      <c r="AE6" s="24">
        <v>0.76300000000000001</v>
      </c>
      <c r="AF6" s="24">
        <v>0.60699999999999998</v>
      </c>
      <c r="AG6" s="25">
        <v>0.73799999999999999</v>
      </c>
    </row>
    <row r="7" spans="1:33" ht="13.5" customHeight="1" x14ac:dyDescent="0.2">
      <c r="A7" s="49">
        <f>'Dados (2)'!B6</f>
        <v>4.2511631086976864</v>
      </c>
      <c r="B7" s="46">
        <v>1</v>
      </c>
      <c r="C7" s="8">
        <f>'Dados (2)'!C6</f>
        <v>1.4940270609227726</v>
      </c>
      <c r="D7" s="8">
        <f>'Dados (2)'!D6</f>
        <v>55.316000000000003</v>
      </c>
      <c r="E7" s="12">
        <f>'Dados (2)'!E6</f>
        <v>0.77500000000000002</v>
      </c>
    </row>
    <row r="8" spans="1:33" ht="13.5" customHeight="1" x14ac:dyDescent="0.2">
      <c r="A8" s="49">
        <f>'Dados (2)'!B7</f>
        <v>4.1738640561201015</v>
      </c>
      <c r="B8" s="46">
        <v>1</v>
      </c>
      <c r="C8" s="8">
        <f>'Dados (2)'!C7</f>
        <v>1.4861396960896067</v>
      </c>
      <c r="D8" s="8">
        <f>'Dados (2)'!D7</f>
        <v>57</v>
      </c>
      <c r="E8" s="12">
        <f>'Dados (2)'!E7</f>
        <v>0.81599999999999995</v>
      </c>
    </row>
    <row r="9" spans="1:33" ht="13.5" customHeight="1" x14ac:dyDescent="0.2">
      <c r="A9" s="49">
        <f>'Dados (2)'!B8</f>
        <v>3.1780538303479458</v>
      </c>
      <c r="B9" s="46">
        <v>1</v>
      </c>
      <c r="C9" s="8">
        <f>'Dados (2)'!C8</f>
        <v>2.1100919808785945</v>
      </c>
      <c r="D9" s="8">
        <f>'Dados (2)'!D8</f>
        <v>16.071999999999999</v>
      </c>
      <c r="E9" s="12">
        <f>'Dados (2)'!E8</f>
        <v>0.78100000000000003</v>
      </c>
    </row>
    <row r="10" spans="1:33" ht="13.5" customHeight="1" x14ac:dyDescent="0.2">
      <c r="A10" s="49">
        <f>'Dados (2)'!B9</f>
        <v>3.5178241935938748</v>
      </c>
      <c r="B10" s="46">
        <v>1</v>
      </c>
      <c r="C10" s="8">
        <f>'Dados (2)'!C9</f>
        <v>1.7752912765207476</v>
      </c>
      <c r="D10" s="8">
        <f>'Dados (2)'!D9</f>
        <v>28.04</v>
      </c>
      <c r="E10" s="12">
        <f>'Dados (2)'!E9</f>
        <v>0.65100000000000002</v>
      </c>
    </row>
    <row r="11" spans="1:33" ht="13.5" customHeight="1" x14ac:dyDescent="0.2">
      <c r="A11" s="49">
        <f>'Dados (2)'!B10</f>
        <v>3.2005081675100158</v>
      </c>
      <c r="B11" s="46">
        <v>1</v>
      </c>
      <c r="C11" s="8">
        <f>'Dados (2)'!C10</f>
        <v>1.7337771866897078</v>
      </c>
      <c r="D11" s="8">
        <f>'Dados (2)'!D10</f>
        <v>26.65</v>
      </c>
      <c r="E11" s="12">
        <f>'Dados (2)'!E10</f>
        <v>0.64800000000000002</v>
      </c>
    </row>
    <row r="12" spans="1:33" ht="13.5" customHeight="1" thickBot="1" x14ac:dyDescent="0.25">
      <c r="A12" s="49">
        <f>'Dados (2)'!B11</f>
        <v>4.4508528256037341</v>
      </c>
      <c r="B12" s="46">
        <v>1</v>
      </c>
      <c r="C12" s="8">
        <f>'Dados (2)'!C11</f>
        <v>1.3785141738009283</v>
      </c>
      <c r="D12" s="8">
        <f>'Dados (2)'!D11</f>
        <v>66.813000000000002</v>
      </c>
      <c r="E12" s="12">
        <f>'Dados (2)'!E11</f>
        <v>0.75800000000000001</v>
      </c>
      <c r="G12" s="16" t="s">
        <v>38</v>
      </c>
      <c r="N12" s="16" t="s">
        <v>39</v>
      </c>
    </row>
    <row r="13" spans="1:33" ht="13.5" customHeight="1" x14ac:dyDescent="0.2">
      <c r="A13" s="49">
        <f>'Dados (2)'!B12</f>
        <v>3.4134223512847242</v>
      </c>
      <c r="B13" s="46">
        <v>1</v>
      </c>
      <c r="C13" s="8">
        <f>'Dados (2)'!C12</f>
        <v>1.7268653293100646</v>
      </c>
      <c r="D13" s="8">
        <f>'Dados (2)'!D12</f>
        <v>29.765999999999998</v>
      </c>
      <c r="E13" s="12">
        <f>'Dados (2)'!E12</f>
        <v>0.67100000000000004</v>
      </c>
      <c r="G13" s="26">
        <f t="array" ref="G13:J16">MMULT(G3:AG6,B3:E29)</f>
        <v>27</v>
      </c>
      <c r="H13" s="27">
        <v>45.052364393693914</v>
      </c>
      <c r="I13" s="27">
        <v>1082.085</v>
      </c>
      <c r="J13" s="28">
        <v>19.178999999999995</v>
      </c>
      <c r="N13" s="35">
        <f t="array" ref="N13:Q16">MINVERSE(G13:J16)</f>
        <v>24.756653789484719</v>
      </c>
      <c r="O13" s="36">
        <v>-12.170422133365419</v>
      </c>
      <c r="P13" s="36">
        <v>-0.13315595745966985</v>
      </c>
      <c r="Q13" s="37">
        <v>1.3015644553478263</v>
      </c>
    </row>
    <row r="14" spans="1:33" ht="13.5" customHeight="1" x14ac:dyDescent="0.2">
      <c r="A14" s="49">
        <f>'Dados (2)'!B13</f>
        <v>3.2795945599029066</v>
      </c>
      <c r="B14" s="46">
        <v>1</v>
      </c>
      <c r="C14" s="8">
        <f>'Dados (2)'!C13</f>
        <v>1.7455409954264407</v>
      </c>
      <c r="D14" s="8">
        <f>'Dados (2)'!D13</f>
        <v>28.66</v>
      </c>
      <c r="E14" s="12">
        <f>'Dados (2)'!E13</f>
        <v>0.69199999999999995</v>
      </c>
      <c r="G14" s="29">
        <v>45.052364393693914</v>
      </c>
      <c r="H14" s="30">
        <v>76.068457020566768</v>
      </c>
      <c r="I14" s="30">
        <v>1734.5585117557364</v>
      </c>
      <c r="J14" s="31">
        <v>31.812673213531117</v>
      </c>
      <c r="N14" s="38">
        <v>-12.170422133366021</v>
      </c>
      <c r="O14" s="39">
        <v>8.3914379293006025</v>
      </c>
      <c r="P14" s="39">
        <v>0.115861421059749</v>
      </c>
      <c r="Q14" s="40">
        <v>-9.1154193432645663</v>
      </c>
    </row>
    <row r="15" spans="1:33" ht="13.5" customHeight="1" x14ac:dyDescent="0.2">
      <c r="A15" s="49">
        <f>'Dados (2)'!B14</f>
        <v>3.4193319518576382</v>
      </c>
      <c r="B15" s="46">
        <v>1</v>
      </c>
      <c r="C15" s="8">
        <f>'Dados (2)'!C14</f>
        <v>1.7051116625023828</v>
      </c>
      <c r="D15" s="8">
        <f>'Dados (2)'!D14</f>
        <v>27.783999999999999</v>
      </c>
      <c r="E15" s="12">
        <f>'Dados (2)'!E14</f>
        <v>0.68500000000000005</v>
      </c>
      <c r="G15" s="29">
        <v>1082.085</v>
      </c>
      <c r="H15" s="30">
        <v>1734.5585117557364</v>
      </c>
      <c r="I15" s="30">
        <v>50392.553899000006</v>
      </c>
      <c r="J15" s="31">
        <v>792.56493699999987</v>
      </c>
      <c r="N15" s="38">
        <v>-0.13315595745968364</v>
      </c>
      <c r="O15" s="39">
        <v>0.11586142105975268</v>
      </c>
      <c r="P15" s="39">
        <v>1.9828858927632325E-3</v>
      </c>
      <c r="Q15" s="40">
        <v>-0.19658330416676703</v>
      </c>
    </row>
    <row r="16" spans="1:33" ht="13.5" customHeight="1" thickBot="1" x14ac:dyDescent="0.25">
      <c r="A16" s="49">
        <f>'Dados (2)'!B15</f>
        <v>3.5722051785558366</v>
      </c>
      <c r="B16" s="46">
        <v>1</v>
      </c>
      <c r="C16" s="8">
        <f>'Dados (2)'!C15</f>
        <v>1.6104374127671839</v>
      </c>
      <c r="D16" s="8">
        <f>'Dados (2)'!D15</f>
        <v>51.887</v>
      </c>
      <c r="E16" s="12">
        <f>'Dados (2)'!E15</f>
        <v>0.74399999999999999</v>
      </c>
      <c r="G16" s="32">
        <v>19.178999999999995</v>
      </c>
      <c r="H16" s="33">
        <v>31.812673213531117</v>
      </c>
      <c r="I16" s="33">
        <v>792.56493699999987</v>
      </c>
      <c r="J16" s="34">
        <v>13.753097000000002</v>
      </c>
      <c r="N16" s="41">
        <v>1.3015644553500152</v>
      </c>
      <c r="O16" s="42">
        <v>-9.1154193432656143</v>
      </c>
      <c r="P16" s="42">
        <v>-0.1965833041667778</v>
      </c>
      <c r="Q16" s="43">
        <v>30.671505200948229</v>
      </c>
    </row>
    <row r="17" spans="1:15" ht="13.5" customHeight="1" x14ac:dyDescent="0.2">
      <c r="A17" s="49">
        <f>'Dados (2)'!B16</f>
        <v>4.3530482889348612</v>
      </c>
      <c r="B17" s="46">
        <v>1</v>
      </c>
      <c r="C17" s="8">
        <f>'Dados (2)'!C16</f>
        <v>1.4653365684598434</v>
      </c>
      <c r="D17" s="8">
        <f>'Dados (2)'!D16</f>
        <v>55.262</v>
      </c>
      <c r="E17" s="12">
        <f>'Dados (2)'!E16</f>
        <v>0.73399999999999999</v>
      </c>
    </row>
    <row r="18" spans="1:15" ht="13.5" customHeight="1" x14ac:dyDescent="0.2">
      <c r="A18" s="49">
        <f>'Dados (2)'!B17</f>
        <v>3.9999972520433333</v>
      </c>
      <c r="B18" s="46">
        <v>1</v>
      </c>
      <c r="C18" s="8">
        <f>'Dados (2)'!C17</f>
        <v>1.6199821263097716</v>
      </c>
      <c r="D18" s="8">
        <f>'Dados (2)'!D17</f>
        <v>51.305999999999997</v>
      </c>
      <c r="E18" s="12">
        <f>'Dados (2)'!E17</f>
        <v>0.79500000000000004</v>
      </c>
    </row>
    <row r="19" spans="1:15" ht="13.5" customHeight="1" thickBot="1" x14ac:dyDescent="0.25">
      <c r="A19" s="49">
        <f>'Dados (2)'!B18</f>
        <v>4.2977342850494491</v>
      </c>
      <c r="B19" s="46">
        <v>1</v>
      </c>
      <c r="C19" s="8">
        <f>'Dados (2)'!C18</f>
        <v>1.3734623823045122</v>
      </c>
      <c r="D19" s="8">
        <f>'Dados (2)'!D18</f>
        <v>61.811</v>
      </c>
      <c r="E19" s="12">
        <f>'Dados (2)'!E18</f>
        <v>0.79600000000000004</v>
      </c>
      <c r="G19" s="51" t="s">
        <v>40</v>
      </c>
      <c r="M19" s="51" t="s">
        <v>41</v>
      </c>
    </row>
    <row r="20" spans="1:15" ht="13.5" customHeight="1" x14ac:dyDescent="0.2">
      <c r="A20" s="49">
        <f>'Dados (2)'!B19</f>
        <v>3.158148697798282</v>
      </c>
      <c r="B20" s="46">
        <v>1</v>
      </c>
      <c r="C20" s="8">
        <f>'Dados (2)'!C19</f>
        <v>1.78858777806242</v>
      </c>
      <c r="D20" s="8">
        <f>'Dados (2)'!D19</f>
        <v>23.693999999999999</v>
      </c>
      <c r="E20" s="12">
        <f>'Dados (2)'!E19</f>
        <v>0.65200000000000002</v>
      </c>
      <c r="G20" s="52">
        <f t="array" ref="G20:G23">MMULT(G3:AG6,A3:A29)</f>
        <v>99.225908218680999</v>
      </c>
      <c r="M20" s="62" t="s">
        <v>42</v>
      </c>
      <c r="N20" s="63">
        <f t="array" ref="N20:N23">MMULT(N13:Q16,G20:G23)</f>
        <v>2.4935443089509022</v>
      </c>
    </row>
    <row r="21" spans="1:15" ht="13.5" customHeight="1" x14ac:dyDescent="0.2">
      <c r="A21" s="49">
        <f>'Dados (2)'!B20</f>
        <v>3.1385330721856621</v>
      </c>
      <c r="B21" s="46">
        <v>1</v>
      </c>
      <c r="C21" s="8">
        <f>'Dados (2)'!C20</f>
        <v>1.9789303600834471</v>
      </c>
      <c r="D21" s="8">
        <f>'Dados (2)'!D20</f>
        <v>19.228000000000002</v>
      </c>
      <c r="E21" s="12">
        <f>'Dados (2)'!E20</f>
        <v>0.66400000000000003</v>
      </c>
      <c r="G21" s="53">
        <v>163.53881232339688</v>
      </c>
      <c r="L21" s="55" t="s">
        <v>1</v>
      </c>
      <c r="M21" s="64" t="s">
        <v>62</v>
      </c>
      <c r="N21" s="65">
        <v>-0.23787593939641738</v>
      </c>
      <c r="O21" s="51" t="s">
        <v>47</v>
      </c>
    </row>
    <row r="22" spans="1:15" ht="13.5" customHeight="1" x14ac:dyDescent="0.2">
      <c r="A22" s="49">
        <f>'Dados (2)'!B21</f>
        <v>4.2152634167957794</v>
      </c>
      <c r="B22" s="46">
        <v>1</v>
      </c>
      <c r="C22" s="8">
        <f>'Dados (2)'!C21</f>
        <v>1.5993875765805989</v>
      </c>
      <c r="D22" s="8">
        <f>'Dados (2)'!D21</f>
        <v>50.634</v>
      </c>
      <c r="E22" s="12">
        <f>'Dados (2)'!E21</f>
        <v>0.73099999999999998</v>
      </c>
      <c r="G22" s="53">
        <v>4178.1408247731106</v>
      </c>
      <c r="L22" s="55" t="s">
        <v>2</v>
      </c>
      <c r="M22" s="64" t="s">
        <v>63</v>
      </c>
      <c r="N22" s="65">
        <v>2.3148931416004714E-2</v>
      </c>
      <c r="O22" s="51" t="s">
        <v>48</v>
      </c>
    </row>
    <row r="23" spans="1:15" ht="13.5" customHeight="1" thickBot="1" x14ac:dyDescent="0.25">
      <c r="A23" s="49">
        <f>'Dados (2)'!B22</f>
        <v>3.5932492230986859</v>
      </c>
      <c r="B23" s="46">
        <v>1</v>
      </c>
      <c r="C23" s="8">
        <f>'Dados (2)'!C22</f>
        <v>1.5808326554237659</v>
      </c>
      <c r="D23" s="8">
        <f>'Dados (2)'!D22</f>
        <v>35.203000000000003</v>
      </c>
      <c r="E23" s="12">
        <f>'Dados (2)'!E22</f>
        <v>0.63900000000000001</v>
      </c>
      <c r="G23" s="54">
        <v>71.201092116543805</v>
      </c>
      <c r="L23" s="55" t="s">
        <v>3</v>
      </c>
      <c r="M23" s="66" t="s">
        <v>64</v>
      </c>
      <c r="N23" s="67">
        <v>0.91600051764407908</v>
      </c>
      <c r="O23" s="51" t="s">
        <v>49</v>
      </c>
    </row>
    <row r="24" spans="1:15" ht="13.5" customHeight="1" x14ac:dyDescent="0.2">
      <c r="A24" s="49">
        <f>'Dados (2)'!B23</f>
        <v>3.6681664125163946</v>
      </c>
      <c r="B24" s="46">
        <v>1</v>
      </c>
      <c r="C24" s="8">
        <f>'Dados (2)'!C23</f>
        <v>1.7371272735749899</v>
      </c>
      <c r="D24" s="8">
        <f>'Dados (2)'!D23</f>
        <v>35.896999999999998</v>
      </c>
      <c r="E24" s="12">
        <f>'Dados (2)'!E23</f>
        <v>0.64300000000000002</v>
      </c>
    </row>
    <row r="25" spans="1:15" ht="13.5" customHeight="1" x14ac:dyDescent="0.2">
      <c r="A25" s="49">
        <f>'Dados (2)'!B24</f>
        <v>2.8489129866025329</v>
      </c>
      <c r="B25" s="46">
        <v>1</v>
      </c>
      <c r="C25" s="8">
        <f>'Dados (2)'!C24</f>
        <v>1.8587948705642134</v>
      </c>
      <c r="D25" s="8">
        <f>'Dados (2)'!D24</f>
        <v>19.687000000000001</v>
      </c>
      <c r="E25" s="12">
        <f>'Dados (2)'!E24</f>
        <v>0.61699999999999999</v>
      </c>
      <c r="M25" s="2" t="s">
        <v>31</v>
      </c>
    </row>
    <row r="26" spans="1:15" ht="13.5" customHeight="1" thickBot="1" x14ac:dyDescent="0.25">
      <c r="A26" s="49">
        <f>'Dados (2)'!B25</f>
        <v>2.8212002990348659</v>
      </c>
      <c r="B26" s="46">
        <v>1</v>
      </c>
      <c r="C26" s="8">
        <f>'Dados (2)'!C25</f>
        <v>1.8243879887197822</v>
      </c>
      <c r="D26" s="8">
        <f>'Dados (2)'!D25</f>
        <v>16.244</v>
      </c>
      <c r="E26" s="12">
        <f>'Dados (2)'!E25</f>
        <v>0.55100000000000005</v>
      </c>
      <c r="G26" s="60" t="s">
        <v>56</v>
      </c>
      <c r="I26" s="60" t="s">
        <v>65</v>
      </c>
    </row>
    <row r="27" spans="1:15" ht="13.5" customHeight="1" thickBot="1" x14ac:dyDescent="0.25">
      <c r="A27" s="49">
        <f>'Dados (2)'!B26</f>
        <v>4.2858460761999124</v>
      </c>
      <c r="B27" s="46">
        <v>1</v>
      </c>
      <c r="C27" s="8">
        <f>'Dados (2)'!C26</f>
        <v>1.545645779346321</v>
      </c>
      <c r="D27" s="8">
        <f>'Dados (2)'!D26</f>
        <v>53.993000000000002</v>
      </c>
      <c r="E27" s="12">
        <f>'Dados (2)'!E26</f>
        <v>0.76300000000000001</v>
      </c>
      <c r="G27" s="59">
        <f t="array" ref="G27">MMULT(TRANSPOSE(A3:A29),A3:A29)</f>
        <v>371.27429479944414</v>
      </c>
      <c r="I27" s="59">
        <f t="array" ref="I27">MMULT(TRANSPOSE(N20:N23),MMULT(G3:AG6,A3:A29))</f>
        <v>370.46198276463412</v>
      </c>
      <c r="M27" s="51" t="s">
        <v>43</v>
      </c>
    </row>
    <row r="28" spans="1:15" ht="13.5" customHeight="1" x14ac:dyDescent="0.2">
      <c r="A28" s="49">
        <f>'Dados (2)'!B27</f>
        <v>2.9961321935753178</v>
      </c>
      <c r="B28" s="46">
        <v>1</v>
      </c>
      <c r="C28" s="8">
        <f>'Dados (2)'!C27</f>
        <v>1.9238106001389259</v>
      </c>
      <c r="D28" s="8">
        <f>'Dados (2)'!D27</f>
        <v>14.369</v>
      </c>
      <c r="E28" s="12">
        <f>'Dados (2)'!E27</f>
        <v>0.60699999999999998</v>
      </c>
      <c r="M28" s="51" t="s">
        <v>44</v>
      </c>
    </row>
    <row r="29" spans="1:15" ht="13.5" customHeight="1" thickBot="1" x14ac:dyDescent="0.25">
      <c r="A29" s="50">
        <f>'Dados (2)'!B28</f>
        <v>4.205035844064728</v>
      </c>
      <c r="B29" s="47">
        <v>1</v>
      </c>
      <c r="C29" s="13">
        <f>'Dados (2)'!C28</f>
        <v>1.5385861714621494</v>
      </c>
      <c r="D29" s="13">
        <f>'Dados (2)'!D28</f>
        <v>50.784999999999997</v>
      </c>
      <c r="E29" s="14">
        <f>'Dados (2)'!E28</f>
        <v>0.73799999999999999</v>
      </c>
      <c r="M29" s="51" t="s">
        <v>45</v>
      </c>
    </row>
    <row r="30" spans="1:15" ht="13.5" customHeight="1" x14ac:dyDescent="0.2">
      <c r="M30" s="51" t="s">
        <v>46</v>
      </c>
    </row>
    <row r="31" spans="1:15" ht="13.5" customHeight="1" x14ac:dyDescent="0.2">
      <c r="A31" s="9">
        <f>COUNTA(A3:A29)</f>
        <v>27</v>
      </c>
      <c r="B31" s="44" t="s">
        <v>57</v>
      </c>
      <c r="G31" s="9" t="s">
        <v>59</v>
      </c>
      <c r="H31" s="9">
        <f>G27-A31*A32^2</f>
        <v>6.6157443615883267</v>
      </c>
    </row>
    <row r="32" spans="1:15" ht="13.5" customHeight="1" x14ac:dyDescent="0.2">
      <c r="A32" s="107">
        <f>AVERAGE(A3:A29)</f>
        <v>3.6750336377289261</v>
      </c>
      <c r="B32" s="44" t="s">
        <v>58</v>
      </c>
      <c r="G32" s="9" t="s">
        <v>60</v>
      </c>
      <c r="H32" s="9">
        <f>I27-A31*A32^2</f>
        <v>5.8034323267783066</v>
      </c>
    </row>
    <row r="33" spans="3:11" ht="13.5" customHeight="1" x14ac:dyDescent="0.2">
      <c r="G33" s="9" t="s">
        <v>61</v>
      </c>
      <c r="H33" s="9">
        <f>G27-I27</f>
        <v>0.81231203481002012</v>
      </c>
    </row>
    <row r="34" spans="3:11" ht="13.5" customHeight="1" x14ac:dyDescent="0.2">
      <c r="H34" s="9" t="b">
        <f>H32+H33=H31</f>
        <v>1</v>
      </c>
    </row>
    <row r="35" spans="3:11" ht="13.5" customHeight="1" x14ac:dyDescent="0.2">
      <c r="G35" s="72" t="s">
        <v>66</v>
      </c>
      <c r="H35" s="73">
        <f>H32/H31</f>
        <v>0.87721532296102844</v>
      </c>
    </row>
    <row r="36" spans="3:11" ht="13.5" customHeight="1" thickBot="1" x14ac:dyDescent="0.25"/>
    <row r="37" spans="3:11" ht="13.5" customHeight="1" thickBot="1" x14ac:dyDescent="0.25">
      <c r="C37" s="117" t="s">
        <v>67</v>
      </c>
      <c r="D37" s="118"/>
      <c r="E37" s="118"/>
      <c r="F37" s="118"/>
      <c r="G37" s="119"/>
    </row>
    <row r="38" spans="3:11" ht="13.5" customHeight="1" x14ac:dyDescent="0.2">
      <c r="C38" s="76" t="s">
        <v>68</v>
      </c>
      <c r="D38" s="77" t="s">
        <v>69</v>
      </c>
      <c r="E38" s="77" t="s">
        <v>70</v>
      </c>
      <c r="F38" s="77" t="s">
        <v>71</v>
      </c>
      <c r="G38" s="78" t="s">
        <v>73</v>
      </c>
      <c r="H38" s="70" t="s">
        <v>77</v>
      </c>
    </row>
    <row r="39" spans="3:11" ht="13.5" customHeight="1" x14ac:dyDescent="0.2">
      <c r="C39" s="79" t="s">
        <v>74</v>
      </c>
      <c r="D39" s="68">
        <v>3</v>
      </c>
      <c r="E39" s="69">
        <f>H32</f>
        <v>5.8034323267783066</v>
      </c>
      <c r="F39" s="69">
        <f>E39/D39</f>
        <v>1.9344774422594355</v>
      </c>
      <c r="G39" s="80">
        <f>F39/F40</f>
        <v>54.773263555516365</v>
      </c>
      <c r="H39" s="71">
        <f>FINV(5%,D39,D40)</f>
        <v>3.0279983823321985</v>
      </c>
    </row>
    <row r="40" spans="3:11" ht="13.5" customHeight="1" x14ac:dyDescent="0.2">
      <c r="C40" s="79" t="s">
        <v>75</v>
      </c>
      <c r="D40" s="68">
        <f>A31-(D39+1)</f>
        <v>23</v>
      </c>
      <c r="E40" s="69">
        <f>H33</f>
        <v>0.81231203481002012</v>
      </c>
      <c r="F40" s="69">
        <f>E40/D40</f>
        <v>3.5317914556957396E-2</v>
      </c>
      <c r="G40" s="81"/>
    </row>
    <row r="41" spans="3:11" ht="13.5" customHeight="1" thickBot="1" x14ac:dyDescent="0.25">
      <c r="C41" s="82" t="s">
        <v>76</v>
      </c>
      <c r="D41" s="83">
        <f>A31-1</f>
        <v>26</v>
      </c>
      <c r="E41" s="84">
        <f>H31</f>
        <v>6.6157443615883267</v>
      </c>
      <c r="F41" s="84">
        <f>E41/D41</f>
        <v>0.25445170621493562</v>
      </c>
      <c r="G41" s="85"/>
    </row>
    <row r="42" spans="3:11" ht="13.5" customHeight="1" thickBot="1" x14ac:dyDescent="0.25">
      <c r="J42" s="74" t="s">
        <v>87</v>
      </c>
      <c r="K42" s="138">
        <f>1-(F40/F41)</f>
        <v>0.86119993030377118</v>
      </c>
    </row>
    <row r="43" spans="3:11" ht="13.5" customHeight="1" x14ac:dyDescent="0.2">
      <c r="C43" s="120" t="s">
        <v>78</v>
      </c>
      <c r="D43" s="121"/>
      <c r="E43" s="121"/>
      <c r="F43" s="122"/>
    </row>
    <row r="44" spans="3:11" ht="13.5" customHeight="1" thickBot="1" x14ac:dyDescent="0.25">
      <c r="C44" s="123" t="s">
        <v>86</v>
      </c>
      <c r="D44" s="124"/>
      <c r="E44" s="124"/>
      <c r="F44" s="125"/>
      <c r="G44" s="75" t="s">
        <v>88</v>
      </c>
    </row>
    <row r="46" spans="3:11" ht="13.5" customHeight="1" x14ac:dyDescent="0.2">
      <c r="C46" s="51" t="s">
        <v>79</v>
      </c>
      <c r="D46" s="51" t="s">
        <v>80</v>
      </c>
    </row>
    <row r="47" spans="3:11" ht="13.5" customHeight="1" x14ac:dyDescent="0.2">
      <c r="C47" s="51" t="s">
        <v>81</v>
      </c>
      <c r="D47" s="51" t="s">
        <v>82</v>
      </c>
    </row>
    <row r="48" spans="3:11" ht="13.5" customHeight="1" x14ac:dyDescent="0.2">
      <c r="C48" s="51" t="s">
        <v>83</v>
      </c>
      <c r="D48" s="51" t="s">
        <v>84</v>
      </c>
    </row>
    <row r="49" spans="3:15" ht="13.5" customHeight="1" x14ac:dyDescent="0.2">
      <c r="C49" s="51" t="s">
        <v>85</v>
      </c>
      <c r="D49" s="51"/>
    </row>
    <row r="50" spans="3:15" ht="13.5" customHeight="1" x14ac:dyDescent="0.2">
      <c r="D50" s="51"/>
      <c r="H50" s="9" t="s">
        <v>94</v>
      </c>
      <c r="I50" s="9">
        <f>(H31-H32)/D40</f>
        <v>3.5317914556957396E-2</v>
      </c>
    </row>
    <row r="52" spans="3:15" ht="13.5" customHeight="1" thickBot="1" x14ac:dyDescent="0.25">
      <c r="C52" s="126" t="s">
        <v>89</v>
      </c>
      <c r="D52" s="126"/>
      <c r="E52" s="126"/>
      <c r="F52" s="126"/>
    </row>
    <row r="53" spans="3:15" ht="13.5" customHeight="1" x14ac:dyDescent="0.2">
      <c r="C53" s="101" t="s">
        <v>90</v>
      </c>
      <c r="D53" s="86"/>
      <c r="E53" s="86"/>
      <c r="F53" s="87"/>
      <c r="I53" s="101">
        <f t="array" ref="I53:L56">N13:Q16*I50</f>
        <v>0.87435338325319689</v>
      </c>
      <c r="J53" s="94">
        <v>-0.42983392902830297</v>
      </c>
      <c r="K53" s="94">
        <v>-4.7027907283104737E-3</v>
      </c>
      <c r="L53" s="95">
        <v>4.596854222434732E-2</v>
      </c>
    </row>
    <row r="54" spans="3:15" ht="13.5" customHeight="1" x14ac:dyDescent="0.2">
      <c r="C54" s="88"/>
      <c r="D54" s="102" t="s">
        <v>93</v>
      </c>
      <c r="E54" s="89"/>
      <c r="F54" s="90"/>
      <c r="I54" s="96">
        <v>-0.42983392902832429</v>
      </c>
      <c r="J54" s="102">
        <v>0.29636808779705015</v>
      </c>
      <c r="K54" s="97">
        <v>4.0919837694358792E-3</v>
      </c>
      <c r="L54" s="98">
        <v>-0.32193760151625467</v>
      </c>
    </row>
    <row r="55" spans="3:15" ht="13.5" customHeight="1" x14ac:dyDescent="0.2">
      <c r="C55" s="88"/>
      <c r="D55" s="89"/>
      <c r="E55" s="102" t="s">
        <v>92</v>
      </c>
      <c r="F55" s="90"/>
      <c r="I55" s="96">
        <v>-4.7027907283109611E-3</v>
      </c>
      <c r="J55" s="97">
        <v>4.0919837694360093E-3</v>
      </c>
      <c r="K55" s="102">
        <v>7.003139453680803E-5</v>
      </c>
      <c r="L55" s="98">
        <v>-6.9429123398862449E-3</v>
      </c>
    </row>
    <row r="56" spans="3:15" ht="13.5" customHeight="1" thickBot="1" x14ac:dyDescent="0.25">
      <c r="C56" s="91"/>
      <c r="D56" s="93"/>
      <c r="E56" s="93"/>
      <c r="F56" s="103" t="s">
        <v>91</v>
      </c>
      <c r="I56" s="99">
        <v>4.5968542224424626E-2</v>
      </c>
      <c r="J56" s="100">
        <v>-0.32193760151629164</v>
      </c>
      <c r="K56" s="100">
        <v>-6.9429123398866248E-3</v>
      </c>
      <c r="L56" s="103">
        <v>1.0832536000203639</v>
      </c>
    </row>
    <row r="58" spans="3:15" ht="13.5" customHeight="1" x14ac:dyDescent="0.2">
      <c r="H58" s="89"/>
      <c r="I58" s="104" t="s">
        <v>42</v>
      </c>
      <c r="J58" s="105" t="s">
        <v>62</v>
      </c>
      <c r="K58" s="105" t="s">
        <v>63</v>
      </c>
      <c r="L58" s="105" t="s">
        <v>64</v>
      </c>
    </row>
    <row r="59" spans="3:15" ht="13.5" customHeight="1" x14ac:dyDescent="0.2">
      <c r="H59" s="89" t="s">
        <v>97</v>
      </c>
      <c r="I59" s="104">
        <v>-5.8231536331049938</v>
      </c>
      <c r="J59" s="105">
        <v>-0.70330149227424954</v>
      </c>
      <c r="K59" s="105">
        <v>1.1012157774578668</v>
      </c>
      <c r="L59" s="105">
        <v>13.947191653216578</v>
      </c>
      <c r="N59" s="9" t="s">
        <v>108</v>
      </c>
      <c r="O59" s="51" t="s">
        <v>111</v>
      </c>
    </row>
    <row r="60" spans="3:15" ht="13.5" customHeight="1" x14ac:dyDescent="0.2">
      <c r="H60" s="9" t="s">
        <v>95</v>
      </c>
      <c r="I60" s="109">
        <f>I59/SQRT(I53)</f>
        <v>-6.2275145498468127</v>
      </c>
      <c r="J60" s="109">
        <f>J59/SQRT(J54)</f>
        <v>-1.2918908428413902</v>
      </c>
      <c r="K60" s="108">
        <f>K59/SQRT(K55)</f>
        <v>131.59095469847304</v>
      </c>
      <c r="L60" s="109">
        <f>L59/SQRT(L56)</f>
        <v>13.400521449309228</v>
      </c>
      <c r="N60" s="9" t="s">
        <v>109</v>
      </c>
      <c r="O60" s="51" t="s">
        <v>112</v>
      </c>
    </row>
    <row r="61" spans="3:15" ht="13.5" customHeight="1" x14ac:dyDescent="0.2">
      <c r="H61" s="9" t="s">
        <v>96</v>
      </c>
      <c r="I61" s="116">
        <f>TINV(5%,D40)</f>
        <v>2.0686576104190491</v>
      </c>
      <c r="J61" s="116"/>
      <c r="K61" s="116"/>
      <c r="L61" s="116"/>
      <c r="N61" s="9" t="s">
        <v>110</v>
      </c>
      <c r="O61" s="51" t="s">
        <v>113</v>
      </c>
    </row>
    <row r="62" spans="3:15" ht="13.5" customHeight="1" x14ac:dyDescent="0.2">
      <c r="N62" s="51" t="s">
        <v>114</v>
      </c>
    </row>
    <row r="63" spans="3:15" ht="13.5" customHeight="1" x14ac:dyDescent="0.2">
      <c r="H63" s="9" t="s">
        <v>106</v>
      </c>
      <c r="I63" s="110" t="s">
        <v>104</v>
      </c>
      <c r="J63" s="110" t="s">
        <v>98</v>
      </c>
      <c r="K63" s="106" t="s">
        <v>100</v>
      </c>
      <c r="L63" s="110" t="s">
        <v>103</v>
      </c>
      <c r="N63" s="51"/>
    </row>
    <row r="64" spans="3:15" ht="13.5" customHeight="1" x14ac:dyDescent="0.2">
      <c r="H64" s="9" t="s">
        <v>107</v>
      </c>
      <c r="I64" s="106" t="s">
        <v>105</v>
      </c>
      <c r="J64" s="106" t="s">
        <v>99</v>
      </c>
      <c r="K64" s="111" t="s">
        <v>101</v>
      </c>
      <c r="L64" s="106" t="s">
        <v>102</v>
      </c>
    </row>
  </sheetData>
  <mergeCells count="5">
    <mergeCell ref="C37:G37"/>
    <mergeCell ref="C43:F43"/>
    <mergeCell ref="C44:F44"/>
    <mergeCell ref="C52:F52"/>
    <mergeCell ref="I61:L6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Matrizes</vt:lpstr>
      <vt:lpstr>Contribuição Marginal</vt:lpstr>
      <vt:lpstr>Dados (2)</vt:lpstr>
      <vt:lpstr>Matrizes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Pier</cp:lastModifiedBy>
  <dcterms:created xsi:type="dcterms:W3CDTF">2020-03-30T04:29:20Z</dcterms:created>
  <dcterms:modified xsi:type="dcterms:W3CDTF">2021-04-17T00:37:30Z</dcterms:modified>
</cp:coreProperties>
</file>