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nsulta de requisito de idioma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rgb="FFFFFFFF"/>
      <name val="Proxima Nova"/>
    </font>
    <font>
      <color theme="1"/>
      <name val="Proxima Nova"/>
    </font>
    <font>
      <u/>
      <color rgb="FF0000FF"/>
      <name val="Proxima Nova"/>
    </font>
  </fonts>
  <fills count="3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shrinkToFit="0" vertical="center" wrapText="1"/>
    </xf>
    <xf borderId="0" fillId="0" fontId="2" numFmtId="0" xfId="0" applyAlignment="1" applyFont="1">
      <alignment horizontal="center" shrinkToFit="0" vertical="center" wrapText="1"/>
    </xf>
    <xf borderId="0" fillId="0" fontId="3" numFmtId="0" xfId="0" applyAlignment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392" Type="http://schemas.openxmlformats.org/officeDocument/2006/relationships/hyperlink" Target="https://portal.pucminas.br/imagedb/documento/DOC_DSC_NOME_ARQUI20200605120813.pdf" TargetMode="External"/><Relationship Id="rId391" Type="http://schemas.openxmlformats.org/officeDocument/2006/relationships/hyperlink" Target="https://portal.pucminas.br/imagedb/documento/DOC_DSC_NOME_ARQUI20200605120813.pdf" TargetMode="External"/><Relationship Id="rId390" Type="http://schemas.openxmlformats.org/officeDocument/2006/relationships/hyperlink" Target="https://www.pucminas.br/" TargetMode="External"/><Relationship Id="rId1" Type="http://schemas.openxmlformats.org/officeDocument/2006/relationships/hyperlink" Target="https://www.uni-wuerzburg.de/startseite/" TargetMode="External"/><Relationship Id="rId2" Type="http://schemas.openxmlformats.org/officeDocument/2006/relationships/hyperlink" Target="https://www.uni-wuerzburg.de/en/international/studying-in-wuerzburg/exchange-students/before-arrival-exchange-students/language-proficiency-german-language-courses/" TargetMode="External"/><Relationship Id="rId3" Type="http://schemas.openxmlformats.org/officeDocument/2006/relationships/hyperlink" Target="https://www.uni-wuerzburg.de/en/international/studying-in-wuerzburg/exchange-students/before-arrival-exchange-students/language-proficiency-german-language-courses/" TargetMode="External"/><Relationship Id="rId4" Type="http://schemas.openxmlformats.org/officeDocument/2006/relationships/hyperlink" Target="https://www.uni-wuerzburg.de/startseite/" TargetMode="External"/><Relationship Id="rId2180" Type="http://schemas.openxmlformats.org/officeDocument/2006/relationships/hyperlink" Target="https://www.ed.ac.uk/global/study-work-away/study-exchanges/linguistic-requirements" TargetMode="External"/><Relationship Id="rId2181" Type="http://schemas.openxmlformats.org/officeDocument/2006/relationships/hyperlink" Target="https://www.ed.ac.uk/" TargetMode="External"/><Relationship Id="rId2182" Type="http://schemas.openxmlformats.org/officeDocument/2006/relationships/hyperlink" Target="https://www.ed.ac.uk/global/study-work-away/study-exchanges/linguistic-requirements" TargetMode="External"/><Relationship Id="rId2183" Type="http://schemas.openxmlformats.org/officeDocument/2006/relationships/hyperlink" Target="https://www.ed.ac.uk/global/study-work-away/study-exchanges/linguistic-requirements" TargetMode="External"/><Relationship Id="rId9" Type="http://schemas.openxmlformats.org/officeDocument/2006/relationships/hyperlink" Target="https://www.uni-wuerzburg.de/en/international/studying-in-wuerzburg/exchange-students/before-arrival-exchange-students/language-proficiency-german-language-courses/" TargetMode="External"/><Relationship Id="rId385" Type="http://schemas.openxmlformats.org/officeDocument/2006/relationships/hyperlink" Target="https://www.ifsc.edu.br/documents/1035121/2084586/ES_guia+do+estudante+intercambista.pdf/e9673a23-ebcf-4b1e-8d44-3c8dcf8fb771" TargetMode="External"/><Relationship Id="rId2184" Type="http://schemas.openxmlformats.org/officeDocument/2006/relationships/hyperlink" Target="https://www.exeter.ac.uk/undergraduate/" TargetMode="External"/><Relationship Id="rId384" Type="http://schemas.openxmlformats.org/officeDocument/2006/relationships/hyperlink" Target="https://www.ifsc.edu.br/" TargetMode="External"/><Relationship Id="rId2185" Type="http://schemas.openxmlformats.org/officeDocument/2006/relationships/hyperlink" Target="https://www.exeter.ac.uk/study/undergraduate/courses/law/laweurostudy/" TargetMode="External"/><Relationship Id="rId383" Type="http://schemas.openxmlformats.org/officeDocument/2006/relationships/hyperlink" Target="https://www.licenciaturaspregrados.com/institutions/faculdade-das-am%C3%A9ricas-(fam)" TargetMode="External"/><Relationship Id="rId2186" Type="http://schemas.openxmlformats.org/officeDocument/2006/relationships/hyperlink" Target="https://www.exeter.ac.uk/study/undergraduate/courses/law/laweurostudy/" TargetMode="External"/><Relationship Id="rId382" Type="http://schemas.openxmlformats.org/officeDocument/2006/relationships/hyperlink" Target="https://www.licenciaturaspregrados.com/institutions/faculdade-das-am%C3%A9ricas-(fam)" TargetMode="External"/><Relationship Id="rId2187" Type="http://schemas.openxmlformats.org/officeDocument/2006/relationships/hyperlink" Target="https://www.leeds.ac.uk/" TargetMode="External"/><Relationship Id="rId5" Type="http://schemas.openxmlformats.org/officeDocument/2006/relationships/hyperlink" Target="https://www.uni-wuerzburg.de/en/international/studying-in-wuerzburg/exchange-students/before-arrival-exchange-students/language-proficiency-german-language-courses/" TargetMode="External"/><Relationship Id="rId389" Type="http://schemas.openxmlformats.org/officeDocument/2006/relationships/hyperlink" Target="https://www.pucsp.br/pos-graduacao/especializacao-e-mba/portugues-brasileiro-online-sincrono" TargetMode="External"/><Relationship Id="rId2188" Type="http://schemas.openxmlformats.org/officeDocument/2006/relationships/hyperlink" Target="https://www.leeds.ac.uk/international-exchange-and-study-abroad/doc/language-requirements" TargetMode="External"/><Relationship Id="rId6" Type="http://schemas.openxmlformats.org/officeDocument/2006/relationships/hyperlink" Target="https://www.uni-wuerzburg.de/en/international/studying-in-wuerzburg/exchange-students/before-arrival-exchange-students/language-proficiency-german-language-courses/" TargetMode="External"/><Relationship Id="rId388" Type="http://schemas.openxmlformats.org/officeDocument/2006/relationships/hyperlink" Target="https://www.pucsp.br/pos-graduacao/especializacao-e-mba/portugues-brasileiro-online-sincrono" TargetMode="External"/><Relationship Id="rId2189" Type="http://schemas.openxmlformats.org/officeDocument/2006/relationships/hyperlink" Target="https://www.leeds.ac.uk/international-exchange-and-study-abroad/doc/language-requirements" TargetMode="External"/><Relationship Id="rId7" Type="http://schemas.openxmlformats.org/officeDocument/2006/relationships/hyperlink" Target="https://www.uni-wuerzburg.de/startseite/" TargetMode="External"/><Relationship Id="rId387" Type="http://schemas.openxmlformats.org/officeDocument/2006/relationships/hyperlink" Target="https://www.pucsp.br/home" TargetMode="External"/><Relationship Id="rId8" Type="http://schemas.openxmlformats.org/officeDocument/2006/relationships/hyperlink" Target="https://www.uni-wuerzburg.de/en/international/studying-in-wuerzburg/exchange-students/before-arrival-exchange-students/language-proficiency-german-language-courses/" TargetMode="External"/><Relationship Id="rId386" Type="http://schemas.openxmlformats.org/officeDocument/2006/relationships/hyperlink" Target="https://www.ifsc.edu.br/documents/1035121/2084586/ES_guia+do+estudante+intercambista.pdf/e9673a23-ebcf-4b1e-8d44-3c8dcf8fb771" TargetMode="External"/><Relationship Id="rId381" Type="http://schemas.openxmlformats.org/officeDocument/2006/relationships/hyperlink" Target="https://www.licenciaturaspregrados.com/universidades/Brasil/Faculdade-Das-Am%C3%A9ricas-(FAM)/" TargetMode="External"/><Relationship Id="rId380" Type="http://schemas.openxmlformats.org/officeDocument/2006/relationships/hyperlink" Target="https://site.fadi.br/convenios/" TargetMode="External"/><Relationship Id="rId379" Type="http://schemas.openxmlformats.org/officeDocument/2006/relationships/hyperlink" Target="https://site.fadi.br/convenios/" TargetMode="External"/><Relationship Id="rId2170" Type="http://schemas.openxmlformats.org/officeDocument/2006/relationships/hyperlink" Target="https://www.uea.ac.uk/study/study-abroad-and-exchange/inbound-study-abroad-and-exchange/application" TargetMode="External"/><Relationship Id="rId2171" Type="http://schemas.openxmlformats.org/officeDocument/2006/relationships/hyperlink" Target="https://www.uea.ac.uk/study/study-abroad-and-exchange/inbound-study-abroad-and-exchange/application" TargetMode="External"/><Relationship Id="rId2172" Type="http://schemas.openxmlformats.org/officeDocument/2006/relationships/hyperlink" Target="https://www.uea.ac.uk/" TargetMode="External"/><Relationship Id="rId374" Type="http://schemas.openxmlformats.org/officeDocument/2006/relationships/hyperlink" Target="https://www.unichristus.edu.br/internacional/" TargetMode="External"/><Relationship Id="rId2173" Type="http://schemas.openxmlformats.org/officeDocument/2006/relationships/hyperlink" Target="https://www.uea.ac.uk/study/study-abroad-and-exchange/inbound-study-abroad-and-exchange/application" TargetMode="External"/><Relationship Id="rId373" Type="http://schemas.openxmlformats.org/officeDocument/2006/relationships/hyperlink" Target="https://www.unichristus.edu.br/internacional/" TargetMode="External"/><Relationship Id="rId2174" Type="http://schemas.openxmlformats.org/officeDocument/2006/relationships/hyperlink" Target="https://www.uea.ac.uk/study/study-abroad-and-exchange/inbound-study-abroad-and-exchange/application" TargetMode="External"/><Relationship Id="rId372" Type="http://schemas.openxmlformats.org/officeDocument/2006/relationships/hyperlink" Target="https://unichristus.edu.br/" TargetMode="External"/><Relationship Id="rId2175" Type="http://schemas.openxmlformats.org/officeDocument/2006/relationships/hyperlink" Target="https://www.ed.ac.uk/" TargetMode="External"/><Relationship Id="rId371" Type="http://schemas.openxmlformats.org/officeDocument/2006/relationships/hyperlink" Target="https://www.fecap.br/" TargetMode="External"/><Relationship Id="rId2176" Type="http://schemas.openxmlformats.org/officeDocument/2006/relationships/hyperlink" Target="https://www.ed.ac.uk/global/study-work-away/study-exchanges/linguistic-requirements" TargetMode="External"/><Relationship Id="rId378" Type="http://schemas.openxmlformats.org/officeDocument/2006/relationships/hyperlink" Target="https://www.fadi.br/portal/" TargetMode="External"/><Relationship Id="rId2177" Type="http://schemas.openxmlformats.org/officeDocument/2006/relationships/hyperlink" Target="https://www.ed.ac.uk/global/study-work-away/study-exchanges/linguistic-requirements" TargetMode="External"/><Relationship Id="rId377" Type="http://schemas.openxmlformats.org/officeDocument/2006/relationships/hyperlink" Target="https://www.unichristus.edu.br/internacional/" TargetMode="External"/><Relationship Id="rId2178" Type="http://schemas.openxmlformats.org/officeDocument/2006/relationships/hyperlink" Target="https://www.ed.ac.uk/" TargetMode="External"/><Relationship Id="rId376" Type="http://schemas.openxmlformats.org/officeDocument/2006/relationships/hyperlink" Target="https://www.unichristus.edu.br/internacional/" TargetMode="External"/><Relationship Id="rId2179" Type="http://schemas.openxmlformats.org/officeDocument/2006/relationships/hyperlink" Target="https://www.ed.ac.uk/global/study-work-away/study-exchanges/linguistic-requirements" TargetMode="External"/><Relationship Id="rId375" Type="http://schemas.openxmlformats.org/officeDocument/2006/relationships/hyperlink" Target="https://unichristus.edu.br/" TargetMode="External"/><Relationship Id="rId2190" Type="http://schemas.openxmlformats.org/officeDocument/2006/relationships/hyperlink" Target="https://www.liverpool.ac.uk/" TargetMode="External"/><Relationship Id="rId2191" Type="http://schemas.openxmlformats.org/officeDocument/2006/relationships/hyperlink" Target="https://www.liverpool.ac.uk/courses/2025/international-relations-ba-hons" TargetMode="External"/><Relationship Id="rId2192" Type="http://schemas.openxmlformats.org/officeDocument/2006/relationships/hyperlink" Target="https://www.liverpool.ac.uk/courses/2025/international-relations-ba-hons" TargetMode="External"/><Relationship Id="rId2193" Type="http://schemas.openxmlformats.org/officeDocument/2006/relationships/hyperlink" Target="https://www.liverpool.ac.uk/" TargetMode="External"/><Relationship Id="rId2194" Type="http://schemas.openxmlformats.org/officeDocument/2006/relationships/hyperlink" Target="https://www.liverpool.ac.uk/courses/2025/english-language-ba-hons" TargetMode="External"/><Relationship Id="rId396" Type="http://schemas.openxmlformats.org/officeDocument/2006/relationships/hyperlink" Target="https://www.pucminas.br/" TargetMode="External"/><Relationship Id="rId2195" Type="http://schemas.openxmlformats.org/officeDocument/2006/relationships/hyperlink" Target="https://www.liverpool.ac.uk/courses/2025/english-language-ba-hons" TargetMode="External"/><Relationship Id="rId395" Type="http://schemas.openxmlformats.org/officeDocument/2006/relationships/hyperlink" Target="https://portal.pucminas.br/imagedb/documento/DOC_DSC_NOME_ARQUI20200605120813.pdf" TargetMode="External"/><Relationship Id="rId2196" Type="http://schemas.openxmlformats.org/officeDocument/2006/relationships/hyperlink" Target="https://www.manchester.ac.uk/" TargetMode="External"/><Relationship Id="rId394" Type="http://schemas.openxmlformats.org/officeDocument/2006/relationships/hyperlink" Target="https://portal.pucminas.br/imagedb/documento/DOC_DSC_NOME_ARQUI20200605120813.pdf" TargetMode="External"/><Relationship Id="rId2197" Type="http://schemas.openxmlformats.org/officeDocument/2006/relationships/hyperlink" Target="https://www.manchester.ac.uk/study/international/study-abroad-exchange/applications/" TargetMode="External"/><Relationship Id="rId393" Type="http://schemas.openxmlformats.org/officeDocument/2006/relationships/hyperlink" Target="https://www.pucminas.br/" TargetMode="External"/><Relationship Id="rId2198" Type="http://schemas.openxmlformats.org/officeDocument/2006/relationships/hyperlink" Target="https://www.manchester.ac.uk/study/international/study-abroad-exchange/applications/" TargetMode="External"/><Relationship Id="rId2199" Type="http://schemas.openxmlformats.org/officeDocument/2006/relationships/hyperlink" Target="https://www.manchester.ac.uk/" TargetMode="External"/><Relationship Id="rId399" Type="http://schemas.openxmlformats.org/officeDocument/2006/relationships/hyperlink" Target="https://www.grupotiradentes.com/international/" TargetMode="External"/><Relationship Id="rId398" Type="http://schemas.openxmlformats.org/officeDocument/2006/relationships/hyperlink" Target="https://portal.pucminas.br/imagedb/documento/DOC_DSC_NOME_ARQUI20200605120813.pdf" TargetMode="External"/><Relationship Id="rId397" Type="http://schemas.openxmlformats.org/officeDocument/2006/relationships/hyperlink" Target="https://portal.pucminas.br/imagedb/documento/DOC_DSC_NOME_ARQUI20200605120813.pdf" TargetMode="External"/><Relationship Id="rId1730" Type="http://schemas.openxmlformats.org/officeDocument/2006/relationships/hyperlink" Target="https://www.hanze.nl/en/study/studying-at-hanze/exchange-application" TargetMode="External"/><Relationship Id="rId1731" Type="http://schemas.openxmlformats.org/officeDocument/2006/relationships/hyperlink" Target="https://www.hanze.nl/en/study/studying-at-hanze/exchange-application" TargetMode="External"/><Relationship Id="rId1732" Type="http://schemas.openxmlformats.org/officeDocument/2006/relationships/hyperlink" Target="https://www.kpz.nl/" TargetMode="External"/><Relationship Id="rId1733" Type="http://schemas.openxmlformats.org/officeDocument/2006/relationships/hyperlink" Target="https://www.kpz.nl/application-procedure-for-international-exchange-students/" TargetMode="External"/><Relationship Id="rId1734" Type="http://schemas.openxmlformats.org/officeDocument/2006/relationships/hyperlink" Target="https://www.kpz.nl/application-procedure-for-international-exchange-students/" TargetMode="External"/><Relationship Id="rId1735" Type="http://schemas.openxmlformats.org/officeDocument/2006/relationships/hyperlink" Target="https://www.hotelschoolmaastricht.nl/" TargetMode="External"/><Relationship Id="rId1736" Type="http://schemas.openxmlformats.org/officeDocument/2006/relationships/hyperlink" Target="https://www.hotelschoolmaastricht.nl/en/bachelor-hotelmanagement/english-programme/admission-and-selection" TargetMode="External"/><Relationship Id="rId1737" Type="http://schemas.openxmlformats.org/officeDocument/2006/relationships/hyperlink" Target="https://www.hotelschoolmaastricht.nl/en/bachelor-hotelmanagement/english-programme/admission-and-selection" TargetMode="External"/><Relationship Id="rId1738" Type="http://schemas.openxmlformats.org/officeDocument/2006/relationships/hyperlink" Target="https://www.maastrichtuniversity.nl/" TargetMode="External"/><Relationship Id="rId1739" Type="http://schemas.openxmlformats.org/officeDocument/2006/relationships/hyperlink" Target="https://www.maastrichtuniversity.nl/education/exchange/psychology-and-neuroscience/incoming-students" TargetMode="External"/><Relationship Id="rId1720" Type="http://schemas.openxmlformats.org/officeDocument/2006/relationships/hyperlink" Target="https://www.hanuniversity.com/" TargetMode="External"/><Relationship Id="rId1721" Type="http://schemas.openxmlformats.org/officeDocument/2006/relationships/hyperlink" Target="https://www.hanuniversity.com/en/collaboration/erasmusplus/" TargetMode="External"/><Relationship Id="rId1722" Type="http://schemas.openxmlformats.org/officeDocument/2006/relationships/hyperlink" Target="https://www.hanuniversity.com/en/collaboration/erasmusplus/" TargetMode="External"/><Relationship Id="rId1723" Type="http://schemas.openxmlformats.org/officeDocument/2006/relationships/hyperlink" Target="https://www.hanze.nl/eng" TargetMode="External"/><Relationship Id="rId1724" Type="http://schemas.openxmlformats.org/officeDocument/2006/relationships/hyperlink" Target="https://www.hanze.nl/en/study/studying-at-hanze/exchange-application" TargetMode="External"/><Relationship Id="rId1725" Type="http://schemas.openxmlformats.org/officeDocument/2006/relationships/hyperlink" Target="https://www.hanze.nl/en/study/studying-at-hanze/exchange-application" TargetMode="External"/><Relationship Id="rId1726" Type="http://schemas.openxmlformats.org/officeDocument/2006/relationships/hyperlink" Target="https://www.hanze.nl/eng" TargetMode="External"/><Relationship Id="rId1727" Type="http://schemas.openxmlformats.org/officeDocument/2006/relationships/hyperlink" Target="https://www.hanze.nl/en/study/studying-at-hanze/exchange-application" TargetMode="External"/><Relationship Id="rId1728" Type="http://schemas.openxmlformats.org/officeDocument/2006/relationships/hyperlink" Target="https://www.hanze.nl/en/study/studying-at-hanze/exchange-application" TargetMode="External"/><Relationship Id="rId1729" Type="http://schemas.openxmlformats.org/officeDocument/2006/relationships/hyperlink" Target="https://www.hanze.nl/eng" TargetMode="External"/><Relationship Id="rId1752" Type="http://schemas.openxmlformats.org/officeDocument/2006/relationships/hyperlink" Target="https://www.rotterdamuas.com/programmes/exchange/" TargetMode="External"/><Relationship Id="rId1753" Type="http://schemas.openxmlformats.org/officeDocument/2006/relationships/hyperlink" Target="https://www.tilburguniversity.edu/" TargetMode="External"/><Relationship Id="rId1754" Type="http://schemas.openxmlformats.org/officeDocument/2006/relationships/hyperlink" Target="https://www.tilburguniversity.edu/education/exchange-programs/language-requirements" TargetMode="External"/><Relationship Id="rId1755" Type="http://schemas.openxmlformats.org/officeDocument/2006/relationships/hyperlink" Target="https://www.tilburguniversity.edu/" TargetMode="External"/><Relationship Id="rId1756" Type="http://schemas.openxmlformats.org/officeDocument/2006/relationships/hyperlink" Target="https://www.tilburguniversity.edu/education/exchange-programs/language-requirements" TargetMode="External"/><Relationship Id="rId1757" Type="http://schemas.openxmlformats.org/officeDocument/2006/relationships/hyperlink" Target="https://www.tilburguniversity.edu/" TargetMode="External"/><Relationship Id="rId1758" Type="http://schemas.openxmlformats.org/officeDocument/2006/relationships/hyperlink" Target="https://www.tilburguniversity.edu/education/exchange-programs/language-requirements" TargetMode="External"/><Relationship Id="rId1759" Type="http://schemas.openxmlformats.org/officeDocument/2006/relationships/hyperlink" Target="https://www.tilburguniversity.edu/" TargetMode="External"/><Relationship Id="rId808" Type="http://schemas.openxmlformats.org/officeDocument/2006/relationships/hyperlink" Target="https://www.gvsu.edu/" TargetMode="External"/><Relationship Id="rId807" Type="http://schemas.openxmlformats.org/officeDocument/2006/relationships/hyperlink" Target="https://www.gvsu.edu/admissions/international-undergraduate-admissions-requirements-37.htm" TargetMode="External"/><Relationship Id="rId806" Type="http://schemas.openxmlformats.org/officeDocument/2006/relationships/hyperlink" Target="https://www.gvsu.edu/admissions/international-undergraduate-admissions-requirements-37.htm" TargetMode="External"/><Relationship Id="rId805" Type="http://schemas.openxmlformats.org/officeDocument/2006/relationships/hyperlink" Target="https://www.gvsu.edu/" TargetMode="External"/><Relationship Id="rId809" Type="http://schemas.openxmlformats.org/officeDocument/2006/relationships/hyperlink" Target="https://www.gvsu.edu/admissions/international-undergraduate-admissions-requirements-37.htm" TargetMode="External"/><Relationship Id="rId800" Type="http://schemas.openxmlformats.org/officeDocument/2006/relationships/hyperlink" Target="https://www.fordham.edu/study-abroad/programs/other-programs-worldwide/exchange-programs/incoming-exchange-students/" TargetMode="External"/><Relationship Id="rId804" Type="http://schemas.openxmlformats.org/officeDocument/2006/relationships/hyperlink" Target="https://www.gvsu.edu/admissions/international-undergraduate-admissions-requirements-37.htm" TargetMode="External"/><Relationship Id="rId803" Type="http://schemas.openxmlformats.org/officeDocument/2006/relationships/hyperlink" Target="https://www.gvsu.edu/admissions/international-undergraduate-admissions-requirements-37.htm" TargetMode="External"/><Relationship Id="rId802" Type="http://schemas.openxmlformats.org/officeDocument/2006/relationships/hyperlink" Target="https://www.gvsu.edu/" TargetMode="External"/><Relationship Id="rId801" Type="http://schemas.openxmlformats.org/officeDocument/2006/relationships/hyperlink" Target="https://www.fordham.edu/study-abroad/programs/other-programs-worldwide/exchange-programs/incoming-exchange-students/" TargetMode="External"/><Relationship Id="rId1750" Type="http://schemas.openxmlformats.org/officeDocument/2006/relationships/hyperlink" Target="https://eurep.auth.gr/sites/default/files/fact_sheets/NL%20LEEUWAR03_Factsheet_2024-2025.pdf" TargetMode="External"/><Relationship Id="rId1751" Type="http://schemas.openxmlformats.org/officeDocument/2006/relationships/hyperlink" Target="https://www.rotterdamuas.com/" TargetMode="External"/><Relationship Id="rId1741" Type="http://schemas.openxmlformats.org/officeDocument/2006/relationships/hyperlink" Target="https://www.ru.nl/" TargetMode="External"/><Relationship Id="rId1742" Type="http://schemas.openxmlformats.org/officeDocument/2006/relationships/hyperlink" Target="https://www.ru.nl/en/education/application-and-admission/language-requirements/english-language-requirements/minimum-test-scores-exchange-students" TargetMode="External"/><Relationship Id="rId1743" Type="http://schemas.openxmlformats.org/officeDocument/2006/relationships/hyperlink" Target="https://www.ru.nl/en/education/application-and-admission/language-requirements/english-language-requirements/minimum-test-scores-exchange-students" TargetMode="External"/><Relationship Id="rId1744" Type="http://schemas.openxmlformats.org/officeDocument/2006/relationships/hyperlink" Target="https://www.ru.nl/" TargetMode="External"/><Relationship Id="rId1745" Type="http://schemas.openxmlformats.org/officeDocument/2006/relationships/hyperlink" Target="https://www.ru.nl/en/education/application-and-admission/language-requirements/english-language-requirements/minimum-test-scores-exchange-students" TargetMode="External"/><Relationship Id="rId1746" Type="http://schemas.openxmlformats.org/officeDocument/2006/relationships/hyperlink" Target="https://www.ru.nl/en/education/application-and-admission/language-requirements/english-language-requirements/minimum-test-scores-exchange-students" TargetMode="External"/><Relationship Id="rId1747" Type="http://schemas.openxmlformats.org/officeDocument/2006/relationships/hyperlink" Target="https://www.nhlstenden.com/en" TargetMode="External"/><Relationship Id="rId1748" Type="http://schemas.openxmlformats.org/officeDocument/2006/relationships/hyperlink" Target="https://eurep.auth.gr/sites/default/files/fact_sheets/NL%20LEEUWAR03_Factsheet_2024-2025.pdf" TargetMode="External"/><Relationship Id="rId1749" Type="http://schemas.openxmlformats.org/officeDocument/2006/relationships/hyperlink" Target="https://www.nhlstenden.com/en" TargetMode="External"/><Relationship Id="rId1740" Type="http://schemas.openxmlformats.org/officeDocument/2006/relationships/hyperlink" Target="https://www.maastrichtuniversity.nl/education/exchange/psychology-and-neuroscience/incoming-students" TargetMode="External"/><Relationship Id="rId1710" Type="http://schemas.openxmlformats.org/officeDocument/2006/relationships/hyperlink" Target="https://www.amsterdamuas.com/study/education/exchange/business-and-economics/faq" TargetMode="External"/><Relationship Id="rId1711" Type="http://schemas.openxmlformats.org/officeDocument/2006/relationships/hyperlink" Target="https://www.amsterdamuas.com/" TargetMode="External"/><Relationship Id="rId1712" Type="http://schemas.openxmlformats.org/officeDocument/2006/relationships/hyperlink" Target="https://www.amsterdamuas.com/study/education/exchange/business-and-economics/faq" TargetMode="External"/><Relationship Id="rId1713" Type="http://schemas.openxmlformats.org/officeDocument/2006/relationships/hyperlink" Target="https://www.amsterdamuas.com/study/education/exchange/business-and-economics/faq" TargetMode="External"/><Relationship Id="rId1714" Type="http://schemas.openxmlformats.org/officeDocument/2006/relationships/hyperlink" Target="https://www.buas.nl/en" TargetMode="External"/><Relationship Id="rId1715" Type="http://schemas.openxmlformats.org/officeDocument/2006/relationships/hyperlink" Target="https://www.buas.nl/en/programmes/exchange-programmes" TargetMode="External"/><Relationship Id="rId1716" Type="http://schemas.openxmlformats.org/officeDocument/2006/relationships/hyperlink" Target="https://www.buas.nl/en/programmes/exchange-programmes" TargetMode="External"/><Relationship Id="rId1717" Type="http://schemas.openxmlformats.org/officeDocument/2006/relationships/hyperlink" Target="https://www.hanuniversity.com/" TargetMode="External"/><Relationship Id="rId1718" Type="http://schemas.openxmlformats.org/officeDocument/2006/relationships/hyperlink" Target="https://www.hanuniversity.com/en/collaboration/erasmusplus/" TargetMode="External"/><Relationship Id="rId1719" Type="http://schemas.openxmlformats.org/officeDocument/2006/relationships/hyperlink" Target="https://www.hanuniversity.com/en/collaboration/erasmusplus/" TargetMode="External"/><Relationship Id="rId1700" Type="http://schemas.openxmlformats.org/officeDocument/2006/relationships/hyperlink" Target="https://www.vid.no/en/international/study-abroad/incoming-exchange-student/" TargetMode="External"/><Relationship Id="rId1701" Type="http://schemas.openxmlformats.org/officeDocument/2006/relationships/hyperlink" Target="https://www.vid.no/en/international/study-abroad/incoming-exchange-student/" TargetMode="External"/><Relationship Id="rId1702" Type="http://schemas.openxmlformats.org/officeDocument/2006/relationships/hyperlink" Target="https://www.hivolda.no/en" TargetMode="External"/><Relationship Id="rId1703" Type="http://schemas.openxmlformats.org/officeDocument/2006/relationships/hyperlink" Target="https://www.hivolda.no/en/nis/nis-how-apply" TargetMode="External"/><Relationship Id="rId1704" Type="http://schemas.openxmlformats.org/officeDocument/2006/relationships/hyperlink" Target="https://www.hivolda.no/en/nis/nis-how-apply" TargetMode="External"/><Relationship Id="rId1705" Type="http://schemas.openxmlformats.org/officeDocument/2006/relationships/hyperlink" Target="https://www.amsterdamuas.com/" TargetMode="External"/><Relationship Id="rId1706" Type="http://schemas.openxmlformats.org/officeDocument/2006/relationships/hyperlink" Target="https://www.amsterdamuas.com/study/education/exchange/business-and-economics/faq" TargetMode="External"/><Relationship Id="rId1707" Type="http://schemas.openxmlformats.org/officeDocument/2006/relationships/hyperlink" Target="https://www.amsterdamuas.com/study/education/exchange/business-and-economics/faq" TargetMode="External"/><Relationship Id="rId1708" Type="http://schemas.openxmlformats.org/officeDocument/2006/relationships/hyperlink" Target="https://www.amsterdamuas.com/" TargetMode="External"/><Relationship Id="rId1709" Type="http://schemas.openxmlformats.org/officeDocument/2006/relationships/hyperlink" Target="https://www.amsterdamuas.com/study/education/exchange/business-and-economics/faq" TargetMode="External"/><Relationship Id="rId40" Type="http://schemas.openxmlformats.org/officeDocument/2006/relationships/hyperlink" Target="https://www.fu-berlin.de/" TargetMode="External"/><Relationship Id="rId1334" Type="http://schemas.openxmlformats.org/officeDocument/2006/relationships/hyperlink" Target="https://www.unibocconi.eu/wps/wcm/connect/bocconi/sitopubblico_en/navigation+tree/home/programs/bachelor+of+science/application+and+admission/bachelor+programs+a.y.+2023-24/results+and+enrollment/results+and+enrollment" TargetMode="External"/><Relationship Id="rId1335" Type="http://schemas.openxmlformats.org/officeDocument/2006/relationships/hyperlink" Target="https://www.unibocconi.eu/wps/wcm/connect/bocconi/sitopubblico_en/navigation+tree/home/programs/bachelor+of+science/application+and+admission/bachelor+programs+a.y.+2023-24/results+and+enrollment/results+and+enrollment" TargetMode="External"/><Relationship Id="rId42" Type="http://schemas.openxmlformats.org/officeDocument/2006/relationships/hyperlink" Target="https://www.fu-berlin.de/en/studium/international/studium_fu/auslandssemester/erasmus_in/infos_incomingstudents/Sprachkenntnisse_Erasmus_incomings.html" TargetMode="External"/><Relationship Id="rId1336" Type="http://schemas.openxmlformats.org/officeDocument/2006/relationships/hyperlink" Target="https://es.wikipedia.org/wiki/Universidad_Bocconi" TargetMode="External"/><Relationship Id="rId41" Type="http://schemas.openxmlformats.org/officeDocument/2006/relationships/hyperlink" Target="https://www.fu-berlin.de/en/studium/international/studium_fu/auslandssemester/erasmus_in/infos_incomingstudents/Sprachkenntnisse_Erasmus_incomings.html" TargetMode="External"/><Relationship Id="rId1337" Type="http://schemas.openxmlformats.org/officeDocument/2006/relationships/hyperlink" Target="https://www.unibocconi.eu/wps/wcm/connect/bocconi/sitopubblico_en/navigation+tree/home/programs/bachelor+of+science/application+and+admission/bachelor+programs+a.y.+2023-24/results+and+enrollment/results+and+enrollment" TargetMode="External"/><Relationship Id="rId44" Type="http://schemas.openxmlformats.org/officeDocument/2006/relationships/hyperlink" Target="https://www.uni-goettingen.de/en/646821.html" TargetMode="External"/><Relationship Id="rId1338" Type="http://schemas.openxmlformats.org/officeDocument/2006/relationships/hyperlink" Target="https://www.unibocconi.eu/wps/wcm/connect/bocconi/sitopubblico_en/navigation+tree/home/programs/bachelor+of+science/application+and+admission/bachelor+programs+a.y.+2023-24/results+and+enrollment/results+and+enrollment" TargetMode="External"/><Relationship Id="rId43" Type="http://schemas.openxmlformats.org/officeDocument/2006/relationships/hyperlink" Target="https://www.uni-goettingen.de/" TargetMode="External"/><Relationship Id="rId1339" Type="http://schemas.openxmlformats.org/officeDocument/2006/relationships/hyperlink" Target="https://www.liuc.it/" TargetMode="External"/><Relationship Id="rId46" Type="http://schemas.openxmlformats.org/officeDocument/2006/relationships/hyperlink" Target="https://www.hhu.de/" TargetMode="External"/><Relationship Id="rId45" Type="http://schemas.openxmlformats.org/officeDocument/2006/relationships/hyperlink" Target="https://www.uni-goettingen.de/en/646821.html" TargetMode="External"/><Relationship Id="rId745" Type="http://schemas.openxmlformats.org/officeDocument/2006/relationships/hyperlink" Target="https://www.boisestate.edu/" TargetMode="External"/><Relationship Id="rId744" Type="http://schemas.openxmlformats.org/officeDocument/2006/relationships/hyperlink" Target="https://www.boisestate.edu/globaleducation-international/apply/ia-international-transfer-admission/" TargetMode="External"/><Relationship Id="rId743" Type="http://schemas.openxmlformats.org/officeDocument/2006/relationships/hyperlink" Target="https://www.boisestate.edu/globaleducation-international/apply/ia-international-transfer-admission/" TargetMode="External"/><Relationship Id="rId742" Type="http://schemas.openxmlformats.org/officeDocument/2006/relationships/hyperlink" Target="https://www.boisestate.edu/" TargetMode="External"/><Relationship Id="rId749" Type="http://schemas.openxmlformats.org/officeDocument/2006/relationships/hyperlink" Target="https://www.boisestate.edu/globaleducation-international/apply/ia-international-transfer-admission/" TargetMode="External"/><Relationship Id="rId748" Type="http://schemas.openxmlformats.org/officeDocument/2006/relationships/hyperlink" Target="https://www.boisestate.edu/" TargetMode="External"/><Relationship Id="rId747" Type="http://schemas.openxmlformats.org/officeDocument/2006/relationships/hyperlink" Target="https://www.boisestate.edu/globaleducation-international/apply/ia-international-transfer-admission/" TargetMode="External"/><Relationship Id="rId746" Type="http://schemas.openxmlformats.org/officeDocument/2006/relationships/hyperlink" Target="https://www.boisestate.edu/globaleducation-international/apply/ia-international-transfer-admission/" TargetMode="External"/><Relationship Id="rId48" Type="http://schemas.openxmlformats.org/officeDocument/2006/relationships/hyperlink" Target="https://www.hhu.de/en/international/stay-at-the-hhu-as-an-incoming" TargetMode="External"/><Relationship Id="rId47" Type="http://schemas.openxmlformats.org/officeDocument/2006/relationships/hyperlink" Target="https://www.hhu.de/en/international/stay-at-the-hhu-as-an-incoming" TargetMode="External"/><Relationship Id="rId49" Type="http://schemas.openxmlformats.org/officeDocument/2006/relationships/hyperlink" Target="https://www.hm.edu/" TargetMode="External"/><Relationship Id="rId741" Type="http://schemas.openxmlformats.org/officeDocument/2006/relationships/hyperlink" Target="https://www.boisestate.edu/globaleducation-international/apply/ia-international-transfer-admission/" TargetMode="External"/><Relationship Id="rId1330" Type="http://schemas.openxmlformats.org/officeDocument/2006/relationships/hyperlink" Target="https://www.unifortunato.eu/" TargetMode="External"/><Relationship Id="rId740" Type="http://schemas.openxmlformats.org/officeDocument/2006/relationships/hyperlink" Target="https://www.boisestate.edu/globaleducation-international/apply/ia-international-transfer-admission/" TargetMode="External"/><Relationship Id="rId1331" Type="http://schemas.openxmlformats.org/officeDocument/2006/relationships/hyperlink" Target="https://www.unifortunato.eu/servizi/relazioni-internazionali/erasmus/" TargetMode="External"/><Relationship Id="rId1332" Type="http://schemas.openxmlformats.org/officeDocument/2006/relationships/hyperlink" Target="about:blank" TargetMode="External"/><Relationship Id="rId1333" Type="http://schemas.openxmlformats.org/officeDocument/2006/relationships/hyperlink" Target="https://es.wikipedia.org/wiki/Universidad_Bocconi" TargetMode="External"/><Relationship Id="rId1323" Type="http://schemas.openxmlformats.org/officeDocument/2006/relationships/hyperlink" Target="https://www.uniroma1.it/it/pagina/students-coming-sapienza" TargetMode="External"/><Relationship Id="rId1324" Type="http://schemas.openxmlformats.org/officeDocument/2006/relationships/hyperlink" Target="https://www.uniuma.it/" TargetMode="External"/><Relationship Id="rId31" Type="http://schemas.openxmlformats.org/officeDocument/2006/relationships/hyperlink" Target="https://www.fhdw.de/" TargetMode="External"/><Relationship Id="rId1325" Type="http://schemas.openxmlformats.org/officeDocument/2006/relationships/hyperlink" Target="https://eurep.auth.gr/sites/default/files/fact_sheets/I%20MILANO27_Factsheet_2023-2024.pdf" TargetMode="External"/><Relationship Id="rId30" Type="http://schemas.openxmlformats.org/officeDocument/2006/relationships/hyperlink" Target="https://www.europa-uni.de/en/internationales/index.html" TargetMode="External"/><Relationship Id="rId1326" Type="http://schemas.openxmlformats.org/officeDocument/2006/relationships/hyperlink" Target="https://eurep.auth.gr/sites/default/files/fact_sheets/I%20MILANO27_Factsheet_2023-2024.pdf" TargetMode="External"/><Relationship Id="rId33" Type="http://schemas.openxmlformats.org/officeDocument/2006/relationships/hyperlink" Target="https://en.fh-westkueste.de/en/international/incoming-students/international-applicants/" TargetMode="External"/><Relationship Id="rId1327" Type="http://schemas.openxmlformats.org/officeDocument/2006/relationships/hyperlink" Target="https://www.uniparthenope.it/" TargetMode="External"/><Relationship Id="rId32" Type="http://schemas.openxmlformats.org/officeDocument/2006/relationships/hyperlink" Target="https://en.fh-westkueste.de/en/international/incoming-students/international-applicants/" TargetMode="External"/><Relationship Id="rId1328" Type="http://schemas.openxmlformats.org/officeDocument/2006/relationships/hyperlink" Target="https://international.uniparthenope.it/how-to-enrol/" TargetMode="External"/><Relationship Id="rId35" Type="http://schemas.openxmlformats.org/officeDocument/2006/relationships/hyperlink" Target="https://www.hs-pforzheim.de/en/international/studying_in_pforzheim/regular_degree_students/language_requirements" TargetMode="External"/><Relationship Id="rId1329" Type="http://schemas.openxmlformats.org/officeDocument/2006/relationships/hyperlink" Target="https://international.uniparthenope.it/how-to-enrol/" TargetMode="External"/><Relationship Id="rId34" Type="http://schemas.openxmlformats.org/officeDocument/2006/relationships/hyperlink" Target="https://www.hs-pforzheim.de/en/" TargetMode="External"/><Relationship Id="rId739" Type="http://schemas.openxmlformats.org/officeDocument/2006/relationships/hyperlink" Target="https://www.boisestate.edu/" TargetMode="External"/><Relationship Id="rId734" Type="http://schemas.openxmlformats.org/officeDocument/2006/relationships/hyperlink" Target="https://www.uni-lj.si/assets/Sluzba-za-mednarodno-sodelovanje/Dear-exchange-student-letter-2024-25.pdf" TargetMode="External"/><Relationship Id="rId733" Type="http://schemas.openxmlformats.org/officeDocument/2006/relationships/hyperlink" Target="https://www.uni-lj.si/university/" TargetMode="External"/><Relationship Id="rId732" Type="http://schemas.openxmlformats.org/officeDocument/2006/relationships/hyperlink" Target="https://www.uni-lj.si/assets/Sluzba-za-mednarodno-sodelovanje/Dear-exchange-student-letter-2024-25.pdf" TargetMode="External"/><Relationship Id="rId731" Type="http://schemas.openxmlformats.org/officeDocument/2006/relationships/hyperlink" Target="https://www.uni-lj.si/assets/Sluzba-za-mednarodno-sodelovanje/Dear-exchange-student-letter-2024-25.pdf" TargetMode="External"/><Relationship Id="rId738" Type="http://schemas.openxmlformats.org/officeDocument/2006/relationships/hyperlink" Target="https://www.uni-lj.si/assets/Sluzba-za-mednarodno-sodelovanje/Dear-exchange-student-letter-2024-25.pdf" TargetMode="External"/><Relationship Id="rId737" Type="http://schemas.openxmlformats.org/officeDocument/2006/relationships/hyperlink" Target="https://www.uni-lj.si/assets/Sluzba-za-mednarodno-sodelovanje/Dear-exchange-student-letter-2024-25.pdf" TargetMode="External"/><Relationship Id="rId736" Type="http://schemas.openxmlformats.org/officeDocument/2006/relationships/hyperlink" Target="https://www.uni-lj.si/university/" TargetMode="External"/><Relationship Id="rId735" Type="http://schemas.openxmlformats.org/officeDocument/2006/relationships/hyperlink" Target="https://www.uni-lj.si/assets/Sluzba-za-mednarodno-sodelovanje/Dear-exchange-student-letter-2024-25.pdf" TargetMode="External"/><Relationship Id="rId37" Type="http://schemas.openxmlformats.org/officeDocument/2006/relationships/hyperlink" Target="https://www.fh-westkueste.de/home/" TargetMode="External"/><Relationship Id="rId36" Type="http://schemas.openxmlformats.org/officeDocument/2006/relationships/hyperlink" Target="https://www.hs-pforzheim.de/en/international/studying_in_pforzheim/regular_degree_students/language_requirements" TargetMode="External"/><Relationship Id="rId39" Type="http://schemas.openxmlformats.org/officeDocument/2006/relationships/hyperlink" Target="https://en.fh-westkueste.de/international/incoming-students/international-applicants/" TargetMode="External"/><Relationship Id="rId38" Type="http://schemas.openxmlformats.org/officeDocument/2006/relationships/hyperlink" Target="https://en.fh-westkueste.de/international/incoming-students/international-applicants/" TargetMode="External"/><Relationship Id="rId730" Type="http://schemas.openxmlformats.org/officeDocument/2006/relationships/hyperlink" Target="https://www.uni-lj.si/university/" TargetMode="External"/><Relationship Id="rId1320" Type="http://schemas.openxmlformats.org/officeDocument/2006/relationships/hyperlink" Target="https://www.uc3m.es/secretaria-virtual/media/secretaria-virtual/doc/archivo/doc_e_fs_i_milano02_1/i-milano02_fs_2324.pdf" TargetMode="External"/><Relationship Id="rId1321" Type="http://schemas.openxmlformats.org/officeDocument/2006/relationships/hyperlink" Target="https://www.uc3m.es/secretaria-virtual/media/secretaria-virtual/doc/archivo/doc_e_fs_i_milano02_1/i-milano02_fs_2324.pdf" TargetMode="External"/><Relationship Id="rId1322" Type="http://schemas.openxmlformats.org/officeDocument/2006/relationships/hyperlink" Target="https://www.uniroma1.it/it/pagina/students-coming-sapienza" TargetMode="External"/><Relationship Id="rId1356" Type="http://schemas.openxmlformats.org/officeDocument/2006/relationships/hyperlink" Target="https://www.ingegneria.unifi.it/vp-370-language-requirements.html" TargetMode="External"/><Relationship Id="rId2203" Type="http://schemas.openxmlformats.org/officeDocument/2006/relationships/hyperlink" Target="https://studyabroad.reading.ac.uk/incoming/apply/exchange-students/" TargetMode="External"/><Relationship Id="rId1357" Type="http://schemas.openxmlformats.org/officeDocument/2006/relationships/hyperlink" Target="https://www.unifi.it/" TargetMode="External"/><Relationship Id="rId2204" Type="http://schemas.openxmlformats.org/officeDocument/2006/relationships/hyperlink" Target="https://studyabroad.reading.ac.uk/incoming/apply/exchange-students/" TargetMode="External"/><Relationship Id="rId20" Type="http://schemas.openxmlformats.org/officeDocument/2006/relationships/hyperlink" Target="https://en.fh-westkueste.de/en/international/incoming-students/international-applicants/" TargetMode="External"/><Relationship Id="rId1358" Type="http://schemas.openxmlformats.org/officeDocument/2006/relationships/hyperlink" Target="https://www.ingegneria.unifi.it/vp-370-language-requirements.html" TargetMode="External"/><Relationship Id="rId2205" Type="http://schemas.openxmlformats.org/officeDocument/2006/relationships/hyperlink" Target="http://www.reading.ac.uk/" TargetMode="External"/><Relationship Id="rId1359" Type="http://schemas.openxmlformats.org/officeDocument/2006/relationships/hyperlink" Target="https://www.ingegneria.unifi.it/vp-370-language-requirements.html" TargetMode="External"/><Relationship Id="rId2206" Type="http://schemas.openxmlformats.org/officeDocument/2006/relationships/hyperlink" Target="https://studyabroad.reading.ac.uk/incoming/apply/exchange-students/" TargetMode="External"/><Relationship Id="rId22" Type="http://schemas.openxmlformats.org/officeDocument/2006/relationships/hyperlink" Target="https://www.ebs.edu/" TargetMode="External"/><Relationship Id="rId2207" Type="http://schemas.openxmlformats.org/officeDocument/2006/relationships/hyperlink" Target="https://studyabroad.reading.ac.uk/incoming/apply/exchange-students/" TargetMode="External"/><Relationship Id="rId21" Type="http://schemas.openxmlformats.org/officeDocument/2006/relationships/hyperlink" Target="https://en.fh-westkueste.de/en/international/incoming-students/international-applicants/" TargetMode="External"/><Relationship Id="rId2208" Type="http://schemas.openxmlformats.org/officeDocument/2006/relationships/hyperlink" Target="http://www.reading.ac.uk/" TargetMode="External"/><Relationship Id="rId24" Type="http://schemas.openxmlformats.org/officeDocument/2006/relationships/hyperlink" Target="https://en.fh-westkueste.de/en/international/incoming-students/international-applicants/" TargetMode="External"/><Relationship Id="rId2209" Type="http://schemas.openxmlformats.org/officeDocument/2006/relationships/hyperlink" Target="https://studyabroad.reading.ac.uk/incoming/apply/exchange-students/" TargetMode="External"/><Relationship Id="rId23" Type="http://schemas.openxmlformats.org/officeDocument/2006/relationships/hyperlink" Target="https://en.fh-westkueste.de/en/international/incoming-students/international-applicants/" TargetMode="External"/><Relationship Id="rId767" Type="http://schemas.openxmlformats.org/officeDocument/2006/relationships/hyperlink" Target="https://csumb.edu/international/programs/semester-at/admissions/" TargetMode="External"/><Relationship Id="rId766" Type="http://schemas.openxmlformats.org/officeDocument/2006/relationships/hyperlink" Target="https://csumb.edu/" TargetMode="External"/><Relationship Id="rId765" Type="http://schemas.openxmlformats.org/officeDocument/2006/relationships/hyperlink" Target="https://www.butler.edu/admission-aid/international/english-profiency-requirements/" TargetMode="External"/><Relationship Id="rId764" Type="http://schemas.openxmlformats.org/officeDocument/2006/relationships/hyperlink" Target="https://www.butler.edu/admission-aid/international/english-profiency-requirements/" TargetMode="External"/><Relationship Id="rId769" Type="http://schemas.openxmlformats.org/officeDocument/2006/relationships/hyperlink" Target="https://csumb.edu/" TargetMode="External"/><Relationship Id="rId768" Type="http://schemas.openxmlformats.org/officeDocument/2006/relationships/hyperlink" Target="https://csumb.edu/international/programs/semester-at/admissions/" TargetMode="External"/><Relationship Id="rId26" Type="http://schemas.openxmlformats.org/officeDocument/2006/relationships/hyperlink" Target="https://www.hwr-berlin.de/fileadmin/portal/Dokumente/Studium/Internationales/Exchange-Fact-Sheet.pdf" TargetMode="External"/><Relationship Id="rId25" Type="http://schemas.openxmlformats.org/officeDocument/2006/relationships/hyperlink" Target="https://www.ebs.edu/" TargetMode="External"/><Relationship Id="rId28" Type="http://schemas.openxmlformats.org/officeDocument/2006/relationships/hyperlink" Target="https://www.europa-uni.de/en/index.html" TargetMode="External"/><Relationship Id="rId1350" Type="http://schemas.openxmlformats.org/officeDocument/2006/relationships/hyperlink" Target="https://www.unicampania.it/index.php/international/international-students" TargetMode="External"/><Relationship Id="rId27" Type="http://schemas.openxmlformats.org/officeDocument/2006/relationships/hyperlink" Target="https://www.hwr-berlin.de/fileadmin/portal/Dokumente/Studium/Internationales/Exchange-Fact-Sheet.pdf" TargetMode="External"/><Relationship Id="rId1351" Type="http://schemas.openxmlformats.org/officeDocument/2006/relationships/hyperlink" Target="https://www.unicas.it/" TargetMode="External"/><Relationship Id="rId763" Type="http://schemas.openxmlformats.org/officeDocument/2006/relationships/hyperlink" Target="https://www.butler.edu/" TargetMode="External"/><Relationship Id="rId1352" Type="http://schemas.openxmlformats.org/officeDocument/2006/relationships/hyperlink" Target="https://www.unicampania.it/index.php/international/international-students" TargetMode="External"/><Relationship Id="rId29" Type="http://schemas.openxmlformats.org/officeDocument/2006/relationships/hyperlink" Target="https://www.europa-uni.de/en/internationales/index.html" TargetMode="External"/><Relationship Id="rId762" Type="http://schemas.openxmlformats.org/officeDocument/2006/relationships/hyperlink" Target="https://www.bc.edu/content/bc-web/sites/global-engagement/sites/office-of-global-education/exchange-students.html" TargetMode="External"/><Relationship Id="rId1353" Type="http://schemas.openxmlformats.org/officeDocument/2006/relationships/hyperlink" Target="https://www.unicampania.it/index.php/international/international-students" TargetMode="External"/><Relationship Id="rId2200" Type="http://schemas.openxmlformats.org/officeDocument/2006/relationships/hyperlink" Target="https://www.manchester.ac.uk/study/international/study-abroad-exchange/applications/" TargetMode="External"/><Relationship Id="rId761" Type="http://schemas.openxmlformats.org/officeDocument/2006/relationships/hyperlink" Target="https://www.bc.edu/content/bc-web/sites/global-engagement/sites/office-of-global-education/exchange-students.html" TargetMode="External"/><Relationship Id="rId1354" Type="http://schemas.openxmlformats.org/officeDocument/2006/relationships/hyperlink" Target="https://www.unifi.it/" TargetMode="External"/><Relationship Id="rId2201" Type="http://schemas.openxmlformats.org/officeDocument/2006/relationships/hyperlink" Target="https://www.manchester.ac.uk/study/international/study-abroad-exchange/applications/" TargetMode="External"/><Relationship Id="rId760" Type="http://schemas.openxmlformats.org/officeDocument/2006/relationships/hyperlink" Target="https://www.bc.edu/" TargetMode="External"/><Relationship Id="rId1355" Type="http://schemas.openxmlformats.org/officeDocument/2006/relationships/hyperlink" Target="https://www.ingegneria.unifi.it/vp-370-language-requirements.html" TargetMode="External"/><Relationship Id="rId2202" Type="http://schemas.openxmlformats.org/officeDocument/2006/relationships/hyperlink" Target="http://www.reading.ac.uk/" TargetMode="External"/><Relationship Id="rId1345" Type="http://schemas.openxmlformats.org/officeDocument/2006/relationships/hyperlink" Target="https://www.uninsubria.it/" TargetMode="External"/><Relationship Id="rId1346" Type="http://schemas.openxmlformats.org/officeDocument/2006/relationships/hyperlink" Target="https://www.uninsubria.eu/sites/sten/files/2024-04/I%20VARESE02_FactSheet%20AY%202024-25%20and%20Departmental%20coordinators.pdf" TargetMode="External"/><Relationship Id="rId1347" Type="http://schemas.openxmlformats.org/officeDocument/2006/relationships/hyperlink" Target="https://www.uninsubria.eu/sites/sten/files/2024-04/I%20VARESE02_FactSheet%20AY%202024-25%20and%20Departmental%20coordinators.pdf" TargetMode="External"/><Relationship Id="rId1348" Type="http://schemas.openxmlformats.org/officeDocument/2006/relationships/hyperlink" Target="https://www.unicampania.it/" TargetMode="External"/><Relationship Id="rId11" Type="http://schemas.openxmlformats.org/officeDocument/2006/relationships/hyperlink" Target="https://uni-tuebingen.de/en/international/study-in-tuebingen/erasmus-and-exchange-to-tuebingen/application-and-preparation/" TargetMode="External"/><Relationship Id="rId1349" Type="http://schemas.openxmlformats.org/officeDocument/2006/relationships/hyperlink" Target="https://www.unicampania.it/index.php/international/international-students" TargetMode="External"/><Relationship Id="rId10" Type="http://schemas.openxmlformats.org/officeDocument/2006/relationships/hyperlink" Target="https://uni-tuebingen.de/" TargetMode="External"/><Relationship Id="rId13" Type="http://schemas.openxmlformats.org/officeDocument/2006/relationships/hyperlink" Target="https://uni-tuebingen.de/" TargetMode="External"/><Relationship Id="rId12" Type="http://schemas.openxmlformats.org/officeDocument/2006/relationships/hyperlink" Target="https://uni-tuebingen.de/en/international/study-in-tuebingen/erasmus-and-exchange-to-tuebingen/application-and-preparation/" TargetMode="External"/><Relationship Id="rId756" Type="http://schemas.openxmlformats.org/officeDocument/2006/relationships/hyperlink" Target="https://www.boisestate.edu/globaleducation-international/apply/ia-international-transfer-admission/" TargetMode="External"/><Relationship Id="rId755" Type="http://schemas.openxmlformats.org/officeDocument/2006/relationships/hyperlink" Target="https://www.boisestate.edu/globaleducation-international/apply/ia-international-transfer-admission/" TargetMode="External"/><Relationship Id="rId754" Type="http://schemas.openxmlformats.org/officeDocument/2006/relationships/hyperlink" Target="https://www.boisestate.edu/" TargetMode="External"/><Relationship Id="rId753" Type="http://schemas.openxmlformats.org/officeDocument/2006/relationships/hyperlink" Target="https://www.boisestate.edu/globaleducation-international/apply/ia-international-transfer-admission/" TargetMode="External"/><Relationship Id="rId759" Type="http://schemas.openxmlformats.org/officeDocument/2006/relationships/hyperlink" Target="https://www.boisestate.edu/globaleducation-international/apply/ia-international-transfer-admission/" TargetMode="External"/><Relationship Id="rId758" Type="http://schemas.openxmlformats.org/officeDocument/2006/relationships/hyperlink" Target="https://www.boisestate.edu/globaleducation-international/apply/ia-international-transfer-admission/" TargetMode="External"/><Relationship Id="rId757" Type="http://schemas.openxmlformats.org/officeDocument/2006/relationships/hyperlink" Target="https://www.boisestate.edu/" TargetMode="External"/><Relationship Id="rId15" Type="http://schemas.openxmlformats.org/officeDocument/2006/relationships/hyperlink" Target="https://uni-tuebingen.de/en/international/study-in-tuebingen/erasmus-and-exchange-to-tuebingen/application-and-preparation/" TargetMode="External"/><Relationship Id="rId14" Type="http://schemas.openxmlformats.org/officeDocument/2006/relationships/hyperlink" Target="https://uni-tuebingen.de/en/international/study-in-tuebingen/erasmus-and-exchange-to-tuebingen/application-and-preparation/" TargetMode="External"/><Relationship Id="rId17" Type="http://schemas.openxmlformats.org/officeDocument/2006/relationships/hyperlink" Target="https://uni-tuebingen.de/en/international/study-in-tuebingen/erasmus-and-exchange-to-tuebingen/application-and-preparation/" TargetMode="External"/><Relationship Id="rId16" Type="http://schemas.openxmlformats.org/officeDocument/2006/relationships/hyperlink" Target="https://uni-tuebingen.de/" TargetMode="External"/><Relationship Id="rId1340" Type="http://schemas.openxmlformats.org/officeDocument/2006/relationships/hyperlink" Target="https://www.liuc.it/campus-ed-opportunita/international-office/incoming-students/visiting-students-programme/" TargetMode="External"/><Relationship Id="rId19" Type="http://schemas.openxmlformats.org/officeDocument/2006/relationships/hyperlink" Target="https://www.ebs.edu/" TargetMode="External"/><Relationship Id="rId752" Type="http://schemas.openxmlformats.org/officeDocument/2006/relationships/hyperlink" Target="https://www.boisestate.edu/globaleducation-international/apply/ia-international-transfer-admission/" TargetMode="External"/><Relationship Id="rId1341" Type="http://schemas.openxmlformats.org/officeDocument/2006/relationships/hyperlink" Target="https://www.liuc.it/campus-ed-opportunita/international-office/incoming-students/visiting-students-programme/" TargetMode="External"/><Relationship Id="rId18" Type="http://schemas.openxmlformats.org/officeDocument/2006/relationships/hyperlink" Target="https://uni-tuebingen.de/en/international/study-in-tuebingen/erasmus-and-exchange-to-tuebingen/application-and-preparation/" TargetMode="External"/><Relationship Id="rId751" Type="http://schemas.openxmlformats.org/officeDocument/2006/relationships/hyperlink" Target="https://www.boisestate.edu/" TargetMode="External"/><Relationship Id="rId1342" Type="http://schemas.openxmlformats.org/officeDocument/2006/relationships/hyperlink" Target="https://www.unicatt.it/" TargetMode="External"/><Relationship Id="rId750" Type="http://schemas.openxmlformats.org/officeDocument/2006/relationships/hyperlink" Target="https://www.boisestate.edu/globaleducation-international/apply/ia-international-transfer-admission/" TargetMode="External"/><Relationship Id="rId1343" Type="http://schemas.openxmlformats.org/officeDocument/2006/relationships/hyperlink" Target="https://international.unicatt.it/ucscinternational-exchange-program-in-milan-faq" TargetMode="External"/><Relationship Id="rId1344" Type="http://schemas.openxmlformats.org/officeDocument/2006/relationships/hyperlink" Target="https://international.unicatt.it/ucscinternational-exchange-program-in-milan-faq" TargetMode="External"/><Relationship Id="rId84" Type="http://schemas.openxmlformats.org/officeDocument/2006/relationships/hyperlink" Target="https://www.nordakademie.de/" TargetMode="External"/><Relationship Id="rId1774" Type="http://schemas.openxmlformats.org/officeDocument/2006/relationships/hyperlink" Target="https://www.rug.nl/bachelors/economics-and-business-economics/" TargetMode="External"/><Relationship Id="rId83" Type="http://schemas.openxmlformats.org/officeDocument/2006/relationships/hyperlink" Target="https://www.mhh.de/en/incomings" TargetMode="External"/><Relationship Id="rId1775" Type="http://schemas.openxmlformats.org/officeDocument/2006/relationships/hyperlink" Target="https://www.rug.nl/" TargetMode="External"/><Relationship Id="rId86" Type="http://schemas.openxmlformats.org/officeDocument/2006/relationships/hyperlink" Target="https://www.nordakademie.de/study-abroad" TargetMode="External"/><Relationship Id="rId1776" Type="http://schemas.openxmlformats.org/officeDocument/2006/relationships/hyperlink" Target="https://www.rug.nl/rechten/education/international-programmes/exchange/admission-deadlines/requirements?lang=en" TargetMode="External"/><Relationship Id="rId85" Type="http://schemas.openxmlformats.org/officeDocument/2006/relationships/hyperlink" Target="https://www.nordakademie.de/study-abroad" TargetMode="External"/><Relationship Id="rId1777" Type="http://schemas.openxmlformats.org/officeDocument/2006/relationships/hyperlink" Target="https://www.rug.nl/" TargetMode="External"/><Relationship Id="rId88" Type="http://schemas.openxmlformats.org/officeDocument/2006/relationships/hyperlink" Target="https://www.hs-osnabrueck.de/en/study/study-offerings/international/incoming/" TargetMode="External"/><Relationship Id="rId1778" Type="http://schemas.openxmlformats.org/officeDocument/2006/relationships/hyperlink" Target="https://www.rug.nl/rechten/education/international-programmes/exchange/admission-deadlines/requirements?lang=en" TargetMode="External"/><Relationship Id="rId87" Type="http://schemas.openxmlformats.org/officeDocument/2006/relationships/hyperlink" Target="https://www.hs-osnabrueck.de/en/" TargetMode="External"/><Relationship Id="rId1779" Type="http://schemas.openxmlformats.org/officeDocument/2006/relationships/hyperlink" Target="https://www.rug.nl/" TargetMode="External"/><Relationship Id="rId89" Type="http://schemas.openxmlformats.org/officeDocument/2006/relationships/hyperlink" Target="https://www.hs-osnabrueck.de/en/study/study-offerings/international/incoming/" TargetMode="External"/><Relationship Id="rId709" Type="http://schemas.openxmlformats.org/officeDocument/2006/relationships/hyperlink" Target="https://www.puce.edu.ec/" TargetMode="External"/><Relationship Id="rId708" Type="http://schemas.openxmlformats.org/officeDocument/2006/relationships/hyperlink" Target="https://www.espe.edu.ec/acreditacion-nacional-e-internacional/" TargetMode="External"/><Relationship Id="rId707" Type="http://schemas.openxmlformats.org/officeDocument/2006/relationships/hyperlink" Target="https://www.espe.edu.ec/acreditacion-nacional-e-internacional/" TargetMode="External"/><Relationship Id="rId706" Type="http://schemas.openxmlformats.org/officeDocument/2006/relationships/hyperlink" Target="https://www.espe.edu.ec/" TargetMode="External"/><Relationship Id="rId80" Type="http://schemas.openxmlformats.org/officeDocument/2006/relationships/hyperlink" Target="https://katho-nrw.de/en/international/international-studies/international-students-at-the-catholic-university-of-the-applied-sciences" TargetMode="External"/><Relationship Id="rId82" Type="http://schemas.openxmlformats.org/officeDocument/2006/relationships/hyperlink" Target="https://www.mhh.de/en/incomings" TargetMode="External"/><Relationship Id="rId81" Type="http://schemas.openxmlformats.org/officeDocument/2006/relationships/hyperlink" Target="https://www.mhh.de/en/" TargetMode="External"/><Relationship Id="rId701" Type="http://schemas.openxmlformats.org/officeDocument/2006/relationships/hyperlink" Target="https://www.puce.edu.ec/internacionalizacion-universitaria/" TargetMode="External"/><Relationship Id="rId700" Type="http://schemas.openxmlformats.org/officeDocument/2006/relationships/hyperlink" Target="https://www.puce.edu.ec/" TargetMode="External"/><Relationship Id="rId705" Type="http://schemas.openxmlformats.org/officeDocument/2006/relationships/hyperlink" Target="https://www.puce.edu.ec/internacionalizacion-universitaria/" TargetMode="External"/><Relationship Id="rId704" Type="http://schemas.openxmlformats.org/officeDocument/2006/relationships/hyperlink" Target="https://www.puce.edu.ec/internacionalizacion-universitaria/" TargetMode="External"/><Relationship Id="rId703" Type="http://schemas.openxmlformats.org/officeDocument/2006/relationships/hyperlink" Target="https://www.puce.edu.ec/" TargetMode="External"/><Relationship Id="rId702" Type="http://schemas.openxmlformats.org/officeDocument/2006/relationships/hyperlink" Target="https://www.puce.edu.ec/internacionalizacion-universitaria/" TargetMode="External"/><Relationship Id="rId1770" Type="http://schemas.openxmlformats.org/officeDocument/2006/relationships/hyperlink" Target="https://www.utwente.nl/en/education/exchange-students/english-requirements/" TargetMode="External"/><Relationship Id="rId1771" Type="http://schemas.openxmlformats.org/officeDocument/2006/relationships/hyperlink" Target="https://www.rug.nl/" TargetMode="External"/><Relationship Id="rId1772" Type="http://schemas.openxmlformats.org/officeDocument/2006/relationships/hyperlink" Target="https://www.rug.nl/rechten/education/international-programmes/exchange/admission-deadlines/requirements?lang=en" TargetMode="External"/><Relationship Id="rId1773" Type="http://schemas.openxmlformats.org/officeDocument/2006/relationships/hyperlink" Target="https://www.rug.nl/" TargetMode="External"/><Relationship Id="rId73" Type="http://schemas.openxmlformats.org/officeDocument/2006/relationships/hyperlink" Target="https://www.hs-harz.de/en/study/exchange-students/study-options/basic-information-on-courses-for-exchange-students" TargetMode="External"/><Relationship Id="rId1763" Type="http://schemas.openxmlformats.org/officeDocument/2006/relationships/hyperlink" Target="https://www.tilburguniversity.edu/" TargetMode="External"/><Relationship Id="rId72" Type="http://schemas.openxmlformats.org/officeDocument/2006/relationships/hyperlink" Target="https://www.hs-harz.de/en/" TargetMode="External"/><Relationship Id="rId1764" Type="http://schemas.openxmlformats.org/officeDocument/2006/relationships/hyperlink" Target="https://www.tilburguniversity.edu/education/exchange-programs/language-requirements" TargetMode="External"/><Relationship Id="rId75" Type="http://schemas.openxmlformats.org/officeDocument/2006/relationships/hyperlink" Target="https://homepage.uni-mainz.de/" TargetMode="External"/><Relationship Id="rId1765" Type="http://schemas.openxmlformats.org/officeDocument/2006/relationships/hyperlink" Target="https://www.universiteitleiden.nl/" TargetMode="External"/><Relationship Id="rId74" Type="http://schemas.openxmlformats.org/officeDocument/2006/relationships/hyperlink" Target="https://www.hs-harz.de/en/study/exchange-students/study-options/basic-information-on-courses-for-exchange-students" TargetMode="External"/><Relationship Id="rId1766" Type="http://schemas.openxmlformats.org/officeDocument/2006/relationships/hyperlink" Target="https://www.universiteitleiden.nl/en/education/admission-and-application/exchange/admission-requirements" TargetMode="External"/><Relationship Id="rId77" Type="http://schemas.openxmlformats.org/officeDocument/2006/relationships/hyperlink" Target="https://content.usi.ch/sites/default/files/storage/attachments/relint/relint-factsheet-mainz.pdf" TargetMode="External"/><Relationship Id="rId1767" Type="http://schemas.openxmlformats.org/officeDocument/2006/relationships/hyperlink" Target="https://www.universiteitleiden.nl/" TargetMode="External"/><Relationship Id="rId76" Type="http://schemas.openxmlformats.org/officeDocument/2006/relationships/hyperlink" Target="https://content.usi.ch/sites/default/files/storage/attachments/relint/relint-factsheet-mainz.pdf" TargetMode="External"/><Relationship Id="rId1768" Type="http://schemas.openxmlformats.org/officeDocument/2006/relationships/hyperlink" Target="https://www.universiteitleiden.nl/en/education/admission-and-application/exchange/admission-requirements" TargetMode="External"/><Relationship Id="rId79" Type="http://schemas.openxmlformats.org/officeDocument/2006/relationships/hyperlink" Target="https://katho-nrw.de/en/international/international-studies/international-students-at-the-catholic-university-of-the-applied-sciences" TargetMode="External"/><Relationship Id="rId1769" Type="http://schemas.openxmlformats.org/officeDocument/2006/relationships/hyperlink" Target="https://www.utwente.nl/en/education/bachelor/programmes/university-college-twente/" TargetMode="External"/><Relationship Id="rId78" Type="http://schemas.openxmlformats.org/officeDocument/2006/relationships/hyperlink" Target="https://katho-nrw.de/" TargetMode="External"/><Relationship Id="rId71" Type="http://schemas.openxmlformats.org/officeDocument/2006/relationships/hyperlink" Target="https://www.hs-rm.de/fileadmin/user_upload/FactSheet_AY2022_23_web.pdf" TargetMode="External"/><Relationship Id="rId70" Type="http://schemas.openxmlformats.org/officeDocument/2006/relationships/hyperlink" Target="https://www.hs-rm.de/fileadmin/user_upload/FactSheet_AY2022_23_web.pdf" TargetMode="External"/><Relationship Id="rId1760" Type="http://schemas.openxmlformats.org/officeDocument/2006/relationships/hyperlink" Target="https://www.tilburguniversity.edu/education/exchange-programs/language-requirements" TargetMode="External"/><Relationship Id="rId1761" Type="http://schemas.openxmlformats.org/officeDocument/2006/relationships/hyperlink" Target="https://www.tilburguniversity.edu/" TargetMode="External"/><Relationship Id="rId1762" Type="http://schemas.openxmlformats.org/officeDocument/2006/relationships/hyperlink" Target="https://www.tilburguniversity.edu/education/exchange-programs/language-requirements" TargetMode="External"/><Relationship Id="rId62" Type="http://schemas.openxmlformats.org/officeDocument/2006/relationships/hyperlink" Target="https://www.hfph.de/en/studies/studies-and-admissions" TargetMode="External"/><Relationship Id="rId1312" Type="http://schemas.openxmlformats.org/officeDocument/2006/relationships/hyperlink" Target="https://www.jura.fu-berlin.de/international/studierendenaustausch/outgoings/partnerunis/romluiss/LUISS-Fact-sheet-2022_23.pdf" TargetMode="External"/><Relationship Id="rId1796" Type="http://schemas.openxmlformats.org/officeDocument/2006/relationships/hyperlink" Target="https://www.up.edu.pe/" TargetMode="External"/><Relationship Id="rId61" Type="http://schemas.openxmlformats.org/officeDocument/2006/relationships/hyperlink" Target="https://hfph.de/en" TargetMode="External"/><Relationship Id="rId1313" Type="http://schemas.openxmlformats.org/officeDocument/2006/relationships/hyperlink" Target="https://www.luiss.it/" TargetMode="External"/><Relationship Id="rId1797" Type="http://schemas.openxmlformats.org/officeDocument/2006/relationships/hyperlink" Target="https://ori.up.edu.pe/incoming/" TargetMode="External"/><Relationship Id="rId64" Type="http://schemas.openxmlformats.org/officeDocument/2006/relationships/hyperlink" Target="https://www.oth-regensburg.de/" TargetMode="External"/><Relationship Id="rId1314" Type="http://schemas.openxmlformats.org/officeDocument/2006/relationships/hyperlink" Target="https://www.jura.fu-berlin.de/international/studierendenaustausch/outgoings/partnerunis/romluiss/LUISS-Fact-sheet-2022_23.pdf" TargetMode="External"/><Relationship Id="rId1798" Type="http://schemas.openxmlformats.org/officeDocument/2006/relationships/hyperlink" Target="https://ori.up.edu.pe/incoming/" TargetMode="External"/><Relationship Id="rId63" Type="http://schemas.openxmlformats.org/officeDocument/2006/relationships/hyperlink" Target="https://www.hfph.de/en/studies/studies-and-admissions" TargetMode="External"/><Relationship Id="rId1315" Type="http://schemas.openxmlformats.org/officeDocument/2006/relationships/hyperlink" Target="https://www.jura.fu-berlin.de/international/studierendenaustausch/outgoings/partnerunis/romluiss/LUISS-Fact-sheet-2022_23.pdf" TargetMode="External"/><Relationship Id="rId1799" Type="http://schemas.openxmlformats.org/officeDocument/2006/relationships/hyperlink" Target="https://www.up.edu.pe/" TargetMode="External"/><Relationship Id="rId66" Type="http://schemas.openxmlformats.org/officeDocument/2006/relationships/hyperlink" Target="https://www.uni-regensburg.de/ur-international/incomings/exchange-programs/application/index.html" TargetMode="External"/><Relationship Id="rId1316" Type="http://schemas.openxmlformats.org/officeDocument/2006/relationships/hyperlink" Target="http://www.poliba.it/" TargetMode="External"/><Relationship Id="rId65" Type="http://schemas.openxmlformats.org/officeDocument/2006/relationships/hyperlink" Target="https://www.uni-regensburg.de/ur-international/incomings/exchange-programs/application/index.html" TargetMode="External"/><Relationship Id="rId1317" Type="http://schemas.openxmlformats.org/officeDocument/2006/relationships/hyperlink" Target="https://www.poliba.it/sites/default/files/poliba_fact_sheet_23-24.pdf" TargetMode="External"/><Relationship Id="rId68" Type="http://schemas.openxmlformats.org/officeDocument/2006/relationships/hyperlink" Target="https://www.uni-ulm.de/en/io/mobility-incomings/planning-to-study-abroad/sprachliche-aspekte/" TargetMode="External"/><Relationship Id="rId1318" Type="http://schemas.openxmlformats.org/officeDocument/2006/relationships/hyperlink" Target="https://www.poliba.it/sites/default/files/poliba_fact_sheet_23-24.pdf" TargetMode="External"/><Relationship Id="rId67" Type="http://schemas.openxmlformats.org/officeDocument/2006/relationships/hyperlink" Target="https://www.uni-ulm.de/en/io/mobility-incomings/planning-to-study-abroad/sprachliche-aspekte/" TargetMode="External"/><Relationship Id="rId1319" Type="http://schemas.openxmlformats.org/officeDocument/2006/relationships/hyperlink" Target="https://www.polimi.it/" TargetMode="External"/><Relationship Id="rId729" Type="http://schemas.openxmlformats.org/officeDocument/2006/relationships/hyperlink" Target="https://www.uni-lj.si/assets/Sluzba-za-mednarodno-sodelovanje/Dear-exchange-student-letter-2024-25.pdf" TargetMode="External"/><Relationship Id="rId728" Type="http://schemas.openxmlformats.org/officeDocument/2006/relationships/hyperlink" Target="https://www.uni-lj.si/assets/Sluzba-za-mednarodno-sodelovanje/Dear-exchange-student-letter-2024-25.pdf" TargetMode="External"/><Relationship Id="rId60" Type="http://schemas.openxmlformats.org/officeDocument/2006/relationships/hyperlink" Target="https://www.hm.edu/en/your_stay_at_hm/exchange_students/index.en.html" TargetMode="External"/><Relationship Id="rId723" Type="http://schemas.openxmlformats.org/officeDocument/2006/relationships/hyperlink" Target="https://www.uni-lj.si/international_cooperation_and_exchange/incoming_students/language_requirements/" TargetMode="External"/><Relationship Id="rId722" Type="http://schemas.openxmlformats.org/officeDocument/2006/relationships/hyperlink" Target="https://www.uni-lj.si/international_cooperation_and_exchange/incoming_students/language_requirements/" TargetMode="External"/><Relationship Id="rId721" Type="http://schemas.openxmlformats.org/officeDocument/2006/relationships/hyperlink" Target="https://www.uni-lj.si/eng/" TargetMode="External"/><Relationship Id="rId720" Type="http://schemas.openxmlformats.org/officeDocument/2006/relationships/hyperlink" Target="https://www.nova-uni.si/en/activities/international-exchange/erasmus/information-for-incoming-students/academic-calendar-grading-system-language-requirements-and-support/" TargetMode="External"/><Relationship Id="rId727" Type="http://schemas.openxmlformats.org/officeDocument/2006/relationships/hyperlink" Target="https://www.uni-lj.si/eng/" TargetMode="External"/><Relationship Id="rId726" Type="http://schemas.openxmlformats.org/officeDocument/2006/relationships/hyperlink" Target="https://www.uni-lj.si/international_cooperation_and_exchange/incoming_students/language_requirements/" TargetMode="External"/><Relationship Id="rId725" Type="http://schemas.openxmlformats.org/officeDocument/2006/relationships/hyperlink" Target="https://www.uni-lj.si/international_cooperation_and_exchange/incoming_students/language_requirements/" TargetMode="External"/><Relationship Id="rId724" Type="http://schemas.openxmlformats.org/officeDocument/2006/relationships/hyperlink" Target="https://www.uni-lj.si/eng/" TargetMode="External"/><Relationship Id="rId69" Type="http://schemas.openxmlformats.org/officeDocument/2006/relationships/hyperlink" Target="https://www.hs-rm.de/en/" TargetMode="External"/><Relationship Id="rId1790" Type="http://schemas.openxmlformats.org/officeDocument/2006/relationships/hyperlink" Target="https://www.windesheim.com/study-programmes/exchange-programmes/exchange-programmes/international-business-studies" TargetMode="External"/><Relationship Id="rId1791" Type="http://schemas.openxmlformats.org/officeDocument/2006/relationships/hyperlink" Target="https://www.windesheim.com/study-programmes/exchange-programmes/exchange-programmes/international-business-studies" TargetMode="External"/><Relationship Id="rId1792" Type="http://schemas.openxmlformats.org/officeDocument/2006/relationships/hyperlink" Target="https://uninorte.edu.py/" TargetMode="External"/><Relationship Id="rId1793" Type="http://schemas.openxmlformats.org/officeDocument/2006/relationships/hyperlink" Target="http://n/a" TargetMode="External"/><Relationship Id="rId1310" Type="http://schemas.openxmlformats.org/officeDocument/2006/relationships/hyperlink" Target="https://www.luiss.it/" TargetMode="External"/><Relationship Id="rId1794" Type="http://schemas.openxmlformats.org/officeDocument/2006/relationships/hyperlink" Target="https://www.up.edu.pe/" TargetMode="External"/><Relationship Id="rId1311" Type="http://schemas.openxmlformats.org/officeDocument/2006/relationships/hyperlink" Target="https://www.jura.fu-berlin.de/international/studierendenaustausch/outgoings/partnerunis/romluiss/LUISS-Fact-sheet-2022_23.pdf" TargetMode="External"/><Relationship Id="rId1795" Type="http://schemas.openxmlformats.org/officeDocument/2006/relationships/hyperlink" Target="http://n/a" TargetMode="External"/><Relationship Id="rId51" Type="http://schemas.openxmlformats.org/officeDocument/2006/relationships/hyperlink" Target="https://www.hm.edu/en/your_stay_at_hm/exchange_students/index.en.html" TargetMode="External"/><Relationship Id="rId1301" Type="http://schemas.openxmlformats.org/officeDocument/2006/relationships/hyperlink" Target="https://www.luiss.it/" TargetMode="External"/><Relationship Id="rId1785" Type="http://schemas.openxmlformats.org/officeDocument/2006/relationships/hyperlink" Target="https://vu.nl/en/education/more-about/meeting-language-proficiency-requirements" TargetMode="External"/><Relationship Id="rId50" Type="http://schemas.openxmlformats.org/officeDocument/2006/relationships/hyperlink" Target="https://www.hm.edu/en/your_stay_at_hm/exchange_students/index.en.html" TargetMode="External"/><Relationship Id="rId1302" Type="http://schemas.openxmlformats.org/officeDocument/2006/relationships/hyperlink" Target="https://www.jura.fu-berlin.de/international/studierendenaustausch/outgoings/partnerunis/romluiss/LUISS-Fact-sheet-2022_23.pdf" TargetMode="External"/><Relationship Id="rId1786" Type="http://schemas.openxmlformats.org/officeDocument/2006/relationships/hyperlink" Target="https://en.thim.nl/" TargetMode="External"/><Relationship Id="rId53" Type="http://schemas.openxmlformats.org/officeDocument/2006/relationships/hyperlink" Target="https://www.hm.edu/en/your_stay_at_hm/exchange_students/index.en.html" TargetMode="External"/><Relationship Id="rId1303" Type="http://schemas.openxmlformats.org/officeDocument/2006/relationships/hyperlink" Target="https://www.jura.fu-berlin.de/international/studierendenaustausch/outgoings/partnerunis/romluiss/LUISS-Fact-sheet-2022_23.pdf" TargetMode="External"/><Relationship Id="rId1787" Type="http://schemas.openxmlformats.org/officeDocument/2006/relationships/hyperlink" Target="https://en.thim.nl/" TargetMode="External"/><Relationship Id="rId52" Type="http://schemas.openxmlformats.org/officeDocument/2006/relationships/hyperlink" Target="https://www.hm.edu/" TargetMode="External"/><Relationship Id="rId1304" Type="http://schemas.openxmlformats.org/officeDocument/2006/relationships/hyperlink" Target="https://www.luiss.it/" TargetMode="External"/><Relationship Id="rId1788" Type="http://schemas.openxmlformats.org/officeDocument/2006/relationships/hyperlink" Target="https://en.thim.nl/" TargetMode="External"/><Relationship Id="rId55" Type="http://schemas.openxmlformats.org/officeDocument/2006/relationships/hyperlink" Target="https://www.hm.edu/" TargetMode="External"/><Relationship Id="rId1305" Type="http://schemas.openxmlformats.org/officeDocument/2006/relationships/hyperlink" Target="https://www.luiss.edu/students/erasmus-and-exchange-students/faqs-frequently-asked-questions" TargetMode="External"/><Relationship Id="rId1789" Type="http://schemas.openxmlformats.org/officeDocument/2006/relationships/hyperlink" Target="https://www.windesheim.com/" TargetMode="External"/><Relationship Id="rId54" Type="http://schemas.openxmlformats.org/officeDocument/2006/relationships/hyperlink" Target="https://www.hm.edu/en/your_stay_at_hm/exchange_students/index.en.html" TargetMode="External"/><Relationship Id="rId1306" Type="http://schemas.openxmlformats.org/officeDocument/2006/relationships/hyperlink" Target="https://www.luiss.edu/students/erasmus-and-exchange-students/faqs-frequently-asked-questions" TargetMode="External"/><Relationship Id="rId57" Type="http://schemas.openxmlformats.org/officeDocument/2006/relationships/hyperlink" Target="https://www.hm.edu/en/your_stay_at_hm/exchange_students/index.en.html" TargetMode="External"/><Relationship Id="rId1307" Type="http://schemas.openxmlformats.org/officeDocument/2006/relationships/hyperlink" Target="https://www.luiss.it/" TargetMode="External"/><Relationship Id="rId56" Type="http://schemas.openxmlformats.org/officeDocument/2006/relationships/hyperlink" Target="https://www.hm.edu/en/your_stay_at_hm/exchange_students/index.en.html" TargetMode="External"/><Relationship Id="rId1308" Type="http://schemas.openxmlformats.org/officeDocument/2006/relationships/hyperlink" Target="https://www.luiss.edu/students/erasmus-and-exchange-students/faqs-frequently-asked-questions" TargetMode="External"/><Relationship Id="rId1309" Type="http://schemas.openxmlformats.org/officeDocument/2006/relationships/hyperlink" Target="https://www.luiss.edu/students/erasmus-and-exchange-students/faqs-frequently-asked-questions" TargetMode="External"/><Relationship Id="rId719" Type="http://schemas.openxmlformats.org/officeDocument/2006/relationships/hyperlink" Target="https://www.nova-uni.si/en/activities/international-exchange/erasmus/information-for-incoming-students/academic-calendar-grading-system-language-requirements-and-support/" TargetMode="External"/><Relationship Id="rId718" Type="http://schemas.openxmlformats.org/officeDocument/2006/relationships/hyperlink" Target="https://www.nova-uni.si/en/faculties/" TargetMode="External"/><Relationship Id="rId717" Type="http://schemas.openxmlformats.org/officeDocument/2006/relationships/hyperlink" Target="https://www.euba.sk/en/medzinarodne-vztahy/prichadzajuci-studenti/documents" TargetMode="External"/><Relationship Id="rId712" Type="http://schemas.openxmlformats.org/officeDocument/2006/relationships/hyperlink" Target="https://www.stuba.sk/english.html?page_id=132" TargetMode="External"/><Relationship Id="rId711" Type="http://schemas.openxmlformats.org/officeDocument/2006/relationships/hyperlink" Target="https://www.puce.edu.ec/internacionalizacion-universitaria/" TargetMode="External"/><Relationship Id="rId710" Type="http://schemas.openxmlformats.org/officeDocument/2006/relationships/hyperlink" Target="https://www.puce.edu.ec/internacionalizacion-universitaria/" TargetMode="External"/><Relationship Id="rId716" Type="http://schemas.openxmlformats.org/officeDocument/2006/relationships/hyperlink" Target="https://www.euba.sk/en/medzinarodne-vztahy/prichadzajuci-studenti/documents" TargetMode="External"/><Relationship Id="rId715" Type="http://schemas.openxmlformats.org/officeDocument/2006/relationships/hyperlink" Target="https://euba.sk/en/" TargetMode="External"/><Relationship Id="rId714" Type="http://schemas.openxmlformats.org/officeDocument/2006/relationships/hyperlink" Target="https://www.stuba.sk/english/ects/ects-information-package/general-information-for-students/language-courses.html?page_id=5451" TargetMode="External"/><Relationship Id="rId713" Type="http://schemas.openxmlformats.org/officeDocument/2006/relationships/hyperlink" Target="https://www.stuba.sk/english/ects/ects-information-package/general-information-for-students/language-courses.html?page_id=5451" TargetMode="External"/><Relationship Id="rId59" Type="http://schemas.openxmlformats.org/officeDocument/2006/relationships/hyperlink" Target="https://www.hm.edu/en/your_stay_at_hm/exchange_students/index.en.html" TargetMode="External"/><Relationship Id="rId58" Type="http://schemas.openxmlformats.org/officeDocument/2006/relationships/hyperlink" Target="https://www.hm.edu/" TargetMode="External"/><Relationship Id="rId1780" Type="http://schemas.openxmlformats.org/officeDocument/2006/relationships/hyperlink" Target="https://www.rug.nl/rechten/education/international-programmes/exchange/admission-deadlines/requirements?lang=en" TargetMode="External"/><Relationship Id="rId1781" Type="http://schemas.openxmlformats.org/officeDocument/2006/relationships/hyperlink" Target="https://www.rug.nl/" TargetMode="External"/><Relationship Id="rId1782" Type="http://schemas.openxmlformats.org/officeDocument/2006/relationships/hyperlink" Target="https://www.rug.nl/rechten/education/international-programmes/exchange/admission-deadlines/requirements?lang=en" TargetMode="External"/><Relationship Id="rId1783" Type="http://schemas.openxmlformats.org/officeDocument/2006/relationships/hyperlink" Target="https://vu.nl/nl" TargetMode="External"/><Relationship Id="rId1300" Type="http://schemas.openxmlformats.org/officeDocument/2006/relationships/hyperlink" Target="https://www.lumsa.it/sites/default/files/didattica/gepli/LMG01Rm_regolamento_2021_2022.pdf" TargetMode="External"/><Relationship Id="rId1784" Type="http://schemas.openxmlformats.org/officeDocument/2006/relationships/hyperlink" Target="https://vu.nl/en/education/more-about/meeting-language-proficiency-requirements" TargetMode="External"/><Relationship Id="rId2269" Type="http://schemas.openxmlformats.org/officeDocument/2006/relationships/hyperlink" Target="https://internazionalelingue.uniparthenope.it/wp-content/uploads/POLONIA-CZ_OLOMOUC01_factsheet_2021_2022_20210225_General.pdf" TargetMode="External"/><Relationship Id="rId349" Type="http://schemas.openxmlformats.org/officeDocument/2006/relationships/hyperlink" Target="https://www.ulb.be/en/incoming-mobility/practical-information-for-incoming-students" TargetMode="External"/><Relationship Id="rId348" Type="http://schemas.openxmlformats.org/officeDocument/2006/relationships/hyperlink" Target="https://www.ulb.be/" TargetMode="External"/><Relationship Id="rId347" Type="http://schemas.openxmlformats.org/officeDocument/2006/relationships/hyperlink" Target="https://www.international.uliege.be/cms/c_9116292/en/language-requirements-/incoming-exchange-students" TargetMode="External"/><Relationship Id="rId346" Type="http://schemas.openxmlformats.org/officeDocument/2006/relationships/hyperlink" Target="https://www.international.uliege.be/cms/c_9116292/en/language-requirements-/incoming-exchange-students" TargetMode="External"/><Relationship Id="rId2260" Type="http://schemas.openxmlformats.org/officeDocument/2006/relationships/hyperlink" Target="https://www.economia.unifi.it/upload/sub/relazioni-internazionali/FACTSHEETS/CZ%20LIBEREC01%20202021.pdf" TargetMode="External"/><Relationship Id="rId341" Type="http://schemas.openxmlformats.org/officeDocument/2006/relationships/hyperlink" Target="https://www.international.uliege.be/cms/c_9116292/en/language-requirements-/incoming-exchange-students" TargetMode="External"/><Relationship Id="rId2261" Type="http://schemas.openxmlformats.org/officeDocument/2006/relationships/hyperlink" Target="https://www.vsb.cz/en" TargetMode="External"/><Relationship Id="rId340" Type="http://schemas.openxmlformats.org/officeDocument/2006/relationships/hyperlink" Target="https://www.international.uliege.be/cms/c_9116292/en/language-requirements-/incoming-exchange-students" TargetMode="External"/><Relationship Id="rId2262" Type="http://schemas.openxmlformats.org/officeDocument/2006/relationships/hyperlink" Target="https://www.vsb.cz/en/study/exchange-students/exchange-programme/admission-requirements-and-application-procedure/" TargetMode="External"/><Relationship Id="rId2263" Type="http://schemas.openxmlformats.org/officeDocument/2006/relationships/hyperlink" Target="https://www.vsb.cz/en/study/exchange-students/exchange-programme/admission-requirements-and-application-procedure/" TargetMode="External"/><Relationship Id="rId2264" Type="http://schemas.openxmlformats.org/officeDocument/2006/relationships/hyperlink" Target="https://www.upol.cz/" TargetMode="External"/><Relationship Id="rId345" Type="http://schemas.openxmlformats.org/officeDocument/2006/relationships/hyperlink" Target="https://www.programmes.uliege.be/cocoon/20232024/en/formations/bref/R1INGE01.html" TargetMode="External"/><Relationship Id="rId2265" Type="http://schemas.openxmlformats.org/officeDocument/2006/relationships/hyperlink" Target="https://internazionalelingue.uniparthenope.it/wp-content/uploads/POLONIA-CZ_OLOMOUC01_factsheet_2021_2022_20210225_General.pdf" TargetMode="External"/><Relationship Id="rId344" Type="http://schemas.openxmlformats.org/officeDocument/2006/relationships/hyperlink" Target="https://www.international.uliege.be/cms/c_9116292/en/language-requirements-/incoming-exchange-students" TargetMode="External"/><Relationship Id="rId2266" Type="http://schemas.openxmlformats.org/officeDocument/2006/relationships/hyperlink" Target="https://internazionalelingue.uniparthenope.it/wp-content/uploads/POLONIA-CZ_OLOMOUC01_factsheet_2021_2022_20210225_General.pdf" TargetMode="External"/><Relationship Id="rId343" Type="http://schemas.openxmlformats.org/officeDocument/2006/relationships/hyperlink" Target="https://www.international.uliege.be/cms/c_9116292/en/language-requirements-/incoming-exchange-students" TargetMode="External"/><Relationship Id="rId2267" Type="http://schemas.openxmlformats.org/officeDocument/2006/relationships/hyperlink" Target="https://www.upol.cz/" TargetMode="External"/><Relationship Id="rId342" Type="http://schemas.openxmlformats.org/officeDocument/2006/relationships/hyperlink" Target="https://www.uliege.be/" TargetMode="External"/><Relationship Id="rId2268" Type="http://schemas.openxmlformats.org/officeDocument/2006/relationships/hyperlink" Target="https://internazionalelingue.uniparthenope.it/wp-content/uploads/POLONIA-CZ_OLOMOUC01_factsheet_2021_2022_20210225_General.pdf" TargetMode="External"/><Relationship Id="rId2258" Type="http://schemas.openxmlformats.org/officeDocument/2006/relationships/hyperlink" Target="https://www.tul.cz/en/home-page/" TargetMode="External"/><Relationship Id="rId2259" Type="http://schemas.openxmlformats.org/officeDocument/2006/relationships/hyperlink" Target="https://www.economia.unifi.it/upload/sub/relazioni-internazionali/FACTSHEETS/CZ%20LIBEREC01%20202021.pdf" TargetMode="External"/><Relationship Id="rId338" Type="http://schemas.openxmlformats.org/officeDocument/2006/relationships/hyperlink" Target="https://www.uc3m.es/secretaria-virtual/media/secretaria-virtual/doc/archivo/doc_e_fs_b_louvain01/b-louvain01_fs_2223.pdf" TargetMode="External"/><Relationship Id="rId337" Type="http://schemas.openxmlformats.org/officeDocument/2006/relationships/hyperlink" Target="https://www.uc3m.es/secretaria-virtual/media/secretaria-virtual/doc/archivo/doc_e_fs_b_louvain01/b-louvain01_fs_2223.pdf" TargetMode="External"/><Relationship Id="rId336" Type="http://schemas.openxmlformats.org/officeDocument/2006/relationships/hyperlink" Target="https://uclouvain.be/fr/index.html" TargetMode="External"/><Relationship Id="rId335" Type="http://schemas.openxmlformats.org/officeDocument/2006/relationships/hyperlink" Target="https://www.uc3m.es/secretaria-virtual/media/secretaria-virtual/doc/archivo/doc_e_fs_b_louvain01/b-louvain01_fs_2223.pdf" TargetMode="External"/><Relationship Id="rId339" Type="http://schemas.openxmlformats.org/officeDocument/2006/relationships/hyperlink" Target="https://www.uliege.be/" TargetMode="External"/><Relationship Id="rId330" Type="http://schemas.openxmlformats.org/officeDocument/2006/relationships/hyperlink" Target="https://uclouvain.be/fr/index.html" TargetMode="External"/><Relationship Id="rId2250" Type="http://schemas.openxmlformats.org/officeDocument/2006/relationships/hyperlink" Target="https://czs.muni.cz/en/student-from-abroad/international-student-guide/credit-and-language-requirements" TargetMode="External"/><Relationship Id="rId2251" Type="http://schemas.openxmlformats.org/officeDocument/2006/relationships/hyperlink" Target="https://czs.muni.cz/en/student-from-abroad/international-student-guide/credit-and-language-requirements" TargetMode="External"/><Relationship Id="rId2252" Type="http://schemas.openxmlformats.org/officeDocument/2006/relationships/hyperlink" Target="https://www.muni.cz/en" TargetMode="External"/><Relationship Id="rId2253" Type="http://schemas.openxmlformats.org/officeDocument/2006/relationships/hyperlink" Target="https://czs.muni.cz/en/student-from-abroad/international-student-guide/credit-and-language-requirements" TargetMode="External"/><Relationship Id="rId334" Type="http://schemas.openxmlformats.org/officeDocument/2006/relationships/hyperlink" Target="https://www.uc3m.es/secretaria-virtual/media/secretaria-virtual/doc/archivo/doc_e_fs_b_louvain01/b-louvain01_fs_2223.pdf" TargetMode="External"/><Relationship Id="rId2254" Type="http://schemas.openxmlformats.org/officeDocument/2006/relationships/hyperlink" Target="https://czs.muni.cz/en/student-from-abroad/international-student-guide/credit-and-language-requirements" TargetMode="External"/><Relationship Id="rId333" Type="http://schemas.openxmlformats.org/officeDocument/2006/relationships/hyperlink" Target="https://uclouvain.be/fr/index.html" TargetMode="External"/><Relationship Id="rId2255" Type="http://schemas.openxmlformats.org/officeDocument/2006/relationships/hyperlink" Target="https://www.mup.cz/en/" TargetMode="External"/><Relationship Id="rId332" Type="http://schemas.openxmlformats.org/officeDocument/2006/relationships/hyperlink" Target="https://www.uc3m.es/secretaria-virtual/media/secretaria-virtual/doc/archivo/doc_e_fs_b_louvain01/b-louvain01_fs_2223.pdf" TargetMode="External"/><Relationship Id="rId2256" Type="http://schemas.openxmlformats.org/officeDocument/2006/relationships/hyperlink" Target="https://www.mup.cz/en/international-cooperation/information-for-incoming-exchange-students/exchange-student-application-procedure/" TargetMode="External"/><Relationship Id="rId331" Type="http://schemas.openxmlformats.org/officeDocument/2006/relationships/hyperlink" Target="https://www.uc3m.es/secretaria-virtual/media/secretaria-virtual/doc/archivo/doc_e_fs_b_louvain01/b-louvain01_fs_2223.pdf" TargetMode="External"/><Relationship Id="rId2257" Type="http://schemas.openxmlformats.org/officeDocument/2006/relationships/hyperlink" Target="https://www.mup.cz/en/international-cooperation/information-for-incoming-exchange-students/exchange-student-application-procedure/" TargetMode="External"/><Relationship Id="rId370" Type="http://schemas.openxmlformats.org/officeDocument/2006/relationships/hyperlink" Target="https://www.fecap.br/" TargetMode="External"/><Relationship Id="rId369" Type="http://schemas.openxmlformats.org/officeDocument/2006/relationships/hyperlink" Target="https://www.fecap.br/" TargetMode="External"/><Relationship Id="rId368" Type="http://schemas.openxmlformats.org/officeDocument/2006/relationships/hyperlink" Target="https://www.uantwerpen.be/en/study/erasmus-and-exchange-students/admission/language-requirements/" TargetMode="External"/><Relationship Id="rId2280" Type="http://schemas.openxmlformats.org/officeDocument/2006/relationships/hyperlink" Target="https://www.waseda.jp/fire/gsaps/assets/uploads/2022/07/08_Spring-2023-FACT-SHEETCHECKLIST-for-Exchange-Students.pdf" TargetMode="External"/><Relationship Id="rId2281" Type="http://schemas.openxmlformats.org/officeDocument/2006/relationships/hyperlink" Target="https://www.waseda.jp/fire/gsaps/assets/uploads/2022/07/08_Spring-2023-FACT-SHEETCHECKLIST-for-Exchange-Students.pdf" TargetMode="External"/><Relationship Id="rId2282" Type="http://schemas.openxmlformats.org/officeDocument/2006/relationships/hyperlink" Target="https://www.korea.edu/" TargetMode="External"/><Relationship Id="rId363" Type="http://schemas.openxmlformats.org/officeDocument/2006/relationships/hyperlink" Target="https://www.hogent.be/" TargetMode="External"/><Relationship Id="rId2283" Type="http://schemas.openxmlformats.org/officeDocument/2006/relationships/hyperlink" Target="https://www.waseda.jp/fire/gsaps/assets/uploads/2022/07/08_Spring-2023-FACT-SHEETCHECKLIST-for-Exchange-Students.pdf" TargetMode="External"/><Relationship Id="rId362" Type="http://schemas.openxmlformats.org/officeDocument/2006/relationships/hyperlink" Target="https://www.hogent.be/en/future-student/exchange-programmes/what-is-an-exchange-student/" TargetMode="External"/><Relationship Id="rId2284" Type="http://schemas.openxmlformats.org/officeDocument/2006/relationships/hyperlink" Target="https://www.waseda.jp/fire/gsaps/assets/uploads/2022/07/08_Spring-2023-FACT-SHEETCHECKLIST-for-Exchange-Students.pdf" TargetMode="External"/><Relationship Id="rId361" Type="http://schemas.openxmlformats.org/officeDocument/2006/relationships/hyperlink" Target="https://www.hogent.be/en/future-student/exchange-programmes/what-is-an-exchange-student/" TargetMode="External"/><Relationship Id="rId2285" Type="http://schemas.openxmlformats.org/officeDocument/2006/relationships/hyperlink" Target="https://www.korea.edu/" TargetMode="External"/><Relationship Id="rId360" Type="http://schemas.openxmlformats.org/officeDocument/2006/relationships/hyperlink" Target="https://www.hogent.be/" TargetMode="External"/><Relationship Id="rId2286" Type="http://schemas.openxmlformats.org/officeDocument/2006/relationships/hyperlink" Target="https://www.waseda.jp/fire/gsaps/assets/uploads/2022/07/08_Spring-2023-FACT-SHEETCHECKLIST-for-Exchange-Students.pdf" TargetMode="External"/><Relationship Id="rId367" Type="http://schemas.openxmlformats.org/officeDocument/2006/relationships/hyperlink" Target="https://www.uantwerpen.be/en/study/erasmus-and-exchange-students/admission/language-requirements/" TargetMode="External"/><Relationship Id="rId2287" Type="http://schemas.openxmlformats.org/officeDocument/2006/relationships/hyperlink" Target="https://www.waseda.jp/fire/gsaps/assets/uploads/2022/07/08_Spring-2023-FACT-SHEETCHECKLIST-for-Exchange-Students.pdf" TargetMode="External"/><Relationship Id="rId366" Type="http://schemas.openxmlformats.org/officeDocument/2006/relationships/hyperlink" Target="https://www.uantwerpen.be/en/" TargetMode="External"/><Relationship Id="rId2288" Type="http://schemas.openxmlformats.org/officeDocument/2006/relationships/hyperlink" Target="https://www.pusan.ac.kr/eng/Main.do" TargetMode="External"/><Relationship Id="rId365" Type="http://schemas.openxmlformats.org/officeDocument/2006/relationships/hyperlink" Target="https://www.hogent.be/en/future-student/exchange-programmes/what-is-an-exchange-student/" TargetMode="External"/><Relationship Id="rId2289" Type="http://schemas.openxmlformats.org/officeDocument/2006/relationships/hyperlink" Target="https://his.pusan.ac.kr/sites/international_eng/download/Study%20Abroad%20at%20PNU.pdf" TargetMode="External"/><Relationship Id="rId364" Type="http://schemas.openxmlformats.org/officeDocument/2006/relationships/hyperlink" Target="https://www.hogent.be/en/future-student/exchange-programmes/what-is-an-exchange-student/" TargetMode="External"/><Relationship Id="rId95" Type="http://schemas.openxmlformats.org/officeDocument/2006/relationships/hyperlink" Target="https://eurep.auth.gr/sites/default/files/fact_sheets/D%20BAMBERG01_Factsheet_2022-2023.pdf" TargetMode="External"/><Relationship Id="rId94" Type="http://schemas.openxmlformats.org/officeDocument/2006/relationships/hyperlink" Target="https://eurep.auth.gr/sites/default/files/fact_sheets/D%20BAMBERG01_Factsheet_2022-2023.pdf" TargetMode="External"/><Relationship Id="rId97" Type="http://schemas.openxmlformats.org/officeDocument/2006/relationships/hyperlink" Target="https://eurep.auth.gr/sites/default/files/fact_sheets/D%20BAMBERG01_Factsheet_2022-2023.pdf" TargetMode="External"/><Relationship Id="rId96" Type="http://schemas.openxmlformats.org/officeDocument/2006/relationships/hyperlink" Target="https://www.uni-bamberg.de/" TargetMode="External"/><Relationship Id="rId99" Type="http://schemas.openxmlformats.org/officeDocument/2006/relationships/hyperlink" Target="https://www.uni-bamberg.de/" TargetMode="External"/><Relationship Id="rId98" Type="http://schemas.openxmlformats.org/officeDocument/2006/relationships/hyperlink" Target="https://eurep.auth.gr/sites/default/files/fact_sheets/D%20BAMBERG01_Factsheet_2022-2023.pdf" TargetMode="External"/><Relationship Id="rId91" Type="http://schemas.openxmlformats.org/officeDocument/2006/relationships/hyperlink" Target="https://www.hs-osnabrueck.de/en/study/study-offerings/international/incoming/" TargetMode="External"/><Relationship Id="rId90" Type="http://schemas.openxmlformats.org/officeDocument/2006/relationships/hyperlink" Target="https://www.hs-osnabrueck.de/en/" TargetMode="External"/><Relationship Id="rId93" Type="http://schemas.openxmlformats.org/officeDocument/2006/relationships/hyperlink" Target="https://www.uni-bamberg.de/" TargetMode="External"/><Relationship Id="rId92" Type="http://schemas.openxmlformats.org/officeDocument/2006/relationships/hyperlink" Target="https://www.hs-osnabrueck.de/en/study/study-offerings/international/incoming/" TargetMode="External"/><Relationship Id="rId359" Type="http://schemas.openxmlformats.org/officeDocument/2006/relationships/hyperlink" Target="https://www.ul.ie/media/23544/download?inline" TargetMode="External"/><Relationship Id="rId358" Type="http://schemas.openxmlformats.org/officeDocument/2006/relationships/hyperlink" Target="https://www.ul.ie/media/23544/download?inline" TargetMode="External"/><Relationship Id="rId357" Type="http://schemas.openxmlformats.org/officeDocument/2006/relationships/hyperlink" Target="https://www.solvay.edu/" TargetMode="External"/><Relationship Id="rId2270" Type="http://schemas.openxmlformats.org/officeDocument/2006/relationships/hyperlink" Target="https://www.hanyang.ac.kr/web/eng/erica-campus1" TargetMode="External"/><Relationship Id="rId2271" Type="http://schemas.openxmlformats.org/officeDocument/2006/relationships/hyperlink" Target="https://intl.hkbu.edu.hk/f/partner/1397/South%20Korea_Hanyang%20University_factsheet.pdf" TargetMode="External"/><Relationship Id="rId352" Type="http://schemas.openxmlformats.org/officeDocument/2006/relationships/hyperlink" Target="https://www.ulb.be/en/incoming-mobility/practical-information-for-incoming-students" TargetMode="External"/><Relationship Id="rId2272" Type="http://schemas.openxmlformats.org/officeDocument/2006/relationships/hyperlink" Target="https://intl.hkbu.edu.hk/f/partner/1397/South%20Korea_Hanyang%20University_factsheet.pdf" TargetMode="External"/><Relationship Id="rId351" Type="http://schemas.openxmlformats.org/officeDocument/2006/relationships/hyperlink" Target="https://www.ulb.be/" TargetMode="External"/><Relationship Id="rId2273" Type="http://schemas.openxmlformats.org/officeDocument/2006/relationships/hyperlink" Target="https://www.hanyang.ac.kr/web/eng" TargetMode="External"/><Relationship Id="rId350" Type="http://schemas.openxmlformats.org/officeDocument/2006/relationships/hyperlink" Target="https://www.ulb.be/en/incoming-mobility/practical-information-for-incoming-students" TargetMode="External"/><Relationship Id="rId2274" Type="http://schemas.openxmlformats.org/officeDocument/2006/relationships/hyperlink" Target="https://www.hanyang.ac.kr/web/eng/global_s" TargetMode="External"/><Relationship Id="rId2275" Type="http://schemas.openxmlformats.org/officeDocument/2006/relationships/hyperlink" Target="https://www.hanyang.ac.kr/web/eng/global_s" TargetMode="External"/><Relationship Id="rId356" Type="http://schemas.openxmlformats.org/officeDocument/2006/relationships/hyperlink" Target="https://www.ulb.be/en/incoming-mobility/practical-information-for-incoming-students" TargetMode="External"/><Relationship Id="rId2276" Type="http://schemas.openxmlformats.org/officeDocument/2006/relationships/hyperlink" Target="https://www.inu.ac.kr/mbshome/mbs/inuengl/index.html" TargetMode="External"/><Relationship Id="rId355" Type="http://schemas.openxmlformats.org/officeDocument/2006/relationships/hyperlink" Target="https://www.ulb.be/en/incoming-mobility/practical-information-for-incoming-students" TargetMode="External"/><Relationship Id="rId2277" Type="http://schemas.openxmlformats.org/officeDocument/2006/relationships/hyperlink" Target="https://www.inu.ac.kr/inuengl/8533/subview.do" TargetMode="External"/><Relationship Id="rId354" Type="http://schemas.openxmlformats.org/officeDocument/2006/relationships/hyperlink" Target="https://www.ulb.be/" TargetMode="External"/><Relationship Id="rId2278" Type="http://schemas.openxmlformats.org/officeDocument/2006/relationships/hyperlink" Target="https://www.inu.ac.kr/inuengl/8533/subview.do" TargetMode="External"/><Relationship Id="rId353" Type="http://schemas.openxmlformats.org/officeDocument/2006/relationships/hyperlink" Target="https://www.ulb.be/en/incoming-mobility/practical-information-for-incoming-students" TargetMode="External"/><Relationship Id="rId2279" Type="http://schemas.openxmlformats.org/officeDocument/2006/relationships/hyperlink" Target="https://www.korea.edu/" TargetMode="External"/><Relationship Id="rId1378" Type="http://schemas.openxmlformats.org/officeDocument/2006/relationships/hyperlink" Target="https://www.unipd.it/" TargetMode="External"/><Relationship Id="rId2225" Type="http://schemas.openxmlformats.org/officeDocument/2006/relationships/hyperlink" Target="https://www.roehampton.ac.uk/" TargetMode="External"/><Relationship Id="rId1379" Type="http://schemas.openxmlformats.org/officeDocument/2006/relationships/hyperlink" Target="https://www.unipd.it/en/language-requirement-admission-degree-programmes" TargetMode="External"/><Relationship Id="rId2226" Type="http://schemas.openxmlformats.org/officeDocument/2006/relationships/hyperlink" Target="https://www.ncl.ac.uk/" TargetMode="External"/><Relationship Id="rId2227" Type="http://schemas.openxmlformats.org/officeDocument/2006/relationships/hyperlink" Target="https://www.ncl.ac.uk/" TargetMode="External"/><Relationship Id="rId2228" Type="http://schemas.openxmlformats.org/officeDocument/2006/relationships/hyperlink" Target="https://www.ncl.ac.uk/" TargetMode="External"/><Relationship Id="rId2229" Type="http://schemas.openxmlformats.org/officeDocument/2006/relationships/hyperlink" Target="https://www.ncl.ac.uk/" TargetMode="External"/><Relationship Id="rId305" Type="http://schemas.openxmlformats.org/officeDocument/2006/relationships/hyperlink" Target="https://hepn.be/" TargetMode="External"/><Relationship Id="rId789" Type="http://schemas.openxmlformats.org/officeDocument/2006/relationships/hyperlink" Target="https://www.creighton.edu/geo/internationalstudents/exchangestudents" TargetMode="External"/><Relationship Id="rId304" Type="http://schemas.openxmlformats.org/officeDocument/2006/relationships/hyperlink" Target="https://www.unamur.be/en" TargetMode="External"/><Relationship Id="rId788" Type="http://schemas.openxmlformats.org/officeDocument/2006/relationships/hyperlink" Target="https://www.creighton.edu/geo/internationalstudents/exchangestudents" TargetMode="External"/><Relationship Id="rId303" Type="http://schemas.openxmlformats.org/officeDocument/2006/relationships/hyperlink" Target="https://www.unamur.be/en" TargetMode="External"/><Relationship Id="rId787" Type="http://schemas.openxmlformats.org/officeDocument/2006/relationships/hyperlink" Target="https://www.creighton.edu/" TargetMode="External"/><Relationship Id="rId302" Type="http://schemas.openxmlformats.org/officeDocument/2006/relationships/hyperlink" Target="https://www.unamur.be/fr" TargetMode="External"/><Relationship Id="rId786" Type="http://schemas.openxmlformats.org/officeDocument/2006/relationships/hyperlink" Target="https://www.creighton.edu/geo/internationalstudents/exchangestudents" TargetMode="External"/><Relationship Id="rId309" Type="http://schemas.openxmlformats.org/officeDocument/2006/relationships/hyperlink" Target="https://www.ugent.be/prospect/en/administration/application/languagerequirements.htm" TargetMode="External"/><Relationship Id="rId308" Type="http://schemas.openxmlformats.org/officeDocument/2006/relationships/hyperlink" Target="https://www.ugent.be/en" TargetMode="External"/><Relationship Id="rId307" Type="http://schemas.openxmlformats.org/officeDocument/2006/relationships/hyperlink" Target="https://hepn.be/international" TargetMode="External"/><Relationship Id="rId306" Type="http://schemas.openxmlformats.org/officeDocument/2006/relationships/hyperlink" Target="https://hepn.be/international" TargetMode="External"/><Relationship Id="rId781" Type="http://schemas.openxmlformats.org/officeDocument/2006/relationships/hyperlink" Target="https://csumb.edu/" TargetMode="External"/><Relationship Id="rId1370" Type="http://schemas.openxmlformats.org/officeDocument/2006/relationships/hyperlink" Target="https://corsi.unige.it/corsi/11439/erasmus-incoming-erasmus-study-and-traineeship" TargetMode="External"/><Relationship Id="rId780" Type="http://schemas.openxmlformats.org/officeDocument/2006/relationships/hyperlink" Target="https://csumb.edu/international/programs/semester-at/admissions/" TargetMode="External"/><Relationship Id="rId1371" Type="http://schemas.openxmlformats.org/officeDocument/2006/relationships/hyperlink" Target="https://corsi.unige.it/corsi/11439/erasmus-incoming-erasmus-study-and-traineeship" TargetMode="External"/><Relationship Id="rId1372" Type="http://schemas.openxmlformats.org/officeDocument/2006/relationships/hyperlink" Target="https://unige.it/" TargetMode="External"/><Relationship Id="rId1373" Type="http://schemas.openxmlformats.org/officeDocument/2006/relationships/hyperlink" Target="https://corsi.unige.it/corsi/11439/erasmus-incoming-erasmus-study-and-traineeship" TargetMode="External"/><Relationship Id="rId2220" Type="http://schemas.openxmlformats.org/officeDocument/2006/relationships/hyperlink" Target="https://www.strath.ac.uk/" TargetMode="External"/><Relationship Id="rId301" Type="http://schemas.openxmlformats.org/officeDocument/2006/relationships/hyperlink" Target="https://www.unamur.be/en" TargetMode="External"/><Relationship Id="rId785" Type="http://schemas.openxmlformats.org/officeDocument/2006/relationships/hyperlink" Target="https://www.creighton.edu/geo/internationalstudents/exchangestudents" TargetMode="External"/><Relationship Id="rId1374" Type="http://schemas.openxmlformats.org/officeDocument/2006/relationships/hyperlink" Target="https://corsi.unige.it/corsi/11439/erasmus-incoming-erasmus-study-and-traineeship" TargetMode="External"/><Relationship Id="rId2221" Type="http://schemas.openxmlformats.org/officeDocument/2006/relationships/hyperlink" Target="https://www.strath.ac.uk/business/undergraduate/international/comingtostrathclyde/erasmusexchange/" TargetMode="External"/><Relationship Id="rId300" Type="http://schemas.openxmlformats.org/officeDocument/2006/relationships/hyperlink" Target="https://www.unamur.be/en" TargetMode="External"/><Relationship Id="rId784" Type="http://schemas.openxmlformats.org/officeDocument/2006/relationships/hyperlink" Target="https://www.creighton.edu/" TargetMode="External"/><Relationship Id="rId1375" Type="http://schemas.openxmlformats.org/officeDocument/2006/relationships/hyperlink" Target="http://www.unina.it/" TargetMode="External"/><Relationship Id="rId2222" Type="http://schemas.openxmlformats.org/officeDocument/2006/relationships/hyperlink" Target="https://www.strath.ac.uk/business/undergraduate/international/comingtostrathclyde/erasmusexchange/" TargetMode="External"/><Relationship Id="rId783" Type="http://schemas.openxmlformats.org/officeDocument/2006/relationships/hyperlink" Target="https://csumb.edu/international/programs/semester-at/admissions/" TargetMode="External"/><Relationship Id="rId1376" Type="http://schemas.openxmlformats.org/officeDocument/2006/relationships/hyperlink" Target="https://historicosweb.unican.es/perfilcontratante/INAPOLI01.pdf" TargetMode="External"/><Relationship Id="rId2223" Type="http://schemas.openxmlformats.org/officeDocument/2006/relationships/hyperlink" Target="https://www.roehampton.ac.uk/" TargetMode="External"/><Relationship Id="rId782" Type="http://schemas.openxmlformats.org/officeDocument/2006/relationships/hyperlink" Target="https://csumb.edu/international/programs/semester-at/admissions/" TargetMode="External"/><Relationship Id="rId1377" Type="http://schemas.openxmlformats.org/officeDocument/2006/relationships/hyperlink" Target="https://historicosweb.unican.es/perfilcontratante/INAPOLI01.pdf" TargetMode="External"/><Relationship Id="rId2224" Type="http://schemas.openxmlformats.org/officeDocument/2006/relationships/hyperlink" Target="https://www.roehampton.ac.uk/" TargetMode="External"/><Relationship Id="rId1367" Type="http://schemas.openxmlformats.org/officeDocument/2006/relationships/hyperlink" Target="https://corsi.unige.it/corsi/11439/erasmus-incoming-erasmus-study-and-traineeship" TargetMode="External"/><Relationship Id="rId2214" Type="http://schemas.openxmlformats.org/officeDocument/2006/relationships/hyperlink" Target="https://www.strath.ac.uk/" TargetMode="External"/><Relationship Id="rId1368" Type="http://schemas.openxmlformats.org/officeDocument/2006/relationships/hyperlink" Target="https://corsi.unige.it/corsi/11439/erasmus-incoming-erasmus-study-and-traineeship" TargetMode="External"/><Relationship Id="rId2215" Type="http://schemas.openxmlformats.org/officeDocument/2006/relationships/hyperlink" Target="https://www.strath.ac.uk/business/undergraduate/international/comingtostrathclyde/erasmusexchange/" TargetMode="External"/><Relationship Id="rId1369" Type="http://schemas.openxmlformats.org/officeDocument/2006/relationships/hyperlink" Target="https://unige.it/" TargetMode="External"/><Relationship Id="rId2216" Type="http://schemas.openxmlformats.org/officeDocument/2006/relationships/hyperlink" Target="https://www.strath.ac.uk/business/undergraduate/international/comingtostrathclyde/erasmusexchange/" TargetMode="External"/><Relationship Id="rId2217" Type="http://schemas.openxmlformats.org/officeDocument/2006/relationships/hyperlink" Target="https://www.strath.ac.uk/" TargetMode="External"/><Relationship Id="rId2218" Type="http://schemas.openxmlformats.org/officeDocument/2006/relationships/hyperlink" Target="https://www.strath.ac.uk/business/undergraduate/international/comingtostrathclyde/erasmusexchange/" TargetMode="External"/><Relationship Id="rId2219" Type="http://schemas.openxmlformats.org/officeDocument/2006/relationships/hyperlink" Target="https://www.strath.ac.uk/business/undergraduate/international/comingtostrathclyde/erasmusexchange/" TargetMode="External"/><Relationship Id="rId778" Type="http://schemas.openxmlformats.org/officeDocument/2006/relationships/hyperlink" Target="https://csumb.edu/" TargetMode="External"/><Relationship Id="rId777" Type="http://schemas.openxmlformats.org/officeDocument/2006/relationships/hyperlink" Target="https://csumb.edu/international/programs/semester-at/admissions/" TargetMode="External"/><Relationship Id="rId776" Type="http://schemas.openxmlformats.org/officeDocument/2006/relationships/hyperlink" Target="https://csumb.edu/international/programs/semester-at/admissions/" TargetMode="External"/><Relationship Id="rId775" Type="http://schemas.openxmlformats.org/officeDocument/2006/relationships/hyperlink" Target="https://csumb.edu/" TargetMode="External"/><Relationship Id="rId779" Type="http://schemas.openxmlformats.org/officeDocument/2006/relationships/hyperlink" Target="https://csumb.edu/international/programs/semester-at/admissions/" TargetMode="External"/><Relationship Id="rId770" Type="http://schemas.openxmlformats.org/officeDocument/2006/relationships/hyperlink" Target="https://csumb.edu/international/programs/semester-at/admissions/" TargetMode="External"/><Relationship Id="rId1360" Type="http://schemas.openxmlformats.org/officeDocument/2006/relationships/hyperlink" Target="https://www.unifi.it/" TargetMode="External"/><Relationship Id="rId1361" Type="http://schemas.openxmlformats.org/officeDocument/2006/relationships/hyperlink" Target="https://www.ingegneria.unifi.it/vp-370-language-requirements.html" TargetMode="External"/><Relationship Id="rId1362" Type="http://schemas.openxmlformats.org/officeDocument/2006/relationships/hyperlink" Target="https://www.ingegneria.unifi.it/vp-370-language-requirements.html" TargetMode="External"/><Relationship Id="rId774" Type="http://schemas.openxmlformats.org/officeDocument/2006/relationships/hyperlink" Target="https://csumb.edu/international/programs/semester-at/admissions/" TargetMode="External"/><Relationship Id="rId1363" Type="http://schemas.openxmlformats.org/officeDocument/2006/relationships/hyperlink" Target="https://www.unifi.it/" TargetMode="External"/><Relationship Id="rId2210" Type="http://schemas.openxmlformats.org/officeDocument/2006/relationships/hyperlink" Target="https://studyabroad.reading.ac.uk/incoming/apply/exchange-students/" TargetMode="External"/><Relationship Id="rId773" Type="http://schemas.openxmlformats.org/officeDocument/2006/relationships/hyperlink" Target="https://csumb.edu/international/programs/semester-at/admissions/" TargetMode="External"/><Relationship Id="rId1364" Type="http://schemas.openxmlformats.org/officeDocument/2006/relationships/hyperlink" Target="https://www.ingegneria.unifi.it/vp-370-language-requirements.html" TargetMode="External"/><Relationship Id="rId2211" Type="http://schemas.openxmlformats.org/officeDocument/2006/relationships/hyperlink" Target="http://www.reading.ac.uk/" TargetMode="External"/><Relationship Id="rId772" Type="http://schemas.openxmlformats.org/officeDocument/2006/relationships/hyperlink" Target="https://csumb.edu/" TargetMode="External"/><Relationship Id="rId1365" Type="http://schemas.openxmlformats.org/officeDocument/2006/relationships/hyperlink" Target="https://www.ingegneria.unifi.it/vp-370-language-requirements.html" TargetMode="External"/><Relationship Id="rId2212" Type="http://schemas.openxmlformats.org/officeDocument/2006/relationships/hyperlink" Target="https://studyabroad.reading.ac.uk/incoming/apply/exchange-students/" TargetMode="External"/><Relationship Id="rId771" Type="http://schemas.openxmlformats.org/officeDocument/2006/relationships/hyperlink" Target="https://csumb.edu/international/programs/semester-at/admissions/" TargetMode="External"/><Relationship Id="rId1366" Type="http://schemas.openxmlformats.org/officeDocument/2006/relationships/hyperlink" Target="https://unige.it/" TargetMode="External"/><Relationship Id="rId2213" Type="http://schemas.openxmlformats.org/officeDocument/2006/relationships/hyperlink" Target="https://studyabroad.reading.ac.uk/incoming/apply/exchange-students/" TargetMode="External"/><Relationship Id="rId2247" Type="http://schemas.openxmlformats.org/officeDocument/2006/relationships/hyperlink" Target="https://international.cvut.cz/students/incoming-students/erasmus-and-exchange/language-requirements/" TargetMode="External"/><Relationship Id="rId2248" Type="http://schemas.openxmlformats.org/officeDocument/2006/relationships/hyperlink" Target="https://international.cvut.cz/students/incoming-students/erasmus-and-exchange/language-requirements/" TargetMode="External"/><Relationship Id="rId2249" Type="http://schemas.openxmlformats.org/officeDocument/2006/relationships/hyperlink" Target="https://www.muni.cz/en" TargetMode="External"/><Relationship Id="rId327" Type="http://schemas.openxmlformats.org/officeDocument/2006/relationships/hyperlink" Target="https://www.kuleuven.be/kuleuven" TargetMode="External"/><Relationship Id="rId326" Type="http://schemas.openxmlformats.org/officeDocument/2006/relationships/hyperlink" Target="https://eng.kuleuven.be/en/study/prospective-students/non-degree-seeking-students/exchange-procedure/prerequisites-for-exchange-students" TargetMode="External"/><Relationship Id="rId325" Type="http://schemas.openxmlformats.org/officeDocument/2006/relationships/hyperlink" Target="https://eng.kuleuven.be/en/study/prospective-students/non-degree-seeking-students/exchange-procedure/prerequisites-for-exchange-students" TargetMode="External"/><Relationship Id="rId324" Type="http://schemas.openxmlformats.org/officeDocument/2006/relationships/hyperlink" Target="https://www.kuleuven.be/kuleuven" TargetMode="External"/><Relationship Id="rId329" Type="http://schemas.openxmlformats.org/officeDocument/2006/relationships/hyperlink" Target="https://eng.kuleuven.be/en/study/prospective-students/non-degree-seeking-students/exchange-procedure/prerequisites-for-exchange-students" TargetMode="External"/><Relationship Id="rId1390" Type="http://schemas.openxmlformats.org/officeDocument/2006/relationships/hyperlink" Target="https://www.unipd.it/" TargetMode="External"/><Relationship Id="rId328" Type="http://schemas.openxmlformats.org/officeDocument/2006/relationships/hyperlink" Target="https://eng.kuleuven.be/en/study/prospective-students/non-degree-seeking-students/exchange-procedure/prerequisites-for-exchange-students" TargetMode="External"/><Relationship Id="rId1391" Type="http://schemas.openxmlformats.org/officeDocument/2006/relationships/hyperlink" Target="https://www.unipd.it/en/language-requirement-admission-degree-programmes" TargetMode="External"/><Relationship Id="rId1392" Type="http://schemas.openxmlformats.org/officeDocument/2006/relationships/hyperlink" Target="https://www.unipd.it/en/language-requirement-admission-degree-programmes" TargetMode="External"/><Relationship Id="rId1393" Type="http://schemas.openxmlformats.org/officeDocument/2006/relationships/hyperlink" Target="https://www.unipd.it/" TargetMode="External"/><Relationship Id="rId2240" Type="http://schemas.openxmlformats.org/officeDocument/2006/relationships/hyperlink" Target="https://www.cvut.cz/en" TargetMode="External"/><Relationship Id="rId1394" Type="http://schemas.openxmlformats.org/officeDocument/2006/relationships/hyperlink" Target="https://www.unipd.it/en/language-requirement-admission-degree-programmes" TargetMode="External"/><Relationship Id="rId2241" Type="http://schemas.openxmlformats.org/officeDocument/2006/relationships/hyperlink" Target="https://international.cvut.cz/students/incoming-students/erasmus-and-exchange/language-requirements/" TargetMode="External"/><Relationship Id="rId1395" Type="http://schemas.openxmlformats.org/officeDocument/2006/relationships/hyperlink" Target="https://www.unipd.it/en/language-requirement-admission-degree-programmes" TargetMode="External"/><Relationship Id="rId2242" Type="http://schemas.openxmlformats.org/officeDocument/2006/relationships/hyperlink" Target="https://international.cvut.cz/students/incoming-students/erasmus-and-exchange/language-requirements/" TargetMode="External"/><Relationship Id="rId323" Type="http://schemas.openxmlformats.org/officeDocument/2006/relationships/hyperlink" Target="https://www.ap.be/en/homepage" TargetMode="External"/><Relationship Id="rId1396" Type="http://schemas.openxmlformats.org/officeDocument/2006/relationships/hyperlink" Target="https://www.unipr.it/" TargetMode="External"/><Relationship Id="rId2243" Type="http://schemas.openxmlformats.org/officeDocument/2006/relationships/hyperlink" Target="https://www.czu.cz/en" TargetMode="External"/><Relationship Id="rId322" Type="http://schemas.openxmlformats.org/officeDocument/2006/relationships/hyperlink" Target="https://www.kdg.be/en/apply/apply-english-taught-bachelors-degree" TargetMode="External"/><Relationship Id="rId1397" Type="http://schemas.openxmlformats.org/officeDocument/2006/relationships/hyperlink" Target="https://www.unipr.it/sites/default/files/2022-06/INFOSHEET%2022-23%20-%20DEPARTMENT%20OF%20LAW%2C%20POLITICS%20AND%20INTERNATIONAL%20STUDIES.pdf" TargetMode="External"/><Relationship Id="rId2244" Type="http://schemas.openxmlformats.org/officeDocument/2006/relationships/hyperlink" Target="https://international.cvut.cz/students/incoming-students/erasmus-and-exchange/language-requirements/" TargetMode="External"/><Relationship Id="rId321" Type="http://schemas.openxmlformats.org/officeDocument/2006/relationships/hyperlink" Target="https://www.kdg.be/en/apply/apply-english-taught-bachelors-degree" TargetMode="External"/><Relationship Id="rId1398" Type="http://schemas.openxmlformats.org/officeDocument/2006/relationships/hyperlink" Target="https://www.unipr.it/sites/default/files/2022-06/INFOSHEET%2022-23%20-%20DEPARTMENT%20OF%20LAW%2C%20POLITICS%20AND%20INTERNATIONAL%20STUDIES.pdf" TargetMode="External"/><Relationship Id="rId2245" Type="http://schemas.openxmlformats.org/officeDocument/2006/relationships/hyperlink" Target="https://international.cvut.cz/students/incoming-students/erasmus-and-exchange/language-requirements/" TargetMode="External"/><Relationship Id="rId320" Type="http://schemas.openxmlformats.org/officeDocument/2006/relationships/hyperlink" Target="https://www.kdg.be/en" TargetMode="External"/><Relationship Id="rId1399" Type="http://schemas.openxmlformats.org/officeDocument/2006/relationships/hyperlink" Target="https://www.unipg.it/" TargetMode="External"/><Relationship Id="rId2246" Type="http://schemas.openxmlformats.org/officeDocument/2006/relationships/hyperlink" Target="https://www.czu.cz/en" TargetMode="External"/><Relationship Id="rId1389" Type="http://schemas.openxmlformats.org/officeDocument/2006/relationships/hyperlink" Target="https://www.unipd.it/en/language-requirement-admission-degree-programmes" TargetMode="External"/><Relationship Id="rId2236" Type="http://schemas.openxmlformats.org/officeDocument/2006/relationships/hyperlink" Target="https://cuni.cz/UKEN-344.html" TargetMode="External"/><Relationship Id="rId2237" Type="http://schemas.openxmlformats.org/officeDocument/2006/relationships/hyperlink" Target="https://cuni.cz/uken-1.html" TargetMode="External"/><Relationship Id="rId2238" Type="http://schemas.openxmlformats.org/officeDocument/2006/relationships/hyperlink" Target="https://cuni.cz/UKEN-344.html" TargetMode="External"/><Relationship Id="rId2239" Type="http://schemas.openxmlformats.org/officeDocument/2006/relationships/hyperlink" Target="https://cuni.cz/UKEN-344.html" TargetMode="External"/><Relationship Id="rId316" Type="http://schemas.openxmlformats.org/officeDocument/2006/relationships/hyperlink" Target="https://www.ugent.be/prospect/en/administration/application/languagerequirements.htm" TargetMode="External"/><Relationship Id="rId315" Type="http://schemas.openxmlformats.org/officeDocument/2006/relationships/hyperlink" Target="https://www.ugent.be/prospect/en/administration/application/languagerequirements.htm" TargetMode="External"/><Relationship Id="rId799" Type="http://schemas.openxmlformats.org/officeDocument/2006/relationships/hyperlink" Target="https://www.fordham.edu/" TargetMode="External"/><Relationship Id="rId314" Type="http://schemas.openxmlformats.org/officeDocument/2006/relationships/hyperlink" Target="https://www.ugent.be/en" TargetMode="External"/><Relationship Id="rId798" Type="http://schemas.openxmlformats.org/officeDocument/2006/relationships/hyperlink" Target="https://www.fordham.edu/study-abroad/programs/other-programs-worldwide/exchange-programs/incoming-exchange-students/" TargetMode="External"/><Relationship Id="rId313" Type="http://schemas.openxmlformats.org/officeDocument/2006/relationships/hyperlink" Target="https://www.ugent.be/prospect/en/administration/application/languagerequirements.htm" TargetMode="External"/><Relationship Id="rId797" Type="http://schemas.openxmlformats.org/officeDocument/2006/relationships/hyperlink" Target="https://www.fordham.edu/study-abroad/programs/other-programs-worldwide/exchange-programs/incoming-exchange-students/" TargetMode="External"/><Relationship Id="rId319" Type="http://schemas.openxmlformats.org/officeDocument/2006/relationships/hyperlink" Target="https://www.hel.be/international/" TargetMode="External"/><Relationship Id="rId318" Type="http://schemas.openxmlformats.org/officeDocument/2006/relationships/hyperlink" Target="https://www.hel.be/international/" TargetMode="External"/><Relationship Id="rId317" Type="http://schemas.openxmlformats.org/officeDocument/2006/relationships/hyperlink" Target="https://www.hel.be/" TargetMode="External"/><Relationship Id="rId1380" Type="http://schemas.openxmlformats.org/officeDocument/2006/relationships/hyperlink" Target="https://www.unipd.it/en/language-requirement-admission-degree-programmes" TargetMode="External"/><Relationship Id="rId792" Type="http://schemas.openxmlformats.org/officeDocument/2006/relationships/hyperlink" Target="https://www.creighton.edu/geo/internationalstudents/exchangestudents" TargetMode="External"/><Relationship Id="rId1381" Type="http://schemas.openxmlformats.org/officeDocument/2006/relationships/hyperlink" Target="https://www.unipd.it/" TargetMode="External"/><Relationship Id="rId791" Type="http://schemas.openxmlformats.org/officeDocument/2006/relationships/hyperlink" Target="https://www.creighton.edu/geo/internationalstudents/exchangestudents" TargetMode="External"/><Relationship Id="rId1382" Type="http://schemas.openxmlformats.org/officeDocument/2006/relationships/hyperlink" Target="https://www.unipd.it/en/language-requirement-admission-degree-programmes" TargetMode="External"/><Relationship Id="rId790" Type="http://schemas.openxmlformats.org/officeDocument/2006/relationships/hyperlink" Target="https://www.creighton.edu/" TargetMode="External"/><Relationship Id="rId1383" Type="http://schemas.openxmlformats.org/officeDocument/2006/relationships/hyperlink" Target="https://www.unipd.it/en/language-requirement-admission-degree-programmes" TargetMode="External"/><Relationship Id="rId2230" Type="http://schemas.openxmlformats.org/officeDocument/2006/relationships/hyperlink" Target="https://www.ncl.ac.uk/" TargetMode="External"/><Relationship Id="rId1384" Type="http://schemas.openxmlformats.org/officeDocument/2006/relationships/hyperlink" Target="https://www.unipd.it/" TargetMode="External"/><Relationship Id="rId2231" Type="http://schemas.openxmlformats.org/officeDocument/2006/relationships/hyperlink" Target="https://www.kingston.ac.uk/" TargetMode="External"/><Relationship Id="rId312" Type="http://schemas.openxmlformats.org/officeDocument/2006/relationships/hyperlink" Target="https://www.ugent.be/prospect/en/administration/application/languagerequirements.htm" TargetMode="External"/><Relationship Id="rId796" Type="http://schemas.openxmlformats.org/officeDocument/2006/relationships/hyperlink" Target="https://www.fordham.edu/" TargetMode="External"/><Relationship Id="rId1385" Type="http://schemas.openxmlformats.org/officeDocument/2006/relationships/hyperlink" Target="https://www.unipd.it/en/language-requirement-admission-degree-programmes" TargetMode="External"/><Relationship Id="rId2232" Type="http://schemas.openxmlformats.org/officeDocument/2006/relationships/hyperlink" Target="https://www.kingston.ac.uk/" TargetMode="External"/><Relationship Id="rId311" Type="http://schemas.openxmlformats.org/officeDocument/2006/relationships/hyperlink" Target="https://www.ugent.be/en" TargetMode="External"/><Relationship Id="rId795" Type="http://schemas.openxmlformats.org/officeDocument/2006/relationships/hyperlink" Target="https://www.fordham.edu/IncomingExchange/" TargetMode="External"/><Relationship Id="rId1386" Type="http://schemas.openxmlformats.org/officeDocument/2006/relationships/hyperlink" Target="https://www.unipd.it/en/language-requirement-admission-degree-programmes" TargetMode="External"/><Relationship Id="rId2233" Type="http://schemas.openxmlformats.org/officeDocument/2006/relationships/hyperlink" Target="https://www.kingston.ac.uk/" TargetMode="External"/><Relationship Id="rId310" Type="http://schemas.openxmlformats.org/officeDocument/2006/relationships/hyperlink" Target="https://www.ugent.be/prospect/en/administration/application/languagerequirements.htm" TargetMode="External"/><Relationship Id="rId794" Type="http://schemas.openxmlformats.org/officeDocument/2006/relationships/hyperlink" Target="https://www.fordham.edu/IncomingExchange/" TargetMode="External"/><Relationship Id="rId1387" Type="http://schemas.openxmlformats.org/officeDocument/2006/relationships/hyperlink" Target="https://www.unipd.it/" TargetMode="External"/><Relationship Id="rId2234" Type="http://schemas.openxmlformats.org/officeDocument/2006/relationships/hyperlink" Target="https://cuni.cz/uken-1.html" TargetMode="External"/><Relationship Id="rId793" Type="http://schemas.openxmlformats.org/officeDocument/2006/relationships/hyperlink" Target="https://www.fordham.edu/" TargetMode="External"/><Relationship Id="rId1388" Type="http://schemas.openxmlformats.org/officeDocument/2006/relationships/hyperlink" Target="https://www.unipd.it/en/language-requirement-admission-degree-programmes" TargetMode="External"/><Relationship Id="rId2235" Type="http://schemas.openxmlformats.org/officeDocument/2006/relationships/hyperlink" Target="https://cuni.cz/UKEN-344.html" TargetMode="External"/><Relationship Id="rId297" Type="http://schemas.openxmlformats.org/officeDocument/2006/relationships/hyperlink" Target="https://www.unamur.be/en/international/exchange/FactSheetUNamur20222023.pdf" TargetMode="External"/><Relationship Id="rId296" Type="http://schemas.openxmlformats.org/officeDocument/2006/relationships/hyperlink" Target="https://www.unamur.be/fr" TargetMode="External"/><Relationship Id="rId295" Type="http://schemas.openxmlformats.org/officeDocument/2006/relationships/hyperlink" Target="https://www.unamur.be/en/international/mobility" TargetMode="External"/><Relationship Id="rId294" Type="http://schemas.openxmlformats.org/officeDocument/2006/relationships/hyperlink" Target="https://www.unamur.be/en/international/mobility" TargetMode="External"/><Relationship Id="rId299" Type="http://schemas.openxmlformats.org/officeDocument/2006/relationships/hyperlink" Target="https://www.unamur.be/fr" TargetMode="External"/><Relationship Id="rId298" Type="http://schemas.openxmlformats.org/officeDocument/2006/relationships/hyperlink" Target="https://www.unamur.be/en/international/exchange/FactSheetUNamur20222023.pdf" TargetMode="External"/><Relationship Id="rId271" Type="http://schemas.openxmlformats.org/officeDocument/2006/relationships/hyperlink" Target="https://www.fh-krems.ac.at/en/international-focus/exchange-semesters-at-imc-krems/" TargetMode="External"/><Relationship Id="rId270" Type="http://schemas.openxmlformats.org/officeDocument/2006/relationships/hyperlink" Target="https://www.fh-krems.ac.at/en/international-focus/exchange-semesters-at-imc-krems/" TargetMode="External"/><Relationship Id="rId269" Type="http://schemas.openxmlformats.org/officeDocument/2006/relationships/hyperlink" Target="https://www.fh-krems.ac.at/" TargetMode="External"/><Relationship Id="rId264" Type="http://schemas.openxmlformats.org/officeDocument/2006/relationships/hyperlink" Target="https://www.fh-vie.ac.at/en/pages/studies/international-students/applications-acceptance-1" TargetMode="External"/><Relationship Id="rId263" Type="http://schemas.openxmlformats.org/officeDocument/2006/relationships/hyperlink" Target="https://www.fh-wien.ac.at/en/about-us/who-we-are/facts-figures/" TargetMode="External"/><Relationship Id="rId262" Type="http://schemas.openxmlformats.org/officeDocument/2006/relationships/hyperlink" Target="https://www.fh-campuswien.ac.at/en/international/incomings.html" TargetMode="External"/><Relationship Id="rId261" Type="http://schemas.openxmlformats.org/officeDocument/2006/relationships/hyperlink" Target="https://www.fh-campuswien.ac.at/en/international/incomings.html" TargetMode="External"/><Relationship Id="rId268" Type="http://schemas.openxmlformats.org/officeDocument/2006/relationships/hyperlink" Target="https://www.fh-wien.ac.at/en/study/international/incoming-students/" TargetMode="External"/><Relationship Id="rId267" Type="http://schemas.openxmlformats.org/officeDocument/2006/relationships/hyperlink" Target="https://www.fh-wien.ac.at/en/study/international/incoming-students/" TargetMode="External"/><Relationship Id="rId266" Type="http://schemas.openxmlformats.org/officeDocument/2006/relationships/hyperlink" Target="https://www.fh-wien.ac.at/en/about-us/who-we-are/facts-figures/" TargetMode="External"/><Relationship Id="rId265" Type="http://schemas.openxmlformats.org/officeDocument/2006/relationships/hyperlink" Target="https://www.fh-vie.ac.at/en/pages/studies/international-students/applications-acceptance-1" TargetMode="External"/><Relationship Id="rId260" Type="http://schemas.openxmlformats.org/officeDocument/2006/relationships/hyperlink" Target="https://www.fh-campuswien.ac.at/" TargetMode="External"/><Relationship Id="rId259" Type="http://schemas.openxmlformats.org/officeDocument/2006/relationships/hyperlink" Target="https://www.aau.at/en/study/support/faqs/" TargetMode="External"/><Relationship Id="rId258" Type="http://schemas.openxmlformats.org/officeDocument/2006/relationships/hyperlink" Target="https://www.aau.at/en/study/support/faqs/" TargetMode="External"/><Relationship Id="rId2290" Type="http://schemas.openxmlformats.org/officeDocument/2006/relationships/hyperlink" Target="https://his.pusan.ac.kr/sites/international_eng/download/Study%20Abroad%20at%20PNU.pdf" TargetMode="External"/><Relationship Id="rId2291" Type="http://schemas.openxmlformats.org/officeDocument/2006/relationships/hyperlink" Target="https://www.pusan.ac.kr/eng/Main.do" TargetMode="External"/><Relationship Id="rId2292" Type="http://schemas.openxmlformats.org/officeDocument/2006/relationships/hyperlink" Target="https://his.pusan.ac.kr/sites/international_eng/download/Study%20Abroad%20at%20PNU.pdf" TargetMode="External"/><Relationship Id="rId2293" Type="http://schemas.openxmlformats.org/officeDocument/2006/relationships/hyperlink" Target="https://his.pusan.ac.kr/sites/international_eng/download/Study%20Abroad%20at%20PNU.pdf" TargetMode="External"/><Relationship Id="rId253" Type="http://schemas.openxmlformats.org/officeDocument/2006/relationships/hyperlink" Target="https://www.upso.edu.ar/internacionales/" TargetMode="External"/><Relationship Id="rId2294" Type="http://schemas.openxmlformats.org/officeDocument/2006/relationships/hyperlink" Target="https://www.pusan.ac.kr/eng/Main.do" TargetMode="External"/><Relationship Id="rId252" Type="http://schemas.openxmlformats.org/officeDocument/2006/relationships/hyperlink" Target="https://www.upso.edu.ar/internacionales/" TargetMode="External"/><Relationship Id="rId2295" Type="http://schemas.openxmlformats.org/officeDocument/2006/relationships/hyperlink" Target="https://his.pusan.ac.kr/sites/international_eng/download/Study%20Abroad%20at%20PNU.pdf" TargetMode="External"/><Relationship Id="rId251" Type="http://schemas.openxmlformats.org/officeDocument/2006/relationships/hyperlink" Target="https://www.upso.edu.ar/" TargetMode="External"/><Relationship Id="rId2296" Type="http://schemas.openxmlformats.org/officeDocument/2006/relationships/hyperlink" Target="https://his.pusan.ac.kr/sites/international_eng/download/Study%20Abroad%20at%20PNU.pdf" TargetMode="External"/><Relationship Id="rId250" Type="http://schemas.openxmlformats.org/officeDocument/2006/relationships/hyperlink" Target="https://www.unvm.edu.ar/" TargetMode="External"/><Relationship Id="rId2297" Type="http://schemas.openxmlformats.org/officeDocument/2006/relationships/hyperlink" Target="https://wwwe.sogang.ac.kr/" TargetMode="External"/><Relationship Id="rId257" Type="http://schemas.openxmlformats.org/officeDocument/2006/relationships/hyperlink" Target="https://www.aau.at/" TargetMode="External"/><Relationship Id="rId2298" Type="http://schemas.openxmlformats.org/officeDocument/2006/relationships/hyperlink" Target="https://web.aiu.ac.jp/en/wp-content/uploads/2023/04/Sogang-University-Information-Sheet-2023-2024-2023.4.pdf" TargetMode="External"/><Relationship Id="rId256" Type="http://schemas.openxmlformats.org/officeDocument/2006/relationships/hyperlink" Target="https://www.uow.edu.au/study/international/" TargetMode="External"/><Relationship Id="rId2299" Type="http://schemas.openxmlformats.org/officeDocument/2006/relationships/hyperlink" Target="https://web.aiu.ac.jp/en/wp-content/uploads/2023/04/Sogang-University-Information-Sheet-2023-2024-2023.4.pdf" TargetMode="External"/><Relationship Id="rId255" Type="http://schemas.openxmlformats.org/officeDocument/2006/relationships/hyperlink" Target="https://www.uow.edu.au/study/international/" TargetMode="External"/><Relationship Id="rId254" Type="http://schemas.openxmlformats.org/officeDocument/2006/relationships/hyperlink" Target="https://www.uow.edu.au/" TargetMode="External"/><Relationship Id="rId293" Type="http://schemas.openxmlformats.org/officeDocument/2006/relationships/hyperlink" Target="https://www.unamur.be/fr" TargetMode="External"/><Relationship Id="rId292" Type="http://schemas.openxmlformats.org/officeDocument/2006/relationships/hyperlink" Target="https://international.univie.ac.at/en/student-mobility/incoming-students/non-eu-student-exchange-program/requirements/" TargetMode="External"/><Relationship Id="rId291" Type="http://schemas.openxmlformats.org/officeDocument/2006/relationships/hyperlink" Target="https://international.univie.ac.at/en/student-mobility/incoming-students/non-eu-student-exchange-program/requirements/" TargetMode="External"/><Relationship Id="rId290" Type="http://schemas.openxmlformats.org/officeDocument/2006/relationships/hyperlink" Target="https://www.univie.ac.at/" TargetMode="External"/><Relationship Id="rId286" Type="http://schemas.openxmlformats.org/officeDocument/2006/relationships/hyperlink" Target="https://www.mci4me.at/en/international/study-internationally/exchange-students" TargetMode="External"/><Relationship Id="rId285" Type="http://schemas.openxmlformats.org/officeDocument/2006/relationships/hyperlink" Target="https://www.mci4me.at/en/international/study-internationally/exchange-students" TargetMode="External"/><Relationship Id="rId284" Type="http://schemas.openxmlformats.org/officeDocument/2006/relationships/hyperlink" Target="https://www.mci.edu/de/" TargetMode="External"/><Relationship Id="rId283" Type="http://schemas.openxmlformats.org/officeDocument/2006/relationships/hyperlink" Target="https://www.mci4me.at/en/international/study-internationally/exchange-students" TargetMode="External"/><Relationship Id="rId289" Type="http://schemas.openxmlformats.org/officeDocument/2006/relationships/hyperlink" Target="https://www.mci4me.at/en/international/study-internationally/exchange-students" TargetMode="External"/><Relationship Id="rId288" Type="http://schemas.openxmlformats.org/officeDocument/2006/relationships/hyperlink" Target="https://www.mci4me.at/en/international/study-internationally/exchange-students" TargetMode="External"/><Relationship Id="rId287" Type="http://schemas.openxmlformats.org/officeDocument/2006/relationships/hyperlink" Target="https://www.mci.edu/de/" TargetMode="External"/><Relationship Id="rId282" Type="http://schemas.openxmlformats.org/officeDocument/2006/relationships/hyperlink" Target="https://www.mci4me.at/en/international/study-internationally/exchange-students" TargetMode="External"/><Relationship Id="rId281" Type="http://schemas.openxmlformats.org/officeDocument/2006/relationships/hyperlink" Target="https://www.mci.edu/de/" TargetMode="External"/><Relationship Id="rId280" Type="http://schemas.openxmlformats.org/officeDocument/2006/relationships/hyperlink" Target="https://www.kph-es.at/internationales/incoming-students/language-policy" TargetMode="External"/><Relationship Id="rId275" Type="http://schemas.openxmlformats.org/officeDocument/2006/relationships/hyperlink" Target="https://www.jku.at/" TargetMode="External"/><Relationship Id="rId274" Type="http://schemas.openxmlformats.org/officeDocument/2006/relationships/hyperlink" Target="https://www.jku.at/en/degree-programs/international-students/exchange-students/" TargetMode="External"/><Relationship Id="rId273" Type="http://schemas.openxmlformats.org/officeDocument/2006/relationships/hyperlink" Target="https://www.jku.at/en/degree-programs/international-students/exchange-students/" TargetMode="External"/><Relationship Id="rId272" Type="http://schemas.openxmlformats.org/officeDocument/2006/relationships/hyperlink" Target="https://www.jku.at/" TargetMode="External"/><Relationship Id="rId279" Type="http://schemas.openxmlformats.org/officeDocument/2006/relationships/hyperlink" Target="https://www.kph-es.at/internationales/incoming-students/language-policy" TargetMode="External"/><Relationship Id="rId278" Type="http://schemas.openxmlformats.org/officeDocument/2006/relationships/hyperlink" Target="https://www.kph-es.at/" TargetMode="External"/><Relationship Id="rId277" Type="http://schemas.openxmlformats.org/officeDocument/2006/relationships/hyperlink" Target="https://www.jku.at/en/degree-programs/international-students/exchange-students/" TargetMode="External"/><Relationship Id="rId276" Type="http://schemas.openxmlformats.org/officeDocument/2006/relationships/hyperlink" Target="https://www.jku.at/en/degree-programs/international-students/exchange-students/" TargetMode="External"/><Relationship Id="rId1851" Type="http://schemas.openxmlformats.org/officeDocument/2006/relationships/hyperlink" Target="https://internacional.ucsm.edu.pe/internacional/" TargetMode="External"/><Relationship Id="rId1852" Type="http://schemas.openxmlformats.org/officeDocument/2006/relationships/hyperlink" Target="https://internacional.ucsm.edu.pe/internacional/" TargetMode="External"/><Relationship Id="rId1853" Type="http://schemas.openxmlformats.org/officeDocument/2006/relationships/hyperlink" Target="https://www.ucsm.edu.pe/" TargetMode="External"/><Relationship Id="rId1854" Type="http://schemas.openxmlformats.org/officeDocument/2006/relationships/hyperlink" Target="https://internacional.ucsm.edu.pe/internacional/" TargetMode="External"/><Relationship Id="rId1855" Type="http://schemas.openxmlformats.org/officeDocument/2006/relationships/hyperlink" Target="https://internacional.ucsm.edu.pe/internacional/" TargetMode="External"/><Relationship Id="rId1856" Type="http://schemas.openxmlformats.org/officeDocument/2006/relationships/hyperlink" Target="https://www.ucsm.edu.pe/" TargetMode="External"/><Relationship Id="rId1857" Type="http://schemas.openxmlformats.org/officeDocument/2006/relationships/hyperlink" Target="https://internacional.ucsm.edu.pe/internacional/" TargetMode="External"/><Relationship Id="rId1858" Type="http://schemas.openxmlformats.org/officeDocument/2006/relationships/hyperlink" Target="https://internacional.ucsm.edu.pe/internacional/" TargetMode="External"/><Relationship Id="rId1859" Type="http://schemas.openxmlformats.org/officeDocument/2006/relationships/hyperlink" Target="https://www.ucsm.edu.pe/" TargetMode="External"/><Relationship Id="rId1850" Type="http://schemas.openxmlformats.org/officeDocument/2006/relationships/hyperlink" Target="https://www.ucsm.edu.pe/" TargetMode="External"/><Relationship Id="rId1840" Type="http://schemas.openxmlformats.org/officeDocument/2006/relationships/hyperlink" Target="http://n/a" TargetMode="External"/><Relationship Id="rId1841" Type="http://schemas.openxmlformats.org/officeDocument/2006/relationships/hyperlink" Target="https://www.utp.edu.pe/estudiantes" TargetMode="External"/><Relationship Id="rId1842" Type="http://schemas.openxmlformats.org/officeDocument/2006/relationships/hyperlink" Target="https://info.utp.edu.pe/articulo/KA-01903" TargetMode="External"/><Relationship Id="rId1843" Type="http://schemas.openxmlformats.org/officeDocument/2006/relationships/hyperlink" Target="https://info.utp.edu.pe/articulo/KA-01903" TargetMode="External"/><Relationship Id="rId1844" Type="http://schemas.openxmlformats.org/officeDocument/2006/relationships/hyperlink" Target="https://www.ucsm.edu.pe/" TargetMode="External"/><Relationship Id="rId1845" Type="http://schemas.openxmlformats.org/officeDocument/2006/relationships/hyperlink" Target="https://internacional.ucsm.edu.pe/internacional/" TargetMode="External"/><Relationship Id="rId1846" Type="http://schemas.openxmlformats.org/officeDocument/2006/relationships/hyperlink" Target="https://internacional.ucsm.edu.pe/internacional/" TargetMode="External"/><Relationship Id="rId1847" Type="http://schemas.openxmlformats.org/officeDocument/2006/relationships/hyperlink" Target="https://www.ucsm.edu.pe/" TargetMode="External"/><Relationship Id="rId1848" Type="http://schemas.openxmlformats.org/officeDocument/2006/relationships/hyperlink" Target="https://internacional.ucsm.edu.pe/internacional/" TargetMode="External"/><Relationship Id="rId1849" Type="http://schemas.openxmlformats.org/officeDocument/2006/relationships/hyperlink" Target="https://internacional.ucsm.edu.pe/internacional/" TargetMode="External"/><Relationship Id="rId1873" Type="http://schemas.openxmlformats.org/officeDocument/2006/relationships/hyperlink" Target="https://pb.edu.pl/" TargetMode="External"/><Relationship Id="rId1874" Type="http://schemas.openxmlformats.org/officeDocument/2006/relationships/hyperlink" Target="https://pb.edu.pl/en/contact/most-popular-questions/" TargetMode="External"/><Relationship Id="rId1875" Type="http://schemas.openxmlformats.org/officeDocument/2006/relationships/hyperlink" Target="https://pb.edu.pl/en/contact/most-popular-questions/" TargetMode="External"/><Relationship Id="rId1876" Type="http://schemas.openxmlformats.org/officeDocument/2006/relationships/hyperlink" Target="https://uek.krakow.pl/en/" TargetMode="External"/><Relationship Id="rId1877" Type="http://schemas.openxmlformats.org/officeDocument/2006/relationships/hyperlink" Target="https://apps.udg.edu/OutGoing/GetFactSheet.aspx?Id=439" TargetMode="External"/><Relationship Id="rId1878" Type="http://schemas.openxmlformats.org/officeDocument/2006/relationships/hyperlink" Target="https://apps.udg.edu/OutGoing/GetFactSheet.aspx?Id=439" TargetMode="External"/><Relationship Id="rId1879" Type="http://schemas.openxmlformats.org/officeDocument/2006/relationships/hyperlink" Target="https://www.uj.edu.pl/" TargetMode="External"/><Relationship Id="rId1870" Type="http://schemas.openxmlformats.org/officeDocument/2006/relationships/hyperlink" Target="https://www.agh.edu.pl/en/" TargetMode="External"/><Relationship Id="rId1871" Type="http://schemas.openxmlformats.org/officeDocument/2006/relationships/hyperlink" Target="https://www.international.agh.edu.pl/en/exchange/before-mobility" TargetMode="External"/><Relationship Id="rId1872" Type="http://schemas.openxmlformats.org/officeDocument/2006/relationships/hyperlink" Target="https://www.international.agh.edu.pl/en/exchange/before-mobility" TargetMode="External"/><Relationship Id="rId1862" Type="http://schemas.openxmlformats.org/officeDocument/2006/relationships/hyperlink" Target="https://www.autonoma.pe/" TargetMode="External"/><Relationship Id="rId1863" Type="http://schemas.openxmlformats.org/officeDocument/2006/relationships/hyperlink" Target="https://www.autonoma.pe/internacionalizacion/" TargetMode="External"/><Relationship Id="rId1864" Type="http://schemas.openxmlformats.org/officeDocument/2006/relationships/hyperlink" Target="https://www.autonoma.pe/internacionalizacion/" TargetMode="External"/><Relationship Id="rId1865" Type="http://schemas.openxmlformats.org/officeDocument/2006/relationships/hyperlink" Target="https://www.autonoma.pe/" TargetMode="External"/><Relationship Id="rId1866" Type="http://schemas.openxmlformats.org/officeDocument/2006/relationships/hyperlink" Target="http://n/a" TargetMode="External"/><Relationship Id="rId1867" Type="http://schemas.openxmlformats.org/officeDocument/2006/relationships/hyperlink" Target="https://www.autonoma.pe/" TargetMode="External"/><Relationship Id="rId1868" Type="http://schemas.openxmlformats.org/officeDocument/2006/relationships/hyperlink" Target="https://www.autonoma.pe/internacionalizacion/" TargetMode="External"/><Relationship Id="rId1869" Type="http://schemas.openxmlformats.org/officeDocument/2006/relationships/hyperlink" Target="https://www.autonoma.pe/internacionalizacion/" TargetMode="External"/><Relationship Id="rId1860" Type="http://schemas.openxmlformats.org/officeDocument/2006/relationships/hyperlink" Target="https://internacional.ucsm.edu.pe/internacional/" TargetMode="External"/><Relationship Id="rId1861" Type="http://schemas.openxmlformats.org/officeDocument/2006/relationships/hyperlink" Target="https://internacional.ucsm.edu.pe/internacional/" TargetMode="External"/><Relationship Id="rId1810" Type="http://schemas.openxmlformats.org/officeDocument/2006/relationships/hyperlink" Target="https://www.uarm.edu.pe/" TargetMode="External"/><Relationship Id="rId1811" Type="http://schemas.openxmlformats.org/officeDocument/2006/relationships/hyperlink" Target="https://www.uarm.edu.pe/" TargetMode="External"/><Relationship Id="rId1812" Type="http://schemas.openxmlformats.org/officeDocument/2006/relationships/hyperlink" Target="https://www.uarm.edu.pe/" TargetMode="External"/><Relationship Id="rId1813" Type="http://schemas.openxmlformats.org/officeDocument/2006/relationships/hyperlink" Target="https://www.uarm.edu.pe/" TargetMode="External"/><Relationship Id="rId1814" Type="http://schemas.openxmlformats.org/officeDocument/2006/relationships/hyperlink" Target="http://n/a" TargetMode="External"/><Relationship Id="rId1815" Type="http://schemas.openxmlformats.org/officeDocument/2006/relationships/hyperlink" Target="https://www.uarm.edu.pe/" TargetMode="External"/><Relationship Id="rId1816" Type="http://schemas.openxmlformats.org/officeDocument/2006/relationships/hyperlink" Target="http://n/a" TargetMode="External"/><Relationship Id="rId1817" Type="http://schemas.openxmlformats.org/officeDocument/2006/relationships/hyperlink" Target="https://www.uarm.edu.pe/" TargetMode="External"/><Relationship Id="rId1818" Type="http://schemas.openxmlformats.org/officeDocument/2006/relationships/hyperlink" Target="http://n/a" TargetMode="External"/><Relationship Id="rId1819" Type="http://schemas.openxmlformats.org/officeDocument/2006/relationships/hyperlink" Target="https://www.cientifica.edu.pe/" TargetMode="External"/><Relationship Id="rId1800" Type="http://schemas.openxmlformats.org/officeDocument/2006/relationships/hyperlink" Target="https://ori.up.edu.pe/incoming/" TargetMode="External"/><Relationship Id="rId1801" Type="http://schemas.openxmlformats.org/officeDocument/2006/relationships/hyperlink" Target="https://ori.up.edu.pe/incoming/" TargetMode="External"/><Relationship Id="rId1802" Type="http://schemas.openxmlformats.org/officeDocument/2006/relationships/hyperlink" Target="https://www.pucp.edu.pe/" TargetMode="External"/><Relationship Id="rId1803" Type="http://schemas.openxmlformats.org/officeDocument/2006/relationships/hyperlink" Target="http://n/a" TargetMode="External"/><Relationship Id="rId1804" Type="http://schemas.openxmlformats.org/officeDocument/2006/relationships/hyperlink" Target="https://www.pucp.edu.pe/" TargetMode="External"/><Relationship Id="rId1805" Type="http://schemas.openxmlformats.org/officeDocument/2006/relationships/hyperlink" Target="http://n/a" TargetMode="External"/><Relationship Id="rId1806" Type="http://schemas.openxmlformats.org/officeDocument/2006/relationships/hyperlink" Target="https://www.pucp.edu.pe/" TargetMode="External"/><Relationship Id="rId1807" Type="http://schemas.openxmlformats.org/officeDocument/2006/relationships/hyperlink" Target="http://n/a" TargetMode="External"/><Relationship Id="rId1808" Type="http://schemas.openxmlformats.org/officeDocument/2006/relationships/hyperlink" Target="https://www.uarm.edu.pe/" TargetMode="External"/><Relationship Id="rId1809" Type="http://schemas.openxmlformats.org/officeDocument/2006/relationships/hyperlink" Target="http://n/a" TargetMode="External"/><Relationship Id="rId1830" Type="http://schemas.openxmlformats.org/officeDocument/2006/relationships/hyperlink" Target="http://n/a" TargetMode="External"/><Relationship Id="rId1831" Type="http://schemas.openxmlformats.org/officeDocument/2006/relationships/hyperlink" Target="https://unmsm.edu.pe/" TargetMode="External"/><Relationship Id="rId1832" Type="http://schemas.openxmlformats.org/officeDocument/2006/relationships/hyperlink" Target="https://unmsm.edu.pe/movilidad-y-cooperacion/movilidad-academica" TargetMode="External"/><Relationship Id="rId1833" Type="http://schemas.openxmlformats.org/officeDocument/2006/relationships/hyperlink" Target="https://unmsm.edu.pe/movilidad-y-cooperacion/movilidad-academica" TargetMode="External"/><Relationship Id="rId1834" Type="http://schemas.openxmlformats.org/officeDocument/2006/relationships/hyperlink" Target="https://unmsm.edu.pe/" TargetMode="External"/><Relationship Id="rId1835" Type="http://schemas.openxmlformats.org/officeDocument/2006/relationships/hyperlink" Target="https://unmsm.edu.pe/movilidad-y-cooperacion/movilidad-academica" TargetMode="External"/><Relationship Id="rId1836" Type="http://schemas.openxmlformats.org/officeDocument/2006/relationships/hyperlink" Target="https://unmsm.edu.pe/movilidad-y-cooperacion/movilidad-academica" TargetMode="External"/><Relationship Id="rId1837" Type="http://schemas.openxmlformats.org/officeDocument/2006/relationships/hyperlink" Target="https://unmsm.edu.pe/" TargetMode="External"/><Relationship Id="rId1838" Type="http://schemas.openxmlformats.org/officeDocument/2006/relationships/hyperlink" Target="http://n/a" TargetMode="External"/><Relationship Id="rId1839" Type="http://schemas.openxmlformats.org/officeDocument/2006/relationships/hyperlink" Target="https://unmsm.edu.pe/" TargetMode="External"/><Relationship Id="rId1820" Type="http://schemas.openxmlformats.org/officeDocument/2006/relationships/hyperlink" Target="https://www.cientifica.edu.pe/convenios-internacionales/" TargetMode="External"/><Relationship Id="rId1821" Type="http://schemas.openxmlformats.org/officeDocument/2006/relationships/hyperlink" Target="https://www.cientifica.edu.pe/convenios-internacionales/" TargetMode="External"/><Relationship Id="rId1822" Type="http://schemas.openxmlformats.org/officeDocument/2006/relationships/hyperlink" Target="https://www.cientifica.edu.pe/" TargetMode="External"/><Relationship Id="rId1823" Type="http://schemas.openxmlformats.org/officeDocument/2006/relationships/hyperlink" Target="https://www.cientifica.edu.pe/convenios-internacionales/" TargetMode="External"/><Relationship Id="rId1824" Type="http://schemas.openxmlformats.org/officeDocument/2006/relationships/hyperlink" Target="https://www.cientifica.edu.pe/convenios-internacionales/" TargetMode="External"/><Relationship Id="rId1825" Type="http://schemas.openxmlformats.org/officeDocument/2006/relationships/hyperlink" Target="https://www.cientifica.edu.pe/" TargetMode="External"/><Relationship Id="rId1826" Type="http://schemas.openxmlformats.org/officeDocument/2006/relationships/hyperlink" Target="http://n/a" TargetMode="External"/><Relationship Id="rId1827" Type="http://schemas.openxmlformats.org/officeDocument/2006/relationships/hyperlink" Target="https://www.cientifica.edu.pe/" TargetMode="External"/><Relationship Id="rId1828" Type="http://schemas.openxmlformats.org/officeDocument/2006/relationships/hyperlink" Target="http://n/a" TargetMode="External"/><Relationship Id="rId1829" Type="http://schemas.openxmlformats.org/officeDocument/2006/relationships/hyperlink" Target="https://unmsm.edu.pe/" TargetMode="External"/><Relationship Id="rId1455" Type="http://schemas.openxmlformats.org/officeDocument/2006/relationships/hyperlink" Target="https://www.unibo.it/en/international/incoming-exchange-students/exchange-students-unibo-learning-italian" TargetMode="External"/><Relationship Id="rId2302" Type="http://schemas.openxmlformats.org/officeDocument/2006/relationships/hyperlink" Target="https://www.skku.edu/eng/International/StudySKKU/Application.do" TargetMode="External"/><Relationship Id="rId1456" Type="http://schemas.openxmlformats.org/officeDocument/2006/relationships/hyperlink" Target="https://www.unibo.it/it" TargetMode="External"/><Relationship Id="rId2303" Type="http://schemas.openxmlformats.org/officeDocument/2006/relationships/hyperlink" Target="https://english.wsu.ac.kr/main/index.jsp" TargetMode="External"/><Relationship Id="rId1457" Type="http://schemas.openxmlformats.org/officeDocument/2006/relationships/hyperlink" Target="https://www.unibo.it/en/international/incoming-exchange-students/exchange-students-unibo-learning-italian" TargetMode="External"/><Relationship Id="rId2304" Type="http://schemas.openxmlformats.org/officeDocument/2006/relationships/hyperlink" Target="https://www.youtube.com/playlist?list=PLcSbla144TtIqw_UuhmaV3evO0oGOLWca" TargetMode="External"/><Relationship Id="rId1458" Type="http://schemas.openxmlformats.org/officeDocument/2006/relationships/hyperlink" Target="https://www.unibo.it/en/international/incoming-exchange-students/exchange-students-unibo-learning-italian" TargetMode="External"/><Relationship Id="rId2305" Type="http://schemas.openxmlformats.org/officeDocument/2006/relationships/hyperlink" Target="https://www.youtube.com/playlist?list=PLcSbla144TtIqw_UuhmaV3evO0oGOLWca" TargetMode="External"/><Relationship Id="rId1459" Type="http://schemas.openxmlformats.org/officeDocument/2006/relationships/hyperlink" Target="https://www.unibo.it/it" TargetMode="External"/><Relationship Id="rId2306" Type="http://schemas.openxmlformats.org/officeDocument/2006/relationships/hyperlink" Target="https://english.wsu.ac.kr/main/index.jsp" TargetMode="External"/><Relationship Id="rId2307" Type="http://schemas.openxmlformats.org/officeDocument/2006/relationships/hyperlink" Target="https://pucmm.edu.do/" TargetMode="External"/><Relationship Id="rId2308" Type="http://schemas.openxmlformats.org/officeDocument/2006/relationships/hyperlink" Target="https://pucmm.edu.do/" TargetMode="External"/><Relationship Id="rId2309" Type="http://schemas.openxmlformats.org/officeDocument/2006/relationships/hyperlink" Target="https://pucmm.edu.do/" TargetMode="External"/><Relationship Id="rId629" Type="http://schemas.openxmlformats.org/officeDocument/2006/relationships/hyperlink" Target="https://www.uexternado.edu.co/" TargetMode="External"/><Relationship Id="rId624" Type="http://schemas.openxmlformats.org/officeDocument/2006/relationships/hyperlink" Target="https://www.uniminuto.edu/" TargetMode="External"/><Relationship Id="rId623" Type="http://schemas.openxmlformats.org/officeDocument/2006/relationships/hyperlink" Target="http://n/a" TargetMode="External"/><Relationship Id="rId622" Type="http://schemas.openxmlformats.org/officeDocument/2006/relationships/hyperlink" Target="https://www.uniminuto.edu/" TargetMode="External"/><Relationship Id="rId621" Type="http://schemas.openxmlformats.org/officeDocument/2006/relationships/hyperlink" Target="https://www.uniminuto.edu/" TargetMode="External"/><Relationship Id="rId628" Type="http://schemas.openxmlformats.org/officeDocument/2006/relationships/hyperlink" Target="https://www.uexternado.edu.co/" TargetMode="External"/><Relationship Id="rId627" Type="http://schemas.openxmlformats.org/officeDocument/2006/relationships/hyperlink" Target="https://www.uexternado.edu.co/" TargetMode="External"/><Relationship Id="rId626" Type="http://schemas.openxmlformats.org/officeDocument/2006/relationships/hyperlink" Target="https://www.uexternado.edu.co/" TargetMode="External"/><Relationship Id="rId625" Type="http://schemas.openxmlformats.org/officeDocument/2006/relationships/hyperlink" Target="http://n/a" TargetMode="External"/><Relationship Id="rId1450" Type="http://schemas.openxmlformats.org/officeDocument/2006/relationships/hyperlink" Target="https://www.unibo.it/it" TargetMode="External"/><Relationship Id="rId620" Type="http://schemas.openxmlformats.org/officeDocument/2006/relationships/hyperlink" Target="https://www.uniminuto.edu/" TargetMode="External"/><Relationship Id="rId1451" Type="http://schemas.openxmlformats.org/officeDocument/2006/relationships/hyperlink" Target="https://www.unibo.it/en/international/incoming-exchange-students/exchange-students-unibo-learning-italian" TargetMode="External"/><Relationship Id="rId1452" Type="http://schemas.openxmlformats.org/officeDocument/2006/relationships/hyperlink" Target="https://www.unibo.it/en/international/incoming-exchange-students/exchange-students-unibo-learning-italian" TargetMode="External"/><Relationship Id="rId1453" Type="http://schemas.openxmlformats.org/officeDocument/2006/relationships/hyperlink" Target="https://www.unibo.it/it" TargetMode="External"/><Relationship Id="rId2300" Type="http://schemas.openxmlformats.org/officeDocument/2006/relationships/hyperlink" Target="https://drive.google.com/drive/folders/1s_e1oi-KHeoSJjjucJ050iKRkQIJL_ww?usp=sharing" TargetMode="External"/><Relationship Id="rId1454" Type="http://schemas.openxmlformats.org/officeDocument/2006/relationships/hyperlink" Target="https://www.unibo.it/en/international/incoming-exchange-students/exchange-students-unibo-learning-italian" TargetMode="External"/><Relationship Id="rId2301" Type="http://schemas.openxmlformats.org/officeDocument/2006/relationships/hyperlink" Target="https://www.skku.edu/eng/International/StudySKKU/Application.do" TargetMode="External"/><Relationship Id="rId1444" Type="http://schemas.openxmlformats.org/officeDocument/2006/relationships/hyperlink" Target="https://www.unisob.na.it/" TargetMode="External"/><Relationship Id="rId1445" Type="http://schemas.openxmlformats.org/officeDocument/2006/relationships/hyperlink" Target="https://www.unisob.na.it/ateneo/internazionale/b001.htm?vr=3&amp;lg=en" TargetMode="External"/><Relationship Id="rId1446" Type="http://schemas.openxmlformats.org/officeDocument/2006/relationships/hyperlink" Target="https://www.unisob.na.it/ateneo/internazionale/b001.htm?vr=3&amp;lg=en" TargetMode="External"/><Relationship Id="rId1447" Type="http://schemas.openxmlformats.org/officeDocument/2006/relationships/hyperlink" Target="https://www.unibo.it/it" TargetMode="External"/><Relationship Id="rId1448" Type="http://schemas.openxmlformats.org/officeDocument/2006/relationships/hyperlink" Target="https://www.unibo.it/en/international/incoming-exchange-students/exchange-students-unibo-learning-italian" TargetMode="External"/><Relationship Id="rId1449" Type="http://schemas.openxmlformats.org/officeDocument/2006/relationships/hyperlink" Target="https://www.unibo.it/en/international/incoming-exchange-students/exchange-students-unibo-learning-italian" TargetMode="External"/><Relationship Id="rId619" Type="http://schemas.openxmlformats.org/officeDocument/2006/relationships/hyperlink" Target="http://www.javerianacali.edu.co/" TargetMode="External"/><Relationship Id="rId618" Type="http://schemas.openxmlformats.org/officeDocument/2006/relationships/hyperlink" Target="http://www.javerianacali.edu.co/" TargetMode="External"/><Relationship Id="rId613" Type="http://schemas.openxmlformats.org/officeDocument/2006/relationships/hyperlink" Target="https://www.javeriana.edu.co/" TargetMode="External"/><Relationship Id="rId612" Type="http://schemas.openxmlformats.org/officeDocument/2006/relationships/hyperlink" Target="https://www.javeriana.edu.co/inicio" TargetMode="External"/><Relationship Id="rId611" Type="http://schemas.openxmlformats.org/officeDocument/2006/relationships/hyperlink" Target="https://www.javeriana.edu.co/" TargetMode="External"/><Relationship Id="rId610" Type="http://schemas.openxmlformats.org/officeDocument/2006/relationships/hyperlink" Target="https://www.ucy.ac.cy/ir/studies-incoming-er/" TargetMode="External"/><Relationship Id="rId617" Type="http://schemas.openxmlformats.org/officeDocument/2006/relationships/hyperlink" Target="https://www.javeriana.edu.co/" TargetMode="External"/><Relationship Id="rId616" Type="http://schemas.openxmlformats.org/officeDocument/2006/relationships/hyperlink" Target="https://www.javeriana.edu.co/" TargetMode="External"/><Relationship Id="rId615" Type="http://schemas.openxmlformats.org/officeDocument/2006/relationships/hyperlink" Target="https://www.javeriana.edu.co/" TargetMode="External"/><Relationship Id="rId614" Type="http://schemas.openxmlformats.org/officeDocument/2006/relationships/hyperlink" Target="https://www.javeriana.edu.co/inicio" TargetMode="External"/><Relationship Id="rId1440" Type="http://schemas.openxmlformats.org/officeDocument/2006/relationships/hyperlink" Target="https://www.unipd.it/en/language-requirement-admission-degree-programmes" TargetMode="External"/><Relationship Id="rId1441" Type="http://schemas.openxmlformats.org/officeDocument/2006/relationships/hyperlink" Target="https://www.unisob.na.it/" TargetMode="External"/><Relationship Id="rId1442" Type="http://schemas.openxmlformats.org/officeDocument/2006/relationships/hyperlink" Target="https://www.unisob.na.it/ateneo/internazionale/b001.htm?vr=3&amp;lg=en" TargetMode="External"/><Relationship Id="rId1443" Type="http://schemas.openxmlformats.org/officeDocument/2006/relationships/hyperlink" Target="https://www.unisob.na.it/ateneo/internazionale/b001.htm?vr=3&amp;lg=en" TargetMode="External"/><Relationship Id="rId1477" Type="http://schemas.openxmlformats.org/officeDocument/2006/relationships/hyperlink" Target="https://www.unibs.it/it" TargetMode="External"/><Relationship Id="rId2324" Type="http://schemas.openxmlformats.org/officeDocument/2006/relationships/hyperlink" Target="https://unibuc.ro/international/programul-erasmus/studenti-erasmus/?lang=en" TargetMode="External"/><Relationship Id="rId1478" Type="http://schemas.openxmlformats.org/officeDocument/2006/relationships/hyperlink" Target="https://www.unibs.it/it/internazionale/incoming-exchange/erasmus-studies" TargetMode="External"/><Relationship Id="rId2325" Type="http://schemas.openxmlformats.org/officeDocument/2006/relationships/hyperlink" Target="https://www.ugal.ro/" TargetMode="External"/><Relationship Id="rId1479" Type="http://schemas.openxmlformats.org/officeDocument/2006/relationships/hyperlink" Target="https://www.unibs.it/it/internazionale/incoming-exchange/erasmus-studies" TargetMode="External"/><Relationship Id="rId2326" Type="http://schemas.openxmlformats.org/officeDocument/2006/relationships/hyperlink" Target="https://www.en.ugal.ro/files/erasmus/2020/3/KA107_Erasmus_Info_Sheet_RO_GALATI01_incoming_students.pdf" TargetMode="External"/><Relationship Id="rId2327" Type="http://schemas.openxmlformats.org/officeDocument/2006/relationships/hyperlink" Target="https://www.en.ugal.ro/files/erasmus/2020/3/KA107_Erasmus_Info_Sheet_RO_GALATI01_incoming_students.pdf" TargetMode="External"/><Relationship Id="rId2328" Type="http://schemas.openxmlformats.org/officeDocument/2006/relationships/hyperlink" Target="https://www.bg.ac.rs/en/" TargetMode="External"/><Relationship Id="rId2329" Type="http://schemas.openxmlformats.org/officeDocument/2006/relationships/hyperlink" Target="http://bg.ac.rs/en/study-in-belgrade/faq.php" TargetMode="External"/><Relationship Id="rId646" Type="http://schemas.openxmlformats.org/officeDocument/2006/relationships/hyperlink" Target="https://uniri.hr/en/home/" TargetMode="External"/><Relationship Id="rId645" Type="http://schemas.openxmlformats.org/officeDocument/2006/relationships/hyperlink" Target="https://www.vus.hr/" TargetMode="External"/><Relationship Id="rId644" Type="http://schemas.openxmlformats.org/officeDocument/2006/relationships/hyperlink" Target="https://www.vus.hr/" TargetMode="External"/><Relationship Id="rId643" Type="http://schemas.openxmlformats.org/officeDocument/2006/relationships/hyperlink" Target="http://www.vus.hr/?lang=en" TargetMode="External"/><Relationship Id="rId649" Type="http://schemas.openxmlformats.org/officeDocument/2006/relationships/hyperlink" Target="https://www.unist.hr/en/" TargetMode="External"/><Relationship Id="rId648" Type="http://schemas.openxmlformats.org/officeDocument/2006/relationships/hyperlink" Target="https://uniri.hr/en/about-university/international-relations-and-erasmus/incoming-erasmus-students/" TargetMode="External"/><Relationship Id="rId647" Type="http://schemas.openxmlformats.org/officeDocument/2006/relationships/hyperlink" Target="https://uniri.hr/en/about-university/international-relations-and-erasmus/incoming-erasmus-students/" TargetMode="External"/><Relationship Id="rId1470" Type="http://schemas.openxmlformats.org/officeDocument/2006/relationships/hyperlink" Target="https://www.unibz.it/en/applicants/international/incoming-exchange-students/" TargetMode="External"/><Relationship Id="rId1471" Type="http://schemas.openxmlformats.org/officeDocument/2006/relationships/hyperlink" Target="https://www.lum.it/" TargetMode="External"/><Relationship Id="rId1472" Type="http://schemas.openxmlformats.org/officeDocument/2006/relationships/hyperlink" Target="https://www.lum.it/en/international-mobility/incoming-students/" TargetMode="External"/><Relationship Id="rId642" Type="http://schemas.openxmlformats.org/officeDocument/2006/relationships/hyperlink" Target="https://www.vus.hr/" TargetMode="External"/><Relationship Id="rId1473" Type="http://schemas.openxmlformats.org/officeDocument/2006/relationships/hyperlink" Target="https://www.lum.it/en/international-mobility/incoming-students/" TargetMode="External"/><Relationship Id="rId2320" Type="http://schemas.openxmlformats.org/officeDocument/2006/relationships/hyperlink" Target="https://unibuc.ro/international/programul-erasmus/studenti-erasmus/?lang=en" TargetMode="External"/><Relationship Id="rId641" Type="http://schemas.openxmlformats.org/officeDocument/2006/relationships/hyperlink" Target="https://www.vus.hr/" TargetMode="External"/><Relationship Id="rId1474" Type="http://schemas.openxmlformats.org/officeDocument/2006/relationships/hyperlink" Target="https://www.unive.it/pag/13526" TargetMode="External"/><Relationship Id="rId2321" Type="http://schemas.openxmlformats.org/officeDocument/2006/relationships/hyperlink" Target="https://unibuc.ro/international/programul-erasmus/studenti-erasmus/?lang=en" TargetMode="External"/><Relationship Id="rId640" Type="http://schemas.openxmlformats.org/officeDocument/2006/relationships/hyperlink" Target="http://www.vus.hr/?lang=en" TargetMode="External"/><Relationship Id="rId1475" Type="http://schemas.openxmlformats.org/officeDocument/2006/relationships/hyperlink" Target="https://www.unive.it/pag/fileadmin/user_upload/ateneo/internazionale/documenti/destinazione_cafoscari/I__VENEZIA01_infosheet_23-24.pdf" TargetMode="External"/><Relationship Id="rId2322" Type="http://schemas.openxmlformats.org/officeDocument/2006/relationships/hyperlink" Target="https://unibuc.ro/?lang=en" TargetMode="External"/><Relationship Id="rId1476" Type="http://schemas.openxmlformats.org/officeDocument/2006/relationships/hyperlink" Target="https://www.unive.it/pag/fileadmin/user_upload/ateneo/internazionale/documenti/destinazione_cafoscari/I__VENEZIA01_infosheet_23-24.pdf" TargetMode="External"/><Relationship Id="rId2323" Type="http://schemas.openxmlformats.org/officeDocument/2006/relationships/hyperlink" Target="https://unibuc.ro/international/programul-erasmus/studenti-erasmus/?lang=en" TargetMode="External"/><Relationship Id="rId1466" Type="http://schemas.openxmlformats.org/officeDocument/2006/relationships/hyperlink" Target="https://www.unisr.it/attachments/FREQUENTLY-ASKED-QUESTIONS-ERASMUS--INCOMING/07e7fe9b-3a83-4b06-ba72-6c5cc75f0b8d/e090b307-34bc-49d4-926f-cf420143f701.pdf" TargetMode="External"/><Relationship Id="rId2313" Type="http://schemas.openxmlformats.org/officeDocument/2006/relationships/hyperlink" Target="https://www.univnt.ro/" TargetMode="External"/><Relationship Id="rId1467" Type="http://schemas.openxmlformats.org/officeDocument/2006/relationships/hyperlink" Target="https://www.unisr.it/attachments/FREQUENTLY-ASKED-QUESTIONS-ERASMUS--INCOMING/07e7fe9b-3a83-4b06-ba72-6c5cc75f0b8d/e090b307-34bc-49d4-926f-cf420143f701.pdf" TargetMode="External"/><Relationship Id="rId2314" Type="http://schemas.openxmlformats.org/officeDocument/2006/relationships/hyperlink" Target="https://www.univnt.ro/index.php/erasmus/" TargetMode="External"/><Relationship Id="rId1468" Type="http://schemas.openxmlformats.org/officeDocument/2006/relationships/hyperlink" Target="https://www.unibz.it/" TargetMode="External"/><Relationship Id="rId2315" Type="http://schemas.openxmlformats.org/officeDocument/2006/relationships/hyperlink" Target="https://www.univnt.ro/index.php/erasmus/" TargetMode="External"/><Relationship Id="rId1469" Type="http://schemas.openxmlformats.org/officeDocument/2006/relationships/hyperlink" Target="https://www.unibz.it/en/applicants/international/incoming-exchange-students/" TargetMode="External"/><Relationship Id="rId2316" Type="http://schemas.openxmlformats.org/officeDocument/2006/relationships/hyperlink" Target="https://upb.ro/" TargetMode="External"/><Relationship Id="rId2317" Type="http://schemas.openxmlformats.org/officeDocument/2006/relationships/hyperlink" Target="https://upb.ro/en/erasmus/erasmus-policy-statement/" TargetMode="External"/><Relationship Id="rId2318" Type="http://schemas.openxmlformats.org/officeDocument/2006/relationships/hyperlink" Target="https://upb.ro/en/erasmus/erasmus-policy-statement/" TargetMode="External"/><Relationship Id="rId2319" Type="http://schemas.openxmlformats.org/officeDocument/2006/relationships/hyperlink" Target="https://unibuc.ro/?lang=en" TargetMode="External"/><Relationship Id="rId635" Type="http://schemas.openxmlformats.org/officeDocument/2006/relationships/hyperlink" Target="http://www.ut.edu.co/" TargetMode="External"/><Relationship Id="rId634" Type="http://schemas.openxmlformats.org/officeDocument/2006/relationships/hyperlink" Target="http://n/a" TargetMode="External"/><Relationship Id="rId633" Type="http://schemas.openxmlformats.org/officeDocument/2006/relationships/hyperlink" Target="https://uniandes.edu.co/" TargetMode="External"/><Relationship Id="rId632" Type="http://schemas.openxmlformats.org/officeDocument/2006/relationships/hyperlink" Target="http://n/a" TargetMode="External"/><Relationship Id="rId639" Type="http://schemas.openxmlformats.org/officeDocument/2006/relationships/hyperlink" Target="https://www.usbmed.edu.co/internacionalizacion" TargetMode="External"/><Relationship Id="rId638" Type="http://schemas.openxmlformats.org/officeDocument/2006/relationships/hyperlink" Target="https://www.usbmed.edu.co/internacionalizacion" TargetMode="External"/><Relationship Id="rId637" Type="http://schemas.openxmlformats.org/officeDocument/2006/relationships/hyperlink" Target="https://www.usbmed.edu.co/" TargetMode="External"/><Relationship Id="rId636" Type="http://schemas.openxmlformats.org/officeDocument/2006/relationships/hyperlink" Target="http://n/a" TargetMode="External"/><Relationship Id="rId1460" Type="http://schemas.openxmlformats.org/officeDocument/2006/relationships/hyperlink" Target="https://www.unibo.it/en/international/incoming-exchange-students/exchange-students-unibo-learning-italian" TargetMode="External"/><Relationship Id="rId1461" Type="http://schemas.openxmlformats.org/officeDocument/2006/relationships/hyperlink" Target="https://www.unibo.it/en/international/incoming-exchange-students/exchange-students-unibo-learning-italian" TargetMode="External"/><Relationship Id="rId631" Type="http://schemas.openxmlformats.org/officeDocument/2006/relationships/hyperlink" Target="https://www.uexternado.edu.co/" TargetMode="External"/><Relationship Id="rId1462" Type="http://schemas.openxmlformats.org/officeDocument/2006/relationships/hyperlink" Target="https://www.unica.it/" TargetMode="External"/><Relationship Id="rId630" Type="http://schemas.openxmlformats.org/officeDocument/2006/relationships/hyperlink" Target="http://n/a" TargetMode="External"/><Relationship Id="rId1463" Type="http://schemas.openxmlformats.org/officeDocument/2006/relationships/hyperlink" Target="https://www.upf.edu/documents/105229234/121145553/Universit%C3%A0+degli+Studi+di+Cagliari.pdf/0f71933f-4d72-7b77-6702-f9cb922c6fb7" TargetMode="External"/><Relationship Id="rId2310" Type="http://schemas.openxmlformats.org/officeDocument/2006/relationships/hyperlink" Target="https://www.univagora.ro/en/" TargetMode="External"/><Relationship Id="rId1464" Type="http://schemas.openxmlformats.org/officeDocument/2006/relationships/hyperlink" Target="https://www.upf.edu/documents/105229234/121145553/Universit%C3%A0+degli+Studi+di+Cagliari.pdf/0f71933f-4d72-7b77-6702-f9cb922c6fb7" TargetMode="External"/><Relationship Id="rId2311" Type="http://schemas.openxmlformats.org/officeDocument/2006/relationships/hyperlink" Target="https://spu.ba/wp-content/uploads/2018/02/AGORA-University-of-Oradea-Erasmus.pdf" TargetMode="External"/><Relationship Id="rId1465" Type="http://schemas.openxmlformats.org/officeDocument/2006/relationships/hyperlink" Target="https://www.unisr.it/" TargetMode="External"/><Relationship Id="rId2312" Type="http://schemas.openxmlformats.org/officeDocument/2006/relationships/hyperlink" Target="https://spu.ba/wp-content/uploads/2018/02/AGORA-University-of-Oradea-Erasmus.pdf" TargetMode="External"/><Relationship Id="rId1411" Type="http://schemas.openxmlformats.org/officeDocument/2006/relationships/hyperlink" Target="http://www.uniroma4.it/" TargetMode="External"/><Relationship Id="rId1895" Type="http://schemas.openxmlformats.org/officeDocument/2006/relationships/hyperlink" Target="https://ignatianum.edu.pl/storage/files/May2020/Erasmus+%20INFO%20sheet%20Ignatianum_2020-21.pdf" TargetMode="External"/><Relationship Id="rId1412" Type="http://schemas.openxmlformats.org/officeDocument/2006/relationships/hyperlink" Target="http://www.uniroma4.it/?q=node/156" TargetMode="External"/><Relationship Id="rId1896" Type="http://schemas.openxmlformats.org/officeDocument/2006/relationships/hyperlink" Target="https://ignatianum.edu.pl/storage/files/May2020/Erasmus+%20INFO%20sheet%20Ignatianum_2020-21.pdf" TargetMode="External"/><Relationship Id="rId1413" Type="http://schemas.openxmlformats.org/officeDocument/2006/relationships/hyperlink" Target="http://www.uniroma4.it/?q=node/156" TargetMode="External"/><Relationship Id="rId1897" Type="http://schemas.openxmlformats.org/officeDocument/2006/relationships/hyperlink" Target="https://www.ignatianum.edu.pl/university" TargetMode="External"/><Relationship Id="rId1414" Type="http://schemas.openxmlformats.org/officeDocument/2006/relationships/hyperlink" Target="https://www.unisa.it/" TargetMode="External"/><Relationship Id="rId1898" Type="http://schemas.openxmlformats.org/officeDocument/2006/relationships/hyperlink" Target="https://ignatianum.edu.pl/storage/files/May2020/Erasmus+%20INFO%20sheet%20Ignatianum_2020-21.pdf" TargetMode="External"/><Relationship Id="rId1415" Type="http://schemas.openxmlformats.org/officeDocument/2006/relationships/hyperlink" Target="https://eurep.auth.gr/sites/default/files/fact_sheets/I_SALERNO01_Factsheet.pdf" TargetMode="External"/><Relationship Id="rId1899" Type="http://schemas.openxmlformats.org/officeDocument/2006/relationships/hyperlink" Target="https://ignatianum.edu.pl/storage/files/May2020/Erasmus+%20INFO%20sheet%20Ignatianum_2020-21.pdf" TargetMode="External"/><Relationship Id="rId1416" Type="http://schemas.openxmlformats.org/officeDocument/2006/relationships/hyperlink" Target="https://eurep.auth.gr/sites/default/files/fact_sheets/I_SALERNO01_Factsheet.pdf" TargetMode="External"/><Relationship Id="rId1417" Type="http://schemas.openxmlformats.org/officeDocument/2006/relationships/hyperlink" Target="https://www.unisa.it/" TargetMode="External"/><Relationship Id="rId1418" Type="http://schemas.openxmlformats.org/officeDocument/2006/relationships/hyperlink" Target="https://eurep.auth.gr/sites/default/files/fact_sheets/I_SALERNO01_Factsheet.pdf" TargetMode="External"/><Relationship Id="rId1419" Type="http://schemas.openxmlformats.org/officeDocument/2006/relationships/hyperlink" Target="https://eurep.auth.gr/sites/default/files/fact_sheets/I_SALERNO01_Factsheet.pdf" TargetMode="External"/><Relationship Id="rId1890" Type="http://schemas.openxmlformats.org/officeDocument/2006/relationships/hyperlink" Target="https://erasmus.uj.edu.pl/en_GB/incoming/studies" TargetMode="External"/><Relationship Id="rId1891" Type="http://schemas.openxmlformats.org/officeDocument/2006/relationships/hyperlink" Target="https://www.ignatianum.edu.pl/university" TargetMode="External"/><Relationship Id="rId1892" Type="http://schemas.openxmlformats.org/officeDocument/2006/relationships/hyperlink" Target="https://ignatianum.edu.pl/storage/files/May2020/Erasmus+%20INFO%20sheet%20Ignatianum_2020-21.pdf" TargetMode="External"/><Relationship Id="rId1893" Type="http://schemas.openxmlformats.org/officeDocument/2006/relationships/hyperlink" Target="https://ignatianum.edu.pl/storage/files/May2020/Erasmus+%20INFO%20sheet%20Ignatianum_2020-21.pdf" TargetMode="External"/><Relationship Id="rId1410" Type="http://schemas.openxmlformats.org/officeDocument/2006/relationships/hyperlink" Target="https://www.unipi.it/index.php/opportunities-and-exchange-programmes/item/11414-student-exchange-programme" TargetMode="External"/><Relationship Id="rId1894" Type="http://schemas.openxmlformats.org/officeDocument/2006/relationships/hyperlink" Target="https://www.ignatianum.edu.pl/university" TargetMode="External"/><Relationship Id="rId1400" Type="http://schemas.openxmlformats.org/officeDocument/2006/relationships/hyperlink" Target="https://www.unipg.it/en/international-students/incoming-exchange-students/international-study-programmes" TargetMode="External"/><Relationship Id="rId1884" Type="http://schemas.openxmlformats.org/officeDocument/2006/relationships/hyperlink" Target="https://erasmus.uj.edu.pl/en_GB/incoming/studies" TargetMode="External"/><Relationship Id="rId1401" Type="http://schemas.openxmlformats.org/officeDocument/2006/relationships/hyperlink" Target="https://www.unipg.it/en/international-students/incoming-exchange-students/international-study-programmes" TargetMode="External"/><Relationship Id="rId1885" Type="http://schemas.openxmlformats.org/officeDocument/2006/relationships/hyperlink" Target="https://www.uj.edu.pl/" TargetMode="External"/><Relationship Id="rId1402" Type="http://schemas.openxmlformats.org/officeDocument/2006/relationships/hyperlink" Target="https://www.unipi.it/" TargetMode="External"/><Relationship Id="rId1886" Type="http://schemas.openxmlformats.org/officeDocument/2006/relationships/hyperlink" Target="https://erasmus.uj.edu.pl/en_GB/incoming/studies" TargetMode="External"/><Relationship Id="rId1403" Type="http://schemas.openxmlformats.org/officeDocument/2006/relationships/hyperlink" Target="https://www.unipi.it/index.php/opportunities-and-exchange-programmes/item/11414-student-exchange-programme" TargetMode="External"/><Relationship Id="rId1887" Type="http://schemas.openxmlformats.org/officeDocument/2006/relationships/hyperlink" Target="https://erasmus.uj.edu.pl/en_GB/incoming/studies" TargetMode="External"/><Relationship Id="rId1404" Type="http://schemas.openxmlformats.org/officeDocument/2006/relationships/hyperlink" Target="https://www.unipi.it/index.php/opportunities-and-exchange-programmes/item/11414-student-exchange-programme" TargetMode="External"/><Relationship Id="rId1888" Type="http://schemas.openxmlformats.org/officeDocument/2006/relationships/hyperlink" Target="https://www.uj.edu.pl/" TargetMode="External"/><Relationship Id="rId1405" Type="http://schemas.openxmlformats.org/officeDocument/2006/relationships/hyperlink" Target="https://www.unipi.it/" TargetMode="External"/><Relationship Id="rId1889" Type="http://schemas.openxmlformats.org/officeDocument/2006/relationships/hyperlink" Target="https://erasmus.uj.edu.pl/en_GB/incoming/studies" TargetMode="External"/><Relationship Id="rId1406" Type="http://schemas.openxmlformats.org/officeDocument/2006/relationships/hyperlink" Target="https://www.unipi.it/index.php/opportunities-and-exchange-programmes/item/11414-student-exchange-programme" TargetMode="External"/><Relationship Id="rId1407" Type="http://schemas.openxmlformats.org/officeDocument/2006/relationships/hyperlink" Target="https://www.unipi.it/index.php/opportunities-and-exchange-programmes/item/11414-student-exchange-programme" TargetMode="External"/><Relationship Id="rId1408" Type="http://schemas.openxmlformats.org/officeDocument/2006/relationships/hyperlink" Target="https://www.unipi.it/" TargetMode="External"/><Relationship Id="rId1409" Type="http://schemas.openxmlformats.org/officeDocument/2006/relationships/hyperlink" Target="https://www.unipi.it/index.php/opportunities-and-exchange-programmes/item/11414-student-exchange-programme" TargetMode="External"/><Relationship Id="rId1880" Type="http://schemas.openxmlformats.org/officeDocument/2006/relationships/hyperlink" Target="https://erasmus.uj.edu.pl/en_GB/incoming/studies" TargetMode="External"/><Relationship Id="rId1881" Type="http://schemas.openxmlformats.org/officeDocument/2006/relationships/hyperlink" Target="https://erasmus.uj.edu.pl/en_GB/incoming/studies" TargetMode="External"/><Relationship Id="rId1882" Type="http://schemas.openxmlformats.org/officeDocument/2006/relationships/hyperlink" Target="https://www.uj.edu.pl/" TargetMode="External"/><Relationship Id="rId1883" Type="http://schemas.openxmlformats.org/officeDocument/2006/relationships/hyperlink" Target="https://erasmus.uj.edu.pl/en_GB/incoming/studies" TargetMode="External"/><Relationship Id="rId1433" Type="http://schemas.openxmlformats.org/officeDocument/2006/relationships/hyperlink" Target="https://docs.univr.it/documenti/Documento/allegati/allegati188671.pdf" TargetMode="External"/><Relationship Id="rId1434" Type="http://schemas.openxmlformats.org/officeDocument/2006/relationships/hyperlink" Target="https://docs.univr.it/documenti/Documento/allegati/allegati188671.pdf" TargetMode="External"/><Relationship Id="rId1435" Type="http://schemas.openxmlformats.org/officeDocument/2006/relationships/hyperlink" Target="https://www.univr.it/it/" TargetMode="External"/><Relationship Id="rId1436" Type="http://schemas.openxmlformats.org/officeDocument/2006/relationships/hyperlink" Target="https://docs.univr.it/documenti/Documento/allegati/allegati188671.pdf" TargetMode="External"/><Relationship Id="rId1437" Type="http://schemas.openxmlformats.org/officeDocument/2006/relationships/hyperlink" Target="https://docs.univr.it/documenti/Documento/allegati/allegati188671.pdf" TargetMode="External"/><Relationship Id="rId1438" Type="http://schemas.openxmlformats.org/officeDocument/2006/relationships/hyperlink" Target="https://www.unipd.it/" TargetMode="External"/><Relationship Id="rId1439" Type="http://schemas.openxmlformats.org/officeDocument/2006/relationships/hyperlink" Target="https://www.unipd.it/en/language-requirement-admission-degree-programmes" TargetMode="External"/><Relationship Id="rId609" Type="http://schemas.openxmlformats.org/officeDocument/2006/relationships/hyperlink" Target="https://admission.whu.edu.cn/en/?c=content&amp;a=list&amp;catid=153" TargetMode="External"/><Relationship Id="rId608" Type="http://schemas.openxmlformats.org/officeDocument/2006/relationships/hyperlink" Target="https://en.whu.edu.cn/" TargetMode="External"/><Relationship Id="rId607" Type="http://schemas.openxmlformats.org/officeDocument/2006/relationships/hyperlink" Target="https://www.usj.edu.mo/wp-content/uploads/2022/09/WEB_InEx-Guide-22-23_CPRO_August_2022-1.pdf" TargetMode="External"/><Relationship Id="rId602" Type="http://schemas.openxmlformats.org/officeDocument/2006/relationships/hyperlink" Target="https://www.usj.edu.mo/wp-content/uploads/2022/09/WEB_InEx-Guide-22-23_CPRO_August_2022-1.pdf" TargetMode="External"/><Relationship Id="rId601" Type="http://schemas.openxmlformats.org/officeDocument/2006/relationships/hyperlink" Target="https://www.usj.edu.mo/wp-content/uploads/2022/09/WEB_InEx-Guide-22-23_CPRO_August_2022-1.pdf" TargetMode="External"/><Relationship Id="rId600" Type="http://schemas.openxmlformats.org/officeDocument/2006/relationships/hyperlink" Target="https://www.usj.edu.mo/wp-content/uploads/2022/09/WEB_InEx-Guide-22-23_CPRO_August_2022-1.pdf" TargetMode="External"/><Relationship Id="rId606" Type="http://schemas.openxmlformats.org/officeDocument/2006/relationships/hyperlink" Target="https://www.usj.edu.mo/wp-content/uploads/2022/09/WEB_InEx-Guide-22-23_CPRO_August_2022-1.pdf" TargetMode="External"/><Relationship Id="rId605" Type="http://schemas.openxmlformats.org/officeDocument/2006/relationships/hyperlink" Target="https://www.usj.edu.mo/wp-content/uploads/2022/09/WEB_InEx-Guide-22-23_CPRO_August_2022-1.pdf" TargetMode="External"/><Relationship Id="rId604" Type="http://schemas.openxmlformats.org/officeDocument/2006/relationships/hyperlink" Target="https://www.usj.edu.mo/wp-content/uploads/2022/09/WEB_InEx-Guide-22-23_CPRO_August_2022-1.pdf" TargetMode="External"/><Relationship Id="rId603" Type="http://schemas.openxmlformats.org/officeDocument/2006/relationships/hyperlink" Target="https://www.usj.edu.mo/wp-content/uploads/2022/09/WEB_InEx-Guide-22-23_CPRO_August_2022-1.pdf" TargetMode="External"/><Relationship Id="rId1430" Type="http://schemas.openxmlformats.org/officeDocument/2006/relationships/hyperlink" Target="https://www.uniadrionitaly.it/wp-content/uploads/2022/10/UNI_URBINO.pdf" TargetMode="External"/><Relationship Id="rId1431" Type="http://schemas.openxmlformats.org/officeDocument/2006/relationships/hyperlink" Target="https://www.uniadrionitaly.it/wp-content/uploads/2022/10/UNI_URBINO.pdf" TargetMode="External"/><Relationship Id="rId1432" Type="http://schemas.openxmlformats.org/officeDocument/2006/relationships/hyperlink" Target="https://www.univr.it/it/" TargetMode="External"/><Relationship Id="rId1422" Type="http://schemas.openxmlformats.org/officeDocument/2006/relationships/hyperlink" Target="https://en.unito.it/international-relations/students-mobility/exchange-students-and-erasmus-mobility" TargetMode="External"/><Relationship Id="rId1423" Type="http://schemas.openxmlformats.org/officeDocument/2006/relationships/hyperlink" Target="https://www.uniud.it/" TargetMode="External"/><Relationship Id="rId1424" Type="http://schemas.openxmlformats.org/officeDocument/2006/relationships/hyperlink" Target="https://www.uniud.it/en/uniud-international/International_Students/language-requirements-for-admission" TargetMode="External"/><Relationship Id="rId1425" Type="http://schemas.openxmlformats.org/officeDocument/2006/relationships/hyperlink" Target="https://www.uniud.it/en/uniud-international/International_Students/language-requirements-for-admission" TargetMode="External"/><Relationship Id="rId1426" Type="http://schemas.openxmlformats.org/officeDocument/2006/relationships/hyperlink" Target="https://www.uniud.it/" TargetMode="External"/><Relationship Id="rId1427" Type="http://schemas.openxmlformats.org/officeDocument/2006/relationships/hyperlink" Target="https://www.uniud.it/en/uniud-international/International_Students/language-requirements-for-admission" TargetMode="External"/><Relationship Id="rId1428" Type="http://schemas.openxmlformats.org/officeDocument/2006/relationships/hyperlink" Target="https://www.uniud.it/en/uniud-international/International_Students/language-requirements-for-admission" TargetMode="External"/><Relationship Id="rId1429" Type="http://schemas.openxmlformats.org/officeDocument/2006/relationships/hyperlink" Target="https://www.uniurb.it/" TargetMode="External"/><Relationship Id="rId1420" Type="http://schemas.openxmlformats.org/officeDocument/2006/relationships/hyperlink" Target="https://www.saamanagement.it/" TargetMode="External"/><Relationship Id="rId1421" Type="http://schemas.openxmlformats.org/officeDocument/2006/relationships/hyperlink" Target="https://en.unito.it/international-relations/students-mobility/exchange-students-and-erasmus-mobility" TargetMode="External"/><Relationship Id="rId1059" Type="http://schemas.openxmlformats.org/officeDocument/2006/relationships/hyperlink" Target="https://neoma-bs.com/programmes/global-bba-bachelor-in-business-administration/?admissions" TargetMode="External"/><Relationship Id="rId228" Type="http://schemas.openxmlformats.org/officeDocument/2006/relationships/hyperlink" Target="https://es.wikipedia.org/wiki/Universidad_del_Salvador" TargetMode="External"/><Relationship Id="rId227" Type="http://schemas.openxmlformats.org/officeDocument/2006/relationships/hyperlink" Target="https://www.usal.edu.ar/internacional/estudiantes-internacionales/" TargetMode="External"/><Relationship Id="rId226" Type="http://schemas.openxmlformats.org/officeDocument/2006/relationships/hyperlink" Target="https://es.wikipedia.org/wiki/Universidad_del_Salvador" TargetMode="External"/><Relationship Id="rId225" Type="http://schemas.openxmlformats.org/officeDocument/2006/relationships/hyperlink" Target="https://www.uces.edu.ar/carreras-universitarias/facultad-ciencias-salud/kinesiologia-fisiatria" TargetMode="External"/><Relationship Id="rId2380" Type="http://schemas.openxmlformats.org/officeDocument/2006/relationships/hyperlink" Target="https://www.gu.se/en/study-in-gothenburg/exchange-student/apply-for-exchange-studies" TargetMode="External"/><Relationship Id="rId229" Type="http://schemas.openxmlformats.org/officeDocument/2006/relationships/hyperlink" Target="https://www.usal.edu.ar/internacional/estudiantes-internacionales/" TargetMode="External"/><Relationship Id="rId1050" Type="http://schemas.openxmlformats.org/officeDocument/2006/relationships/hyperlink" Target="https://www.etsit.upm.es/fileadmin/documentos/imagenes/factsheet_Uni_socias/FactSheet_Enseeiht_22-23.docx" TargetMode="External"/><Relationship Id="rId2381" Type="http://schemas.openxmlformats.org/officeDocument/2006/relationships/hyperlink" Target="https://liu.se/en" TargetMode="External"/><Relationship Id="rId220" Type="http://schemas.openxmlformats.org/officeDocument/2006/relationships/hyperlink" Target="https://www.uces.edu.ar/" TargetMode="External"/><Relationship Id="rId1051" Type="http://schemas.openxmlformats.org/officeDocument/2006/relationships/hyperlink" Target="https://www.etsit.upm.es/fileadmin/documentos/imagenes/factsheet_Uni_socias/FactSheet_Enseeiht_22-23.docx" TargetMode="External"/><Relationship Id="rId2382" Type="http://schemas.openxmlformats.org/officeDocument/2006/relationships/hyperlink" Target="https://www.uu.se/" TargetMode="External"/><Relationship Id="rId1052" Type="http://schemas.openxmlformats.org/officeDocument/2006/relationships/hyperlink" Target="https://www.limayrac.fr/" TargetMode="External"/><Relationship Id="rId2383" Type="http://schemas.openxmlformats.org/officeDocument/2006/relationships/hyperlink" Target="https://www.uu.se/en/admissions/exchange/faq" TargetMode="External"/><Relationship Id="rId1053" Type="http://schemas.openxmlformats.org/officeDocument/2006/relationships/hyperlink" Target="https://www.limayrac.fr/etudier-a-linstitut/" TargetMode="External"/><Relationship Id="rId2384" Type="http://schemas.openxmlformats.org/officeDocument/2006/relationships/hyperlink" Target="https://www.uu.se/en/admissions/exchange/faq" TargetMode="External"/><Relationship Id="rId1054" Type="http://schemas.openxmlformats.org/officeDocument/2006/relationships/hyperlink" Target="https://www.limayrac.fr/etudier-a-linstitut/" TargetMode="External"/><Relationship Id="rId2385" Type="http://schemas.openxmlformats.org/officeDocument/2006/relationships/hyperlink" Target="https://www.uu.se/" TargetMode="External"/><Relationship Id="rId224" Type="http://schemas.openxmlformats.org/officeDocument/2006/relationships/hyperlink" Target="https://www.uces.edu.ar/" TargetMode="External"/><Relationship Id="rId1055" Type="http://schemas.openxmlformats.org/officeDocument/2006/relationships/hyperlink" Target="https://neoma-bs.com/" TargetMode="External"/><Relationship Id="rId2386" Type="http://schemas.openxmlformats.org/officeDocument/2006/relationships/hyperlink" Target="https://www.uu.se/en/admissions/exchange/faq" TargetMode="External"/><Relationship Id="rId223" Type="http://schemas.openxmlformats.org/officeDocument/2006/relationships/hyperlink" Target="https://www.uces.edu.ar/carreras-universitarias/facultad-ciencias-salud/kinesiologia-fisiatria" TargetMode="External"/><Relationship Id="rId1056" Type="http://schemas.openxmlformats.org/officeDocument/2006/relationships/hyperlink" Target="https://neoma-bs.com/programmes/global-bba-bachelor-in-business-administration/?admissions" TargetMode="External"/><Relationship Id="rId2387" Type="http://schemas.openxmlformats.org/officeDocument/2006/relationships/hyperlink" Target="https://www.uu.se/" TargetMode="External"/><Relationship Id="rId222" Type="http://schemas.openxmlformats.org/officeDocument/2006/relationships/hyperlink" Target="https://www.uces.edu.ar/" TargetMode="External"/><Relationship Id="rId1057" Type="http://schemas.openxmlformats.org/officeDocument/2006/relationships/hyperlink" Target="https://neoma-bs.com/programmes/global-bba-bachelor-in-business-administration/?admissions" TargetMode="External"/><Relationship Id="rId2388" Type="http://schemas.openxmlformats.org/officeDocument/2006/relationships/hyperlink" Target="https://www.uu.se/en/admissions/exchange/faq" TargetMode="External"/><Relationship Id="rId221" Type="http://schemas.openxmlformats.org/officeDocument/2006/relationships/hyperlink" Target="https://www.uces.edu.ar/carreras-universitarias/facultad-ciencias-salud/kinesiologia-fisiatria" TargetMode="External"/><Relationship Id="rId1058" Type="http://schemas.openxmlformats.org/officeDocument/2006/relationships/hyperlink" Target="https://neoma-bs.com/" TargetMode="External"/><Relationship Id="rId2389" Type="http://schemas.openxmlformats.org/officeDocument/2006/relationships/hyperlink" Target="https://www.hslu.ch/en/" TargetMode="External"/><Relationship Id="rId1048" Type="http://schemas.openxmlformats.org/officeDocument/2006/relationships/hyperlink" Target="http://www.sciencespo-grenoble.fr/ang/admission/international-tracks/" TargetMode="External"/><Relationship Id="rId2379" Type="http://schemas.openxmlformats.org/officeDocument/2006/relationships/hyperlink" Target="https://www.gu.se/en" TargetMode="External"/><Relationship Id="rId1049" Type="http://schemas.openxmlformats.org/officeDocument/2006/relationships/hyperlink" Target="https://www.inp-toulouse.fr/fr/index.html" TargetMode="External"/><Relationship Id="rId217" Type="http://schemas.openxmlformats.org/officeDocument/2006/relationships/hyperlink" Target="https://www.uces.edu.ar/carreras-universitarias/facultad-ciencias-salud/kinesiologia-fisiatria" TargetMode="External"/><Relationship Id="rId216" Type="http://schemas.openxmlformats.org/officeDocument/2006/relationships/hyperlink" Target="https://www.uces.edu.ar/" TargetMode="External"/><Relationship Id="rId215" Type="http://schemas.openxmlformats.org/officeDocument/2006/relationships/hyperlink" Target="https://www.uces.edu.ar/carreras-universitarias/facultad-ciencias-salud/kinesiologia-fisiatria" TargetMode="External"/><Relationship Id="rId699" Type="http://schemas.openxmlformats.org/officeDocument/2006/relationships/hyperlink" Target="https://www.sdu.dk/en/uddannelse/bachelor/adgangskrav/language-requirement" TargetMode="External"/><Relationship Id="rId214" Type="http://schemas.openxmlformats.org/officeDocument/2006/relationships/hyperlink" Target="https://www.uces.edu.ar/" TargetMode="External"/><Relationship Id="rId698" Type="http://schemas.openxmlformats.org/officeDocument/2006/relationships/hyperlink" Target="https://www.sdu.dk/en/uddannelse/bachelor/adgangskrav/language-requirement" TargetMode="External"/><Relationship Id="rId219" Type="http://schemas.openxmlformats.org/officeDocument/2006/relationships/hyperlink" Target="https://www.uces.edu.ar/carreras-universitarias/facultad-ciencias-salud/kinesiologia-fisiatria" TargetMode="External"/><Relationship Id="rId218" Type="http://schemas.openxmlformats.org/officeDocument/2006/relationships/hyperlink" Target="https://www.uces.edu.ar/" TargetMode="External"/><Relationship Id="rId2370" Type="http://schemas.openxmlformats.org/officeDocument/2006/relationships/hyperlink" Target="https://www.umu.se/en/" TargetMode="External"/><Relationship Id="rId693" Type="http://schemas.openxmlformats.org/officeDocument/2006/relationships/hyperlink" Target="https://www.ucsyd.dk/english/incoming-students" TargetMode="External"/><Relationship Id="rId1040" Type="http://schemas.openxmlformats.org/officeDocument/2006/relationships/hyperlink" Target="https://imt-nord-europe.fr/" TargetMode="External"/><Relationship Id="rId2371" Type="http://schemas.openxmlformats.org/officeDocument/2006/relationships/hyperlink" Target="https://www.umu.se/en/education/exchange-students/frequently-asked-questions/" TargetMode="External"/><Relationship Id="rId692" Type="http://schemas.openxmlformats.org/officeDocument/2006/relationships/hyperlink" Target="https://www.ucsyd.dk/english/incoming-students" TargetMode="External"/><Relationship Id="rId1041" Type="http://schemas.openxmlformats.org/officeDocument/2006/relationships/hyperlink" Target="https://imt-nord-europe.fr/en/trainings-directory/msc-advanced-design-and-management-of-durable-constructions-2/" TargetMode="External"/><Relationship Id="rId2372" Type="http://schemas.openxmlformats.org/officeDocument/2006/relationships/hyperlink" Target="https://www.umu.se/en/education/exchange-students/frequently-asked-questions/" TargetMode="External"/><Relationship Id="rId691" Type="http://schemas.openxmlformats.org/officeDocument/2006/relationships/hyperlink" Target="https://www.ucsyd.dk/english/about-university-college-south-denmark" TargetMode="External"/><Relationship Id="rId1042" Type="http://schemas.openxmlformats.org/officeDocument/2006/relationships/hyperlink" Target="https://imt-nord-europe.fr/en/trainings-directory/msc-advanced-design-and-management-of-durable-constructions-2/" TargetMode="External"/><Relationship Id="rId2373" Type="http://schemas.openxmlformats.org/officeDocument/2006/relationships/hyperlink" Target="https://www.umu.se/en/" TargetMode="External"/><Relationship Id="rId690" Type="http://schemas.openxmlformats.org/officeDocument/2006/relationships/hyperlink" Target="https://zealand.com/?_gl=1%2Aid2t02%2A_gcl_au%2AOTA2MjczMDg0LjE3MjcwODkwOTc.%2A_ga%2ANDQwMzI0MTU5LjE3MjcwODkwOTc.%2A_ga_5EMK0T55P8%2AMTcyNzA4OTA5Ny4xLjEuMTcyNzA4OTIwOS40My4wLjA." TargetMode="External"/><Relationship Id="rId1043" Type="http://schemas.openxmlformats.org/officeDocument/2006/relationships/hyperlink" Target="https://www.univ-lille.fr/" TargetMode="External"/><Relationship Id="rId2374" Type="http://schemas.openxmlformats.org/officeDocument/2006/relationships/hyperlink" Target="https://www.umu.se/en/education/exchange-students/frequently-asked-questions/" TargetMode="External"/><Relationship Id="rId213" Type="http://schemas.openxmlformats.org/officeDocument/2006/relationships/hyperlink" Target="https://www.uces.edu.ar/carreras-universitarias/facultad-ciencias-salud/kinesiologia-fisiatria" TargetMode="External"/><Relationship Id="rId697" Type="http://schemas.openxmlformats.org/officeDocument/2006/relationships/hyperlink" Target="https://www.sdu.dk/en" TargetMode="External"/><Relationship Id="rId1044" Type="http://schemas.openxmlformats.org/officeDocument/2006/relationships/hyperlink" Target="https://en.icam.fr/study-in-france/you-are-an-incoming-university-student/generalist-engineer-parcours-ouvert/?_gl=1*1q8gbl6*_up*MQ..*_ga*MjA0OTYxMjkxNS4xNzI2MjMxNjkz*_ga_1MM9DS2H5Y*MTcyNjIzMTY5Mi4xLjAuMTcyNjIzMTY5Mi4wLjAuMTExODA0MjQ0NA.." TargetMode="External"/><Relationship Id="rId2375" Type="http://schemas.openxmlformats.org/officeDocument/2006/relationships/hyperlink" Target="https://www.umu.se/en/education/exchange-students/frequently-asked-questions/" TargetMode="External"/><Relationship Id="rId212" Type="http://schemas.openxmlformats.org/officeDocument/2006/relationships/hyperlink" Target="https://www.uces.edu.ar/" TargetMode="External"/><Relationship Id="rId696" Type="http://schemas.openxmlformats.org/officeDocument/2006/relationships/hyperlink" Target="https://www.sdu.dk/en/uddannelse/bachelor/adgangskrav/language-requirement" TargetMode="External"/><Relationship Id="rId1045" Type="http://schemas.openxmlformats.org/officeDocument/2006/relationships/hyperlink" Target="https://en.icam.fr/study-in-france/you-are-an-incoming-university-student/generalist-engineer-parcours-ouvert/?_gl=1*1q8gbl6*_up*MQ..*_ga*MjA0OTYxMjkxNS4xNzI2MjMxNjkz*_ga_1MM9DS2H5Y*MTcyNjIzMTY5Mi4xLjAuMTcyNjIzMTY5Mi4wLjAuMTExODA0MjQ0NA.." TargetMode="External"/><Relationship Id="rId2376" Type="http://schemas.openxmlformats.org/officeDocument/2006/relationships/hyperlink" Target="https://www.gu.se/en" TargetMode="External"/><Relationship Id="rId211" Type="http://schemas.openxmlformats.org/officeDocument/2006/relationships/hyperlink" Target="https://www.uces.edu.ar/carreras-universitarias/facultad-ciencias-salud/kinesiologia-fisiatria" TargetMode="External"/><Relationship Id="rId695" Type="http://schemas.openxmlformats.org/officeDocument/2006/relationships/hyperlink" Target="https://www.sdu.dk/en/uddannelse/bachelor/adgangskrav/language-requirement" TargetMode="External"/><Relationship Id="rId1046" Type="http://schemas.openxmlformats.org/officeDocument/2006/relationships/hyperlink" Target="http://www.sciencespo-grenoble.fr/" TargetMode="External"/><Relationship Id="rId2377" Type="http://schemas.openxmlformats.org/officeDocument/2006/relationships/hyperlink" Target="https://www.gu.se/en/study-in-gothenburg/exchange-student/apply-for-exchange-studies" TargetMode="External"/><Relationship Id="rId210" Type="http://schemas.openxmlformats.org/officeDocument/2006/relationships/hyperlink" Target="https://www.uces.edu.ar/" TargetMode="External"/><Relationship Id="rId694" Type="http://schemas.openxmlformats.org/officeDocument/2006/relationships/hyperlink" Target="https://www.sdu.dk/en" TargetMode="External"/><Relationship Id="rId1047" Type="http://schemas.openxmlformats.org/officeDocument/2006/relationships/hyperlink" Target="http://www.sciencespo-grenoble.fr/ang/admission/international-tracks/" TargetMode="External"/><Relationship Id="rId2378" Type="http://schemas.openxmlformats.org/officeDocument/2006/relationships/hyperlink" Target="https://www.gu.se/en/study-in-gothenburg/exchange-student/apply-for-exchange-studies" TargetMode="External"/><Relationship Id="rId249" Type="http://schemas.openxmlformats.org/officeDocument/2006/relationships/hyperlink" Target="https://www.unvm.edu.ar/" TargetMode="External"/><Relationship Id="rId248" Type="http://schemas.openxmlformats.org/officeDocument/2006/relationships/hyperlink" Target="https://www.unvm.edu.ar/" TargetMode="External"/><Relationship Id="rId247" Type="http://schemas.openxmlformats.org/officeDocument/2006/relationships/hyperlink" Target="https://www.unvm.edu.ar/" TargetMode="External"/><Relationship Id="rId1070" Type="http://schemas.openxmlformats.org/officeDocument/2006/relationships/hyperlink" Target="https://student.kedge.edu/" TargetMode="External"/><Relationship Id="rId1071" Type="http://schemas.openxmlformats.org/officeDocument/2006/relationships/hyperlink" Target="https://student.kedge.edu/student-services/prepare-my-studies-abroad/practical-information/practical-information-for-international-student-in-bordeaux-kedge" TargetMode="External"/><Relationship Id="rId1072" Type="http://schemas.openxmlformats.org/officeDocument/2006/relationships/hyperlink" Target="https://student.kedge.edu/student-services/prepare-my-studies-abroad/practical-information/practical-information-for-international-student-in-bordeaux-kedge" TargetMode="External"/><Relationship Id="rId242" Type="http://schemas.openxmlformats.org/officeDocument/2006/relationships/hyperlink" Target="https://unr.edu.ar/" TargetMode="External"/><Relationship Id="rId1073" Type="http://schemas.openxmlformats.org/officeDocument/2006/relationships/hyperlink" Target="https://www.uco.fr/fr" TargetMode="External"/><Relationship Id="rId241" Type="http://schemas.openxmlformats.org/officeDocument/2006/relationships/hyperlink" Target="https://www.unla.edu.ar/secretarias/cooperacion-bienestar-y-deporte/direccion-de-cooperacion-internacional" TargetMode="External"/><Relationship Id="rId1074" Type="http://schemas.openxmlformats.org/officeDocument/2006/relationships/hyperlink" Target="https://international-uco.com/en" TargetMode="External"/><Relationship Id="rId240" Type="http://schemas.openxmlformats.org/officeDocument/2006/relationships/hyperlink" Target="http://www.unla.edu.ar/" TargetMode="External"/><Relationship Id="rId1075" Type="http://schemas.openxmlformats.org/officeDocument/2006/relationships/hyperlink" Target="https://international-uco.com/en" TargetMode="External"/><Relationship Id="rId1076" Type="http://schemas.openxmlformats.org/officeDocument/2006/relationships/hyperlink" Target="https://espol-lille.eu/" TargetMode="External"/><Relationship Id="rId246" Type="http://schemas.openxmlformats.org/officeDocument/2006/relationships/hyperlink" Target="https://www.unvm.edu.ar/" TargetMode="External"/><Relationship Id="rId1077" Type="http://schemas.openxmlformats.org/officeDocument/2006/relationships/hyperlink" Target="https://espol.school/en/admissions/" TargetMode="External"/><Relationship Id="rId245" Type="http://schemas.openxmlformats.org/officeDocument/2006/relationships/hyperlink" Target="https://www.unvm.edu.ar/" TargetMode="External"/><Relationship Id="rId1078" Type="http://schemas.openxmlformats.org/officeDocument/2006/relationships/hyperlink" Target="https://espol.school/en/admissions/" TargetMode="External"/><Relationship Id="rId244" Type="http://schemas.openxmlformats.org/officeDocument/2006/relationships/hyperlink" Target="https://www.unvm.edu.ar/" TargetMode="External"/><Relationship Id="rId1079" Type="http://schemas.openxmlformats.org/officeDocument/2006/relationships/hyperlink" Target="https://www.univ-catholille.fr/etablissement/faculte-de-droit" TargetMode="External"/><Relationship Id="rId243" Type="http://schemas.openxmlformats.org/officeDocument/2006/relationships/hyperlink" Target="https://unr.edu.ar/internacionalizacion/" TargetMode="External"/><Relationship Id="rId239" Type="http://schemas.openxmlformats.org/officeDocument/2006/relationships/hyperlink" Target="https://unlp.edu.ar/relaciones-internacionales/" TargetMode="External"/><Relationship Id="rId238" Type="http://schemas.openxmlformats.org/officeDocument/2006/relationships/hyperlink" Target="https://unlp.edu.ar/" TargetMode="External"/><Relationship Id="rId237" Type="http://schemas.openxmlformats.org/officeDocument/2006/relationships/hyperlink" Target="https://unlp.edu.ar/relaciones-internacionales/" TargetMode="External"/><Relationship Id="rId236" Type="http://schemas.openxmlformats.org/officeDocument/2006/relationships/hyperlink" Target="https://unlp.edu.ar/" TargetMode="External"/><Relationship Id="rId2390" Type="http://schemas.openxmlformats.org/officeDocument/2006/relationships/hyperlink" Target="https://www.hslu.ch/en/lucerne-school-of-information-technology/international/incoming/program-for-visiting-students/" TargetMode="External"/><Relationship Id="rId1060" Type="http://schemas.openxmlformats.org/officeDocument/2006/relationships/hyperlink" Target="https://neoma-bs.com/programmes/global-bba-bachelor-in-business-administration/?admissions" TargetMode="External"/><Relationship Id="rId2391" Type="http://schemas.openxmlformats.org/officeDocument/2006/relationships/hyperlink" Target="https://www.hslu.ch/en/" TargetMode="External"/><Relationship Id="rId1061" Type="http://schemas.openxmlformats.org/officeDocument/2006/relationships/hyperlink" Target="https://neoma-bs.com/" TargetMode="External"/><Relationship Id="rId2392" Type="http://schemas.openxmlformats.org/officeDocument/2006/relationships/hyperlink" Target="https://www.hslu.ch/en/lucerne-school-of-information-technology/international/incoming/program-for-visiting-students/" TargetMode="External"/><Relationship Id="rId231" Type="http://schemas.openxmlformats.org/officeDocument/2006/relationships/hyperlink" Target="https://www.usal.edu.ar/internacional/estudiantes-internacionales/" TargetMode="External"/><Relationship Id="rId1062" Type="http://schemas.openxmlformats.org/officeDocument/2006/relationships/hyperlink" Target="https://neoma-bs.com/programmes/global-bba-bachelor-in-business-administration/?admissions" TargetMode="External"/><Relationship Id="rId2393" Type="http://schemas.openxmlformats.org/officeDocument/2006/relationships/hyperlink" Target="https://phzh.ch/" TargetMode="External"/><Relationship Id="rId230" Type="http://schemas.openxmlformats.org/officeDocument/2006/relationships/hyperlink" Target="https://es.wikipedia.org/wiki/Universidad_del_Salvador" TargetMode="External"/><Relationship Id="rId1063" Type="http://schemas.openxmlformats.org/officeDocument/2006/relationships/hyperlink" Target="https://neoma-bs.com/programmes/global-bba-bachelor-in-business-administration/?admissions" TargetMode="External"/><Relationship Id="rId2394" Type="http://schemas.openxmlformats.org/officeDocument/2006/relationships/hyperlink" Target="https://phzh.ch/en/studies/student-mobility/exchange-semester-at-ph-zurich/" TargetMode="External"/><Relationship Id="rId1064" Type="http://schemas.openxmlformats.org/officeDocument/2006/relationships/hyperlink" Target="https://www.esiee-it.fr/fr" TargetMode="External"/><Relationship Id="rId2395" Type="http://schemas.openxmlformats.org/officeDocument/2006/relationships/hyperlink" Target="https://www.unige.ch/en/" TargetMode="External"/><Relationship Id="rId1065" Type="http://schemas.openxmlformats.org/officeDocument/2006/relationships/hyperlink" Target="https://www.esiee-it.fr/en/node/584" TargetMode="External"/><Relationship Id="rId2396" Type="http://schemas.openxmlformats.org/officeDocument/2006/relationships/hyperlink" Target="https://www.unige.ch/exchange/files/2316/4103/6114/UNIGE_Info_sheet_22-23_EU.pdf" TargetMode="External"/><Relationship Id="rId235" Type="http://schemas.openxmlformats.org/officeDocument/2006/relationships/hyperlink" Target="https://www.usal.edu.ar/internacional/estudiantes-internacionales/" TargetMode="External"/><Relationship Id="rId1066" Type="http://schemas.openxmlformats.org/officeDocument/2006/relationships/hyperlink" Target="https://www.esiee-it.fr/en/node/584" TargetMode="External"/><Relationship Id="rId2397" Type="http://schemas.openxmlformats.org/officeDocument/2006/relationships/hyperlink" Target="https://www.zhaw.ch/en/sml/" TargetMode="External"/><Relationship Id="rId234" Type="http://schemas.openxmlformats.org/officeDocument/2006/relationships/hyperlink" Target="https://es.wikipedia.org/wiki/Universidad_del_Salvador" TargetMode="External"/><Relationship Id="rId1067" Type="http://schemas.openxmlformats.org/officeDocument/2006/relationships/hyperlink" Target="https://www.u-bordeaux-montaigne.fr/fr/index.html" TargetMode="External"/><Relationship Id="rId2398" Type="http://schemas.openxmlformats.org/officeDocument/2006/relationships/hyperlink" Target="https://tu.ac.th/en" TargetMode="External"/><Relationship Id="rId233" Type="http://schemas.openxmlformats.org/officeDocument/2006/relationships/hyperlink" Target="https://www.usal.edu.ar/internacional/estudiantes-internacionales/" TargetMode="External"/><Relationship Id="rId1068" Type="http://schemas.openxmlformats.org/officeDocument/2006/relationships/hyperlink" Target="https://www.u-bordeaux-montaigne.fr/en/study/application/exchange-program/file-an-application.html" TargetMode="External"/><Relationship Id="rId2399" Type="http://schemas.openxmlformats.org/officeDocument/2006/relationships/hyperlink" Target="https://oia.tu.ac.th/index.php?option=com_content&amp;view=article&amp;id=600&amp;Itemid=381" TargetMode="External"/><Relationship Id="rId232" Type="http://schemas.openxmlformats.org/officeDocument/2006/relationships/hyperlink" Target="https://es.wikipedia.org/wiki/Universidad_del_Salvador" TargetMode="External"/><Relationship Id="rId1069" Type="http://schemas.openxmlformats.org/officeDocument/2006/relationships/hyperlink" Target="https://www.u-bordeaux-montaigne.fr/en/study/application/exchange-program/file-an-application.html" TargetMode="External"/><Relationship Id="rId1015" Type="http://schemas.openxmlformats.org/officeDocument/2006/relationships/hyperlink" Target="https://www.em-strasbourg.com/en/student/university-exchanges/exchanges-programs-for-incoming-students" TargetMode="External"/><Relationship Id="rId1499" Type="http://schemas.openxmlformats.org/officeDocument/2006/relationships/hyperlink" Target="https://www.toyo.ac.jp/-/media/Images/Toyo/international-exchange/international/english-ep/2023Spring/Toyo-Study-Abroad-Program-Fact-Sheet-for-2023-SpringEnrollment-Exchange.ashx?la=en&amp;hash=1551332E958ACBCA7710930B2BC873D2965BB046" TargetMode="External"/><Relationship Id="rId2346" Type="http://schemas.openxmlformats.org/officeDocument/2006/relationships/hyperlink" Target="https://mau.se/en/" TargetMode="External"/><Relationship Id="rId1016" Type="http://schemas.openxmlformats.org/officeDocument/2006/relationships/hyperlink" Target="https://www.esaip.org/" TargetMode="External"/><Relationship Id="rId2347" Type="http://schemas.openxmlformats.org/officeDocument/2006/relationships/hyperlink" Target="https://mau.se/en/education/apply-for-exchange-studies/" TargetMode="External"/><Relationship Id="rId1017" Type="http://schemas.openxmlformats.org/officeDocument/2006/relationships/hyperlink" Target="https://drive.google.com/file/d/1H3CKOTB-U9D14-Wap9ozs__cSC9u_5WS/view" TargetMode="External"/><Relationship Id="rId2348" Type="http://schemas.openxmlformats.org/officeDocument/2006/relationships/hyperlink" Target="https://mau.se/en/education/apply-for-exchange-studies/" TargetMode="External"/><Relationship Id="rId1018" Type="http://schemas.openxmlformats.org/officeDocument/2006/relationships/hyperlink" Target="https://drive.google.com/file/d/1H3CKOTB-U9D14-Wap9ozs__cSC9u_5WS/view" TargetMode="External"/><Relationship Id="rId2349" Type="http://schemas.openxmlformats.org/officeDocument/2006/relationships/hyperlink" Target="https://www.su.se/cmlink/stockholm-university" TargetMode="External"/><Relationship Id="rId1019" Type="http://schemas.openxmlformats.org/officeDocument/2006/relationships/hyperlink" Target="https://www.esc-clermont.fr/en/" TargetMode="External"/><Relationship Id="rId668" Type="http://schemas.openxmlformats.org/officeDocument/2006/relationships/hyperlink" Target="http://www.unizg.hr/homepage/international-exchange/exchange-students/how-to-apply/" TargetMode="External"/><Relationship Id="rId667" Type="http://schemas.openxmlformats.org/officeDocument/2006/relationships/hyperlink" Target="http://www.unizg.hr/homepage/international-exchange/exchange-students/how-to-apply/" TargetMode="External"/><Relationship Id="rId666" Type="http://schemas.openxmlformats.org/officeDocument/2006/relationships/hyperlink" Target="http://www.unizg.hr/homepage/" TargetMode="External"/><Relationship Id="rId665" Type="http://schemas.openxmlformats.org/officeDocument/2006/relationships/hyperlink" Target="http://www.unizg.hr/homepage/international-exchange/exchange-students/how-to-apply/" TargetMode="External"/><Relationship Id="rId669" Type="http://schemas.openxmlformats.org/officeDocument/2006/relationships/hyperlink" Target="https://studentexchange.net.efzg.hr/" TargetMode="External"/><Relationship Id="rId1490" Type="http://schemas.openxmlformats.org/officeDocument/2006/relationships/hyperlink" Target="https://www.isc.kyushu-u.ac.jp/intlweb/en/admission/exchangetop" TargetMode="External"/><Relationship Id="rId660" Type="http://schemas.openxmlformats.org/officeDocument/2006/relationships/hyperlink" Target="http://www.unizg.hr/homepage/" TargetMode="External"/><Relationship Id="rId1491" Type="http://schemas.openxmlformats.org/officeDocument/2006/relationships/hyperlink" Target="https://www.isc.kyushu-u.ac.jp/intlweb/en/admission/exchangetop" TargetMode="External"/><Relationship Id="rId1492" Type="http://schemas.openxmlformats.org/officeDocument/2006/relationships/hyperlink" Target="https://www.sophia.ac.jp/eng/" TargetMode="External"/><Relationship Id="rId1493" Type="http://schemas.openxmlformats.org/officeDocument/2006/relationships/hyperlink" Target="https://www.isc.kyushu-u.ac.jp/intlweb/en/admission/exchangetop" TargetMode="External"/><Relationship Id="rId2340" Type="http://schemas.openxmlformats.org/officeDocument/2006/relationships/hyperlink" Target="https://www.kau.se/" TargetMode="External"/><Relationship Id="rId1010" Type="http://schemas.openxmlformats.org/officeDocument/2006/relationships/hyperlink" Target="https://www.em-strasbourg.com/fr" TargetMode="External"/><Relationship Id="rId1494" Type="http://schemas.openxmlformats.org/officeDocument/2006/relationships/hyperlink" Target="https://www.isc.kyushu-u.ac.jp/intlweb/en/admission/exchangetop" TargetMode="External"/><Relationship Id="rId2341" Type="http://schemas.openxmlformats.org/officeDocument/2006/relationships/hyperlink" Target="https://www.kau.se/en/education/study-abroad/incoming-exchange-students/nomination-application-and-admission" TargetMode="External"/><Relationship Id="rId664" Type="http://schemas.openxmlformats.org/officeDocument/2006/relationships/hyperlink" Target="http://www.unizg.hr/homepage/international-exchange/exchange-students/how-to-apply/" TargetMode="External"/><Relationship Id="rId1011" Type="http://schemas.openxmlformats.org/officeDocument/2006/relationships/hyperlink" Target="https://www.em-strasbourg.com/en/student/university-exchanges/exchanges-programs-for-incoming-students" TargetMode="External"/><Relationship Id="rId1495" Type="http://schemas.openxmlformats.org/officeDocument/2006/relationships/hyperlink" Target="https://www.sophia.ac.jp/eng/" TargetMode="External"/><Relationship Id="rId2342" Type="http://schemas.openxmlformats.org/officeDocument/2006/relationships/hyperlink" Target="https://www.kau.se/en/education/study-abroad/incoming-exchange-students/nomination-application-and-admission" TargetMode="External"/><Relationship Id="rId663" Type="http://schemas.openxmlformats.org/officeDocument/2006/relationships/hyperlink" Target="http://www.unizg.hr/homepage/" TargetMode="External"/><Relationship Id="rId1012" Type="http://schemas.openxmlformats.org/officeDocument/2006/relationships/hyperlink" Target="https://www.em-strasbourg.com/en/student/university-exchanges/exchanges-programs-for-incoming-students" TargetMode="External"/><Relationship Id="rId1496" Type="http://schemas.openxmlformats.org/officeDocument/2006/relationships/hyperlink" Target="https://www.isc.kyushu-u.ac.jp/intlweb/en/admission/exchangetop" TargetMode="External"/><Relationship Id="rId2343" Type="http://schemas.openxmlformats.org/officeDocument/2006/relationships/hyperlink" Target="https://www.lusem.lu.se/" TargetMode="External"/><Relationship Id="rId662" Type="http://schemas.openxmlformats.org/officeDocument/2006/relationships/hyperlink" Target="http://www.unizg.hr/homepage/international-exchange/exchange-students/how-to-apply/" TargetMode="External"/><Relationship Id="rId1013" Type="http://schemas.openxmlformats.org/officeDocument/2006/relationships/hyperlink" Target="https://www.em-strasbourg.com/fr" TargetMode="External"/><Relationship Id="rId1497" Type="http://schemas.openxmlformats.org/officeDocument/2006/relationships/hyperlink" Target="https://www.isc.kyushu-u.ac.jp/intlweb/en/admission/exchangetop" TargetMode="External"/><Relationship Id="rId2344" Type="http://schemas.openxmlformats.org/officeDocument/2006/relationships/hyperlink" Target="https://www.lusem.lu.se/study/international-opportunities/incoming" TargetMode="External"/><Relationship Id="rId661" Type="http://schemas.openxmlformats.org/officeDocument/2006/relationships/hyperlink" Target="http://www.unizg.hr/homepage/international-exchange/exchange-students/how-to-apply/" TargetMode="External"/><Relationship Id="rId1014" Type="http://schemas.openxmlformats.org/officeDocument/2006/relationships/hyperlink" Target="https://www.em-strasbourg.com/en/student/university-exchanges/exchanges-programs-for-incoming-students" TargetMode="External"/><Relationship Id="rId1498" Type="http://schemas.openxmlformats.org/officeDocument/2006/relationships/hyperlink" Target="https://www.toyo.ac.jp/en" TargetMode="External"/><Relationship Id="rId2345" Type="http://schemas.openxmlformats.org/officeDocument/2006/relationships/hyperlink" Target="https://www.lusem.lu.se/study/international-opportunities/incoming" TargetMode="External"/><Relationship Id="rId1004" Type="http://schemas.openxmlformats.org/officeDocument/2006/relationships/hyperlink" Target="https://www.univ-orleans.fr/upload/public/2024-04/F%20ORLEANS01_Fact%20sheet%20LLSH_2024-2025.pdf" TargetMode="External"/><Relationship Id="rId1488" Type="http://schemas.openxmlformats.org/officeDocument/2006/relationships/hyperlink" Target="https://www.isc.kyushu-u.ac.jp/intlweb/en/admission/exchangetop" TargetMode="External"/><Relationship Id="rId2335" Type="http://schemas.openxmlformats.org/officeDocument/2006/relationships/hyperlink" Target="https://docs.univr.it/documenti/Documento/allegati/allegati722764.pdf" TargetMode="External"/><Relationship Id="rId1005" Type="http://schemas.openxmlformats.org/officeDocument/2006/relationships/hyperlink" Target="https://www.univ-orleans.fr/upload/public/2024-04/F%20ORLEANS01_Fact%20sheet%20LLSH_2024-2025.pdf" TargetMode="External"/><Relationship Id="rId1489" Type="http://schemas.openxmlformats.org/officeDocument/2006/relationships/hyperlink" Target="https://www.sophia.ac.jp/eng/" TargetMode="External"/><Relationship Id="rId2336" Type="http://schemas.openxmlformats.org/officeDocument/2006/relationships/hyperlink" Target="https://docs.univr.it/documenti/Documento/allegati/allegati722764.pdf" TargetMode="External"/><Relationship Id="rId1006" Type="http://schemas.openxmlformats.org/officeDocument/2006/relationships/hyperlink" Target="https://www.em-normandie.com/fr" TargetMode="External"/><Relationship Id="rId2337" Type="http://schemas.openxmlformats.org/officeDocument/2006/relationships/hyperlink" Target="https://www.bth.se/" TargetMode="External"/><Relationship Id="rId1007" Type="http://schemas.openxmlformats.org/officeDocument/2006/relationships/hyperlink" Target="https://www.em-normandie.com/en/bachelor-business-administration-bba" TargetMode="External"/><Relationship Id="rId2338" Type="http://schemas.openxmlformats.org/officeDocument/2006/relationships/hyperlink" Target="https://www.bth.se/eng/education/exchange-studies/exchange-studies-at-bth/" TargetMode="External"/><Relationship Id="rId1008" Type="http://schemas.openxmlformats.org/officeDocument/2006/relationships/hyperlink" Target="https://www.em-normandie.com/en/bachelor-business-administration-bba" TargetMode="External"/><Relationship Id="rId2339" Type="http://schemas.openxmlformats.org/officeDocument/2006/relationships/hyperlink" Target="https://www.bth.se/eng/education/exchange-studies/exchange-studies-at-bth/" TargetMode="External"/><Relationship Id="rId1009" Type="http://schemas.openxmlformats.org/officeDocument/2006/relationships/hyperlink" Target="https://www.emlv.fr/" TargetMode="External"/><Relationship Id="rId657" Type="http://schemas.openxmlformats.org/officeDocument/2006/relationships/hyperlink" Target="http://www.unizg.hr/homepage/international-exchange/exchange-students/how-to-apply/" TargetMode="External"/><Relationship Id="rId656" Type="http://schemas.openxmlformats.org/officeDocument/2006/relationships/hyperlink" Target="http://www.unizg.hr/homepage/international-exchange/exchange-students/how-to-apply/" TargetMode="External"/><Relationship Id="rId655" Type="http://schemas.openxmlformats.org/officeDocument/2006/relationships/hyperlink" Target="http://www.unizg.hr/homepage/" TargetMode="External"/><Relationship Id="rId654" Type="http://schemas.openxmlformats.org/officeDocument/2006/relationships/hyperlink" Target="http://www.unizg.hr/homepage/international-exchange/exchange-students/how-to-apply/" TargetMode="External"/><Relationship Id="rId659" Type="http://schemas.openxmlformats.org/officeDocument/2006/relationships/hyperlink" Target="http://www.unizg.hr/homepage/international-exchange/exchange-students/how-to-apply/" TargetMode="External"/><Relationship Id="rId658" Type="http://schemas.openxmlformats.org/officeDocument/2006/relationships/hyperlink" Target="http://www.unizg.hr/homepage/international-exchange/exchange-students/how-to-apply/" TargetMode="External"/><Relationship Id="rId1480" Type="http://schemas.openxmlformats.org/officeDocument/2006/relationships/hyperlink" Target="https://www.unifg.it/it" TargetMode="External"/><Relationship Id="rId1481" Type="http://schemas.openxmlformats.org/officeDocument/2006/relationships/hyperlink" Target="https://www.unifg.it/it" TargetMode="External"/><Relationship Id="rId1482" Type="http://schemas.openxmlformats.org/officeDocument/2006/relationships/hyperlink" Target="https://www.unifg.it/it" TargetMode="External"/><Relationship Id="rId1483" Type="http://schemas.openxmlformats.org/officeDocument/2006/relationships/hyperlink" Target="https://www.kyushu-u.ac.jp/en/" TargetMode="External"/><Relationship Id="rId2330" Type="http://schemas.openxmlformats.org/officeDocument/2006/relationships/hyperlink" Target="https://www.bg.ac.rs/faq/" TargetMode="External"/><Relationship Id="rId653" Type="http://schemas.openxmlformats.org/officeDocument/2006/relationships/hyperlink" Target="http://www.unizg.hr/homepage/international-exchange/exchange-students/how-to-apply/" TargetMode="External"/><Relationship Id="rId1000" Type="http://schemas.openxmlformats.org/officeDocument/2006/relationships/hyperlink" Target="https://em-lyon.com/" TargetMode="External"/><Relationship Id="rId1484" Type="http://schemas.openxmlformats.org/officeDocument/2006/relationships/hyperlink" Target="https://www.isc.kyushu-u.ac.jp/intlweb/en/admission/exchangetop" TargetMode="External"/><Relationship Id="rId2331" Type="http://schemas.openxmlformats.org/officeDocument/2006/relationships/hyperlink" Target="https://en.kg.ac.rs/" TargetMode="External"/><Relationship Id="rId652" Type="http://schemas.openxmlformats.org/officeDocument/2006/relationships/hyperlink" Target="http://www.unizg.hr/homepage/" TargetMode="External"/><Relationship Id="rId1001" Type="http://schemas.openxmlformats.org/officeDocument/2006/relationships/hyperlink" Target="https://masters.em-lyon.com/en/study-abroad/study-abroad-application-fees" TargetMode="External"/><Relationship Id="rId1485" Type="http://schemas.openxmlformats.org/officeDocument/2006/relationships/hyperlink" Target="https://www.isc.kyushu-u.ac.jp/intlweb/en/admission/exchangetop" TargetMode="External"/><Relationship Id="rId2332" Type="http://schemas.openxmlformats.org/officeDocument/2006/relationships/hyperlink" Target="https://docs.univr.it/documenti/Documento/allegati/allegati722764.pdf" TargetMode="External"/><Relationship Id="rId651" Type="http://schemas.openxmlformats.org/officeDocument/2006/relationships/hyperlink" Target="https://www.unist.hr/en/" TargetMode="External"/><Relationship Id="rId1002" Type="http://schemas.openxmlformats.org/officeDocument/2006/relationships/hyperlink" Target="https://masters.em-lyon.com/en/study-abroad/study-abroad-application-fees" TargetMode="External"/><Relationship Id="rId1486" Type="http://schemas.openxmlformats.org/officeDocument/2006/relationships/hyperlink" Target="https://www.kyushu-u.ac.jp/en/" TargetMode="External"/><Relationship Id="rId2333" Type="http://schemas.openxmlformats.org/officeDocument/2006/relationships/hyperlink" Target="https://docs.univr.it/documenti/Documento/allegati/allegati722764.pdf" TargetMode="External"/><Relationship Id="rId650" Type="http://schemas.openxmlformats.org/officeDocument/2006/relationships/hyperlink" Target="https://www.unist.hr/en/" TargetMode="External"/><Relationship Id="rId1003" Type="http://schemas.openxmlformats.org/officeDocument/2006/relationships/hyperlink" Target="http://www.univ-orleans.fr/fr/polytech" TargetMode="External"/><Relationship Id="rId1487" Type="http://schemas.openxmlformats.org/officeDocument/2006/relationships/hyperlink" Target="https://www.isc.kyushu-u.ac.jp/intlweb/en/admission/exchangetop" TargetMode="External"/><Relationship Id="rId2334" Type="http://schemas.openxmlformats.org/officeDocument/2006/relationships/hyperlink" Target="https://en.kg.ac.rs/" TargetMode="External"/><Relationship Id="rId1037" Type="http://schemas.openxmlformats.org/officeDocument/2006/relationships/hyperlink" Target="https://www.icam.fr/" TargetMode="External"/><Relationship Id="rId2368" Type="http://schemas.openxmlformats.org/officeDocument/2006/relationships/hyperlink" Target="https://www.su.se/english/education/how-to-apply/entry-requirements/english-requirement-1.446683" TargetMode="External"/><Relationship Id="rId1038" Type="http://schemas.openxmlformats.org/officeDocument/2006/relationships/hyperlink" Target="https://en.icam.fr/download/25476/" TargetMode="External"/><Relationship Id="rId2369" Type="http://schemas.openxmlformats.org/officeDocument/2006/relationships/hyperlink" Target="https://www.su.se/english/education/how-to-apply/entry-requirements/english-requirement-1.446683" TargetMode="External"/><Relationship Id="rId1039" Type="http://schemas.openxmlformats.org/officeDocument/2006/relationships/hyperlink" Target="https://en.icam.fr/download/25476/" TargetMode="External"/><Relationship Id="rId206" Type="http://schemas.openxmlformats.org/officeDocument/2006/relationships/hyperlink" Target="https://www.ucc.edu.ar/" TargetMode="External"/><Relationship Id="rId205" Type="http://schemas.openxmlformats.org/officeDocument/2006/relationships/hyperlink" Target="https://www.ucc.edu.ar/intercambio/intercambio-guia" TargetMode="External"/><Relationship Id="rId689" Type="http://schemas.openxmlformats.org/officeDocument/2006/relationships/hyperlink" Target="https://www.cbs.dk/files/cbs.dk/cbs_fact_sheet.pdf" TargetMode="External"/><Relationship Id="rId204" Type="http://schemas.openxmlformats.org/officeDocument/2006/relationships/hyperlink" Target="https://www.ucc.edu.ar/" TargetMode="External"/><Relationship Id="rId688" Type="http://schemas.openxmlformats.org/officeDocument/2006/relationships/hyperlink" Target="https://www.cbs.dk/files/cbs.dk/cbs_fact_sheet.pdf" TargetMode="External"/><Relationship Id="rId203" Type="http://schemas.openxmlformats.org/officeDocument/2006/relationships/hyperlink" Target="https://www.ucc.edu.ar/intercambio/intercambio-guia" TargetMode="External"/><Relationship Id="rId687" Type="http://schemas.openxmlformats.org/officeDocument/2006/relationships/hyperlink" Target="https://www.cbs.dk/" TargetMode="External"/><Relationship Id="rId209" Type="http://schemas.openxmlformats.org/officeDocument/2006/relationships/hyperlink" Target="https://www.ucc.edu.ar/intercambio/intercambio-guia" TargetMode="External"/><Relationship Id="rId208" Type="http://schemas.openxmlformats.org/officeDocument/2006/relationships/hyperlink" Target="https://www.ucc.edu.ar/" TargetMode="External"/><Relationship Id="rId207" Type="http://schemas.openxmlformats.org/officeDocument/2006/relationships/hyperlink" Target="https://www.ucc.edu.ar/intercambio/intercambio-guia" TargetMode="External"/><Relationship Id="rId682" Type="http://schemas.openxmlformats.org/officeDocument/2006/relationships/hyperlink" Target="https://vernuni.eu/erasmus/" TargetMode="External"/><Relationship Id="rId2360" Type="http://schemas.openxmlformats.org/officeDocument/2006/relationships/hyperlink" Target="https://www.su.se/english/education/how-to-apply/entry-requirements/english-requirement-1.446683" TargetMode="External"/><Relationship Id="rId681" Type="http://schemas.openxmlformats.org/officeDocument/2006/relationships/hyperlink" Target="https://vernuni.eu/" TargetMode="External"/><Relationship Id="rId1030" Type="http://schemas.openxmlformats.org/officeDocument/2006/relationships/hyperlink" Target="https://www.essca.fr/en/bachelor-in-international-management/admission-bachelor-in-international-management" TargetMode="External"/><Relationship Id="rId2361" Type="http://schemas.openxmlformats.org/officeDocument/2006/relationships/hyperlink" Target="https://www.su.se/cmlink/stockholm-university" TargetMode="External"/><Relationship Id="rId680" Type="http://schemas.openxmlformats.org/officeDocument/2006/relationships/hyperlink" Target="https://www.unizg.hr/homepage/international-exchange/exchange-students/how-to-apply/" TargetMode="External"/><Relationship Id="rId1031" Type="http://schemas.openxmlformats.org/officeDocument/2006/relationships/hyperlink" Target="https://www.essca.fr/en" TargetMode="External"/><Relationship Id="rId2362" Type="http://schemas.openxmlformats.org/officeDocument/2006/relationships/hyperlink" Target="https://www.su.se/english/education/how-to-apply/entry-requirements/english-requirement-1.446683" TargetMode="External"/><Relationship Id="rId1032" Type="http://schemas.openxmlformats.org/officeDocument/2006/relationships/hyperlink" Target="https://www.essca.fr/en/bachelor-in-international-management/admission-bachelor-in-international-management" TargetMode="External"/><Relationship Id="rId2363" Type="http://schemas.openxmlformats.org/officeDocument/2006/relationships/hyperlink" Target="https://www.su.se/english/education/how-to-apply/entry-requirements/english-requirement-1.446683" TargetMode="External"/><Relationship Id="rId202" Type="http://schemas.openxmlformats.org/officeDocument/2006/relationships/hyperlink" Target="https://www.ucc.edu.ar/" TargetMode="External"/><Relationship Id="rId686" Type="http://schemas.openxmlformats.org/officeDocument/2006/relationships/hyperlink" Target="https://www.cbs.dk/files/cbs.dk/cbs_fact_sheet.pdf" TargetMode="External"/><Relationship Id="rId1033" Type="http://schemas.openxmlformats.org/officeDocument/2006/relationships/hyperlink" Target="https://www.essca.fr/en/bachelor-in-international-management/admission-bachelor-in-international-management" TargetMode="External"/><Relationship Id="rId2364" Type="http://schemas.openxmlformats.org/officeDocument/2006/relationships/hyperlink" Target="https://www.su.se/cmlink/stockholm-university" TargetMode="External"/><Relationship Id="rId201" Type="http://schemas.openxmlformats.org/officeDocument/2006/relationships/hyperlink" Target="https://www.ucc.edu.ar/intercambio/intercambio-guia" TargetMode="External"/><Relationship Id="rId685" Type="http://schemas.openxmlformats.org/officeDocument/2006/relationships/hyperlink" Target="https://www.cbs.dk/files/cbs.dk/cbs_fact_sheet.pdf" TargetMode="External"/><Relationship Id="rId1034" Type="http://schemas.openxmlformats.org/officeDocument/2006/relationships/hyperlink" Target="https://www.epf.fr/" TargetMode="External"/><Relationship Id="rId2365" Type="http://schemas.openxmlformats.org/officeDocument/2006/relationships/hyperlink" Target="https://www.su.se/english/education/how-to-apply/entry-requirements/english-requirement-1.446683" TargetMode="External"/><Relationship Id="rId200" Type="http://schemas.openxmlformats.org/officeDocument/2006/relationships/hyperlink" Target="https://www.ucc.edu.ar/" TargetMode="External"/><Relationship Id="rId684" Type="http://schemas.openxmlformats.org/officeDocument/2006/relationships/hyperlink" Target="https://www.cbs.dk/" TargetMode="External"/><Relationship Id="rId1035" Type="http://schemas.openxmlformats.org/officeDocument/2006/relationships/hyperlink" Target="https://www.epf.fr/en/exchange-students-0" TargetMode="External"/><Relationship Id="rId2366" Type="http://schemas.openxmlformats.org/officeDocument/2006/relationships/hyperlink" Target="https://www.su.se/english/education/how-to-apply/entry-requirements/english-requirement-1.446683" TargetMode="External"/><Relationship Id="rId683" Type="http://schemas.openxmlformats.org/officeDocument/2006/relationships/hyperlink" Target="https://vernuni.eu/erasmus/" TargetMode="External"/><Relationship Id="rId1036" Type="http://schemas.openxmlformats.org/officeDocument/2006/relationships/hyperlink" Target="https://www.epf.fr/en/exchange-students-0" TargetMode="External"/><Relationship Id="rId2367" Type="http://schemas.openxmlformats.org/officeDocument/2006/relationships/hyperlink" Target="https://www.su.se/cmlink/stockholm-university" TargetMode="External"/><Relationship Id="rId1026" Type="http://schemas.openxmlformats.org/officeDocument/2006/relationships/hyperlink" Target="https://escp.eu/international/exchange" TargetMode="External"/><Relationship Id="rId2357" Type="http://schemas.openxmlformats.org/officeDocument/2006/relationships/hyperlink" Target="https://www.su.se/english/education/how-to-apply/entry-requirements/english-requirement-1.446683" TargetMode="External"/><Relationship Id="rId1027" Type="http://schemas.openxmlformats.org/officeDocument/2006/relationships/hyperlink" Target="https://escp.eu/international/exchange" TargetMode="External"/><Relationship Id="rId2358" Type="http://schemas.openxmlformats.org/officeDocument/2006/relationships/hyperlink" Target="https://www.su.se/cmlink/stockholm-university" TargetMode="External"/><Relationship Id="rId1028" Type="http://schemas.openxmlformats.org/officeDocument/2006/relationships/hyperlink" Target="https://www.essca.fr/en" TargetMode="External"/><Relationship Id="rId2359" Type="http://schemas.openxmlformats.org/officeDocument/2006/relationships/hyperlink" Target="https://www.su.se/english/education/how-to-apply/entry-requirements/english-requirement-1.446683" TargetMode="External"/><Relationship Id="rId1029" Type="http://schemas.openxmlformats.org/officeDocument/2006/relationships/hyperlink" Target="https://www.essca.fr/en/bachelor-in-international-management/admission-bachelor-in-international-management" TargetMode="External"/><Relationship Id="rId679" Type="http://schemas.openxmlformats.org/officeDocument/2006/relationships/hyperlink" Target="https://www.unizg.hr/homepage/international-exchange/exchange-students/how-to-apply/" TargetMode="External"/><Relationship Id="rId678" Type="http://schemas.openxmlformats.org/officeDocument/2006/relationships/hyperlink" Target="https://www.unicath.hr/eng/home" TargetMode="External"/><Relationship Id="rId677" Type="http://schemas.openxmlformats.org/officeDocument/2006/relationships/hyperlink" Target="https://www.uc3m.es/secretaria-virtual/media/secretaria-virtual/doc/archivo/doc_e_fs_hr_zagreb06/hr-zagreb06_fs_2223.pdf" TargetMode="External"/><Relationship Id="rId676" Type="http://schemas.openxmlformats.org/officeDocument/2006/relationships/hyperlink" Target="https://www.uc3m.es/secretaria-virtual/media/secretaria-virtual/doc/archivo/doc_e_fs_hr_zagreb06/hr-zagreb06_fs_2223.pdf" TargetMode="External"/><Relationship Id="rId671" Type="http://schemas.openxmlformats.org/officeDocument/2006/relationships/hyperlink" Target="http://www.unizg.hr/homepage/international-exchange/exchange-students/how-to-apply/" TargetMode="External"/><Relationship Id="rId670" Type="http://schemas.openxmlformats.org/officeDocument/2006/relationships/hyperlink" Target="http://www.unizg.hr/homepage/international-exchange/exchange-students/how-to-apply/" TargetMode="External"/><Relationship Id="rId2350" Type="http://schemas.openxmlformats.org/officeDocument/2006/relationships/hyperlink" Target="https://www.su.se/english/education/how-to-apply/entry-requirements/english-requirement-1.446683" TargetMode="External"/><Relationship Id="rId1020" Type="http://schemas.openxmlformats.org/officeDocument/2006/relationships/hyperlink" Target="https://www.esc-clermont.fr/en/freemover-exchangestudent/" TargetMode="External"/><Relationship Id="rId2351" Type="http://schemas.openxmlformats.org/officeDocument/2006/relationships/hyperlink" Target="https://www.su.se/english/education/how-to-apply/entry-requirements/english-requirement-1.446683" TargetMode="External"/><Relationship Id="rId1021" Type="http://schemas.openxmlformats.org/officeDocument/2006/relationships/hyperlink" Target="https://www.esc-clermont.fr/en/freemover-exchangestudent/" TargetMode="External"/><Relationship Id="rId2352" Type="http://schemas.openxmlformats.org/officeDocument/2006/relationships/hyperlink" Target="https://www.su.se/cmlink/stockholm-university" TargetMode="External"/><Relationship Id="rId675" Type="http://schemas.openxmlformats.org/officeDocument/2006/relationships/hyperlink" Target="https://zsem.hr/en/" TargetMode="External"/><Relationship Id="rId1022" Type="http://schemas.openxmlformats.org/officeDocument/2006/relationships/hyperlink" Target="https://www.grenoble-em.com/" TargetMode="External"/><Relationship Id="rId2353" Type="http://schemas.openxmlformats.org/officeDocument/2006/relationships/hyperlink" Target="https://www.su.se/english/education/how-to-apply/entry-requirements/english-requirement-1.446683" TargetMode="External"/><Relationship Id="rId674" Type="http://schemas.openxmlformats.org/officeDocument/2006/relationships/hyperlink" Target="http://www.unizg.hr/homepage/international-exchange/exchange-students/how-to-apply/" TargetMode="External"/><Relationship Id="rId1023" Type="http://schemas.openxmlformats.org/officeDocument/2006/relationships/hyperlink" Target="https://en.grenoble-em.com/sites/default/files/public/kcfinder/fact_sheet.pdf" TargetMode="External"/><Relationship Id="rId2354" Type="http://schemas.openxmlformats.org/officeDocument/2006/relationships/hyperlink" Target="https://www.su.se/english/education/how-to-apply/entry-requirements/english-requirement-1.446683" TargetMode="External"/><Relationship Id="rId673" Type="http://schemas.openxmlformats.org/officeDocument/2006/relationships/hyperlink" Target="http://www.unizg.hr/homepage/international-exchange/exchange-students/how-to-apply/" TargetMode="External"/><Relationship Id="rId1024" Type="http://schemas.openxmlformats.org/officeDocument/2006/relationships/hyperlink" Target="https://en.grenoble-em.com/sites/default/files/public/kcfinder/fact_sheet.pdf" TargetMode="External"/><Relationship Id="rId2355" Type="http://schemas.openxmlformats.org/officeDocument/2006/relationships/hyperlink" Target="https://www.su.se/cmlink/stockholm-university" TargetMode="External"/><Relationship Id="rId672" Type="http://schemas.openxmlformats.org/officeDocument/2006/relationships/hyperlink" Target="https://studentexchange.net.efzg.hr/" TargetMode="External"/><Relationship Id="rId1025" Type="http://schemas.openxmlformats.org/officeDocument/2006/relationships/hyperlink" Target="https://escp.eu/" TargetMode="External"/><Relationship Id="rId2356" Type="http://schemas.openxmlformats.org/officeDocument/2006/relationships/hyperlink" Target="https://www.su.se/english/education/how-to-apply/entry-requirements/english-requirement-1.446683" TargetMode="External"/><Relationship Id="rId190" Type="http://schemas.openxmlformats.org/officeDocument/2006/relationships/hyperlink" Target="https://www.whu.edu/en/" TargetMode="External"/><Relationship Id="rId194" Type="http://schemas.openxmlformats.org/officeDocument/2006/relationships/hyperlink" Target="https://uai.edu.ar/" TargetMode="External"/><Relationship Id="rId193" Type="http://schemas.openxmlformats.org/officeDocument/2006/relationships/hyperlink" Target="https://uai.edu.ar/bienestar/cooperacion-internacional/" TargetMode="External"/><Relationship Id="rId192" Type="http://schemas.openxmlformats.org/officeDocument/2006/relationships/hyperlink" Target="https://uai.edu.ar/" TargetMode="External"/><Relationship Id="rId191" Type="http://schemas.openxmlformats.org/officeDocument/2006/relationships/hyperlink" Target="https://www.whu.edu/en/programs/exchange-programs/" TargetMode="External"/><Relationship Id="rId187" Type="http://schemas.openxmlformats.org/officeDocument/2006/relationships/hyperlink" Target="https://www.english.hs-mannheim.de/admission/admission-exchange-students.html" TargetMode="External"/><Relationship Id="rId186" Type="http://schemas.openxmlformats.org/officeDocument/2006/relationships/hyperlink" Target="https://www.english.hs-mannheim.de/admission/admission-exchange-students.html" TargetMode="External"/><Relationship Id="rId185" Type="http://schemas.openxmlformats.org/officeDocument/2006/relationships/hyperlink" Target="https://www.uni-mannheim.de/en/academics/coming-to-mannheim/exchange-students/application/" TargetMode="External"/><Relationship Id="rId184" Type="http://schemas.openxmlformats.org/officeDocument/2006/relationships/hyperlink" Target="https://www.uni-mannheim.de/en/academics/coming-to-mannheim/exchange-students/application/" TargetMode="External"/><Relationship Id="rId189" Type="http://schemas.openxmlformats.org/officeDocument/2006/relationships/hyperlink" Target="https://www.uni-muenster.de/studieninteressierte/en/studienvoraussetzungen/austausch/index.shtml" TargetMode="External"/><Relationship Id="rId188" Type="http://schemas.openxmlformats.org/officeDocument/2006/relationships/hyperlink" Target="https://www.uni-muenster.de/de/" TargetMode="External"/><Relationship Id="rId183" Type="http://schemas.openxmlformats.org/officeDocument/2006/relationships/hyperlink" Target="https://www.uni-mannheim.de/" TargetMode="External"/><Relationship Id="rId182" Type="http://schemas.openxmlformats.org/officeDocument/2006/relationships/hyperlink" Target="https://www.uni-mannheim.de/en/academics/coming-to-mannheim/exchange-students/application/" TargetMode="External"/><Relationship Id="rId181" Type="http://schemas.openxmlformats.org/officeDocument/2006/relationships/hyperlink" Target="https://www.uni-mannheim.de/en/academics/coming-to-mannheim/exchange-students/application/" TargetMode="External"/><Relationship Id="rId180" Type="http://schemas.openxmlformats.org/officeDocument/2006/relationships/hyperlink" Target="https://www.uni-mannheim.de/" TargetMode="External"/><Relationship Id="rId176" Type="http://schemas.openxmlformats.org/officeDocument/2006/relationships/hyperlink" Target="https://www.uni-mannheim.de/en/academics/coming-to-mannheim/exchange-students/application/" TargetMode="External"/><Relationship Id="rId175" Type="http://schemas.openxmlformats.org/officeDocument/2006/relationships/hyperlink" Target="https://www.uni-mannheim.de/en/academics/coming-to-mannheim/exchange-students/application/" TargetMode="External"/><Relationship Id="rId174" Type="http://schemas.openxmlformats.org/officeDocument/2006/relationships/hyperlink" Target="https://www.uni-mannheim.de/" TargetMode="External"/><Relationship Id="rId173" Type="http://schemas.openxmlformats.org/officeDocument/2006/relationships/hyperlink" Target="https://www.uni-mannheim.de/en/academics/coming-to-mannheim/exchange-students/application/" TargetMode="External"/><Relationship Id="rId179" Type="http://schemas.openxmlformats.org/officeDocument/2006/relationships/hyperlink" Target="https://www.uni-mannheim.de/en/academics/coming-to-mannheim/exchange-students/application/" TargetMode="External"/><Relationship Id="rId178" Type="http://schemas.openxmlformats.org/officeDocument/2006/relationships/hyperlink" Target="https://www.uni-mannheim.de/en/academics/coming-to-mannheim/exchange-students/application/" TargetMode="External"/><Relationship Id="rId177" Type="http://schemas.openxmlformats.org/officeDocument/2006/relationships/hyperlink" Target="https://www.uni-mannheim.de/" TargetMode="External"/><Relationship Id="rId1910" Type="http://schemas.openxmlformats.org/officeDocument/2006/relationships/hyperlink" Target="https://www.umcs.pl/en/application-procedure,1534.htm" TargetMode="External"/><Relationship Id="rId1911" Type="http://schemas.openxmlformats.org/officeDocument/2006/relationships/hyperlink" Target="https://www.umcs.pl/en/application-procedure,1534.htm" TargetMode="External"/><Relationship Id="rId1912" Type="http://schemas.openxmlformats.org/officeDocument/2006/relationships/hyperlink" Target="https://pollub.pl/en/" TargetMode="External"/><Relationship Id="rId1913" Type="http://schemas.openxmlformats.org/officeDocument/2006/relationships/hyperlink" Target="https://dwm.po.opole.pl/index.php/en" TargetMode="External"/><Relationship Id="rId1914" Type="http://schemas.openxmlformats.org/officeDocument/2006/relationships/hyperlink" Target="https://hello.uni.opole.pl/blog/2021/05/31/language-requirements/" TargetMode="External"/><Relationship Id="rId1915" Type="http://schemas.openxmlformats.org/officeDocument/2006/relationships/hyperlink" Target="https://hello.uni.opole.pl/blog/2021/05/31/language-requirements/" TargetMode="External"/><Relationship Id="rId1916" Type="http://schemas.openxmlformats.org/officeDocument/2006/relationships/hyperlink" Target="https://www.pw.edu.pl/" TargetMode="External"/><Relationship Id="rId1917" Type="http://schemas.openxmlformats.org/officeDocument/2006/relationships/hyperlink" Target="https://www.cwm.pw.edu.pl/index.php/en/Education-programmes/Bilateral-exchange/Incoming-students" TargetMode="External"/><Relationship Id="rId1918" Type="http://schemas.openxmlformats.org/officeDocument/2006/relationships/hyperlink" Target="https://www.cwm.pw.edu.pl/index.php/en/Education-programmes/Bilateral-exchange/Incoming-students" TargetMode="External"/><Relationship Id="rId1919" Type="http://schemas.openxmlformats.org/officeDocument/2006/relationships/hyperlink" Target="https://www.pw.edu.pl/" TargetMode="External"/><Relationship Id="rId1900" Type="http://schemas.openxmlformats.org/officeDocument/2006/relationships/hyperlink" Target="https://www.ignatianum.edu.pl/university" TargetMode="External"/><Relationship Id="rId1901" Type="http://schemas.openxmlformats.org/officeDocument/2006/relationships/hyperlink" Target="https://ignatianum.edu.pl/storage/files/May2020/Erasmus+%20INFO%20sheet%20Ignatianum_2020-21.pdf" TargetMode="External"/><Relationship Id="rId1902" Type="http://schemas.openxmlformats.org/officeDocument/2006/relationships/hyperlink" Target="https://ignatianum.edu.pl/storage/files/May2020/Erasmus+%20INFO%20sheet%20Ignatianum_2020-21.pdf" TargetMode="External"/><Relationship Id="rId1903" Type="http://schemas.openxmlformats.org/officeDocument/2006/relationships/hyperlink" Target="https://www.kozminski.edu.pl/en" TargetMode="External"/><Relationship Id="rId1904" Type="http://schemas.openxmlformats.org/officeDocument/2006/relationships/hyperlink" Target="https://kozminski-my.sharepoint.com/personal/aryniewicz_kozminski_edu_pl/_layouts/15/onedrive.aspx?id=%2Fpersonal%2Faryniewicz%5Fkozminski%5Fedu%5Fpl%2FDocuments%2F2023%5F24%2FKozminski%20University%20Fact%20sheet%202023%5F24%20%2Epdf&amp;parent=%2Fpersonal%2Faryniewicz%5Fkozminski%5Fedu%5Fpl%2FDocuments%2F2023%5F24&amp;ga=1" TargetMode="External"/><Relationship Id="rId1905" Type="http://schemas.openxmlformats.org/officeDocument/2006/relationships/hyperlink" Target="https://kozminski-my.sharepoint.com/personal/aryniewicz_kozminski_edu_pl/_layouts/15/onedrive.aspx?id=%2Fpersonal%2Faryniewicz%5Fkozminski%5Fedu%5Fpl%2FDocuments%2F2023%5F24%2FKozminski%20University%20Fact%20sheet%202023%5F24%20%2Epdf&amp;parent=%2Fpersonal%2Faryniewicz%5Fkozminski%5Fedu%5Fpl%2FDocuments%2F2023%5F24&amp;ga=1" TargetMode="External"/><Relationship Id="rId1906" Type="http://schemas.openxmlformats.org/officeDocument/2006/relationships/hyperlink" Target="https://p.lodz.pl/en" TargetMode="External"/><Relationship Id="rId1907" Type="http://schemas.openxmlformats.org/officeDocument/2006/relationships/hyperlink" Target="https://www.uni.lodz.pl/fileadmin/user_upload/Jednostki/BWZ/incoming-students/PL_LODZ01_Info_sheet_06.2022.pdf" TargetMode="External"/><Relationship Id="rId1908" Type="http://schemas.openxmlformats.org/officeDocument/2006/relationships/hyperlink" Target="https://www.uni.lodz.pl/fileadmin/user_upload/Jednostki/BWZ/incoming-students/PL_LODZ01_Info_sheet_06.2022.pdf" TargetMode="External"/><Relationship Id="rId1909" Type="http://schemas.openxmlformats.org/officeDocument/2006/relationships/hyperlink" Target="https://www.umcs.pl/en/" TargetMode="External"/><Relationship Id="rId198" Type="http://schemas.openxmlformats.org/officeDocument/2006/relationships/hyperlink" Target="https://www.ucc.edu.ar/" TargetMode="External"/><Relationship Id="rId197" Type="http://schemas.openxmlformats.org/officeDocument/2006/relationships/hyperlink" Target="https://uai.edu.ar/bienestar/cooperacion-internacional/" TargetMode="External"/><Relationship Id="rId196" Type="http://schemas.openxmlformats.org/officeDocument/2006/relationships/hyperlink" Target="https://uai.edu.ar/" TargetMode="External"/><Relationship Id="rId195" Type="http://schemas.openxmlformats.org/officeDocument/2006/relationships/hyperlink" Target="https://uai.edu.ar/bienestar/cooperacion-internacional/" TargetMode="External"/><Relationship Id="rId199" Type="http://schemas.openxmlformats.org/officeDocument/2006/relationships/hyperlink" Target="https://www.ucc.edu.ar/intercambio/intercambio-guia" TargetMode="External"/><Relationship Id="rId150" Type="http://schemas.openxmlformats.org/officeDocument/2006/relationships/hyperlink" Target="https://www.uni-saarland.de/en/global/erasmus/incomings.html" TargetMode="External"/><Relationship Id="rId149" Type="http://schemas.openxmlformats.org/officeDocument/2006/relationships/hyperlink" Target="https://www.uni-rostock.de/en/international-affairs/incoming/gueststudies-erasmus/exchange-possibilities/" TargetMode="External"/><Relationship Id="rId148" Type="http://schemas.openxmlformats.org/officeDocument/2006/relationships/hyperlink" Target="https://www.uni-rostock.de/en/international-affairs/incoming/gueststudies-erasmus/exchange-possibilities/" TargetMode="External"/><Relationship Id="rId1090" Type="http://schemas.openxmlformats.org/officeDocument/2006/relationships/hyperlink" Target="https://www.univ-angers.fr/en/you-are/exchange-student/admissions.html" TargetMode="External"/><Relationship Id="rId1091" Type="http://schemas.openxmlformats.org/officeDocument/2006/relationships/hyperlink" Target="https://www.u-bordeaux.fr/" TargetMode="External"/><Relationship Id="rId1092" Type="http://schemas.openxmlformats.org/officeDocument/2006/relationships/hyperlink" Target="https://www.u-bordeaux.fr/en/international/come-to-bordeaux/international-students/exchange-programmes" TargetMode="External"/><Relationship Id="rId1093" Type="http://schemas.openxmlformats.org/officeDocument/2006/relationships/hyperlink" Target="https://www.u-bordeaux.fr/en/international/come-to-bordeaux/international-students/exchange-programmes" TargetMode="External"/><Relationship Id="rId1094" Type="http://schemas.openxmlformats.org/officeDocument/2006/relationships/hyperlink" Target="https://www.u-bordeaux.fr/en/international/come-to-bordeaux/international-students/exchange-programmes" TargetMode="External"/><Relationship Id="rId143" Type="http://schemas.openxmlformats.org/officeDocument/2006/relationships/hyperlink" Target="https://www.uni-rostock.de/en/international-affairs/incoming/gueststudies-erasmus/exchange-possibilities/" TargetMode="External"/><Relationship Id="rId1095" Type="http://schemas.openxmlformats.org/officeDocument/2006/relationships/hyperlink" Target="https://www.u-bordeaux.fr/en/international/come-to-bordeaux/international-students/exchange-programmes" TargetMode="External"/><Relationship Id="rId142" Type="http://schemas.openxmlformats.org/officeDocument/2006/relationships/hyperlink" Target="https://www.uni-rostock.de/en/international-affairs/incoming/gueststudies-erasmus/exchange-possibilities/" TargetMode="External"/><Relationship Id="rId1096" Type="http://schemas.openxmlformats.org/officeDocument/2006/relationships/hyperlink" Target="https://www.u-bordeaux.fr/" TargetMode="External"/><Relationship Id="rId141" Type="http://schemas.openxmlformats.org/officeDocument/2006/relationships/hyperlink" Target="https://www.uni-rostock.de/" TargetMode="External"/><Relationship Id="rId1097" Type="http://schemas.openxmlformats.org/officeDocument/2006/relationships/hyperlink" Target="https://www.u-bordeaux.fr/en/international/come-to-bordeaux/international-students/exchange-programmes" TargetMode="External"/><Relationship Id="rId140" Type="http://schemas.openxmlformats.org/officeDocument/2006/relationships/hyperlink" Target="https://www.uni-hamburg.de/en/campuscenter/bewerbung/international/studium-mit-abschluss/sprachkenntnisse.html" TargetMode="External"/><Relationship Id="rId1098" Type="http://schemas.openxmlformats.org/officeDocument/2006/relationships/hyperlink" Target="https://www.u-bordeaux.fr/en/international/come-to-bordeaux/international-students/exchange-programmes" TargetMode="External"/><Relationship Id="rId147" Type="http://schemas.openxmlformats.org/officeDocument/2006/relationships/hyperlink" Target="https://www.uni-rostock.de/" TargetMode="External"/><Relationship Id="rId1099" Type="http://schemas.openxmlformats.org/officeDocument/2006/relationships/hyperlink" Target="https://www.unilim.fr/" TargetMode="External"/><Relationship Id="rId146" Type="http://schemas.openxmlformats.org/officeDocument/2006/relationships/hyperlink" Target="https://www.uni-rostock.de/en/international-affairs/incoming/gueststudies-erasmus/exchange-possibilities/" TargetMode="External"/><Relationship Id="rId145" Type="http://schemas.openxmlformats.org/officeDocument/2006/relationships/hyperlink" Target="https://www.uni-rostock.de/en/international-affairs/incoming/gueststudies-erasmus/exchange-possibilities/" TargetMode="External"/><Relationship Id="rId144" Type="http://schemas.openxmlformats.org/officeDocument/2006/relationships/hyperlink" Target="https://www.uni-rostock.de/" TargetMode="External"/><Relationship Id="rId139" Type="http://schemas.openxmlformats.org/officeDocument/2006/relationships/hyperlink" Target="https://www.uni-hamburg.de/en/campuscenter/bewerbung/international/studium-mit-abschluss/sprachkenntnisse.html" TargetMode="External"/><Relationship Id="rId138" Type="http://schemas.openxmlformats.org/officeDocument/2006/relationships/hyperlink" Target="https://www.uni-hamburg.de/en/piasta/welcome-buddy.html" TargetMode="External"/><Relationship Id="rId137" Type="http://schemas.openxmlformats.org/officeDocument/2006/relationships/hyperlink" Target="https://www.uni-due.de/ise/admission.php" TargetMode="External"/><Relationship Id="rId1080" Type="http://schemas.openxmlformats.org/officeDocument/2006/relationships/hyperlink" Target="https://www.univ-catholille.fr/en/exchange-programs-academic-calendars/" TargetMode="External"/><Relationship Id="rId1081" Type="http://schemas.openxmlformats.org/officeDocument/2006/relationships/hyperlink" Target="https://www.univ-catholille.fr/en/exchange-programs-academic-calendars/" TargetMode="External"/><Relationship Id="rId1082" Type="http://schemas.openxmlformats.org/officeDocument/2006/relationships/hyperlink" Target="https://www.univ-catholille.fr/" TargetMode="External"/><Relationship Id="rId1083" Type="http://schemas.openxmlformats.org/officeDocument/2006/relationships/hyperlink" Target="https://www.univ-catholille.fr/en/erasmus-exchange-programs-academic-calendars" TargetMode="External"/><Relationship Id="rId132" Type="http://schemas.openxmlformats.org/officeDocument/2006/relationships/hyperlink" Target="https://www.fau.eu/" TargetMode="External"/><Relationship Id="rId1084" Type="http://schemas.openxmlformats.org/officeDocument/2006/relationships/hyperlink" Target="https://www.univ-catholille.fr/en/erasmus-exchange-programs-academic-calendars" TargetMode="External"/><Relationship Id="rId131" Type="http://schemas.openxmlformats.org/officeDocument/2006/relationships/hyperlink" Target="https://www.uni-bielefeld.de/international/come-in/studium/studium-mit-abschluss/sprachkenntnisse/2023-07-21_Sprachrichtlinien_EN.pdf" TargetMode="External"/><Relationship Id="rId1085" Type="http://schemas.openxmlformats.org/officeDocument/2006/relationships/hyperlink" Target="https://www.univ-catholille.fr/" TargetMode="External"/><Relationship Id="rId130" Type="http://schemas.openxmlformats.org/officeDocument/2006/relationships/hyperlink" Target="https://www.uni-bielefeld.de/international/come-in/studium/studium-mit-abschluss/sprachkenntnisse/2023-07-21_Sprachrichtlinien_EN.pdf" TargetMode="External"/><Relationship Id="rId1086" Type="http://schemas.openxmlformats.org/officeDocument/2006/relationships/hyperlink" Target="https://www.univ-catholille.fr/en/erasmus-exchange-programs-academic-calendars" TargetMode="External"/><Relationship Id="rId1087" Type="http://schemas.openxmlformats.org/officeDocument/2006/relationships/hyperlink" Target="https://www.univ-catholille.fr/en/erasmus-exchange-programs-academic-calendars" TargetMode="External"/><Relationship Id="rId136" Type="http://schemas.openxmlformats.org/officeDocument/2006/relationships/hyperlink" Target="https://www.uni-due.de/ise/admission.php" TargetMode="External"/><Relationship Id="rId1088" Type="http://schemas.openxmlformats.org/officeDocument/2006/relationships/hyperlink" Target="https://www.univ-angers.fr/fr/index.html" TargetMode="External"/><Relationship Id="rId135" Type="http://schemas.openxmlformats.org/officeDocument/2006/relationships/hyperlink" Target="https://www.uni-due.de/" TargetMode="External"/><Relationship Id="rId1089" Type="http://schemas.openxmlformats.org/officeDocument/2006/relationships/hyperlink" Target="https://www.univ-angers.fr/en/you-are/exchange-student/admissions.html" TargetMode="External"/><Relationship Id="rId134" Type="http://schemas.openxmlformats.org/officeDocument/2006/relationships/hyperlink" Target="https://fceye.us.es/sites/economicas/files/contenido/movilidad/guia-alumnos-espanoles/D%20ERLANGE01_Factsheet_2022-2023.pdf" TargetMode="External"/><Relationship Id="rId133" Type="http://schemas.openxmlformats.org/officeDocument/2006/relationships/hyperlink" Target="https://fceye.us.es/sites/economicas/files/contenido/movilidad/guia-alumnos-espanoles/D%20ERLANGE01_Factsheet_2022-2023.pdf" TargetMode="External"/><Relationship Id="rId172" Type="http://schemas.openxmlformats.org/officeDocument/2006/relationships/hyperlink" Target="https://www.uni-mannheim.de/en/academics/coming-to-mannheim/exchange-students/application/" TargetMode="External"/><Relationship Id="rId171" Type="http://schemas.openxmlformats.org/officeDocument/2006/relationships/hyperlink" Target="https://www.uni-mannheim.de/" TargetMode="External"/><Relationship Id="rId170" Type="http://schemas.openxmlformats.org/officeDocument/2006/relationships/hyperlink" Target="https://portal.uni-koeln.de/en/international/study-in-cologne" TargetMode="External"/><Relationship Id="rId165" Type="http://schemas.openxmlformats.org/officeDocument/2006/relationships/hyperlink" Target="https://portal.uni-koeln.de/en/sub/uoc-home" TargetMode="External"/><Relationship Id="rId164" Type="http://schemas.openxmlformats.org/officeDocument/2006/relationships/hyperlink" Target="https://portal.uni-koeln.de/en/international/study-in-cologne" TargetMode="External"/><Relationship Id="rId163" Type="http://schemas.openxmlformats.org/officeDocument/2006/relationships/hyperlink" Target="https://portal.uni-koeln.de/en/international/study-in-cologne" TargetMode="External"/><Relationship Id="rId162" Type="http://schemas.openxmlformats.org/officeDocument/2006/relationships/hyperlink" Target="https://portal.uni-koeln.de/en/sub/uoc-home" TargetMode="External"/><Relationship Id="rId169" Type="http://schemas.openxmlformats.org/officeDocument/2006/relationships/hyperlink" Target="https://portal.uni-koeln.de/en/international/study-in-cologne" TargetMode="External"/><Relationship Id="rId168" Type="http://schemas.openxmlformats.org/officeDocument/2006/relationships/hyperlink" Target="https://portal.uni-koeln.de/en/sub/uoc-home" TargetMode="External"/><Relationship Id="rId167" Type="http://schemas.openxmlformats.org/officeDocument/2006/relationships/hyperlink" Target="https://portal.uni-koeln.de/en/international/study-in-cologne" TargetMode="External"/><Relationship Id="rId166" Type="http://schemas.openxmlformats.org/officeDocument/2006/relationships/hyperlink" Target="https://portal.uni-koeln.de/en/international/study-in-cologne" TargetMode="External"/><Relationship Id="rId161" Type="http://schemas.openxmlformats.org/officeDocument/2006/relationships/hyperlink" Target="https://portal.uni-koeln.de/es/international/study-in-cologne/international-applications/exchange-students-from-partner-universities" TargetMode="External"/><Relationship Id="rId160" Type="http://schemas.openxmlformats.org/officeDocument/2006/relationships/hyperlink" Target="https://portal.uni-koeln.de/es/international/study-in-cologne/international-applications/exchange-students-from-partner-universities" TargetMode="External"/><Relationship Id="rId159" Type="http://schemas.openxmlformats.org/officeDocument/2006/relationships/hyperlink" Target="https://portal.uni-koeln.de/en/sub/uoc-home" TargetMode="External"/><Relationship Id="rId154" Type="http://schemas.openxmlformats.org/officeDocument/2006/relationships/hyperlink" Target="https://www.international-office.uni-bayreuth.de/en/come-to-bayreuth/exchange-students/index.html" TargetMode="External"/><Relationship Id="rId153" Type="http://schemas.openxmlformats.org/officeDocument/2006/relationships/hyperlink" Target="https://uni-bayreuth.de/en" TargetMode="External"/><Relationship Id="rId152" Type="http://schemas.openxmlformats.org/officeDocument/2006/relationships/hyperlink" Target="https://apps.unive.it/common2/file/download/destinazioni_erasmus/65ba4347e3024" TargetMode="External"/><Relationship Id="rId151" Type="http://schemas.openxmlformats.org/officeDocument/2006/relationships/hyperlink" Target="https://apps.unive.it/common2/file/download/destinazioni_erasmus/65ba4347e3024" TargetMode="External"/><Relationship Id="rId158" Type="http://schemas.openxmlformats.org/officeDocument/2006/relationships/hyperlink" Target="https://www.international-office.uni-bayreuth.de/en/come-to-bayreuth/exchange-students/index.html" TargetMode="External"/><Relationship Id="rId157" Type="http://schemas.openxmlformats.org/officeDocument/2006/relationships/hyperlink" Target="https://www.international-office.uni-bayreuth.de/en/come-to-bayreuth/exchange-students/index.html" TargetMode="External"/><Relationship Id="rId156" Type="http://schemas.openxmlformats.org/officeDocument/2006/relationships/hyperlink" Target="https://uni-bayreuth.de/en" TargetMode="External"/><Relationship Id="rId155" Type="http://schemas.openxmlformats.org/officeDocument/2006/relationships/hyperlink" Target="https://www.international-office.uni-bayreuth.de/en/come-to-bayreuth/exchange-students/index.html" TargetMode="External"/><Relationship Id="rId1972" Type="http://schemas.openxmlformats.org/officeDocument/2006/relationships/hyperlink" Target="https://pwr.edu.pl/en/" TargetMode="External"/><Relationship Id="rId1973" Type="http://schemas.openxmlformats.org/officeDocument/2006/relationships/hyperlink" Target="https://dwm.pwr.edu.pl/en/international-students/exchange-erasmus/incoming/erasmus-plus/how-to-apply" TargetMode="External"/><Relationship Id="rId1974" Type="http://schemas.openxmlformats.org/officeDocument/2006/relationships/hyperlink" Target="https://put.poznan.pl/en" TargetMode="External"/><Relationship Id="rId1975" Type="http://schemas.openxmlformats.org/officeDocument/2006/relationships/hyperlink" Target="https://put.poznan.pl/en" TargetMode="External"/><Relationship Id="rId1976" Type="http://schemas.openxmlformats.org/officeDocument/2006/relationships/hyperlink" Target="https://awf.wroc.pl/?lang=en" TargetMode="External"/><Relationship Id="rId1977" Type="http://schemas.openxmlformats.org/officeDocument/2006/relationships/hyperlink" Target="https://esad.pt/en/escola" TargetMode="External"/><Relationship Id="rId1978" Type="http://schemas.openxmlformats.org/officeDocument/2006/relationships/hyperlink" Target="https://www.esad.pt/documents/294/esad-info-sheet1-7-1.doc" TargetMode="External"/><Relationship Id="rId1979" Type="http://schemas.openxmlformats.org/officeDocument/2006/relationships/hyperlink" Target="https://www.essa.pt/portal/" TargetMode="External"/><Relationship Id="rId1970" Type="http://schemas.openxmlformats.org/officeDocument/2006/relationships/hyperlink" Target="https://english.swps.pl/programs/apply/language-requirements" TargetMode="External"/><Relationship Id="rId1971" Type="http://schemas.openxmlformats.org/officeDocument/2006/relationships/hyperlink" Target="https://english.swps.pl/programs/apply/language-requirements" TargetMode="External"/><Relationship Id="rId1961" Type="http://schemas.openxmlformats.org/officeDocument/2006/relationships/hyperlink" Target="http://rekrutacja.uw.edu.pl/en/language-competence/" TargetMode="External"/><Relationship Id="rId1962" Type="http://schemas.openxmlformats.org/officeDocument/2006/relationships/hyperlink" Target="http://rekrutacja.uw.edu.pl/en/language-competence/" TargetMode="External"/><Relationship Id="rId1963" Type="http://schemas.openxmlformats.org/officeDocument/2006/relationships/hyperlink" Target="https://www.sgh.waw.pl/en" TargetMode="External"/><Relationship Id="rId1964" Type="http://schemas.openxmlformats.org/officeDocument/2006/relationships/hyperlink" Target="https://www.sgh.waw.pl/sites/sgh.waw.pl/files/2022-08/SGH_Fact_Sheet_2022-2023.pdf" TargetMode="External"/><Relationship Id="rId1965" Type="http://schemas.openxmlformats.org/officeDocument/2006/relationships/hyperlink" Target="https://www.sgh.waw.pl/sites/sgh.waw.pl/files/2022-08/SGH_Fact_Sheet_2022-2023.pdf" TargetMode="External"/><Relationship Id="rId1966" Type="http://schemas.openxmlformats.org/officeDocument/2006/relationships/hyperlink" Target="https://www.sgh.waw.pl/en" TargetMode="External"/><Relationship Id="rId1967" Type="http://schemas.openxmlformats.org/officeDocument/2006/relationships/hyperlink" Target="https://www.sgh.waw.pl/sites/sgh.waw.pl/files/2022-08/SGH_Fact_Sheet_2022-2023.pdf" TargetMode="External"/><Relationship Id="rId1968" Type="http://schemas.openxmlformats.org/officeDocument/2006/relationships/hyperlink" Target="https://www.sgh.waw.pl/sites/sgh.waw.pl/files/2022-08/SGH_Fact_Sheet_2022-2023.pdf" TargetMode="External"/><Relationship Id="rId1969" Type="http://schemas.openxmlformats.org/officeDocument/2006/relationships/hyperlink" Target="https://english.swps.pl/" TargetMode="External"/><Relationship Id="rId1960" Type="http://schemas.openxmlformats.org/officeDocument/2006/relationships/hyperlink" Target="https://en.uw.edu.pl/" TargetMode="External"/><Relationship Id="rId1510" Type="http://schemas.openxmlformats.org/officeDocument/2006/relationships/hyperlink" Target="https://www.lu.lv/" TargetMode="External"/><Relationship Id="rId1994" Type="http://schemas.openxmlformats.org/officeDocument/2006/relationships/hyperlink" Target="https://www.ipl.pt/en/international/international-student/entrance-requirements" TargetMode="External"/><Relationship Id="rId1511" Type="http://schemas.openxmlformats.org/officeDocument/2006/relationships/hyperlink" Target="https://www.lu.lv/en/gribustudet/arzemju-studentiem-eng/degree/language/" TargetMode="External"/><Relationship Id="rId1995" Type="http://schemas.openxmlformats.org/officeDocument/2006/relationships/hyperlink" Target="https://www.ipl.pt/en/international/international-student/entrance-requirements" TargetMode="External"/><Relationship Id="rId1512" Type="http://schemas.openxmlformats.org/officeDocument/2006/relationships/hyperlink" Target="https://www.lu.lv/en/gribustudet/arzemju-studentiem-eng/degree/language/" TargetMode="External"/><Relationship Id="rId1996" Type="http://schemas.openxmlformats.org/officeDocument/2006/relationships/hyperlink" Target="https://www.eselx.ipl.pt/" TargetMode="External"/><Relationship Id="rId1513" Type="http://schemas.openxmlformats.org/officeDocument/2006/relationships/hyperlink" Target="https://www.lu.lv/" TargetMode="External"/><Relationship Id="rId1997" Type="http://schemas.openxmlformats.org/officeDocument/2006/relationships/hyperlink" Target="https://www.ipl.pt/en/international/international-student/entrance-requirements" TargetMode="External"/><Relationship Id="rId1514" Type="http://schemas.openxmlformats.org/officeDocument/2006/relationships/hyperlink" Target="https://www.lu.lv/en/admissions/exchange-studies/" TargetMode="External"/><Relationship Id="rId1998" Type="http://schemas.openxmlformats.org/officeDocument/2006/relationships/hyperlink" Target="https://www.ipl.pt/en/international/international-student/entrance-requirements" TargetMode="External"/><Relationship Id="rId1515" Type="http://schemas.openxmlformats.org/officeDocument/2006/relationships/hyperlink" Target="https://www.lu.lv/en/admissions/exchange-studies/" TargetMode="External"/><Relationship Id="rId1999" Type="http://schemas.openxmlformats.org/officeDocument/2006/relationships/hyperlink" Target="https://www.ipvc.pt/" TargetMode="External"/><Relationship Id="rId1516" Type="http://schemas.openxmlformats.org/officeDocument/2006/relationships/hyperlink" Target="https://www.rgsl.edu.lv/" TargetMode="External"/><Relationship Id="rId1517" Type="http://schemas.openxmlformats.org/officeDocument/2006/relationships/hyperlink" Target="https://www.rgsl.edu.lv/data/pdf-files/guidelines-spring-incoming-2025-030924.pdf" TargetMode="External"/><Relationship Id="rId1518" Type="http://schemas.openxmlformats.org/officeDocument/2006/relationships/hyperlink" Target="https://www.rgsl.edu.lv/data/pdf-files/guidelines-spring-incoming-2025-030924.pdf" TargetMode="External"/><Relationship Id="rId1519" Type="http://schemas.openxmlformats.org/officeDocument/2006/relationships/hyperlink" Target="https://www.venta.lv/en" TargetMode="External"/><Relationship Id="rId1990" Type="http://schemas.openxmlformats.org/officeDocument/2006/relationships/hyperlink" Target="https://www.estesl.ipl.pt/" TargetMode="External"/><Relationship Id="rId1991" Type="http://schemas.openxmlformats.org/officeDocument/2006/relationships/hyperlink" Target="https://www.ipl.pt/en/international/international-student/entrance-requirements" TargetMode="External"/><Relationship Id="rId1992" Type="http://schemas.openxmlformats.org/officeDocument/2006/relationships/hyperlink" Target="https://www.ipl.pt/en/international/international-student/entrance-requirements" TargetMode="External"/><Relationship Id="rId1993" Type="http://schemas.openxmlformats.org/officeDocument/2006/relationships/hyperlink" Target="https://www.eselx.ipl.pt/" TargetMode="External"/><Relationship Id="rId1983" Type="http://schemas.openxmlformats.org/officeDocument/2006/relationships/hyperlink" Target="https://www.iesfafe.pt/tmp/Uploads/Erasmus/Factsheet_Erasmus_P_FAFE05_Reparado.pdf" TargetMode="External"/><Relationship Id="rId1500" Type="http://schemas.openxmlformats.org/officeDocument/2006/relationships/hyperlink" Target="https://www.toyo.ac.jp/-/media/Images/Toyo/international-exchange/international/english-ep/2023Spring/Toyo-Study-Abroad-Program-Fact-Sheet-for-2023-SpringEnrollment-Exchange.ashx?la=en&amp;hash=1551332E958ACBCA7710930B2BC873D2965BB046" TargetMode="External"/><Relationship Id="rId1984" Type="http://schemas.openxmlformats.org/officeDocument/2006/relationships/hyperlink" Target="https://www.iesfafe.pt/" TargetMode="External"/><Relationship Id="rId1501" Type="http://schemas.openxmlformats.org/officeDocument/2006/relationships/hyperlink" Target="https://www.toyo.ac.jp/en" TargetMode="External"/><Relationship Id="rId1985" Type="http://schemas.openxmlformats.org/officeDocument/2006/relationships/hyperlink" Target="https://www.iesfafe.pt/tmp/Uploads/Erasmus/Factsheet_Erasmus_P_FAFE05_Reparado.pdf" TargetMode="External"/><Relationship Id="rId1502" Type="http://schemas.openxmlformats.org/officeDocument/2006/relationships/hyperlink" Target="https://www.toyo.ac.jp/-/media/Images/Toyo/international-exchange/international/english-ep/2023Spring/Toyo-Study-Abroad-Program-Fact-Sheet-for-2023-SpringEnrollment-Exchange.ashx?la=en&amp;hash=1551332E958ACBCA7710930B2BC873D2965BB046" TargetMode="External"/><Relationship Id="rId1986" Type="http://schemas.openxmlformats.org/officeDocument/2006/relationships/hyperlink" Target="https://www.iesfafe.pt/tmp/Uploads/Erasmus/Factsheet_Erasmus_P_FAFE05_Reparado.pdf" TargetMode="External"/><Relationship Id="rId1503" Type="http://schemas.openxmlformats.org/officeDocument/2006/relationships/hyperlink" Target="https://www.toyo.ac.jp/-/media/Images/Toyo/international-exchange/international/english-ep/2023Spring/Toyo-Study-Abroad-Program-Fact-Sheet-for-2023-SpringEnrollment-Exchange.ashx?la=en&amp;hash=1551332E958ACBCA7710930B2BC873D2965BB046" TargetMode="External"/><Relationship Id="rId1987" Type="http://schemas.openxmlformats.org/officeDocument/2006/relationships/hyperlink" Target="https://www.ipc.pt/" TargetMode="External"/><Relationship Id="rId1504" Type="http://schemas.openxmlformats.org/officeDocument/2006/relationships/hyperlink" Target="https://www.toyo.ac.jp/en" TargetMode="External"/><Relationship Id="rId1988" Type="http://schemas.openxmlformats.org/officeDocument/2006/relationships/hyperlink" Target="https://www.ipc.pt/ipc/en/internacional/mobilidade-internacional/erasmus-uniao-europeia/incoming/" TargetMode="External"/><Relationship Id="rId1505" Type="http://schemas.openxmlformats.org/officeDocument/2006/relationships/hyperlink" Target="https://www.toyo.ac.jp/-/media/Images/Toyo/international-exchange/international/english-ep/2023Spring/Toyo-Study-Abroad-Program-Fact-Sheet-for-2023-SpringEnrollment-Exchange.ashx?la=en&amp;hash=1551332E958ACBCA7710930B2BC873D2965BB046" TargetMode="External"/><Relationship Id="rId1989" Type="http://schemas.openxmlformats.org/officeDocument/2006/relationships/hyperlink" Target="https://www.ipc.pt/ipc/en/internacional/mobilidade-internacional/erasmus-uniao-europeia/incoming/" TargetMode="External"/><Relationship Id="rId1506" Type="http://schemas.openxmlformats.org/officeDocument/2006/relationships/hyperlink" Target="https://www.toyo.ac.jp/-/media/Images/Toyo/international-exchange/international/english-ep/2023Spring/Toyo-Study-Abroad-Program-Fact-Sheet-for-2023-SpringEnrollment-Exchange.ashx?la=en&amp;hash=1551332E958ACBCA7710930B2BC873D2965BB046" TargetMode="External"/><Relationship Id="rId1507" Type="http://schemas.openxmlformats.org/officeDocument/2006/relationships/hyperlink" Target="https://www.kimep.kz/" TargetMode="External"/><Relationship Id="rId1508" Type="http://schemas.openxmlformats.org/officeDocument/2006/relationships/hyperlink" Target="https://www.kimep.kz/diam/en/study-abroad-opportunities-for-kimep-students/" TargetMode="External"/><Relationship Id="rId1509" Type="http://schemas.openxmlformats.org/officeDocument/2006/relationships/hyperlink" Target="https://www.kimep.kz/diam/en/study-abroad-opportunities-for-kimep-students/" TargetMode="External"/><Relationship Id="rId1980" Type="http://schemas.openxmlformats.org/officeDocument/2006/relationships/hyperlink" Target="https://www.essa.pt/portal/mobilidade-incoming/" TargetMode="External"/><Relationship Id="rId1981" Type="http://schemas.openxmlformats.org/officeDocument/2006/relationships/hyperlink" Target="https://www.iesfafe.pt/" TargetMode="External"/><Relationship Id="rId1982" Type="http://schemas.openxmlformats.org/officeDocument/2006/relationships/hyperlink" Target="https://www.iesfafe.pt/tmp/Uploads/Erasmus/Factsheet_Erasmus_P_FAFE05_Reparado.pdf" TargetMode="External"/><Relationship Id="rId1930" Type="http://schemas.openxmlformats.org/officeDocument/2006/relationships/hyperlink" Target="https://www.kul.pl/kul,21.html" TargetMode="External"/><Relationship Id="rId1931" Type="http://schemas.openxmlformats.org/officeDocument/2006/relationships/hyperlink" Target="https://www.kul.pl/how-to-apply,art_824.html" TargetMode="External"/><Relationship Id="rId1932" Type="http://schemas.openxmlformats.org/officeDocument/2006/relationships/hyperlink" Target="https://www.kul.pl/how-to-apply,art_824.html" TargetMode="External"/><Relationship Id="rId1933" Type="http://schemas.openxmlformats.org/officeDocument/2006/relationships/hyperlink" Target="https://usz.edu.pl/en/english/" TargetMode="External"/><Relationship Id="rId1934" Type="http://schemas.openxmlformats.org/officeDocument/2006/relationships/hyperlink" Target="https://dsm.usz.edu.pl/en/erasmus-plus/programme-countries/incoming-students/" TargetMode="External"/><Relationship Id="rId1935" Type="http://schemas.openxmlformats.org/officeDocument/2006/relationships/hyperlink" Target="https://dsm.usz.edu.pl/en/erasmus-plus/programme-countries/incoming-students/" TargetMode="External"/><Relationship Id="rId1936" Type="http://schemas.openxmlformats.org/officeDocument/2006/relationships/hyperlink" Target="https://www.uni.lodz.pl/en/mobility" TargetMode="External"/><Relationship Id="rId1937" Type="http://schemas.openxmlformats.org/officeDocument/2006/relationships/hyperlink" Target="https://eurep.auth.gr/sites/default/files/fact_sheets/PL_LODZ01_Factsheet.pdf" TargetMode="External"/><Relationship Id="rId1938" Type="http://schemas.openxmlformats.org/officeDocument/2006/relationships/hyperlink" Target="https://eurep.auth.gr/sites/default/files/fact_sheets/PL_LODZ01_Factsheet.pdf" TargetMode="External"/><Relationship Id="rId1939" Type="http://schemas.openxmlformats.org/officeDocument/2006/relationships/hyperlink" Target="https://www.uni.lodz.pl/" TargetMode="External"/><Relationship Id="rId1920" Type="http://schemas.openxmlformats.org/officeDocument/2006/relationships/hyperlink" Target="https://www.cwm.pw.edu.pl/index.php/en/Education-programmes/Bilateral-exchange/Incoming-students" TargetMode="External"/><Relationship Id="rId1921" Type="http://schemas.openxmlformats.org/officeDocument/2006/relationships/hyperlink" Target="https://www.cwm.pw.edu.pl/index.php/en/Education-programmes/Bilateral-exchange/Incoming-students" TargetMode="External"/><Relationship Id="rId1922" Type="http://schemas.openxmlformats.org/officeDocument/2006/relationships/hyperlink" Target="https://www.goandstudy.pl/en/education/private-universities/poznan-college-of-modern-languages/" TargetMode="External"/><Relationship Id="rId1923" Type="http://schemas.openxmlformats.org/officeDocument/2006/relationships/hyperlink" Target="https://www.goandstudy.pl/en/education/private-universities/poznan-college-of-modern-languages/" TargetMode="External"/><Relationship Id="rId1924" Type="http://schemas.openxmlformats.org/officeDocument/2006/relationships/hyperlink" Target="https://www.kul.pl/kul,21.html" TargetMode="External"/><Relationship Id="rId1925" Type="http://schemas.openxmlformats.org/officeDocument/2006/relationships/hyperlink" Target="https://www.kul.pl/how-to-apply,art_824.html" TargetMode="External"/><Relationship Id="rId1926" Type="http://schemas.openxmlformats.org/officeDocument/2006/relationships/hyperlink" Target="https://www.kul.pl/how-to-apply,art_824.html" TargetMode="External"/><Relationship Id="rId1927" Type="http://schemas.openxmlformats.org/officeDocument/2006/relationships/hyperlink" Target="https://www.kul.pl/kul,21.html" TargetMode="External"/><Relationship Id="rId1928" Type="http://schemas.openxmlformats.org/officeDocument/2006/relationships/hyperlink" Target="https://www.kul.pl/how-to-apply,art_824.html" TargetMode="External"/><Relationship Id="rId1929" Type="http://schemas.openxmlformats.org/officeDocument/2006/relationships/hyperlink" Target="https://www.kul.pl/how-to-apply,art_824.html" TargetMode="External"/><Relationship Id="rId1950" Type="http://schemas.openxmlformats.org/officeDocument/2006/relationships/hyperlink" Target="https://awf.poznan.pl/en/education/recruitment-for-studies/?highlight=exchange%20language%20requirement" TargetMode="External"/><Relationship Id="rId1951" Type="http://schemas.openxmlformats.org/officeDocument/2006/relationships/hyperlink" Target="https://www.ur.edu.pl/en" TargetMode="External"/><Relationship Id="rId1952" Type="http://schemas.openxmlformats.org/officeDocument/2006/relationships/hyperlink" Target="https://www.ur.edu.pl/en/information-before" TargetMode="External"/><Relationship Id="rId1953" Type="http://schemas.openxmlformats.org/officeDocument/2006/relationships/hyperlink" Target="https://www.ur.edu.pl/en/information-before" TargetMode="External"/><Relationship Id="rId1954" Type="http://schemas.openxmlformats.org/officeDocument/2006/relationships/hyperlink" Target="https://en.uw.edu.pl/" TargetMode="External"/><Relationship Id="rId1955" Type="http://schemas.openxmlformats.org/officeDocument/2006/relationships/hyperlink" Target="http://rekrutacja.uw.edu.pl/en/language-competence/" TargetMode="External"/><Relationship Id="rId1956" Type="http://schemas.openxmlformats.org/officeDocument/2006/relationships/hyperlink" Target="http://rekrutacja.uw.edu.pl/en/language-competence/" TargetMode="External"/><Relationship Id="rId1957" Type="http://schemas.openxmlformats.org/officeDocument/2006/relationships/hyperlink" Target="https://en.uw.edu.pl/" TargetMode="External"/><Relationship Id="rId1958" Type="http://schemas.openxmlformats.org/officeDocument/2006/relationships/hyperlink" Target="http://rekrutacja.uw.edu.pl/en/language-competence/" TargetMode="External"/><Relationship Id="rId1959" Type="http://schemas.openxmlformats.org/officeDocument/2006/relationships/hyperlink" Target="http://rekrutacja.uw.edu.pl/en/language-competence/" TargetMode="External"/><Relationship Id="rId1940" Type="http://schemas.openxmlformats.org/officeDocument/2006/relationships/hyperlink" Target="https://eurep.auth.gr/sites/default/files/fact_sheets/PL_LODZ01_Factsheet.pdf" TargetMode="External"/><Relationship Id="rId1941" Type="http://schemas.openxmlformats.org/officeDocument/2006/relationships/hyperlink" Target="https://eurep.auth.gr/sites/default/files/fact_sheets/PL_LODZ01_Factsheet.pdf" TargetMode="External"/><Relationship Id="rId1942" Type="http://schemas.openxmlformats.org/officeDocument/2006/relationships/hyperlink" Target="https://www.uni.lodz.pl/" TargetMode="External"/><Relationship Id="rId1943" Type="http://schemas.openxmlformats.org/officeDocument/2006/relationships/hyperlink" Target="https://eurep.auth.gr/sites/default/files/fact_sheets/PL_LODZ01_Factsheet.pdf" TargetMode="External"/><Relationship Id="rId1944" Type="http://schemas.openxmlformats.org/officeDocument/2006/relationships/hyperlink" Target="https://eurep.auth.gr/sites/default/files/fact_sheets/PL_LODZ01_Factsheet.pdf" TargetMode="External"/><Relationship Id="rId1945" Type="http://schemas.openxmlformats.org/officeDocument/2006/relationships/hyperlink" Target="https://awf.poznan.pl/en" TargetMode="External"/><Relationship Id="rId1946" Type="http://schemas.openxmlformats.org/officeDocument/2006/relationships/hyperlink" Target="https://awf.poznan.pl/en/education/recruitment-for-studies/?highlight=exchange%20language%20requirement" TargetMode="External"/><Relationship Id="rId1947" Type="http://schemas.openxmlformats.org/officeDocument/2006/relationships/hyperlink" Target="https://awf.poznan.pl/en/education/recruitment-for-studies/?highlight=exchange%20language%20requirement" TargetMode="External"/><Relationship Id="rId1948" Type="http://schemas.openxmlformats.org/officeDocument/2006/relationships/hyperlink" Target="https://awf.poznan.pl/en" TargetMode="External"/><Relationship Id="rId1949" Type="http://schemas.openxmlformats.org/officeDocument/2006/relationships/hyperlink" Target="https://awf.poznan.pl/en/education/recruitment-for-studies/?highlight=exchange%20language%20requirement" TargetMode="External"/><Relationship Id="rId1576" Type="http://schemas.openxmlformats.org/officeDocument/2006/relationships/hyperlink" Target="https://esca.ma/" TargetMode="External"/><Relationship Id="rId2423" Type="http://schemas.openxmlformats.org/officeDocument/2006/relationships/hyperlink" Target="https://ankarabilim.edu.tr/en/index" TargetMode="External"/><Relationship Id="rId1577" Type="http://schemas.openxmlformats.org/officeDocument/2006/relationships/hyperlink" Target="https://www.buap.mx/" TargetMode="External"/><Relationship Id="rId2424" Type="http://schemas.openxmlformats.org/officeDocument/2006/relationships/hyperlink" Target="https://ankarabilim.edu.tr/uluslararasi-iliskiler-koordinatorlugu/duyuru/erasmus-ka171-ogrenim-hareketliligi-basvurulari-1" TargetMode="External"/><Relationship Id="rId1578" Type="http://schemas.openxmlformats.org/officeDocument/2006/relationships/hyperlink" Target="https://www.cide.edu/" TargetMode="External"/><Relationship Id="rId2425" Type="http://schemas.openxmlformats.org/officeDocument/2006/relationships/hyperlink" Target="https://ankarabilim.edu.tr/uluslararasi-iliskiler-koordinatorlugu/duyuru/erasmus-ka171-ogrenim-hareketliligi-basvurulari-1" TargetMode="External"/><Relationship Id="rId1579" Type="http://schemas.openxmlformats.org/officeDocument/2006/relationships/hyperlink" Target="https://www.cide.edu/" TargetMode="External"/><Relationship Id="rId2426" Type="http://schemas.openxmlformats.org/officeDocument/2006/relationships/hyperlink" Target="https://aybu.edu.tr/international/tr/sayfa/4803/-Erasmus-Incoming-Students" TargetMode="External"/><Relationship Id="rId2427" Type="http://schemas.openxmlformats.org/officeDocument/2006/relationships/hyperlink" Target="https://aybu.edu.tr/international/tr/sayfa/4803/-Erasmus-Incoming-Students" TargetMode="External"/><Relationship Id="rId2428" Type="http://schemas.openxmlformats.org/officeDocument/2006/relationships/hyperlink" Target="https://int.ankaramedipol.edu.tr/" TargetMode="External"/><Relationship Id="rId2429" Type="http://schemas.openxmlformats.org/officeDocument/2006/relationships/hyperlink" Target="https://int.ankaramedipol.edu.tr/" TargetMode="External"/><Relationship Id="rId509" Type="http://schemas.openxmlformats.org/officeDocument/2006/relationships/hyperlink" Target="https://www.uc.cl/" TargetMode="External"/><Relationship Id="rId508" Type="http://schemas.openxmlformats.org/officeDocument/2006/relationships/hyperlink" Target="https://internacionalizacion.uc.cl/" TargetMode="External"/><Relationship Id="rId503" Type="http://schemas.openxmlformats.org/officeDocument/2006/relationships/hyperlink" Target="https://www.wlu.ca/" TargetMode="External"/><Relationship Id="rId987" Type="http://schemas.openxmlformats.org/officeDocument/2006/relationships/hyperlink" Target="https://international.audencia.com/exchange-programmes/" TargetMode="External"/><Relationship Id="rId502" Type="http://schemas.openxmlformats.org/officeDocument/2006/relationships/hyperlink" Target="https://www.wlu.ca/future-students/undergraduate/admissions/requirements/english-proficiency.html" TargetMode="External"/><Relationship Id="rId986" Type="http://schemas.openxmlformats.org/officeDocument/2006/relationships/hyperlink" Target="https://www.audencia.com/" TargetMode="External"/><Relationship Id="rId501" Type="http://schemas.openxmlformats.org/officeDocument/2006/relationships/hyperlink" Target="https://www.wlu.ca/" TargetMode="External"/><Relationship Id="rId985" Type="http://schemas.openxmlformats.org/officeDocument/2006/relationships/hyperlink" Target="https://www.univ-amu.fr/en/public/study-amu-part-exchange-program" TargetMode="External"/><Relationship Id="rId500" Type="http://schemas.openxmlformats.org/officeDocument/2006/relationships/hyperlink" Target="https://www.wlu.ca/future-students/undergraduate/admissions/requirements/english-proficiency.html" TargetMode="External"/><Relationship Id="rId984" Type="http://schemas.openxmlformats.org/officeDocument/2006/relationships/hyperlink" Target="https://www.univ-amu.fr/en/public/study-amu-part-exchange-program" TargetMode="External"/><Relationship Id="rId507" Type="http://schemas.openxmlformats.org/officeDocument/2006/relationships/hyperlink" Target="https://www.uc.cl/" TargetMode="External"/><Relationship Id="rId506" Type="http://schemas.openxmlformats.org/officeDocument/2006/relationships/hyperlink" Target="https://internacionalizacion.uc.cl/" TargetMode="External"/><Relationship Id="rId505" Type="http://schemas.openxmlformats.org/officeDocument/2006/relationships/hyperlink" Target="https://www.uc.cl/" TargetMode="External"/><Relationship Id="rId989" Type="http://schemas.openxmlformats.org/officeDocument/2006/relationships/hyperlink" Target="https://www.bordeaux-inp.fr/fr" TargetMode="External"/><Relationship Id="rId504" Type="http://schemas.openxmlformats.org/officeDocument/2006/relationships/hyperlink" Target="https://www.wlu.ca/future-students/undergraduate/admissions/requirements/english-proficiency.html" TargetMode="External"/><Relationship Id="rId988" Type="http://schemas.openxmlformats.org/officeDocument/2006/relationships/hyperlink" Target="https://international.audencia.com/exchange-programmes/" TargetMode="External"/><Relationship Id="rId1570" Type="http://schemas.openxmlformats.org/officeDocument/2006/relationships/hyperlink" Target="https://www.um.edu.mt/" TargetMode="External"/><Relationship Id="rId1571" Type="http://schemas.openxmlformats.org/officeDocument/2006/relationships/hyperlink" Target="https://www.um.edu.mt/study/admissionsadvice/international/englishlanguagerequirements/" TargetMode="External"/><Relationship Id="rId983" Type="http://schemas.openxmlformats.org/officeDocument/2006/relationships/hyperlink" Target="https://www.univ-amu.fr/" TargetMode="External"/><Relationship Id="rId1572" Type="http://schemas.openxmlformats.org/officeDocument/2006/relationships/hyperlink" Target="https://www.um.edu.mt/study/admissionsadvice/international/englishlanguagerequirements/" TargetMode="External"/><Relationship Id="rId982" Type="http://schemas.openxmlformats.org/officeDocument/2006/relationships/hyperlink" Target="https://www.3il-ingenieurs.fr/en/erasmus-incoming-students/" TargetMode="External"/><Relationship Id="rId1573" Type="http://schemas.openxmlformats.org/officeDocument/2006/relationships/hyperlink" Target="https://www.uir.ac.ma/" TargetMode="External"/><Relationship Id="rId2420" Type="http://schemas.openxmlformats.org/officeDocument/2006/relationships/hyperlink" Target="https://ankarabilim.edu.tr/en/index" TargetMode="External"/><Relationship Id="rId981" Type="http://schemas.openxmlformats.org/officeDocument/2006/relationships/hyperlink" Target="https://www.3il-ingenieurs.fr/en/erasmus-incoming-students/" TargetMode="External"/><Relationship Id="rId1574" Type="http://schemas.openxmlformats.org/officeDocument/2006/relationships/hyperlink" Target="https://www.uir.ac.ma/en/page/exchange-students" TargetMode="External"/><Relationship Id="rId2421" Type="http://schemas.openxmlformats.org/officeDocument/2006/relationships/hyperlink" Target="https://ankarabilim.edu.tr/uluslararasi-iliskiler-koordinatorlugu/duyuru/erasmus-ka171-ogrenim-hareketliligi-basvurulari-1" TargetMode="External"/><Relationship Id="rId980" Type="http://schemas.openxmlformats.org/officeDocument/2006/relationships/hyperlink" Target="https://www.3il-ingenieurs.fr/" TargetMode="External"/><Relationship Id="rId1575" Type="http://schemas.openxmlformats.org/officeDocument/2006/relationships/hyperlink" Target="https://esca.ma/" TargetMode="External"/><Relationship Id="rId2422" Type="http://schemas.openxmlformats.org/officeDocument/2006/relationships/hyperlink" Target="https://ankarabilim.edu.tr/uluslararasi-iliskiler-koordinatorlugu/duyuru/erasmus-ka171-ogrenim-hareketliligi-basvurulari-1" TargetMode="External"/><Relationship Id="rId1565" Type="http://schemas.openxmlformats.org/officeDocument/2006/relationships/hyperlink" Target="https://www.sc-politiche.unifi.it/upload/sub/mobilita-internazionale/Fact%20Sheet%20e%20Info%20Atenei%20Partner/1920/FactSheet_M_SKOPJE01_1920.pdf" TargetMode="External"/><Relationship Id="rId2412" Type="http://schemas.openxmlformats.org/officeDocument/2006/relationships/hyperlink" Target="http://isc.oie.fju.edu.tw/index.jsp" TargetMode="External"/><Relationship Id="rId1566" Type="http://schemas.openxmlformats.org/officeDocument/2006/relationships/hyperlink" Target="https://www.sc-politiche.unifi.it/upload/sub/mobilita-internazionale/Fact%20Sheet%20e%20Info%20Atenei%20Partner/1920/FactSheet_M_SKOPJE01_1920.pdf" TargetMode="External"/><Relationship Id="rId2413" Type="http://schemas.openxmlformats.org/officeDocument/2006/relationships/hyperlink" Target="https://www.ncu.edu.tw/" TargetMode="External"/><Relationship Id="rId1567" Type="http://schemas.openxmlformats.org/officeDocument/2006/relationships/hyperlink" Target="https://www.um.edu.my/" TargetMode="External"/><Relationship Id="rId2414" Type="http://schemas.openxmlformats.org/officeDocument/2006/relationships/hyperlink" Target="https://www.u-fukui.ac.jp/wp/wp-content/uploads/National-Central-University-Exchange-Studens-Fact-Sheet-2021-2022.pdf" TargetMode="External"/><Relationship Id="rId1568" Type="http://schemas.openxmlformats.org/officeDocument/2006/relationships/hyperlink" Target="https://study.um.edu.my/entry-requirements" TargetMode="External"/><Relationship Id="rId2415" Type="http://schemas.openxmlformats.org/officeDocument/2006/relationships/hyperlink" Target="https://www.u-fukui.ac.jp/wp/wp-content/uploads/National-Central-University-Exchange-Studens-Fact-Sheet-2021-2022.pdf" TargetMode="External"/><Relationship Id="rId1569" Type="http://schemas.openxmlformats.org/officeDocument/2006/relationships/hyperlink" Target="https://study.um.edu.my/entry-requirements" TargetMode="External"/><Relationship Id="rId2416" Type="http://schemas.openxmlformats.org/officeDocument/2006/relationships/hyperlink" Target="http://www.um.rnu.tn/en/" TargetMode="External"/><Relationship Id="rId2417" Type="http://schemas.openxmlformats.org/officeDocument/2006/relationships/hyperlink" Target="https://eng.akdeniz.edu.tr/" TargetMode="External"/><Relationship Id="rId2418" Type="http://schemas.openxmlformats.org/officeDocument/2006/relationships/hyperlink" Target="https://uio.akdeniz.edu.tr/en/accepted_language_proficiencies-4249" TargetMode="External"/><Relationship Id="rId2419" Type="http://schemas.openxmlformats.org/officeDocument/2006/relationships/hyperlink" Target="https://uio.akdeniz.edu.tr/en/accepted_language_proficiencies-4249" TargetMode="External"/><Relationship Id="rId976" Type="http://schemas.openxmlformats.org/officeDocument/2006/relationships/hyperlink" Target="https://www.utu.fi/en/study-at-utu/how-to-apply-for-exchange-studies" TargetMode="External"/><Relationship Id="rId975" Type="http://schemas.openxmlformats.org/officeDocument/2006/relationships/hyperlink" Target="https://www.utu.fi/en/study-at-utu/how-to-apply-for-exchange-studies" TargetMode="External"/><Relationship Id="rId974" Type="http://schemas.openxmlformats.org/officeDocument/2006/relationships/hyperlink" Target="https://www.utu.fi/en" TargetMode="External"/><Relationship Id="rId973" Type="http://schemas.openxmlformats.org/officeDocument/2006/relationships/hyperlink" Target="https://www.oulu.fi/en/for-students/incoming-student-exchange" TargetMode="External"/><Relationship Id="rId979" Type="http://schemas.openxmlformats.org/officeDocument/2006/relationships/hyperlink" Target="https://www.utu.fi/en/study-at-utu/how-to-apply-for-exchange-studies" TargetMode="External"/><Relationship Id="rId978" Type="http://schemas.openxmlformats.org/officeDocument/2006/relationships/hyperlink" Target="https://www.utu.fi/en/study-at-utu/how-to-apply-for-exchange-studies" TargetMode="External"/><Relationship Id="rId977" Type="http://schemas.openxmlformats.org/officeDocument/2006/relationships/hyperlink" Target="https://www.utu.fi/en" TargetMode="External"/><Relationship Id="rId1560" Type="http://schemas.openxmlformats.org/officeDocument/2006/relationships/hyperlink" Target="https://en.viko.lt/for-students/admission-requirements/" TargetMode="External"/><Relationship Id="rId972" Type="http://schemas.openxmlformats.org/officeDocument/2006/relationships/hyperlink" Target="https://www.oulu.fi/en/for-students/incoming-student-exchange" TargetMode="External"/><Relationship Id="rId1561" Type="http://schemas.openxmlformats.org/officeDocument/2006/relationships/hyperlink" Target="https://www.seeu.edu.mk/" TargetMode="External"/><Relationship Id="rId971" Type="http://schemas.openxmlformats.org/officeDocument/2006/relationships/hyperlink" Target="https://www.oulu.fi/en" TargetMode="External"/><Relationship Id="rId1562" Type="http://schemas.openxmlformats.org/officeDocument/2006/relationships/hyperlink" Target="https://www.seeu.edu.mk/en/current-students/international-relation/incoming-students-staff" TargetMode="External"/><Relationship Id="rId970" Type="http://schemas.openxmlformats.org/officeDocument/2006/relationships/hyperlink" Target="https://www.oulu.fi/en/for-students/incoming-student-exchange" TargetMode="External"/><Relationship Id="rId1563" Type="http://schemas.openxmlformats.org/officeDocument/2006/relationships/hyperlink" Target="https://www.seeu.edu.mk/en/current-students/international-relation/incoming-students-staff" TargetMode="External"/><Relationship Id="rId2410" Type="http://schemas.openxmlformats.org/officeDocument/2006/relationships/hyperlink" Target="https://www.fju.edu.tw/indexEN.jsp" TargetMode="External"/><Relationship Id="rId1564" Type="http://schemas.openxmlformats.org/officeDocument/2006/relationships/hyperlink" Target="https://www.ukim.edu.mk/en_index.php" TargetMode="External"/><Relationship Id="rId2411" Type="http://schemas.openxmlformats.org/officeDocument/2006/relationships/hyperlink" Target="http://isc.oie.fju.edu.tw/index.jsp" TargetMode="External"/><Relationship Id="rId1114" Type="http://schemas.openxmlformats.org/officeDocument/2006/relationships/hyperlink" Target="https://www.univ-smb.fr/" TargetMode="External"/><Relationship Id="rId1598" Type="http://schemas.openxmlformats.org/officeDocument/2006/relationships/hyperlink" Target="https://iteso.mx/en/web/general/detalle?group_id=56690" TargetMode="External"/><Relationship Id="rId2445" Type="http://schemas.openxmlformats.org/officeDocument/2006/relationships/hyperlink" Target="https://www.balikesir.edu.tr/en" TargetMode="External"/><Relationship Id="rId1115" Type="http://schemas.openxmlformats.org/officeDocument/2006/relationships/hyperlink" Target="https://www.univ-smb.fr/en/international/venir-a-luniversite/" TargetMode="External"/><Relationship Id="rId1599" Type="http://schemas.openxmlformats.org/officeDocument/2006/relationships/hyperlink" Target="https://www.iteso.mx/" TargetMode="External"/><Relationship Id="rId2446" Type="http://schemas.openxmlformats.org/officeDocument/2006/relationships/hyperlink" Target="https://www.baskent.edu.tr/english/" TargetMode="External"/><Relationship Id="rId1116" Type="http://schemas.openxmlformats.org/officeDocument/2006/relationships/hyperlink" Target="https://www.univ-smb.fr/en/international/venir-a-luniversite/" TargetMode="External"/><Relationship Id="rId2447" Type="http://schemas.openxmlformats.org/officeDocument/2006/relationships/hyperlink" Target="https://uik.baskent.edu.tr/kw/menu_icerik.php?dil=EN&amp;birim=161&amp;menu_id=49" TargetMode="External"/><Relationship Id="rId1117" Type="http://schemas.openxmlformats.org/officeDocument/2006/relationships/hyperlink" Target="https://www.univ-smb.fr/" TargetMode="External"/><Relationship Id="rId2448" Type="http://schemas.openxmlformats.org/officeDocument/2006/relationships/hyperlink" Target="https://uik.baskent.edu.tr/kw/menu_icerik.php?dil=EN&amp;birim=161&amp;menu_id=49" TargetMode="External"/><Relationship Id="rId1118" Type="http://schemas.openxmlformats.org/officeDocument/2006/relationships/hyperlink" Target="https://www.univ-smb.fr/en/international/venir-a-luniversite/" TargetMode="External"/><Relationship Id="rId2449" Type="http://schemas.openxmlformats.org/officeDocument/2006/relationships/hyperlink" Target="https://www.baskent.edu.tr/english/" TargetMode="External"/><Relationship Id="rId1119" Type="http://schemas.openxmlformats.org/officeDocument/2006/relationships/hyperlink" Target="https://www.univ-smb.fr/en/international/venir-a-luniversite/" TargetMode="External"/><Relationship Id="rId525" Type="http://schemas.openxmlformats.org/officeDocument/2006/relationships/hyperlink" Target="https://www.uahurtado.cl/" TargetMode="External"/><Relationship Id="rId524" Type="http://schemas.openxmlformats.org/officeDocument/2006/relationships/hyperlink" Target="https://www.uahurtado.cl/" TargetMode="External"/><Relationship Id="rId523" Type="http://schemas.openxmlformats.org/officeDocument/2006/relationships/hyperlink" Target="https://www.uahurtado.cl/" TargetMode="External"/><Relationship Id="rId522" Type="http://schemas.openxmlformats.org/officeDocument/2006/relationships/hyperlink" Target="https://negocios.uai.cl/" TargetMode="External"/><Relationship Id="rId529" Type="http://schemas.openxmlformats.org/officeDocument/2006/relationships/hyperlink" Target="https://www.unab.cl/" TargetMode="External"/><Relationship Id="rId528" Type="http://schemas.openxmlformats.org/officeDocument/2006/relationships/hyperlink" Target="https://internacional.uahurtado.cl/" TargetMode="External"/><Relationship Id="rId527" Type="http://schemas.openxmlformats.org/officeDocument/2006/relationships/hyperlink" Target="https://www.uahurtado.cl/" TargetMode="External"/><Relationship Id="rId526" Type="http://schemas.openxmlformats.org/officeDocument/2006/relationships/hyperlink" Target="https://www.uahurtado.cl/" TargetMode="External"/><Relationship Id="rId1590" Type="http://schemas.openxmlformats.org/officeDocument/2006/relationships/hyperlink" Target="https://tec.mx/es" TargetMode="External"/><Relationship Id="rId1591" Type="http://schemas.openxmlformats.org/officeDocument/2006/relationships/hyperlink" Target="https://www.udem.edu.mx/es" TargetMode="External"/><Relationship Id="rId1592" Type="http://schemas.openxmlformats.org/officeDocument/2006/relationships/hyperlink" Target="https://www.udem.edu.mx/es" TargetMode="External"/><Relationship Id="rId1593" Type="http://schemas.openxmlformats.org/officeDocument/2006/relationships/hyperlink" Target="https://www.udem.edu.mx/es" TargetMode="External"/><Relationship Id="rId2440" Type="http://schemas.openxmlformats.org/officeDocument/2006/relationships/hyperlink" Target="https://idari.adu.edu.tr/uik/webfolders/files/20220418132208-Z8UF3Q9O2Y4L0315SVWG-ERASMUS-687814993.pdf" TargetMode="External"/><Relationship Id="rId521" Type="http://schemas.openxmlformats.org/officeDocument/2006/relationships/hyperlink" Target="https://www.uai.cl/" TargetMode="External"/><Relationship Id="rId1110" Type="http://schemas.openxmlformats.org/officeDocument/2006/relationships/hyperlink" Target="https://international.pantheonsorbonne.fr/en/join-paris-1-pantheon-sorbonne/exchange-student" TargetMode="External"/><Relationship Id="rId1594" Type="http://schemas.openxmlformats.org/officeDocument/2006/relationships/hyperlink" Target="https://www.udem.edu.mx/es" TargetMode="External"/><Relationship Id="rId2441" Type="http://schemas.openxmlformats.org/officeDocument/2006/relationships/hyperlink" Target="https://idari.adu.edu.tr/uik/webfolders/files/20220418132208-Z8UF3Q9O2Y4L0315SVWG-ERASMUS-687814993.pdf" TargetMode="External"/><Relationship Id="rId520" Type="http://schemas.openxmlformats.org/officeDocument/2006/relationships/hyperlink" Target="https://negocios.uai.cl/" TargetMode="External"/><Relationship Id="rId1111" Type="http://schemas.openxmlformats.org/officeDocument/2006/relationships/hyperlink" Target="https://www.univ-pau.fr/" TargetMode="External"/><Relationship Id="rId1595" Type="http://schemas.openxmlformats.org/officeDocument/2006/relationships/hyperlink" Target="https://www.iteso.mx/" TargetMode="External"/><Relationship Id="rId2442" Type="http://schemas.openxmlformats.org/officeDocument/2006/relationships/hyperlink" Target="https://www.adu.edu.tr/en/" TargetMode="External"/><Relationship Id="rId1112" Type="http://schemas.openxmlformats.org/officeDocument/2006/relationships/hyperlink" Target="https://ri.univ-pau.fr/_plugins/flipbook/ri/_attachments-flipbook/international-welcome-desk-article-4/Plaquette%20%C3%A9trangers-Anglais-2022-online.pdf/_contents/ametys-internal%253Asites/ri/ametys-internal%253Acontents/international-welcome-desk-article-4/ametys-internal%253Aattachments/Plaquette%20%C3%A9trangers-Anglais-2022-online.pdf/book.html" TargetMode="External"/><Relationship Id="rId1596" Type="http://schemas.openxmlformats.org/officeDocument/2006/relationships/hyperlink" Target="https://internacional.iteso.mx/es/visiting_students" TargetMode="External"/><Relationship Id="rId2443" Type="http://schemas.openxmlformats.org/officeDocument/2006/relationships/hyperlink" Target="https://idari.adu.edu.tr/uik/webfolders/files/20220418132208-Z8UF3Q9O2Y4L0315SVWG-ERASMUS-687814993.pdf" TargetMode="External"/><Relationship Id="rId1113" Type="http://schemas.openxmlformats.org/officeDocument/2006/relationships/hyperlink" Target="https://ri.univ-pau.fr/_plugins/flipbook/ri/_attachments-flipbook/international-welcome-desk-article-4/Plaquette%20%C3%A9trangers-Anglais-2022-online.pdf/_contents/ametys-internal%253Asites/ri/ametys-internal%253Acontents/international-welcome-desk-article-4/ametys-internal%253Aattachments/Plaquette%20%C3%A9trangers-Anglais-2022-online.pdf/book.html" TargetMode="External"/><Relationship Id="rId1597" Type="http://schemas.openxmlformats.org/officeDocument/2006/relationships/hyperlink" Target="https://www.iteso.mx/" TargetMode="External"/><Relationship Id="rId2444" Type="http://schemas.openxmlformats.org/officeDocument/2006/relationships/hyperlink" Target="https://idari.adu.edu.tr/uik/webfolders/files/20220418132208-Z8UF3Q9O2Y4L0315SVWG-ERASMUS-687814993.pdf" TargetMode="External"/><Relationship Id="rId1103" Type="http://schemas.openxmlformats.org/officeDocument/2006/relationships/hyperlink" Target="https://www.univ-lorraine.fr/en/education/international-mobility/" TargetMode="External"/><Relationship Id="rId1587" Type="http://schemas.openxmlformats.org/officeDocument/2006/relationships/hyperlink" Target="https://fldm.edu.mx/" TargetMode="External"/><Relationship Id="rId2434" Type="http://schemas.openxmlformats.org/officeDocument/2006/relationships/hyperlink" Target="https://international.arel.edu.tr/international-office/" TargetMode="External"/><Relationship Id="rId1104" Type="http://schemas.openxmlformats.org/officeDocument/2006/relationships/hyperlink" Target="https://www.univ-lorraine.fr/en/education/international-mobility/" TargetMode="External"/><Relationship Id="rId1588" Type="http://schemas.openxmlformats.org/officeDocument/2006/relationships/hyperlink" Target="https://www.fldmglobal.mx/" TargetMode="External"/><Relationship Id="rId2435" Type="http://schemas.openxmlformats.org/officeDocument/2006/relationships/hyperlink" Target="https://international.arel.edu.tr/international-office/" TargetMode="External"/><Relationship Id="rId1105" Type="http://schemas.openxmlformats.org/officeDocument/2006/relationships/hyperlink" Target="https://www.univ-lorraine.fr/" TargetMode="External"/><Relationship Id="rId1589" Type="http://schemas.openxmlformats.org/officeDocument/2006/relationships/hyperlink" Target="https://tec.mx/es" TargetMode="External"/><Relationship Id="rId2436" Type="http://schemas.openxmlformats.org/officeDocument/2006/relationships/hyperlink" Target="https://www.adu.edu.tr/en/" TargetMode="External"/><Relationship Id="rId1106" Type="http://schemas.openxmlformats.org/officeDocument/2006/relationships/hyperlink" Target="https://www.univ-lorraine.fr/en/education/international-mobility/" TargetMode="External"/><Relationship Id="rId2437" Type="http://schemas.openxmlformats.org/officeDocument/2006/relationships/hyperlink" Target="https://idari.adu.edu.tr/uik/webfolders/files/20220418132208-Z8UF3Q9O2Y4L0315SVWG-ERASMUS-687814993.pdf" TargetMode="External"/><Relationship Id="rId1107" Type="http://schemas.openxmlformats.org/officeDocument/2006/relationships/hyperlink" Target="https://www.univ-lorraine.fr/en/education/international-mobility/" TargetMode="External"/><Relationship Id="rId2438" Type="http://schemas.openxmlformats.org/officeDocument/2006/relationships/hyperlink" Target="https://idari.adu.edu.tr/uik/webfolders/files/20220418132208-Z8UF3Q9O2Y4L0315SVWG-ERASMUS-687814993.pdf" TargetMode="External"/><Relationship Id="rId1108" Type="http://schemas.openxmlformats.org/officeDocument/2006/relationships/hyperlink" Target="https://www.pantheonsorbonne.fr/" TargetMode="External"/><Relationship Id="rId2439" Type="http://schemas.openxmlformats.org/officeDocument/2006/relationships/hyperlink" Target="https://www.adu.edu.tr/en/" TargetMode="External"/><Relationship Id="rId1109" Type="http://schemas.openxmlformats.org/officeDocument/2006/relationships/hyperlink" Target="https://international.pantheonsorbonne.fr/en/join-paris-1-pantheon-sorbonne/exchange-student" TargetMode="External"/><Relationship Id="rId519" Type="http://schemas.openxmlformats.org/officeDocument/2006/relationships/hyperlink" Target="https://www.uai.cl/" TargetMode="External"/><Relationship Id="rId514" Type="http://schemas.openxmlformats.org/officeDocument/2006/relationships/hyperlink" Target="https://dgai.pucv.cl/estudiar-en-la-pucv-pregrado/" TargetMode="External"/><Relationship Id="rId998" Type="http://schemas.openxmlformats.org/officeDocument/2006/relationships/hyperlink" Target="https://masters.em-lyon.com/en/study-abroad/study-abroad-application-fees" TargetMode="External"/><Relationship Id="rId513" Type="http://schemas.openxmlformats.org/officeDocument/2006/relationships/hyperlink" Target="https://drive.google.com/drive/folders/1F6egadby7Qdr7-GCTTRzNdynRuobaakp?usp=sharing" TargetMode="External"/><Relationship Id="rId997" Type="http://schemas.openxmlformats.org/officeDocument/2006/relationships/hyperlink" Target="https://em-lyon.com/" TargetMode="External"/><Relationship Id="rId512" Type="http://schemas.openxmlformats.org/officeDocument/2006/relationships/hyperlink" Target="https://dgai.pucv.cl/estudiar-en-la-pucv-pregrado/" TargetMode="External"/><Relationship Id="rId996" Type="http://schemas.openxmlformats.org/officeDocument/2006/relationships/hyperlink" Target="https://www.clermont-auvergne-inp.fr/en/exchange-studies/" TargetMode="External"/><Relationship Id="rId511" Type="http://schemas.openxmlformats.org/officeDocument/2006/relationships/hyperlink" Target="https://drive.google.com/drive/folders/1F6egadby7Qdr7-GCTTRzNdynRuobaakp?usp=sharing" TargetMode="External"/><Relationship Id="rId995" Type="http://schemas.openxmlformats.org/officeDocument/2006/relationships/hyperlink" Target="https://www.clermont-auvergne-inp.fr/en/exchange-studies/" TargetMode="External"/><Relationship Id="rId518" Type="http://schemas.openxmlformats.org/officeDocument/2006/relationships/hyperlink" Target="https://dgai.pucv.cl/estudiar-en-la-pucv-pregrado/" TargetMode="External"/><Relationship Id="rId517" Type="http://schemas.openxmlformats.org/officeDocument/2006/relationships/hyperlink" Target="https://drive.google.com/drive/folders/1F6egadby7Qdr7-GCTTRzNdynRuobaakp?usp=sharing" TargetMode="External"/><Relationship Id="rId516" Type="http://schemas.openxmlformats.org/officeDocument/2006/relationships/hyperlink" Target="https://dgai.pucv.cl/estudiar-en-la-pucv-pregrado/" TargetMode="External"/><Relationship Id="rId515" Type="http://schemas.openxmlformats.org/officeDocument/2006/relationships/hyperlink" Target="https://drive.google.com/drive/folders/1F6egadby7Qdr7-GCTTRzNdynRuobaakp?usp=sharing" TargetMode="External"/><Relationship Id="rId999" Type="http://schemas.openxmlformats.org/officeDocument/2006/relationships/hyperlink" Target="https://masters.em-lyon.com/en/study-abroad/study-abroad-application-fees" TargetMode="External"/><Relationship Id="rId990" Type="http://schemas.openxmlformats.org/officeDocument/2006/relationships/hyperlink" Target="https://eurep.auth.gr/sites/default/files/fact_sheets/F%20BORDEAU54_Factsheet_2022-2023.pdf" TargetMode="External"/><Relationship Id="rId1580" Type="http://schemas.openxmlformats.org/officeDocument/2006/relationships/hyperlink" Target="https://internacional.ibero.mx/en/incoming-students/?_ga=2.61887724.1315224387.1729753695-1141839035.1729753695" TargetMode="External"/><Relationship Id="rId1581" Type="http://schemas.openxmlformats.org/officeDocument/2006/relationships/hyperlink" Target="https://ibero.mx/" TargetMode="External"/><Relationship Id="rId1582" Type="http://schemas.openxmlformats.org/officeDocument/2006/relationships/hyperlink" Target="https://internacional.ibero.mx/en/incoming-students/?_ga=2.61887724.1315224387.1729753695-1141839035.1729753695" TargetMode="External"/><Relationship Id="rId510" Type="http://schemas.openxmlformats.org/officeDocument/2006/relationships/hyperlink" Target="https://www.uc.cl/" TargetMode="External"/><Relationship Id="rId994" Type="http://schemas.openxmlformats.org/officeDocument/2006/relationships/hyperlink" Target="https://www.clermont-auvergne-inp.fr/" TargetMode="External"/><Relationship Id="rId1583" Type="http://schemas.openxmlformats.org/officeDocument/2006/relationships/hyperlink" Target="https://ibero.mx/" TargetMode="External"/><Relationship Id="rId2430" Type="http://schemas.openxmlformats.org/officeDocument/2006/relationships/hyperlink" Target="https://www.arel.edu.tr/en" TargetMode="External"/><Relationship Id="rId993" Type="http://schemas.openxmlformats.org/officeDocument/2006/relationships/hyperlink" Target="https://eurep.auth.gr/sites/default/files/fact_sheets/F%20BORDEAU54_Factsheet_2022-2023.pdf" TargetMode="External"/><Relationship Id="rId1100" Type="http://schemas.openxmlformats.org/officeDocument/2006/relationships/hyperlink" Target="https://www.univpm.it/Entra/Engine/RAServeFile.php/f/erasmus/2019-2020/universit%C3%A0_straniere/F_LIMOGES01.pdf" TargetMode="External"/><Relationship Id="rId1584" Type="http://schemas.openxmlformats.org/officeDocument/2006/relationships/hyperlink" Target="https://internacional.ibero.mx/en/incoming-students/?_ga=2.61887724.1315224387.1729753695-1141839035.1729753695" TargetMode="External"/><Relationship Id="rId2431" Type="http://schemas.openxmlformats.org/officeDocument/2006/relationships/hyperlink" Target="https://international.arel.edu.tr/international-office/" TargetMode="External"/><Relationship Id="rId992" Type="http://schemas.openxmlformats.org/officeDocument/2006/relationships/hyperlink" Target="https://eurep.auth.gr/sites/default/files/fact_sheets/F%20BORDEAU54_Factsheet_2022-2023.pdf" TargetMode="External"/><Relationship Id="rId1101" Type="http://schemas.openxmlformats.org/officeDocument/2006/relationships/hyperlink" Target="https://www.univpm.it/Entra/Engine/RAServeFile.php/f/erasmus/2019-2020/universit%C3%A0_straniere/F_LIMOGES01.pdf" TargetMode="External"/><Relationship Id="rId1585" Type="http://schemas.openxmlformats.org/officeDocument/2006/relationships/hyperlink" Target="https://tec.mx/es" TargetMode="External"/><Relationship Id="rId2432" Type="http://schemas.openxmlformats.org/officeDocument/2006/relationships/hyperlink" Target="https://international.arel.edu.tr/international-office/" TargetMode="External"/><Relationship Id="rId991" Type="http://schemas.openxmlformats.org/officeDocument/2006/relationships/hyperlink" Target="https://eurep.auth.gr/sites/default/files/fact_sheets/F%20BORDEAU54_Factsheet_2022-2023.pdf" TargetMode="External"/><Relationship Id="rId1102" Type="http://schemas.openxmlformats.org/officeDocument/2006/relationships/hyperlink" Target="https://www.univ-lorraine.fr/" TargetMode="External"/><Relationship Id="rId1586" Type="http://schemas.openxmlformats.org/officeDocument/2006/relationships/hyperlink" Target="https://tec.mx/es" TargetMode="External"/><Relationship Id="rId2433" Type="http://schemas.openxmlformats.org/officeDocument/2006/relationships/hyperlink" Target="https://www.arel.edu.tr/en" TargetMode="External"/><Relationship Id="rId1532" Type="http://schemas.openxmlformats.org/officeDocument/2006/relationships/hyperlink" Target="https://admissions.ktu.edu/exchange-students/" TargetMode="External"/><Relationship Id="rId1533" Type="http://schemas.openxmlformats.org/officeDocument/2006/relationships/hyperlink" Target="https://admissions.ktu.edu/exchange-students/" TargetMode="External"/><Relationship Id="rId1534" Type="http://schemas.openxmlformats.org/officeDocument/2006/relationships/hyperlink" Target="https://en.ktu.edu/" TargetMode="External"/><Relationship Id="rId1535" Type="http://schemas.openxmlformats.org/officeDocument/2006/relationships/hyperlink" Target="https://admissions.ktu.edu/exchange-students/" TargetMode="External"/><Relationship Id="rId1536" Type="http://schemas.openxmlformats.org/officeDocument/2006/relationships/hyperlink" Target="https://admissions.ktu.edu/exchange-students/" TargetMode="External"/><Relationship Id="rId1537" Type="http://schemas.openxmlformats.org/officeDocument/2006/relationships/hyperlink" Target="https://en.ktu.edu/" TargetMode="External"/><Relationship Id="rId1538" Type="http://schemas.openxmlformats.org/officeDocument/2006/relationships/hyperlink" Target="https://admissions.ktu.edu/exchange-students/" TargetMode="External"/><Relationship Id="rId1539" Type="http://schemas.openxmlformats.org/officeDocument/2006/relationships/hyperlink" Target="https://admissions.ktu.edu/exchange-students/" TargetMode="External"/><Relationship Id="rId949" Type="http://schemas.openxmlformats.org/officeDocument/2006/relationships/hyperlink" Target="https://www.abo.fi/en/study/study-abroad/exchange-students/how-to-apply/" TargetMode="External"/><Relationship Id="rId948" Type="http://schemas.openxmlformats.org/officeDocument/2006/relationships/hyperlink" Target="https://www.abo.fi/en/study/study-abroad/exchange-students/how-to-apply/" TargetMode="External"/><Relationship Id="rId943" Type="http://schemas.openxmlformats.org/officeDocument/2006/relationships/hyperlink" Target="https://www.xu.edu.ph/" TargetMode="External"/><Relationship Id="rId942" Type="http://schemas.openxmlformats.org/officeDocument/2006/relationships/hyperlink" Target="https://www.xu.edu.ph/" TargetMode="External"/><Relationship Id="rId941" Type="http://schemas.openxmlformats.org/officeDocument/2006/relationships/hyperlink" Target="https://www.xu.edu.ph/" TargetMode="External"/><Relationship Id="rId940" Type="http://schemas.openxmlformats.org/officeDocument/2006/relationships/hyperlink" Target="https://global.ateneo.edu/partnerships/office-of-university-and-global-relations/internationalization-opportunities/student-mobility" TargetMode="External"/><Relationship Id="rId947" Type="http://schemas.openxmlformats.org/officeDocument/2006/relationships/hyperlink" Target="https://www.abo.fi/en/" TargetMode="External"/><Relationship Id="rId946" Type="http://schemas.openxmlformats.org/officeDocument/2006/relationships/hyperlink" Target="https://www.xu.edu.ph/" TargetMode="External"/><Relationship Id="rId945" Type="http://schemas.openxmlformats.org/officeDocument/2006/relationships/hyperlink" Target="https://www.xu.edu.ph/" TargetMode="External"/><Relationship Id="rId944" Type="http://schemas.openxmlformats.org/officeDocument/2006/relationships/hyperlink" Target="https://www.xu.edu.ph/" TargetMode="External"/><Relationship Id="rId1530" Type="http://schemas.openxmlformats.org/officeDocument/2006/relationships/hyperlink" Target="https://www.usj.edu/admissions/international-students/" TargetMode="External"/><Relationship Id="rId1531" Type="http://schemas.openxmlformats.org/officeDocument/2006/relationships/hyperlink" Target="https://en.ktu.edu/" TargetMode="External"/><Relationship Id="rId1521" Type="http://schemas.openxmlformats.org/officeDocument/2006/relationships/hyperlink" Target="https://apply.venta.lv/courses/course/21-incoming-exchange" TargetMode="External"/><Relationship Id="rId1522" Type="http://schemas.openxmlformats.org/officeDocument/2006/relationships/hyperlink" Target="https://www.venta.lv/en" TargetMode="External"/><Relationship Id="rId1523" Type="http://schemas.openxmlformats.org/officeDocument/2006/relationships/hyperlink" Target="https://apply.venta.lv/courses/course/21-incoming-exchange" TargetMode="External"/><Relationship Id="rId1524" Type="http://schemas.openxmlformats.org/officeDocument/2006/relationships/hyperlink" Target="https://apply.venta.lv/courses/course/21-incoming-exchange" TargetMode="External"/><Relationship Id="rId1525" Type="http://schemas.openxmlformats.org/officeDocument/2006/relationships/hyperlink" Target="https://tsi.lv/" TargetMode="External"/><Relationship Id="rId1526" Type="http://schemas.openxmlformats.org/officeDocument/2006/relationships/hyperlink" Target="https://tsi.lv/" TargetMode="External"/><Relationship Id="rId1527" Type="http://schemas.openxmlformats.org/officeDocument/2006/relationships/hyperlink" Target="https://tsi.lv/" TargetMode="External"/><Relationship Id="rId1528" Type="http://schemas.openxmlformats.org/officeDocument/2006/relationships/hyperlink" Target="https://www.sju.edu/" TargetMode="External"/><Relationship Id="rId1529" Type="http://schemas.openxmlformats.org/officeDocument/2006/relationships/hyperlink" Target="https://www.usj.edu/admissions/international-students/" TargetMode="External"/><Relationship Id="rId939" Type="http://schemas.openxmlformats.org/officeDocument/2006/relationships/hyperlink" Target="https://global.ateneo.edu/partnerships/office-of-university-and-global-relations/internationalization-opportunities/student-mobility" TargetMode="External"/><Relationship Id="rId938" Type="http://schemas.openxmlformats.org/officeDocument/2006/relationships/hyperlink" Target="https://www.ateneo.edu/" TargetMode="External"/><Relationship Id="rId937" Type="http://schemas.openxmlformats.org/officeDocument/2006/relationships/hyperlink" Target="https://global.ateneo.edu/partnerships/office-of-university-and-global-relations/internationalization-opportunities/student-mobility" TargetMode="External"/><Relationship Id="rId932" Type="http://schemas.openxmlformats.org/officeDocument/2006/relationships/hyperlink" Target="https://ut.ee/en" TargetMode="External"/><Relationship Id="rId931" Type="http://schemas.openxmlformats.org/officeDocument/2006/relationships/hyperlink" Target="https://ut.ee/en/english-language-requirements" TargetMode="External"/><Relationship Id="rId930" Type="http://schemas.openxmlformats.org/officeDocument/2006/relationships/hyperlink" Target="https://ut.ee/en/english-language-requirements" TargetMode="External"/><Relationship Id="rId936" Type="http://schemas.openxmlformats.org/officeDocument/2006/relationships/hyperlink" Target="https://global.ateneo.edu/partnerships/office-of-university-and-global-relations/internationalization-opportunities/student-mobility" TargetMode="External"/><Relationship Id="rId935" Type="http://schemas.openxmlformats.org/officeDocument/2006/relationships/hyperlink" Target="https://www.ateneo.edu/" TargetMode="External"/><Relationship Id="rId934" Type="http://schemas.openxmlformats.org/officeDocument/2006/relationships/hyperlink" Target="https://ut.ee/en/english-language-requirements" TargetMode="External"/><Relationship Id="rId933" Type="http://schemas.openxmlformats.org/officeDocument/2006/relationships/hyperlink" Target="https://ut.ee/en/english-language-requirements" TargetMode="External"/><Relationship Id="rId1520" Type="http://schemas.openxmlformats.org/officeDocument/2006/relationships/hyperlink" Target="https://apply.venta.lv/courses/course/21-incoming-exchange" TargetMode="External"/><Relationship Id="rId1554" Type="http://schemas.openxmlformats.org/officeDocument/2006/relationships/hyperlink" Target="https://vilniustech.lt/index.php?lang=2" TargetMode="External"/><Relationship Id="rId2401" Type="http://schemas.openxmlformats.org/officeDocument/2006/relationships/hyperlink" Target="https://tu.ac.th/en" TargetMode="External"/><Relationship Id="rId1555" Type="http://schemas.openxmlformats.org/officeDocument/2006/relationships/hyperlink" Target="https://vilniustech.lt/for-international-students/admission-20242025-------scholarships/admission-requirements-for-international-students/language-requirements/54069?lang=2" TargetMode="External"/><Relationship Id="rId2402" Type="http://schemas.openxmlformats.org/officeDocument/2006/relationships/hyperlink" Target="https://oia.tu.ac.th/index.php?option=com_content&amp;view=article&amp;id=600&amp;Itemid=381" TargetMode="External"/><Relationship Id="rId1556" Type="http://schemas.openxmlformats.org/officeDocument/2006/relationships/hyperlink" Target="https://vilniustech.lt/index.php?lang=2" TargetMode="External"/><Relationship Id="rId2403" Type="http://schemas.openxmlformats.org/officeDocument/2006/relationships/hyperlink" Target="https://oia.tu.ac.th/index.php?option=com_content&amp;view=article&amp;id=600&amp;Itemid=381" TargetMode="External"/><Relationship Id="rId1557" Type="http://schemas.openxmlformats.org/officeDocument/2006/relationships/hyperlink" Target="https://vilniustech.lt/for-international-students/admission-20242025-------scholarships/admission-requirements-for-international-students/language-requirements/54069?lang=2" TargetMode="External"/><Relationship Id="rId2404" Type="http://schemas.openxmlformats.org/officeDocument/2006/relationships/hyperlink" Target="https://www.fju.edu.tw/indexEN.jsp" TargetMode="External"/><Relationship Id="rId1558" Type="http://schemas.openxmlformats.org/officeDocument/2006/relationships/hyperlink" Target="https://www.viko.lt/" TargetMode="External"/><Relationship Id="rId2405" Type="http://schemas.openxmlformats.org/officeDocument/2006/relationships/hyperlink" Target="http://isc.oie.fju.edu.tw/index.jsp" TargetMode="External"/><Relationship Id="rId1559" Type="http://schemas.openxmlformats.org/officeDocument/2006/relationships/hyperlink" Target="https://en.viko.lt/for-students/admission-requirements/" TargetMode="External"/><Relationship Id="rId2406" Type="http://schemas.openxmlformats.org/officeDocument/2006/relationships/hyperlink" Target="http://isc.oie.fju.edu.tw/index.jsp" TargetMode="External"/><Relationship Id="rId2407" Type="http://schemas.openxmlformats.org/officeDocument/2006/relationships/hyperlink" Target="https://www.fju.edu.tw/indexEN.jsp" TargetMode="External"/><Relationship Id="rId2408" Type="http://schemas.openxmlformats.org/officeDocument/2006/relationships/hyperlink" Target="http://isc.oie.fju.edu.tw/index.jsp" TargetMode="External"/><Relationship Id="rId2409" Type="http://schemas.openxmlformats.org/officeDocument/2006/relationships/hyperlink" Target="http://isc.oie.fju.edu.tw/index.jsp" TargetMode="External"/><Relationship Id="rId965" Type="http://schemas.openxmlformats.org/officeDocument/2006/relationships/hyperlink" Target="https://www.oulu.fi/en" TargetMode="External"/><Relationship Id="rId964" Type="http://schemas.openxmlformats.org/officeDocument/2006/relationships/hyperlink" Target="https://studies.helsinki.fi/instructions/article/how-apply-exchange-student" TargetMode="External"/><Relationship Id="rId963" Type="http://schemas.openxmlformats.org/officeDocument/2006/relationships/hyperlink" Target="https://studies.helsinki.fi/instructions/article/how-apply-exchange-student" TargetMode="External"/><Relationship Id="rId962" Type="http://schemas.openxmlformats.org/officeDocument/2006/relationships/hyperlink" Target="https://www.helsinki.fi/en" TargetMode="External"/><Relationship Id="rId969" Type="http://schemas.openxmlformats.org/officeDocument/2006/relationships/hyperlink" Target="https://www.oulu.fi/en/for-students/incoming-student-exchange" TargetMode="External"/><Relationship Id="rId968" Type="http://schemas.openxmlformats.org/officeDocument/2006/relationships/hyperlink" Target="https://www.oulu.fi/en" TargetMode="External"/><Relationship Id="rId967" Type="http://schemas.openxmlformats.org/officeDocument/2006/relationships/hyperlink" Target="https://www.oulu.fi/en/for-students/incoming-student-exchange" TargetMode="External"/><Relationship Id="rId966" Type="http://schemas.openxmlformats.org/officeDocument/2006/relationships/hyperlink" Target="https://www.oulu.fi/en/for-students/incoming-student-exchange" TargetMode="External"/><Relationship Id="rId961" Type="http://schemas.openxmlformats.org/officeDocument/2006/relationships/hyperlink" Target="https://www.lut.fi/en/studies/apply-lut/applying-exchange-studies" TargetMode="External"/><Relationship Id="rId1550" Type="http://schemas.openxmlformats.org/officeDocument/2006/relationships/hyperlink" Target="https://www.smk.lt/en/" TargetMode="External"/><Relationship Id="rId960" Type="http://schemas.openxmlformats.org/officeDocument/2006/relationships/hyperlink" Target="https://www.lut.fi/en/studies/apply-lut/applying-exchange-studies" TargetMode="External"/><Relationship Id="rId1551" Type="http://schemas.openxmlformats.org/officeDocument/2006/relationships/hyperlink" Target="https://www.smk.lt/en/erasmus/" TargetMode="External"/><Relationship Id="rId1552" Type="http://schemas.openxmlformats.org/officeDocument/2006/relationships/hyperlink" Target="https://www.vu.lt/" TargetMode="External"/><Relationship Id="rId1553" Type="http://schemas.openxmlformats.org/officeDocument/2006/relationships/hyperlink" Target="https://www.vu.lt/en/studies/exchange-students/how-to-apply" TargetMode="External"/><Relationship Id="rId2400" Type="http://schemas.openxmlformats.org/officeDocument/2006/relationships/hyperlink" Target="https://oia.tu.ac.th/index.php?option=com_content&amp;view=article&amp;id=600&amp;Itemid=381" TargetMode="External"/><Relationship Id="rId1543" Type="http://schemas.openxmlformats.org/officeDocument/2006/relationships/hyperlink" Target="https://www.kvk.lt/en/" TargetMode="External"/><Relationship Id="rId1544" Type="http://schemas.openxmlformats.org/officeDocument/2006/relationships/hyperlink" Target="https://www.kvk.lt/en/degree-studies/admission/" TargetMode="External"/><Relationship Id="rId1545" Type="http://schemas.openxmlformats.org/officeDocument/2006/relationships/hyperlink" Target="https://www.kvk.lt/en/degree-studies/admission/" TargetMode="External"/><Relationship Id="rId1546" Type="http://schemas.openxmlformats.org/officeDocument/2006/relationships/hyperlink" Target="https://www.smk.lt/en/erasmus/" TargetMode="External"/><Relationship Id="rId1547" Type="http://schemas.openxmlformats.org/officeDocument/2006/relationships/hyperlink" Target="https://www.smk.lt/en/erasmus/" TargetMode="External"/><Relationship Id="rId1548" Type="http://schemas.openxmlformats.org/officeDocument/2006/relationships/hyperlink" Target="https://www.smk.lt/en/" TargetMode="External"/><Relationship Id="rId1549" Type="http://schemas.openxmlformats.org/officeDocument/2006/relationships/hyperlink" Target="https://www.smk.lt/en/erasmus/" TargetMode="External"/><Relationship Id="rId959" Type="http://schemas.openxmlformats.org/officeDocument/2006/relationships/hyperlink" Target="https://www.lut.fi/en" TargetMode="External"/><Relationship Id="rId954" Type="http://schemas.openxmlformats.org/officeDocument/2006/relationships/hyperlink" Target="https://www.karelia.fi/en/new-students/exchange-students/" TargetMode="External"/><Relationship Id="rId953" Type="http://schemas.openxmlformats.org/officeDocument/2006/relationships/hyperlink" Target="https://www.karelia.fi/en/front-page/" TargetMode="External"/><Relationship Id="rId952" Type="http://schemas.openxmlformats.org/officeDocument/2006/relationships/hyperlink" Target="https://www.haaga-helia.fi/en/how-apply-student-exchange-haaga-helia" TargetMode="External"/><Relationship Id="rId951" Type="http://schemas.openxmlformats.org/officeDocument/2006/relationships/hyperlink" Target="https://www.haaga-helia.fi/en/how-apply-student-exchange-haaga-helia" TargetMode="External"/><Relationship Id="rId958" Type="http://schemas.openxmlformats.org/officeDocument/2006/relationships/hyperlink" Target="https://www.lut.fi/en/studies/apply-lut/applying-exchange-studies" TargetMode="External"/><Relationship Id="rId957" Type="http://schemas.openxmlformats.org/officeDocument/2006/relationships/hyperlink" Target="https://www.lut.fi/en/studies/apply-lut/applying-exchange-studies" TargetMode="External"/><Relationship Id="rId956" Type="http://schemas.openxmlformats.org/officeDocument/2006/relationships/hyperlink" Target="https://www.lut.fi/en" TargetMode="External"/><Relationship Id="rId955" Type="http://schemas.openxmlformats.org/officeDocument/2006/relationships/hyperlink" Target="https://www.karelia.fi/en/new-students/exchange-students/" TargetMode="External"/><Relationship Id="rId950" Type="http://schemas.openxmlformats.org/officeDocument/2006/relationships/hyperlink" Target="https://www.haaga-helia.fi/en" TargetMode="External"/><Relationship Id="rId1540" Type="http://schemas.openxmlformats.org/officeDocument/2006/relationships/hyperlink" Target="https://www.kvk.lt/en/" TargetMode="External"/><Relationship Id="rId1541" Type="http://schemas.openxmlformats.org/officeDocument/2006/relationships/hyperlink" Target="https://www.kvk.lt/en/degree-studies/admission/" TargetMode="External"/><Relationship Id="rId1542" Type="http://schemas.openxmlformats.org/officeDocument/2006/relationships/hyperlink" Target="https://www.kvk.lt/en/degree-studies/admission/" TargetMode="External"/><Relationship Id="rId2027" Type="http://schemas.openxmlformats.org/officeDocument/2006/relationships/hyperlink" Target="https://content.usi.ch/sites/default/files/storage/attachments/relint/relint-factsheet-catolica-portuguesa-lisbona.pdf" TargetMode="External"/><Relationship Id="rId2028" Type="http://schemas.openxmlformats.org/officeDocument/2006/relationships/hyperlink" Target="https://content.usi.ch/sites/default/files/storage/attachments/relint/relint-factsheet-catolica-portuguesa-lisbona.pdf" TargetMode="External"/><Relationship Id="rId2029" Type="http://schemas.openxmlformats.org/officeDocument/2006/relationships/hyperlink" Target="https://www.ucp.pt/pt-pt" TargetMode="External"/><Relationship Id="rId590" Type="http://schemas.openxmlformats.org/officeDocument/2006/relationships/hyperlink" Target="https://www.upf.edu/documents/105229234/121124620/China+University+of+Political+Science+and+Law/9e92e253-c473-0e19-c0e1-fadeca97942a" TargetMode="External"/><Relationship Id="rId107" Type="http://schemas.openxmlformats.org/officeDocument/2006/relationships/hyperlink" Target="https://studium.ruhr-uni-bochum.de/en/application-international-prospective-students" TargetMode="External"/><Relationship Id="rId106" Type="http://schemas.openxmlformats.org/officeDocument/2006/relationships/hyperlink" Target="https://studium.ruhr-uni-bochum.de/en/application-international-prospective-students" TargetMode="External"/><Relationship Id="rId105" Type="http://schemas.openxmlformats.org/officeDocument/2006/relationships/hyperlink" Target="http://www.ruhr-uni-bochum.de/" TargetMode="External"/><Relationship Id="rId589" Type="http://schemas.openxmlformats.org/officeDocument/2006/relationships/hyperlink" Target="https://www.upf.edu/documents/105229234/121124620/China+University+of+Political+Science+and+Law/9e92e253-c473-0e19-c0e1-fadeca97942a" TargetMode="External"/><Relationship Id="rId104" Type="http://schemas.openxmlformats.org/officeDocument/2006/relationships/hyperlink" Target="https://studium.ruhr-uni-bochum.de/en/application-international-prospective-students" TargetMode="External"/><Relationship Id="rId588" Type="http://schemas.openxmlformats.org/officeDocument/2006/relationships/hyperlink" Target="http://en.cupl.edu.cn/" TargetMode="External"/><Relationship Id="rId109" Type="http://schemas.openxmlformats.org/officeDocument/2006/relationships/hyperlink" Target="https://studium.ruhr-uni-bochum.de/en/application-international-prospective-students" TargetMode="External"/><Relationship Id="rId1170" Type="http://schemas.openxmlformats.org/officeDocument/2006/relationships/hyperlink" Target="https://erasmus.upatras.gr/sites/default/files/agreements/iia_s_uppsala01.pdf" TargetMode="External"/><Relationship Id="rId108" Type="http://schemas.openxmlformats.org/officeDocument/2006/relationships/hyperlink" Target="http://www.ruhr-uni-bochum.de/" TargetMode="External"/><Relationship Id="rId1171" Type="http://schemas.openxmlformats.org/officeDocument/2006/relationships/hyperlink" Target="https://www.upatras.gr/en/" TargetMode="External"/><Relationship Id="rId583" Type="http://schemas.openxmlformats.org/officeDocument/2006/relationships/hyperlink" Target="https://usm.cl/" TargetMode="External"/><Relationship Id="rId1172" Type="http://schemas.openxmlformats.org/officeDocument/2006/relationships/hyperlink" Target="https://erasmus.upatras.gr/sites/default/files/agreements/iia_s_uppsala01.pdf" TargetMode="External"/><Relationship Id="rId582" Type="http://schemas.openxmlformats.org/officeDocument/2006/relationships/hyperlink" Target="http://n/a" TargetMode="External"/><Relationship Id="rId1173" Type="http://schemas.openxmlformats.org/officeDocument/2006/relationships/hyperlink" Target="https://erasmus.upatras.gr/sites/default/files/agreements/iia_s_uppsala01.pdf" TargetMode="External"/><Relationship Id="rId2020" Type="http://schemas.openxmlformats.org/officeDocument/2006/relationships/hyperlink" Target="https://www.uatlantica.pt/" TargetMode="External"/><Relationship Id="rId581" Type="http://schemas.openxmlformats.org/officeDocument/2006/relationships/hyperlink" Target="https://www.umayor.cl/" TargetMode="External"/><Relationship Id="rId1174" Type="http://schemas.openxmlformats.org/officeDocument/2006/relationships/hyperlink" Target="https://studyingreece.edu.gr/universities/uop/" TargetMode="External"/><Relationship Id="rId2021" Type="http://schemas.openxmlformats.org/officeDocument/2006/relationships/hyperlink" Target="https://www.uatlantica.pt/erasmus/" TargetMode="External"/><Relationship Id="rId580" Type="http://schemas.openxmlformats.org/officeDocument/2006/relationships/hyperlink" Target="http://n/a" TargetMode="External"/><Relationship Id="rId1175" Type="http://schemas.openxmlformats.org/officeDocument/2006/relationships/hyperlink" Target="https://erasmus.uop.gr/index.php/19-erasmus/content/236-language-support" TargetMode="External"/><Relationship Id="rId2022" Type="http://schemas.openxmlformats.org/officeDocument/2006/relationships/hyperlink" Target="https://www.uatlantica.pt/erasmus/" TargetMode="External"/><Relationship Id="rId103" Type="http://schemas.openxmlformats.org/officeDocument/2006/relationships/hyperlink" Target="https://studium.ruhr-uni-bochum.de/en/application-international-prospective-students" TargetMode="External"/><Relationship Id="rId587" Type="http://schemas.openxmlformats.org/officeDocument/2006/relationships/hyperlink" Target="https://www.upf.edu/documents/105229234/121124620/China+University+of+Political+Science+and+Law/9e92e253-c473-0e19-c0e1-fadeca97942a" TargetMode="External"/><Relationship Id="rId1176" Type="http://schemas.openxmlformats.org/officeDocument/2006/relationships/hyperlink" Target="https://erasmus.uop.gr/index.php/19-erasmus/content/236-language-support" TargetMode="External"/><Relationship Id="rId2023" Type="http://schemas.openxmlformats.org/officeDocument/2006/relationships/hyperlink" Target="https://www.ucp.pt/" TargetMode="External"/><Relationship Id="rId102" Type="http://schemas.openxmlformats.org/officeDocument/2006/relationships/hyperlink" Target="http://www.ruhr-uni-bochum.de/" TargetMode="External"/><Relationship Id="rId586" Type="http://schemas.openxmlformats.org/officeDocument/2006/relationships/hyperlink" Target="https://www.upf.edu/documents/105229234/121124620/China+University+of+Political+Science+and+Law/9e92e253-c473-0e19-c0e1-fadeca97942a" TargetMode="External"/><Relationship Id="rId1177" Type="http://schemas.openxmlformats.org/officeDocument/2006/relationships/hyperlink" Target="https://principal.url.edu.gt/" TargetMode="External"/><Relationship Id="rId2024" Type="http://schemas.openxmlformats.org/officeDocument/2006/relationships/hyperlink" Target="https://content.usi.ch/sites/default/files/storage/attachments/relint/relint-factsheet-catolica-portuguesa-lisbona.pdf" TargetMode="External"/><Relationship Id="rId101" Type="http://schemas.openxmlformats.org/officeDocument/2006/relationships/hyperlink" Target="https://eurep.auth.gr/sites/default/files/fact_sheets/D%20BAMBERG01_Factsheet_2022-2023.pdf" TargetMode="External"/><Relationship Id="rId585" Type="http://schemas.openxmlformats.org/officeDocument/2006/relationships/hyperlink" Target="http://en.cupl.edu.cn/" TargetMode="External"/><Relationship Id="rId1178" Type="http://schemas.openxmlformats.org/officeDocument/2006/relationships/hyperlink" Target="https://principal.url.edu.gt/acerca-de/servicios/cooperacion-academica-e-intercambios-estudiantiles/programa-de-intercambio-para-estudiantes-extranjeros/" TargetMode="External"/><Relationship Id="rId2025" Type="http://schemas.openxmlformats.org/officeDocument/2006/relationships/hyperlink" Target="https://content.usi.ch/sites/default/files/storage/attachments/relint/relint-factsheet-catolica-portuguesa-lisbona.pdf" TargetMode="External"/><Relationship Id="rId100" Type="http://schemas.openxmlformats.org/officeDocument/2006/relationships/hyperlink" Target="https://eurep.auth.gr/sites/default/files/fact_sheets/D%20BAMBERG01_Factsheet_2022-2023.pdf" TargetMode="External"/><Relationship Id="rId584" Type="http://schemas.openxmlformats.org/officeDocument/2006/relationships/hyperlink" Target="http://n/a" TargetMode="External"/><Relationship Id="rId1179" Type="http://schemas.openxmlformats.org/officeDocument/2006/relationships/hyperlink" Target="https://principal.url.edu.gt/acerca-de/servicios/cooperacion-academica-e-intercambios-estudiantiles/programa-de-intercambio-para-estudiantes-extranjeros/" TargetMode="External"/><Relationship Id="rId2026" Type="http://schemas.openxmlformats.org/officeDocument/2006/relationships/hyperlink" Target="https://www.ucp.pt/pt-pt" TargetMode="External"/><Relationship Id="rId1169" Type="http://schemas.openxmlformats.org/officeDocument/2006/relationships/hyperlink" Target="https://erasmus.upatras.gr/sites/default/files/agreements/iia_s_uppsala01.pdf" TargetMode="External"/><Relationship Id="rId2016" Type="http://schemas.openxmlformats.org/officeDocument/2006/relationships/hyperlink" Target="https://www.isep.ipp.pt/Page/ViewPage/MOBILITYSTUDENTSAPPLICATIONPROCEDURES" TargetMode="External"/><Relationship Id="rId2017" Type="http://schemas.openxmlformats.org/officeDocument/2006/relationships/hyperlink" Target="https://www.isep.ipp.pt/" TargetMode="External"/><Relationship Id="rId2018" Type="http://schemas.openxmlformats.org/officeDocument/2006/relationships/hyperlink" Target="https://www.isep.ipp.pt/Page/ViewPage/MOBILITYSTUDENTSAPPLICATIONPROCEDURES" TargetMode="External"/><Relationship Id="rId2019" Type="http://schemas.openxmlformats.org/officeDocument/2006/relationships/hyperlink" Target="https://www.isep.ipp.pt/Page/ViewPage/MOBILITYSTUDENTSAPPLICATIONPROCEDURES" TargetMode="External"/><Relationship Id="rId579" Type="http://schemas.openxmlformats.org/officeDocument/2006/relationships/hyperlink" Target="https://www.umayor.cl/" TargetMode="External"/><Relationship Id="rId578" Type="http://schemas.openxmlformats.org/officeDocument/2006/relationships/hyperlink" Target="https://rrii.umayor.cl/estudiantes-extranjeros" TargetMode="External"/><Relationship Id="rId577" Type="http://schemas.openxmlformats.org/officeDocument/2006/relationships/hyperlink" Target="https://rrii.umayor.cl/estudiantes-extranjeros" TargetMode="External"/><Relationship Id="rId2490" Type="http://schemas.openxmlformats.org/officeDocument/2006/relationships/hyperlink" Target="https://oip.ku.edu.tr/mobility-programs/incoming/students/erasmus-study/" TargetMode="External"/><Relationship Id="rId1160" Type="http://schemas.openxmlformats.org/officeDocument/2006/relationships/hyperlink" Target="https://erasmus.aegean.gr/en" TargetMode="External"/><Relationship Id="rId2491" Type="http://schemas.openxmlformats.org/officeDocument/2006/relationships/hyperlink" Target="https://www.ku.edu.tr/" TargetMode="External"/><Relationship Id="rId572" Type="http://schemas.openxmlformats.org/officeDocument/2006/relationships/hyperlink" Target="https://www.utalca.cl/" TargetMode="External"/><Relationship Id="rId1161" Type="http://schemas.openxmlformats.org/officeDocument/2006/relationships/hyperlink" Target="https://erasmus.aegean.gr/en" TargetMode="External"/><Relationship Id="rId2492" Type="http://schemas.openxmlformats.org/officeDocument/2006/relationships/hyperlink" Target="https://oip.ku.edu.tr/mobility-programs/incoming/students/erasmus-study/" TargetMode="External"/><Relationship Id="rId571" Type="http://schemas.openxmlformats.org/officeDocument/2006/relationships/hyperlink" Target="https://www.uniandes.edu.co/es/vida-universitaria" TargetMode="External"/><Relationship Id="rId1162" Type="http://schemas.openxmlformats.org/officeDocument/2006/relationships/hyperlink" Target="https://en.uoc.gr/" TargetMode="External"/><Relationship Id="rId2493" Type="http://schemas.openxmlformats.org/officeDocument/2006/relationships/hyperlink" Target="https://oip.ku.edu.tr/mobility-programs/incoming/students/erasmus-study/" TargetMode="External"/><Relationship Id="rId570" Type="http://schemas.openxmlformats.org/officeDocument/2006/relationships/hyperlink" Target="https://www.uniandes.edu.co/es/vida-universitaria" TargetMode="External"/><Relationship Id="rId1163" Type="http://schemas.openxmlformats.org/officeDocument/2006/relationships/hyperlink" Target="https://www.uoc.gr/intrel/en/students-en/erasmus-and-exchange-students" TargetMode="External"/><Relationship Id="rId2010" Type="http://schemas.openxmlformats.org/officeDocument/2006/relationships/hyperlink" Target="https://www.ipp.pt/education/schools/ese?set_language=en" TargetMode="External"/><Relationship Id="rId2494" Type="http://schemas.openxmlformats.org/officeDocument/2006/relationships/hyperlink" Target="https://www.metu.edu.tr/" TargetMode="External"/><Relationship Id="rId1164" Type="http://schemas.openxmlformats.org/officeDocument/2006/relationships/hyperlink" Target="https://www.uoc.gr/intrel/en/students-en/erasmus-and-exchange-students" TargetMode="External"/><Relationship Id="rId2011" Type="http://schemas.openxmlformats.org/officeDocument/2006/relationships/hyperlink" Target="https://www.esmad.ipp.pt/" TargetMode="External"/><Relationship Id="rId2495" Type="http://schemas.openxmlformats.org/officeDocument/2006/relationships/hyperlink" Target="https://iso.metu.edu.tr/en/english-proficiency" TargetMode="External"/><Relationship Id="rId576" Type="http://schemas.openxmlformats.org/officeDocument/2006/relationships/hyperlink" Target="https://www.umayor.cl/" TargetMode="External"/><Relationship Id="rId1165" Type="http://schemas.openxmlformats.org/officeDocument/2006/relationships/hyperlink" Target="https://www.uom.gr/en" TargetMode="External"/><Relationship Id="rId2012" Type="http://schemas.openxmlformats.org/officeDocument/2006/relationships/hyperlink" Target="https://www.ipp.pt/international/support-to-internationalisation?set_language=en" TargetMode="External"/><Relationship Id="rId2496" Type="http://schemas.openxmlformats.org/officeDocument/2006/relationships/hyperlink" Target="https://iso.metu.edu.tr/en/english-proficiency" TargetMode="External"/><Relationship Id="rId575" Type="http://schemas.openxmlformats.org/officeDocument/2006/relationships/hyperlink" Target="http://n/a" TargetMode="External"/><Relationship Id="rId1166" Type="http://schemas.openxmlformats.org/officeDocument/2006/relationships/hyperlink" Target="https://www.uom.gr/assets/site/public/nodes/5260/21515-Fact_Sheet_UoM.pdf" TargetMode="External"/><Relationship Id="rId2013" Type="http://schemas.openxmlformats.org/officeDocument/2006/relationships/hyperlink" Target="https://www.ipp.pt/international/support-to-internationalisation?set_language=en" TargetMode="External"/><Relationship Id="rId2497" Type="http://schemas.openxmlformats.org/officeDocument/2006/relationships/hyperlink" Target="https://www.metu.edu.tr/" TargetMode="External"/><Relationship Id="rId574" Type="http://schemas.openxmlformats.org/officeDocument/2006/relationships/hyperlink" Target="https://www.umayor.cl/" TargetMode="External"/><Relationship Id="rId1167" Type="http://schemas.openxmlformats.org/officeDocument/2006/relationships/hyperlink" Target="https://www.uom.gr/assets/site/public/nodes/5260/21515-Fact_Sheet_UoM.pdf" TargetMode="External"/><Relationship Id="rId2014" Type="http://schemas.openxmlformats.org/officeDocument/2006/relationships/hyperlink" Target="https://www.isep.ipp.pt/" TargetMode="External"/><Relationship Id="rId2498" Type="http://schemas.openxmlformats.org/officeDocument/2006/relationships/hyperlink" Target="https://iso.metu.edu.tr/en/english-proficiency" TargetMode="External"/><Relationship Id="rId573" Type="http://schemas.openxmlformats.org/officeDocument/2006/relationships/hyperlink" Target="http://n/a" TargetMode="External"/><Relationship Id="rId1168" Type="http://schemas.openxmlformats.org/officeDocument/2006/relationships/hyperlink" Target="https://www.upatras.gr/en/" TargetMode="External"/><Relationship Id="rId2015" Type="http://schemas.openxmlformats.org/officeDocument/2006/relationships/hyperlink" Target="https://www.isep.ipp.pt/Page/ViewPage/MOBILITYSTUDENTSAPPLICATIONPROCEDURES" TargetMode="External"/><Relationship Id="rId2499" Type="http://schemas.openxmlformats.org/officeDocument/2006/relationships/hyperlink" Target="https://iso.metu.edu.tr/en/english-proficiency" TargetMode="External"/><Relationship Id="rId2049" Type="http://schemas.openxmlformats.org/officeDocument/2006/relationships/hyperlink" Target="https://www.ubi.pt/ficheiros/entidades/gisp/guia_ingles_13_14.pdf" TargetMode="External"/><Relationship Id="rId129" Type="http://schemas.openxmlformats.org/officeDocument/2006/relationships/hyperlink" Target="https://www.uni-bielefeld.de/" TargetMode="External"/><Relationship Id="rId128" Type="http://schemas.openxmlformats.org/officeDocument/2006/relationships/hyperlink" Target="https://www.uni-bielefeld.de/international/come-in/studium/studium-mit-abschluss/sprachkenntnisse/2023-07-21_Sprachrichtlinien_EN.pdf" TargetMode="External"/><Relationship Id="rId127" Type="http://schemas.openxmlformats.org/officeDocument/2006/relationships/hyperlink" Target="https://www.uni-bielefeld.de/international/come-in/studium/studium-mit-abschluss/sprachkenntnisse/2023-07-21_Sprachrichtlinien_EN.pdf" TargetMode="External"/><Relationship Id="rId126" Type="http://schemas.openxmlformats.org/officeDocument/2006/relationships/hyperlink" Target="https://www.uni-bielefeld.de/" TargetMode="External"/><Relationship Id="rId1190" Type="http://schemas.openxmlformats.org/officeDocument/2006/relationships/hyperlink" Target="https://intl.hkbu.edu.hk/student-exchange/incoming-students/preparing-for-your-exchange-at-hkbu/eligibility" TargetMode="External"/><Relationship Id="rId1191" Type="http://schemas.openxmlformats.org/officeDocument/2006/relationships/hyperlink" Target="https://intl.hkbu.edu.hk/student-exchange/incoming-students/preparing-for-your-exchange-at-hkbu/eligibility" TargetMode="External"/><Relationship Id="rId1192" Type="http://schemas.openxmlformats.org/officeDocument/2006/relationships/hyperlink" Target="https://www.hkbu.edu.hk/" TargetMode="External"/><Relationship Id="rId1193" Type="http://schemas.openxmlformats.org/officeDocument/2006/relationships/hyperlink" Target="https://intl.hkbu.edu.hk/student-exchange/incoming-students/preparing-for-your-exchange-at-hkbu/eligibility" TargetMode="External"/><Relationship Id="rId2040" Type="http://schemas.openxmlformats.org/officeDocument/2006/relationships/hyperlink" Target="https://www.ua.pt/pt/erasmusplus/tratar" TargetMode="External"/><Relationship Id="rId121" Type="http://schemas.openxmlformats.org/officeDocument/2006/relationships/hyperlink" Target="https://international.hit-u.ac.jp/hp-international/wp-content/uploads/2024/03/10202_Heidelberg-Infosheet-2024-25.pdf" TargetMode="External"/><Relationship Id="rId1194" Type="http://schemas.openxmlformats.org/officeDocument/2006/relationships/hyperlink" Target="https://intl.hkbu.edu.hk/student-exchange/incoming-students/preparing-for-your-exchange-at-hkbu/eligibility" TargetMode="External"/><Relationship Id="rId2041" Type="http://schemas.openxmlformats.org/officeDocument/2006/relationships/hyperlink" Target="https://www.ua.pt/" TargetMode="External"/><Relationship Id="rId120" Type="http://schemas.openxmlformats.org/officeDocument/2006/relationships/hyperlink" Target="https://www.uni-heidelberg.de/de" TargetMode="External"/><Relationship Id="rId1195" Type="http://schemas.openxmlformats.org/officeDocument/2006/relationships/hyperlink" Target="https://www.bme.hu/?language=en" TargetMode="External"/><Relationship Id="rId2042" Type="http://schemas.openxmlformats.org/officeDocument/2006/relationships/hyperlink" Target="https://www.ua.pt/pt/erasmusplus/tratar" TargetMode="External"/><Relationship Id="rId1196" Type="http://schemas.openxmlformats.org/officeDocument/2006/relationships/hyperlink" Target="https://kth.bme.hu/en/for-students/exchange-and-semester-abroad-students/erasmus_and_other_exchange/" TargetMode="External"/><Relationship Id="rId2043" Type="http://schemas.openxmlformats.org/officeDocument/2006/relationships/hyperlink" Target="https://www.ua.pt/pt/erasmusplus/tratar" TargetMode="External"/><Relationship Id="rId1197" Type="http://schemas.openxmlformats.org/officeDocument/2006/relationships/hyperlink" Target="https://kth.bme.hu/en/for-students/exchange-and-semester-abroad-students/erasmus_and_other_exchange/" TargetMode="External"/><Relationship Id="rId2044" Type="http://schemas.openxmlformats.org/officeDocument/2006/relationships/hyperlink" Target="https://www.ua.pt/" TargetMode="External"/><Relationship Id="rId125" Type="http://schemas.openxmlformats.org/officeDocument/2006/relationships/hyperlink" Target="https://www.th-koeln.de/en/international_office/information-for-exchange-students_55834.php" TargetMode="External"/><Relationship Id="rId1198" Type="http://schemas.openxmlformats.org/officeDocument/2006/relationships/hyperlink" Target="https://www.uni-corvinus.hu/?lang=en" TargetMode="External"/><Relationship Id="rId2045" Type="http://schemas.openxmlformats.org/officeDocument/2006/relationships/hyperlink" Target="https://www.ua.pt/pt/erasmusplus/tratar" TargetMode="External"/><Relationship Id="rId124" Type="http://schemas.openxmlformats.org/officeDocument/2006/relationships/hyperlink" Target="https://www.th-koeln.de/en/international_office/information-for-exchange-students_55834.php" TargetMode="External"/><Relationship Id="rId1199" Type="http://schemas.openxmlformats.org/officeDocument/2006/relationships/hyperlink" Target="https://www.uni-corvinus.hu/main-page/hello-corvinus/how-to-apply/ba-and-bsc-programs-application-informations/?lang=en" TargetMode="External"/><Relationship Id="rId2046" Type="http://schemas.openxmlformats.org/officeDocument/2006/relationships/hyperlink" Target="https://www.ua.pt/pt/erasmusplus/tratar" TargetMode="External"/><Relationship Id="rId123" Type="http://schemas.openxmlformats.org/officeDocument/2006/relationships/hyperlink" Target="https://www.th-koeln.de/en/homepage_26.php" TargetMode="External"/><Relationship Id="rId2047" Type="http://schemas.openxmlformats.org/officeDocument/2006/relationships/hyperlink" Target="https://www.ubi.pt/" TargetMode="External"/><Relationship Id="rId122" Type="http://schemas.openxmlformats.org/officeDocument/2006/relationships/hyperlink" Target="https://international.hit-u.ac.jp/hp-international/wp-content/uploads/2024/03/10202_Heidelberg-Infosheet-2024-25.pdf" TargetMode="External"/><Relationship Id="rId2048" Type="http://schemas.openxmlformats.org/officeDocument/2006/relationships/hyperlink" Target="https://www.ubi.pt/ficheiros/entidades/gisp/guia_ingles_13_14.pdf" TargetMode="External"/><Relationship Id="rId2038" Type="http://schemas.openxmlformats.org/officeDocument/2006/relationships/hyperlink" Target="https://www.ua.pt/" TargetMode="External"/><Relationship Id="rId2039" Type="http://schemas.openxmlformats.org/officeDocument/2006/relationships/hyperlink" Target="https://www.ua.pt/pt/erasmusplus/tratar" TargetMode="External"/><Relationship Id="rId118" Type="http://schemas.openxmlformats.org/officeDocument/2006/relationships/hyperlink" Target="https://international.hit-u.ac.jp/hp-international/wp-content/uploads/2024/03/10202_Heidelberg-Infosheet-2024-25.pdf" TargetMode="External"/><Relationship Id="rId117" Type="http://schemas.openxmlformats.org/officeDocument/2006/relationships/hyperlink" Target="https://www.uni-heidelberg.de/de" TargetMode="External"/><Relationship Id="rId116" Type="http://schemas.openxmlformats.org/officeDocument/2006/relationships/hyperlink" Target="https://international.hit-u.ac.jp/hp-international/wp-content/uploads/2024/03/10202_Heidelberg-Infosheet-2024-25.pdf" TargetMode="External"/><Relationship Id="rId115" Type="http://schemas.openxmlformats.org/officeDocument/2006/relationships/hyperlink" Target="https://international.hit-u.ac.jp/hp-international/wp-content/uploads/2024/03/10202_Heidelberg-Infosheet-2024-25.pdf" TargetMode="External"/><Relationship Id="rId599" Type="http://schemas.openxmlformats.org/officeDocument/2006/relationships/hyperlink" Target="https://www.nottingham.ac.uk/studywithus/international-applicants/index.aspx" TargetMode="External"/><Relationship Id="rId1180" Type="http://schemas.openxmlformats.org/officeDocument/2006/relationships/hyperlink" Target="https://principal.url.edu.gt/" TargetMode="External"/><Relationship Id="rId1181" Type="http://schemas.openxmlformats.org/officeDocument/2006/relationships/hyperlink" Target="https://principal.url.edu.gt/acerca-de/servicios/cooperacion-academica-e-intercambios-estudiantiles/programa-de-intercambio-para-estudiantes-extranjeros/" TargetMode="External"/><Relationship Id="rId119" Type="http://schemas.openxmlformats.org/officeDocument/2006/relationships/hyperlink" Target="https://international.hit-u.ac.jp/hp-international/wp-content/uploads/2024/03/10202_Heidelberg-Infosheet-2024-25.pdf" TargetMode="External"/><Relationship Id="rId1182" Type="http://schemas.openxmlformats.org/officeDocument/2006/relationships/hyperlink" Target="https://principal.url.edu.gt/acerca-de/servicios/cooperacion-academica-e-intercambios-estudiantiles/programa-de-intercambio-para-estudiantes-extranjeros/" TargetMode="External"/><Relationship Id="rId110" Type="http://schemas.openxmlformats.org/officeDocument/2006/relationships/hyperlink" Target="https://studium.ruhr-uni-bochum.de/en/application-international-prospective-students" TargetMode="External"/><Relationship Id="rId594" Type="http://schemas.openxmlformats.org/officeDocument/2006/relationships/hyperlink" Target="https://english.sufe.edu.cn/" TargetMode="External"/><Relationship Id="rId1183" Type="http://schemas.openxmlformats.org/officeDocument/2006/relationships/hyperlink" Target="https://www.hkbu.edu.hk/" TargetMode="External"/><Relationship Id="rId2030" Type="http://schemas.openxmlformats.org/officeDocument/2006/relationships/hyperlink" Target="https://content.usi.ch/sites/default/files/storage/attachments/relint/relint-factsheet-catolica-portuguesa-lisbona.pdf" TargetMode="External"/><Relationship Id="rId593" Type="http://schemas.openxmlformats.org/officeDocument/2006/relationships/hyperlink" Target="http://studyat.nwpu.edu.cn/info/1098/1710.htm" TargetMode="External"/><Relationship Id="rId1184" Type="http://schemas.openxmlformats.org/officeDocument/2006/relationships/hyperlink" Target="https://intl.hkbu.edu.hk/student-exchange/incoming-students/preparing-for-your-exchange-at-hkbu/eligibility" TargetMode="External"/><Relationship Id="rId2031" Type="http://schemas.openxmlformats.org/officeDocument/2006/relationships/hyperlink" Target="https://content.usi.ch/sites/default/files/storage/attachments/relint/relint-factsheet-catolica-portuguesa-lisbona.pdf" TargetMode="External"/><Relationship Id="rId592" Type="http://schemas.openxmlformats.org/officeDocument/2006/relationships/hyperlink" Target="http://studyat.nwpu.edu.cn/info/1098/1710.htm" TargetMode="External"/><Relationship Id="rId1185" Type="http://schemas.openxmlformats.org/officeDocument/2006/relationships/hyperlink" Target="https://intl.hkbu.edu.hk/student-exchange/incoming-students/preparing-for-your-exchange-at-hkbu/eligibility" TargetMode="External"/><Relationship Id="rId2032" Type="http://schemas.openxmlformats.org/officeDocument/2006/relationships/hyperlink" Target="https://www.ucp.pt/pt-pt" TargetMode="External"/><Relationship Id="rId591" Type="http://schemas.openxmlformats.org/officeDocument/2006/relationships/hyperlink" Target="https://en.nwpu.edu.cn/" TargetMode="External"/><Relationship Id="rId1186" Type="http://schemas.openxmlformats.org/officeDocument/2006/relationships/hyperlink" Target="https://www.hkbu.edu.hk/" TargetMode="External"/><Relationship Id="rId2033" Type="http://schemas.openxmlformats.org/officeDocument/2006/relationships/hyperlink" Target="https://content.usi.ch/sites/default/files/storage/attachments/relint/relint-factsheet-catolica-portuguesa-lisbona.pdf" TargetMode="External"/><Relationship Id="rId114" Type="http://schemas.openxmlformats.org/officeDocument/2006/relationships/hyperlink" Target="https://www.uni-heidelberg.de/de" TargetMode="External"/><Relationship Id="rId598" Type="http://schemas.openxmlformats.org/officeDocument/2006/relationships/hyperlink" Target="https://www.nottingham.ac.uk/studywithus/international-applicants/index.aspx" TargetMode="External"/><Relationship Id="rId1187" Type="http://schemas.openxmlformats.org/officeDocument/2006/relationships/hyperlink" Target="https://intl.hkbu.edu.hk/student-exchange/incoming-students/preparing-for-your-exchange-at-hkbu/eligibility" TargetMode="External"/><Relationship Id="rId2034" Type="http://schemas.openxmlformats.org/officeDocument/2006/relationships/hyperlink" Target="https://content.usi.ch/sites/default/files/storage/attachments/relint/relint-factsheet-catolica-portuguesa-lisbona.pdf" TargetMode="External"/><Relationship Id="rId113" Type="http://schemas.openxmlformats.org/officeDocument/2006/relationships/hyperlink" Target="https://studium.ruhr-uni-bochum.de/en/application-international-prospective-students" TargetMode="External"/><Relationship Id="rId597" Type="http://schemas.openxmlformats.org/officeDocument/2006/relationships/hyperlink" Target="http://www.nottingham.edu.cn/" TargetMode="External"/><Relationship Id="rId1188" Type="http://schemas.openxmlformats.org/officeDocument/2006/relationships/hyperlink" Target="https://intl.hkbu.edu.hk/student-exchange/incoming-students/preparing-for-your-exchange-at-hkbu/eligibility" TargetMode="External"/><Relationship Id="rId2035" Type="http://schemas.openxmlformats.org/officeDocument/2006/relationships/hyperlink" Target="https://www.ucp.pt/pt-pt" TargetMode="External"/><Relationship Id="rId112" Type="http://schemas.openxmlformats.org/officeDocument/2006/relationships/hyperlink" Target="https://studium.ruhr-uni-bochum.de/en/application-international-prospective-students" TargetMode="External"/><Relationship Id="rId596" Type="http://schemas.openxmlformats.org/officeDocument/2006/relationships/hyperlink" Target="https://ices.sufe.edu.cn/enices/" TargetMode="External"/><Relationship Id="rId1189" Type="http://schemas.openxmlformats.org/officeDocument/2006/relationships/hyperlink" Target="https://www.hkbu.edu.hk/" TargetMode="External"/><Relationship Id="rId2036" Type="http://schemas.openxmlformats.org/officeDocument/2006/relationships/hyperlink" Target="https://content.usi.ch/sites/default/files/storage/attachments/relint/relint-factsheet-catolica-portuguesa-lisbona.pdf" TargetMode="External"/><Relationship Id="rId111" Type="http://schemas.openxmlformats.org/officeDocument/2006/relationships/hyperlink" Target="http://www.ruhr-uni-bochum.de/" TargetMode="External"/><Relationship Id="rId595" Type="http://schemas.openxmlformats.org/officeDocument/2006/relationships/hyperlink" Target="https://ices.sufe.edu.cn/enices/" TargetMode="External"/><Relationship Id="rId2037" Type="http://schemas.openxmlformats.org/officeDocument/2006/relationships/hyperlink" Target="https://content.usi.ch/sites/default/files/storage/attachments/relint/relint-factsheet-catolica-portuguesa-lisbona.pdf" TargetMode="External"/><Relationship Id="rId1136" Type="http://schemas.openxmlformats.org/officeDocument/2006/relationships/hyperlink" Target="https://en.univ-paris13.fr/exchange-programs/" TargetMode="External"/><Relationship Id="rId2467" Type="http://schemas.openxmlformats.org/officeDocument/2006/relationships/hyperlink" Target="https://gelisim.edu.tr/en" TargetMode="External"/><Relationship Id="rId1137" Type="http://schemas.openxmlformats.org/officeDocument/2006/relationships/hyperlink" Target="https://en.univ-paris13.fr/exchange-programs/" TargetMode="External"/><Relationship Id="rId2468" Type="http://schemas.openxmlformats.org/officeDocument/2006/relationships/hyperlink" Target="https://ubyo.gelisim.edu.tr/en/akademik-department-public-relations-and-advertising-content-erasmus--students-exchange" TargetMode="External"/><Relationship Id="rId1138" Type="http://schemas.openxmlformats.org/officeDocument/2006/relationships/hyperlink" Target="https://www.univ-paris13.fr/" TargetMode="External"/><Relationship Id="rId2469" Type="http://schemas.openxmlformats.org/officeDocument/2006/relationships/hyperlink" Target="https://ubyo.gelisim.edu.tr/en/akademik-department-public-relations-and-advertising-content-erasmus--students-exchange" TargetMode="External"/><Relationship Id="rId1139" Type="http://schemas.openxmlformats.org/officeDocument/2006/relationships/hyperlink" Target="https://en.univ-paris13.fr/exchange-programs/" TargetMode="External"/><Relationship Id="rId547" Type="http://schemas.openxmlformats.org/officeDocument/2006/relationships/hyperlink" Target="https://internacional.uahurtado.cl/" TargetMode="External"/><Relationship Id="rId546" Type="http://schemas.openxmlformats.org/officeDocument/2006/relationships/hyperlink" Target="https://www.uahurtado.cl/" TargetMode="External"/><Relationship Id="rId545" Type="http://schemas.openxmlformats.org/officeDocument/2006/relationships/hyperlink" Target="https://internacional.uahurtado.cl/" TargetMode="External"/><Relationship Id="rId544" Type="http://schemas.openxmlformats.org/officeDocument/2006/relationships/hyperlink" Target="https://www.uahurtado.cl/" TargetMode="External"/><Relationship Id="rId549" Type="http://schemas.openxmlformats.org/officeDocument/2006/relationships/hyperlink" Target="https://internacional.uahurtado.cl/" TargetMode="External"/><Relationship Id="rId548" Type="http://schemas.openxmlformats.org/officeDocument/2006/relationships/hyperlink" Target="https://www.uahurtado.cl/" TargetMode="External"/><Relationship Id="rId2460" Type="http://schemas.openxmlformats.org/officeDocument/2006/relationships/hyperlink" Target="https://aday.fbu.edu.tr/bilgi/3/uluslararasi-imkanlar" TargetMode="External"/><Relationship Id="rId1130" Type="http://schemas.openxmlformats.org/officeDocument/2006/relationships/hyperlink" Target="https://www.univ-lyon3.fr/exchange-students" TargetMode="External"/><Relationship Id="rId2461" Type="http://schemas.openxmlformats.org/officeDocument/2006/relationships/hyperlink" Target="https://halic.edu.tr/en" TargetMode="External"/><Relationship Id="rId1131" Type="http://schemas.openxmlformats.org/officeDocument/2006/relationships/hyperlink" Target="https://www.univ-lyon3.fr/exchange-students" TargetMode="External"/><Relationship Id="rId2462" Type="http://schemas.openxmlformats.org/officeDocument/2006/relationships/hyperlink" Target="http://exchange.halic.edu.tr/student-mobility-for-traineeship/" TargetMode="External"/><Relationship Id="rId543" Type="http://schemas.openxmlformats.org/officeDocument/2006/relationships/hyperlink" Target="https://internacional.uahurtado.cl/" TargetMode="External"/><Relationship Id="rId1132" Type="http://schemas.openxmlformats.org/officeDocument/2006/relationships/hyperlink" Target="https://www.u-bordeaux.fr/" TargetMode="External"/><Relationship Id="rId2463" Type="http://schemas.openxmlformats.org/officeDocument/2006/relationships/hyperlink" Target="http://exchange.halic.edu.tr/student-mobility-for-traineeship/" TargetMode="External"/><Relationship Id="rId542" Type="http://schemas.openxmlformats.org/officeDocument/2006/relationships/hyperlink" Target="https://www.uahurtado.cl/" TargetMode="External"/><Relationship Id="rId1133" Type="http://schemas.openxmlformats.org/officeDocument/2006/relationships/hyperlink" Target="https://www.u-bordeaux.fr/en/international/come-to-bordeaux/international-students/exchange-programmes" TargetMode="External"/><Relationship Id="rId2464" Type="http://schemas.openxmlformats.org/officeDocument/2006/relationships/hyperlink" Target="https://www.ihu.edu.tr/en/" TargetMode="External"/><Relationship Id="rId541" Type="http://schemas.openxmlformats.org/officeDocument/2006/relationships/hyperlink" Target="https://www.uautonoma.cl/internacional/" TargetMode="External"/><Relationship Id="rId1134" Type="http://schemas.openxmlformats.org/officeDocument/2006/relationships/hyperlink" Target="https://www.u-bordeaux.fr/en/international/come-to-bordeaux/international-students/exchange-programmes" TargetMode="External"/><Relationship Id="rId2465" Type="http://schemas.openxmlformats.org/officeDocument/2006/relationships/hyperlink" Target="https://sl.ihu.edu.tr/tr/sik-sorulan-sorular" TargetMode="External"/><Relationship Id="rId540" Type="http://schemas.openxmlformats.org/officeDocument/2006/relationships/hyperlink" Target="https://www.uautonoma.cl/" TargetMode="External"/><Relationship Id="rId1135" Type="http://schemas.openxmlformats.org/officeDocument/2006/relationships/hyperlink" Target="https://www.univ-paris13.fr/" TargetMode="External"/><Relationship Id="rId2466" Type="http://schemas.openxmlformats.org/officeDocument/2006/relationships/hyperlink" Target="https://sl.ihu.edu.tr/tr/sik-sorulan-sorular" TargetMode="External"/><Relationship Id="rId1125" Type="http://schemas.openxmlformats.org/officeDocument/2006/relationships/hyperlink" Target="https://www.univ-tours.fr/international/etudes-stages-a-tours/etudiants-internationaux/3-test-de-connaissance-du-francais-tcf-dap" TargetMode="External"/><Relationship Id="rId2456" Type="http://schemas.openxmlformats.org/officeDocument/2006/relationships/hyperlink" Target="https://courses.comu.edu.tr/" TargetMode="External"/><Relationship Id="rId1126" Type="http://schemas.openxmlformats.org/officeDocument/2006/relationships/hyperlink" Target="https://www.univ-grenoble-alpes.fr/" TargetMode="External"/><Relationship Id="rId2457" Type="http://schemas.openxmlformats.org/officeDocument/2006/relationships/hyperlink" Target="https://courses.comu.edu.tr/" TargetMode="External"/><Relationship Id="rId1127" Type="http://schemas.openxmlformats.org/officeDocument/2006/relationships/hyperlink" Target="https://international.univ-grenoble-alpes.fr/resources/resources-for-international-partners/fact-sheet-uga-809951.kjsp" TargetMode="External"/><Relationship Id="rId2458" Type="http://schemas.openxmlformats.org/officeDocument/2006/relationships/hyperlink" Target="https://www.fbu.edu.tr/?dil=en" TargetMode="External"/><Relationship Id="rId1128" Type="http://schemas.openxmlformats.org/officeDocument/2006/relationships/hyperlink" Target="https://international.univ-grenoble-alpes.fr/resources/resources-for-international-partners/fact-sheet-uga-809951.kjsp" TargetMode="External"/><Relationship Id="rId2459" Type="http://schemas.openxmlformats.org/officeDocument/2006/relationships/hyperlink" Target="https://aday.fbu.edu.tr/bilgi/3/uluslararasi-imkanlar" TargetMode="External"/><Relationship Id="rId1129" Type="http://schemas.openxmlformats.org/officeDocument/2006/relationships/hyperlink" Target="https://www.univ-lyon3.fr/" TargetMode="External"/><Relationship Id="rId536" Type="http://schemas.openxmlformats.org/officeDocument/2006/relationships/hyperlink" Target="https://www.unab.cl/" TargetMode="External"/><Relationship Id="rId535" Type="http://schemas.openxmlformats.org/officeDocument/2006/relationships/hyperlink" Target="https://www.unab.cl/unab-virtual/" TargetMode="External"/><Relationship Id="rId534" Type="http://schemas.openxmlformats.org/officeDocument/2006/relationships/hyperlink" Target="https://www.unab.cl/" TargetMode="External"/><Relationship Id="rId533" Type="http://schemas.openxmlformats.org/officeDocument/2006/relationships/hyperlink" Target="https://www.unab.cl/" TargetMode="External"/><Relationship Id="rId539" Type="http://schemas.openxmlformats.org/officeDocument/2006/relationships/hyperlink" Target="https://www.unab.cl/unab-virtual/" TargetMode="External"/><Relationship Id="rId538" Type="http://schemas.openxmlformats.org/officeDocument/2006/relationships/hyperlink" Target="https://www.unab.cl/" TargetMode="External"/><Relationship Id="rId537" Type="http://schemas.openxmlformats.org/officeDocument/2006/relationships/hyperlink" Target="https://www.unab.cl/unab-virtual/" TargetMode="External"/><Relationship Id="rId2450" Type="http://schemas.openxmlformats.org/officeDocument/2006/relationships/hyperlink" Target="https://uik.baskent.edu.tr/kw/menu_icerik.php?dil=EN&amp;birim=161&amp;menu_id=49" TargetMode="External"/><Relationship Id="rId1120" Type="http://schemas.openxmlformats.org/officeDocument/2006/relationships/hyperlink" Target="https://www.unistra.fr/" TargetMode="External"/><Relationship Id="rId2451" Type="http://schemas.openxmlformats.org/officeDocument/2006/relationships/hyperlink" Target="https://uik.baskent.edu.tr/kw/menu_icerik.php?dil=EN&amp;birim=161&amp;menu_id=49" TargetMode="External"/><Relationship Id="rId532" Type="http://schemas.openxmlformats.org/officeDocument/2006/relationships/hyperlink" Target="https://www.unab.cl/" TargetMode="External"/><Relationship Id="rId1121" Type="http://schemas.openxmlformats.org/officeDocument/2006/relationships/hyperlink" Target="https://en.unistra.fr/international/international-student-support/frequently-asked-questions" TargetMode="External"/><Relationship Id="rId2452" Type="http://schemas.openxmlformats.org/officeDocument/2006/relationships/hyperlink" Target="https://w3.bilkent.edu.tr/bilkent/" TargetMode="External"/><Relationship Id="rId531" Type="http://schemas.openxmlformats.org/officeDocument/2006/relationships/hyperlink" Target="https://www.unab.cl/unab-virtual/" TargetMode="External"/><Relationship Id="rId1122" Type="http://schemas.openxmlformats.org/officeDocument/2006/relationships/hyperlink" Target="https://en.unistra.fr/international/international-student-support/frequently-asked-questions" TargetMode="External"/><Relationship Id="rId2453" Type="http://schemas.openxmlformats.org/officeDocument/2006/relationships/hyperlink" Target="https://www.bilkent.edu.tr/bilkent/academic/exchange/faq.html" TargetMode="External"/><Relationship Id="rId530" Type="http://schemas.openxmlformats.org/officeDocument/2006/relationships/hyperlink" Target="https://www.unab.cl/" TargetMode="External"/><Relationship Id="rId1123" Type="http://schemas.openxmlformats.org/officeDocument/2006/relationships/hyperlink" Target="https://www.univ-tours.fr/" TargetMode="External"/><Relationship Id="rId2454" Type="http://schemas.openxmlformats.org/officeDocument/2006/relationships/hyperlink" Target="https://www.bilkent.edu.tr/bilkent/academic/exchange/faq.html" TargetMode="External"/><Relationship Id="rId1124" Type="http://schemas.openxmlformats.org/officeDocument/2006/relationships/hyperlink" Target="https://www.univ-tours.fr/international/etudes-stages-a-tours/etudiants-internationaux/3-test-de-connaissance-du-francais-tcf-dap" TargetMode="External"/><Relationship Id="rId2455" Type="http://schemas.openxmlformats.org/officeDocument/2006/relationships/hyperlink" Target="https://global.comu.edu.tr/" TargetMode="External"/><Relationship Id="rId1158" Type="http://schemas.openxmlformats.org/officeDocument/2006/relationships/hyperlink" Target="https://www.aueb.gr/sites/default/files/Erasmos/Mobility/attachments/AUEBfactsheet2022-23.pdf" TargetMode="External"/><Relationship Id="rId2005" Type="http://schemas.openxmlformats.org/officeDocument/2006/relationships/hyperlink" Target="https://www.ipp.pt/" TargetMode="External"/><Relationship Id="rId2489" Type="http://schemas.openxmlformats.org/officeDocument/2006/relationships/hyperlink" Target="https://oip.ku.edu.tr/mobility-programs/incoming/students/erasmus-study/" TargetMode="External"/><Relationship Id="rId1159" Type="http://schemas.openxmlformats.org/officeDocument/2006/relationships/hyperlink" Target="https://www.aegean.edu/" TargetMode="External"/><Relationship Id="rId2006" Type="http://schemas.openxmlformats.org/officeDocument/2006/relationships/hyperlink" Target="https://www.ipp.pt/international/support-to-internationalisation/support-to-internationalisation" TargetMode="External"/><Relationship Id="rId2007" Type="http://schemas.openxmlformats.org/officeDocument/2006/relationships/hyperlink" Target="https://www.ipp.pt/international/support-to-internationalisation/support-to-internationalisation" TargetMode="External"/><Relationship Id="rId2008" Type="http://schemas.openxmlformats.org/officeDocument/2006/relationships/hyperlink" Target="https://www.ipp.pt/education/schools/ese?set_language=en" TargetMode="External"/><Relationship Id="rId2009" Type="http://schemas.openxmlformats.org/officeDocument/2006/relationships/hyperlink" Target="https://www.ipp.pt/education/schools/ese?set_language=en" TargetMode="External"/><Relationship Id="rId569" Type="http://schemas.openxmlformats.org/officeDocument/2006/relationships/hyperlink" Target="https://www.uniandes.edu.co/es" TargetMode="External"/><Relationship Id="rId568" Type="http://schemas.openxmlformats.org/officeDocument/2006/relationships/hyperlink" Target="https://www.ufro.cl/" TargetMode="External"/><Relationship Id="rId567" Type="http://schemas.openxmlformats.org/officeDocument/2006/relationships/hyperlink" Target="https://www.ufro.cl/" TargetMode="External"/><Relationship Id="rId566" Type="http://schemas.openxmlformats.org/officeDocument/2006/relationships/hyperlink" Target="https://www.ufro.cl/" TargetMode="External"/><Relationship Id="rId2480" Type="http://schemas.openxmlformats.org/officeDocument/2006/relationships/hyperlink" Target="https://www.ieu.edu.tr/international/en/erasmus-hareketliligi" TargetMode="External"/><Relationship Id="rId561" Type="http://schemas.openxmlformats.org/officeDocument/2006/relationships/hyperlink" Target="https://www.ucsh.cl/" TargetMode="External"/><Relationship Id="rId1150" Type="http://schemas.openxmlformats.org/officeDocument/2006/relationships/hyperlink" Target="https://www.auth.gr/en/" TargetMode="External"/><Relationship Id="rId2481" Type="http://schemas.openxmlformats.org/officeDocument/2006/relationships/hyperlink" Target="https://www.ieu.edu.tr/international/en/erasmus-hareketliligi" TargetMode="External"/><Relationship Id="rId560" Type="http://schemas.openxmlformats.org/officeDocument/2006/relationships/hyperlink" Target="https://www.ucsh.cl/" TargetMode="External"/><Relationship Id="rId1151" Type="http://schemas.openxmlformats.org/officeDocument/2006/relationships/hyperlink" Target="https://eurep.auth.gr/en/students/international/studies/language_requirements" TargetMode="External"/><Relationship Id="rId2482" Type="http://schemas.openxmlformats.org/officeDocument/2006/relationships/hyperlink" Target="https://www.ku.edu.tr/" TargetMode="External"/><Relationship Id="rId1152" Type="http://schemas.openxmlformats.org/officeDocument/2006/relationships/hyperlink" Target="https://eurep.auth.gr/en/students/international/studies/language_requirements" TargetMode="External"/><Relationship Id="rId2483" Type="http://schemas.openxmlformats.org/officeDocument/2006/relationships/hyperlink" Target="https://oip.ku.edu.tr/mobility-programs/incoming/students/erasmus-study/" TargetMode="External"/><Relationship Id="rId1153" Type="http://schemas.openxmlformats.org/officeDocument/2006/relationships/hyperlink" Target="https://www.aueb.gr/en" TargetMode="External"/><Relationship Id="rId2000" Type="http://schemas.openxmlformats.org/officeDocument/2006/relationships/hyperlink" Target="https://www.ipvc.pt/en/internacional/mobilidade-programas/erasmus/faqs/" TargetMode="External"/><Relationship Id="rId2484" Type="http://schemas.openxmlformats.org/officeDocument/2006/relationships/hyperlink" Target="https://oip.ku.edu.tr/mobility-programs/incoming/students/erasmus-study/" TargetMode="External"/><Relationship Id="rId565" Type="http://schemas.openxmlformats.org/officeDocument/2006/relationships/hyperlink" Target="http://n/a" TargetMode="External"/><Relationship Id="rId1154" Type="http://schemas.openxmlformats.org/officeDocument/2006/relationships/hyperlink" Target="https://www.aueb.gr/sites/default/files/Erasmos/Mobility/attachments/AUEBfactsheet2022-23.pdf" TargetMode="External"/><Relationship Id="rId2001" Type="http://schemas.openxmlformats.org/officeDocument/2006/relationships/hyperlink" Target="https://www.ipvc.pt/en/internacional/mobilidade-programas/erasmus/faqs/" TargetMode="External"/><Relationship Id="rId2485" Type="http://schemas.openxmlformats.org/officeDocument/2006/relationships/hyperlink" Target="https://www.ku.edu.tr/" TargetMode="External"/><Relationship Id="rId564" Type="http://schemas.openxmlformats.org/officeDocument/2006/relationships/hyperlink" Target="https://www.uct.cl/" TargetMode="External"/><Relationship Id="rId1155" Type="http://schemas.openxmlformats.org/officeDocument/2006/relationships/hyperlink" Target="https://www.aueb.gr/sites/default/files/Erasmos/Mobility/attachments/AUEBfactsheet2022-23.pdf" TargetMode="External"/><Relationship Id="rId2002" Type="http://schemas.openxmlformats.org/officeDocument/2006/relationships/hyperlink" Target="https://www.ipleiria.pt/" TargetMode="External"/><Relationship Id="rId2486" Type="http://schemas.openxmlformats.org/officeDocument/2006/relationships/hyperlink" Target="https://oip.ku.edu.tr/mobility-programs/incoming/students/erasmus-study/" TargetMode="External"/><Relationship Id="rId563" Type="http://schemas.openxmlformats.org/officeDocument/2006/relationships/hyperlink" Target="https://www.ucsh.cl/internacional/" TargetMode="External"/><Relationship Id="rId1156" Type="http://schemas.openxmlformats.org/officeDocument/2006/relationships/hyperlink" Target="https://www.aueb.gr/en" TargetMode="External"/><Relationship Id="rId2003" Type="http://schemas.openxmlformats.org/officeDocument/2006/relationships/hyperlink" Target="https://www.ipleiria.pt/en/international/studying-in-portugal/exchange-students/" TargetMode="External"/><Relationship Id="rId2487" Type="http://schemas.openxmlformats.org/officeDocument/2006/relationships/hyperlink" Target="https://oip.ku.edu.tr/mobility-programs/incoming/students/erasmus-study/" TargetMode="External"/><Relationship Id="rId562" Type="http://schemas.openxmlformats.org/officeDocument/2006/relationships/hyperlink" Target="https://www.ucsh.cl/internacional/" TargetMode="External"/><Relationship Id="rId1157" Type="http://schemas.openxmlformats.org/officeDocument/2006/relationships/hyperlink" Target="https://www.aueb.gr/sites/default/files/Erasmos/Mobility/attachments/AUEBfactsheet2022-23.pdf" TargetMode="External"/><Relationship Id="rId2004" Type="http://schemas.openxmlformats.org/officeDocument/2006/relationships/hyperlink" Target="https://www.ipleiria.pt/en/international/studying-in-portugal/exchange-students/" TargetMode="External"/><Relationship Id="rId2488" Type="http://schemas.openxmlformats.org/officeDocument/2006/relationships/hyperlink" Target="https://www.ku.edu.tr/" TargetMode="External"/><Relationship Id="rId1147" Type="http://schemas.openxmlformats.org/officeDocument/2006/relationships/hyperlink" Target="https://www.univ-tlse2.fr/" TargetMode="External"/><Relationship Id="rId2478" Type="http://schemas.openxmlformats.org/officeDocument/2006/relationships/hyperlink" Target="https://www.medipol.edu.tr/sites/default/files/document/erasmus_sheet.pdf" TargetMode="External"/><Relationship Id="rId1148" Type="http://schemas.openxmlformats.org/officeDocument/2006/relationships/hyperlink" Target="https://www.univ-tlse2.fr/accueil/international/venir-ut2j" TargetMode="External"/><Relationship Id="rId2479" Type="http://schemas.openxmlformats.org/officeDocument/2006/relationships/hyperlink" Target="https://www.ieu.edu.tr/en" TargetMode="External"/><Relationship Id="rId1149" Type="http://schemas.openxmlformats.org/officeDocument/2006/relationships/hyperlink" Target="https://www.univ-tlse2.fr/accueil/international/venir-ut2j" TargetMode="External"/><Relationship Id="rId558" Type="http://schemas.openxmlformats.org/officeDocument/2006/relationships/hyperlink" Target="https://www.ucsh.cl/" TargetMode="External"/><Relationship Id="rId557" Type="http://schemas.openxmlformats.org/officeDocument/2006/relationships/hyperlink" Target="https://www.ucn.cl/" TargetMode="External"/><Relationship Id="rId556" Type="http://schemas.openxmlformats.org/officeDocument/2006/relationships/hyperlink" Target="https://portal.ucm.cl/estudiantes" TargetMode="External"/><Relationship Id="rId555" Type="http://schemas.openxmlformats.org/officeDocument/2006/relationships/hyperlink" Target="https://portal.ucm.cl/" TargetMode="External"/><Relationship Id="rId559" Type="http://schemas.openxmlformats.org/officeDocument/2006/relationships/hyperlink" Target="https://www.ucsh.cl/internacional/" TargetMode="External"/><Relationship Id="rId550" Type="http://schemas.openxmlformats.org/officeDocument/2006/relationships/hyperlink" Target="https://www.uahurtado.cl/" TargetMode="External"/><Relationship Id="rId2470" Type="http://schemas.openxmlformats.org/officeDocument/2006/relationships/hyperlink" Target="https://www.29mayis.edu.tr/en?" TargetMode="External"/><Relationship Id="rId1140" Type="http://schemas.openxmlformats.org/officeDocument/2006/relationships/hyperlink" Target="https://en.univ-paris13.fr/exchange-programs/" TargetMode="External"/><Relationship Id="rId2471" Type="http://schemas.openxmlformats.org/officeDocument/2006/relationships/hyperlink" Target="http://ebs.29mayis.edu.tr/Pages/UnitContentViewer.aspx?lang=en-US&amp;academicYear=2022&amp;facultyId=23&amp;programId=3&amp;menuType=unit&amp;contentId=c912dda3-b584-4d56-b226-072ea8dc5073" TargetMode="External"/><Relationship Id="rId1141" Type="http://schemas.openxmlformats.org/officeDocument/2006/relationships/hyperlink" Target="https://www.iscparis.com/" TargetMode="External"/><Relationship Id="rId2472" Type="http://schemas.openxmlformats.org/officeDocument/2006/relationships/hyperlink" Target="http://ebs.29mayis.edu.tr/Pages/UnitContentViewer.aspx?lang=en-US&amp;academicYear=2022&amp;facultyId=23&amp;programId=3&amp;menuType=unit&amp;contentId=c912dda3-b584-4d56-b226-072ea8dc5073" TargetMode="External"/><Relationship Id="rId1142" Type="http://schemas.openxmlformats.org/officeDocument/2006/relationships/hyperlink" Target="https://www.iscparis.com/experience-isc-etudiants-internationaux/" TargetMode="External"/><Relationship Id="rId2473" Type="http://schemas.openxmlformats.org/officeDocument/2006/relationships/hyperlink" Target="https://www.29mayis.edu.tr/en?" TargetMode="External"/><Relationship Id="rId554" Type="http://schemas.openxmlformats.org/officeDocument/2006/relationships/hyperlink" Target="https://portal.ucm.cl/" TargetMode="External"/><Relationship Id="rId1143" Type="http://schemas.openxmlformats.org/officeDocument/2006/relationships/hyperlink" Target="https://www.iscparis.com/experience-isc-etudiants-internationaux/" TargetMode="External"/><Relationship Id="rId2474" Type="http://schemas.openxmlformats.org/officeDocument/2006/relationships/hyperlink" Target="http://ebs.29mayis.edu.tr/Pages/UnitContentViewer.aspx?lang=en-US&amp;academicYear=2022&amp;facultyId=23&amp;programId=3&amp;menuType=unit&amp;contentId=c912dda3-b584-4d56-b226-072ea8dc5073" TargetMode="External"/><Relationship Id="rId553" Type="http://schemas.openxmlformats.org/officeDocument/2006/relationships/hyperlink" Target="https://www.ucsc.cl/" TargetMode="External"/><Relationship Id="rId1144" Type="http://schemas.openxmlformats.org/officeDocument/2006/relationships/hyperlink" Target="https://www.ut-capitole.fr/" TargetMode="External"/><Relationship Id="rId2475" Type="http://schemas.openxmlformats.org/officeDocument/2006/relationships/hyperlink" Target="http://ebs.29mayis.edu.tr/Pages/UnitContentViewer.aspx?lang=en-US&amp;academicYear=2022&amp;facultyId=23&amp;programId=3&amp;menuType=unit&amp;contentId=c912dda3-b584-4d56-b226-072ea8dc5073" TargetMode="External"/><Relationship Id="rId552" Type="http://schemas.openxmlformats.org/officeDocument/2006/relationships/hyperlink" Target="https://admision.ucsc.cl/" TargetMode="External"/><Relationship Id="rId1145" Type="http://schemas.openxmlformats.org/officeDocument/2006/relationships/hyperlink" Target="https://www.ut-capitole.fr/accueil/international/venir-etudier-a-ut1/programmes-dechange" TargetMode="External"/><Relationship Id="rId2476" Type="http://schemas.openxmlformats.org/officeDocument/2006/relationships/hyperlink" Target="https://www.medipol.edu.tr/en" TargetMode="External"/><Relationship Id="rId551" Type="http://schemas.openxmlformats.org/officeDocument/2006/relationships/hyperlink" Target="https://www.ucsc.cl/" TargetMode="External"/><Relationship Id="rId1146" Type="http://schemas.openxmlformats.org/officeDocument/2006/relationships/hyperlink" Target="https://www.ut-capitole.fr/accueil/international/venir-etudier-a-ut1/programmes-dechange" TargetMode="External"/><Relationship Id="rId2477" Type="http://schemas.openxmlformats.org/officeDocument/2006/relationships/hyperlink" Target="https://www.medipol.edu.tr/sites/default/files/document/erasmus_sheet.pdf" TargetMode="External"/><Relationship Id="rId2090" Type="http://schemas.openxmlformats.org/officeDocument/2006/relationships/hyperlink" Target="https://www.uc.pt/candidatos-internacionais/oportunidades/mobilidade-formacao" TargetMode="External"/><Relationship Id="rId2091" Type="http://schemas.openxmlformats.org/officeDocument/2006/relationships/hyperlink" Target="https://www.uc.pt/candidatos-internacionais/oportunidades/mobilidade-formacao" TargetMode="External"/><Relationship Id="rId2092" Type="http://schemas.openxmlformats.org/officeDocument/2006/relationships/hyperlink" Target="https://www.upt.pt/" TargetMode="External"/><Relationship Id="rId2093" Type="http://schemas.openxmlformats.org/officeDocument/2006/relationships/hyperlink" Target="https://www.upt.pt/inicio/gabinete-de-relacoes-internacionais/" TargetMode="External"/><Relationship Id="rId2094" Type="http://schemas.openxmlformats.org/officeDocument/2006/relationships/hyperlink" Target="https://www.upt.pt/inicio/gabinete-de-relacoes-internacionais/" TargetMode="External"/><Relationship Id="rId2095" Type="http://schemas.openxmlformats.org/officeDocument/2006/relationships/hyperlink" Target="https://www.upt.pt/" TargetMode="External"/><Relationship Id="rId2096" Type="http://schemas.openxmlformats.org/officeDocument/2006/relationships/hyperlink" Target="https://www.upt.pt/" TargetMode="External"/><Relationship Id="rId2097" Type="http://schemas.openxmlformats.org/officeDocument/2006/relationships/hyperlink" Target="https://www.coventry.ac.uk/" TargetMode="External"/><Relationship Id="rId2098" Type="http://schemas.openxmlformats.org/officeDocument/2006/relationships/hyperlink" Target="https://www.coventry.ac.uk/study-at-coventry/student-support/enhance-your-employability/global-opportunities/erasmus-study-exchange/faqs/" TargetMode="External"/><Relationship Id="rId2099" Type="http://schemas.openxmlformats.org/officeDocument/2006/relationships/hyperlink" Target="https://www.coventry.ac.uk/study-at-coventry/student-support/enhance-your-employability/global-opportunities/erasmus-study-exchange/faqs/" TargetMode="External"/><Relationship Id="rId2060" Type="http://schemas.openxmlformats.org/officeDocument/2006/relationships/hyperlink" Target="https://www.utad.pt/grim/wp-content/uploads/sites/24/2022/04/UTAD-Fact-Sheet-_2022_23-GRIM-_LF-GF_LF.doc" TargetMode="External"/><Relationship Id="rId2061" Type="http://schemas.openxmlformats.org/officeDocument/2006/relationships/hyperlink" Target="https://www.utad.pt/grim/wp-content/uploads/sites/24/2022/04/UTAD-Fact-Sheet-_2022_23-GRIM-_LF-GF_LF.doc" TargetMode="External"/><Relationship Id="rId2062" Type="http://schemas.openxmlformats.org/officeDocument/2006/relationships/hyperlink" Target="https://www.utad.pt/" TargetMode="External"/><Relationship Id="rId2063" Type="http://schemas.openxmlformats.org/officeDocument/2006/relationships/hyperlink" Target="https://www.utad.pt/grim/wp-content/uploads/sites/24/2022/04/UTAD-Fact-Sheet-_2022_23-GRIM-_LF-GF_LF.doc" TargetMode="External"/><Relationship Id="rId2064" Type="http://schemas.openxmlformats.org/officeDocument/2006/relationships/hyperlink" Target="https://www.utad.pt/grim/wp-content/uploads/sites/24/2022/04/UTAD-Fact-Sheet-_2022_23-GRIM-_LF-GF_LF.doc" TargetMode="External"/><Relationship Id="rId2065" Type="http://schemas.openxmlformats.org/officeDocument/2006/relationships/hyperlink" Target="https://www.ualg.pt/" TargetMode="External"/><Relationship Id="rId2066" Type="http://schemas.openxmlformats.org/officeDocument/2006/relationships/hyperlink" Target="https://www.ualg.pt/en/international-student-other-countries" TargetMode="External"/><Relationship Id="rId2067" Type="http://schemas.openxmlformats.org/officeDocument/2006/relationships/hyperlink" Target="https://www.ualg.pt/en/international-student-other-countries" TargetMode="External"/><Relationship Id="rId2068" Type="http://schemas.openxmlformats.org/officeDocument/2006/relationships/hyperlink" Target="https://www.ualg.pt/" TargetMode="External"/><Relationship Id="rId2069" Type="http://schemas.openxmlformats.org/officeDocument/2006/relationships/hyperlink" Target="https://www.ualg.pt/en/international-student-other-countries" TargetMode="External"/><Relationship Id="rId2050" Type="http://schemas.openxmlformats.org/officeDocument/2006/relationships/hyperlink" Target="https://www.ulisboa.pt/" TargetMode="External"/><Relationship Id="rId2051" Type="http://schemas.openxmlformats.org/officeDocument/2006/relationships/hyperlink" Target="https://www.ulisboa.pt/en/info/linguistic-policy" TargetMode="External"/><Relationship Id="rId495" Type="http://schemas.openxmlformats.org/officeDocument/2006/relationships/hyperlink" Target="https://www.wlu.ca/" TargetMode="External"/><Relationship Id="rId2052" Type="http://schemas.openxmlformats.org/officeDocument/2006/relationships/hyperlink" Target="https://www.ulisboa.pt/en/info/linguistic-policy" TargetMode="External"/><Relationship Id="rId494" Type="http://schemas.openxmlformats.org/officeDocument/2006/relationships/hyperlink" Target="https://www.wlu.ca/future-students/undergraduate/admissions/requirements/english-proficiency.html" TargetMode="External"/><Relationship Id="rId2053" Type="http://schemas.openxmlformats.org/officeDocument/2006/relationships/hyperlink" Target="https://www.utad.pt/" TargetMode="External"/><Relationship Id="rId493" Type="http://schemas.openxmlformats.org/officeDocument/2006/relationships/hyperlink" Target="https://www.wlu.ca/future-students/undergraduate/admissions/requirements/english-proficiency.html" TargetMode="External"/><Relationship Id="rId2054" Type="http://schemas.openxmlformats.org/officeDocument/2006/relationships/hyperlink" Target="https://www.utad.pt/grim/wp-content/uploads/sites/24/2022/04/UTAD-Fact-Sheet-_2022_23-GRIM-_LF-GF_LF.doc" TargetMode="External"/><Relationship Id="rId492" Type="http://schemas.openxmlformats.org/officeDocument/2006/relationships/hyperlink" Target="https://www.wlu.ca/" TargetMode="External"/><Relationship Id="rId2055" Type="http://schemas.openxmlformats.org/officeDocument/2006/relationships/hyperlink" Target="https://www.utad.pt/grim/wp-content/uploads/sites/24/2022/04/UTAD-Fact-Sheet-_2022_23-GRIM-_LF-GF_LF.doc" TargetMode="External"/><Relationship Id="rId499" Type="http://schemas.openxmlformats.org/officeDocument/2006/relationships/hyperlink" Target="https://www.wlu.ca/" TargetMode="External"/><Relationship Id="rId2056" Type="http://schemas.openxmlformats.org/officeDocument/2006/relationships/hyperlink" Target="https://www.utad.pt/" TargetMode="External"/><Relationship Id="rId498" Type="http://schemas.openxmlformats.org/officeDocument/2006/relationships/hyperlink" Target="https://www.wlu.ca/future-students/undergraduate/admissions/requirements/english-proficiency.html" TargetMode="External"/><Relationship Id="rId2057" Type="http://schemas.openxmlformats.org/officeDocument/2006/relationships/hyperlink" Target="https://www.utad.pt/grim/wp-content/uploads/sites/24/2022/04/UTAD-Fact-Sheet-_2022_23-GRIM-_LF-GF_LF.doc" TargetMode="External"/><Relationship Id="rId497" Type="http://schemas.openxmlformats.org/officeDocument/2006/relationships/hyperlink" Target="https://www.wlu.ca/" TargetMode="External"/><Relationship Id="rId2058" Type="http://schemas.openxmlformats.org/officeDocument/2006/relationships/hyperlink" Target="https://www.utad.pt/grim/wp-content/uploads/sites/24/2022/04/UTAD-Fact-Sheet-_2022_23-GRIM-_LF-GF_LF.doc" TargetMode="External"/><Relationship Id="rId496" Type="http://schemas.openxmlformats.org/officeDocument/2006/relationships/hyperlink" Target="https://www.wlu.ca/future-students/undergraduate/admissions/requirements/english-proficiency.html" TargetMode="External"/><Relationship Id="rId2059" Type="http://schemas.openxmlformats.org/officeDocument/2006/relationships/hyperlink" Target="https://www.utad.pt/" TargetMode="External"/><Relationship Id="rId2080" Type="http://schemas.openxmlformats.org/officeDocument/2006/relationships/hyperlink" Target="https://www.uc.pt/en" TargetMode="External"/><Relationship Id="rId2081" Type="http://schemas.openxmlformats.org/officeDocument/2006/relationships/hyperlink" Target="https://www.uc.pt/candidatos-internacionais/oportunidades/mobilidade-formacao" TargetMode="External"/><Relationship Id="rId2082" Type="http://schemas.openxmlformats.org/officeDocument/2006/relationships/hyperlink" Target="https://www.uc.pt/candidatos-internacionais/oportunidades/mobilidade-formacao" TargetMode="External"/><Relationship Id="rId2083" Type="http://schemas.openxmlformats.org/officeDocument/2006/relationships/hyperlink" Target="https://www.uc.pt/en" TargetMode="External"/><Relationship Id="rId2084" Type="http://schemas.openxmlformats.org/officeDocument/2006/relationships/hyperlink" Target="https://www.uc.pt/candidatos-internacionais/oportunidades/mobilidade-formacao" TargetMode="External"/><Relationship Id="rId2085" Type="http://schemas.openxmlformats.org/officeDocument/2006/relationships/hyperlink" Target="https://www.uc.pt/candidatos-internacionais/oportunidades/mobilidade-formacao" TargetMode="External"/><Relationship Id="rId2086" Type="http://schemas.openxmlformats.org/officeDocument/2006/relationships/hyperlink" Target="https://www.uc.pt/en" TargetMode="External"/><Relationship Id="rId2087" Type="http://schemas.openxmlformats.org/officeDocument/2006/relationships/hyperlink" Target="https://www.uc.pt/candidatos-internacionais/oportunidades/mobilidade-formacao" TargetMode="External"/><Relationship Id="rId2088" Type="http://schemas.openxmlformats.org/officeDocument/2006/relationships/hyperlink" Target="https://www.uc.pt/candidatos-internacionais/oportunidades/mobilidade-formacao" TargetMode="External"/><Relationship Id="rId2089" Type="http://schemas.openxmlformats.org/officeDocument/2006/relationships/hyperlink" Target="https://www.uc.pt/en" TargetMode="External"/><Relationship Id="rId2070" Type="http://schemas.openxmlformats.org/officeDocument/2006/relationships/hyperlink" Target="https://www.ualg.pt/en/international-student-other-countries" TargetMode="External"/><Relationship Id="rId2071" Type="http://schemas.openxmlformats.org/officeDocument/2006/relationships/hyperlink" Target="https://www.uminho.pt/" TargetMode="External"/><Relationship Id="rId2072" Type="http://schemas.openxmlformats.org/officeDocument/2006/relationships/hyperlink" Target="https://alunos.uminho.pt/EN/incomingstudents/Pages/RequisitosL.aspx" TargetMode="External"/><Relationship Id="rId2073" Type="http://schemas.openxmlformats.org/officeDocument/2006/relationships/hyperlink" Target="https://alunos.uminho.pt/EN/incomingstudents/Pages/RequisitosL.aspx" TargetMode="External"/><Relationship Id="rId2074" Type="http://schemas.openxmlformats.org/officeDocument/2006/relationships/hyperlink" Target="https://www.uc.pt/en" TargetMode="External"/><Relationship Id="rId2075" Type="http://schemas.openxmlformats.org/officeDocument/2006/relationships/hyperlink" Target="https://www.uc.pt/candidatos-internacionais/oportunidades/mobilidade-formacao" TargetMode="External"/><Relationship Id="rId2076" Type="http://schemas.openxmlformats.org/officeDocument/2006/relationships/hyperlink" Target="https://www.uc.pt/candidatos-internacionais/oportunidades/mobilidade-formacao" TargetMode="External"/><Relationship Id="rId2077" Type="http://schemas.openxmlformats.org/officeDocument/2006/relationships/hyperlink" Target="https://www.uc.pt/en" TargetMode="External"/><Relationship Id="rId2078" Type="http://schemas.openxmlformats.org/officeDocument/2006/relationships/hyperlink" Target="https://www.uc.pt/candidatos-internacionais/oportunidades/mobilidade-formacao" TargetMode="External"/><Relationship Id="rId2079" Type="http://schemas.openxmlformats.org/officeDocument/2006/relationships/hyperlink" Target="https://www.uc.pt/candidatos-internacionais/oportunidades/mobilidade-formacao" TargetMode="External"/><Relationship Id="rId1610" Type="http://schemas.openxmlformats.org/officeDocument/2006/relationships/hyperlink" Target="https://www.anahuac.mx/movilidad" TargetMode="External"/><Relationship Id="rId1611" Type="http://schemas.openxmlformats.org/officeDocument/2006/relationships/hyperlink" Target="http://www.anahuac.mx/" TargetMode="External"/><Relationship Id="rId1612" Type="http://schemas.openxmlformats.org/officeDocument/2006/relationships/hyperlink" Target="http://n/a" TargetMode="External"/><Relationship Id="rId1613" Type="http://schemas.openxmlformats.org/officeDocument/2006/relationships/hyperlink" Target="https://www.udg.mx/" TargetMode="External"/><Relationship Id="rId1614" Type="http://schemas.openxmlformats.org/officeDocument/2006/relationships/hyperlink" Target="http://n/a" TargetMode="External"/><Relationship Id="rId1615" Type="http://schemas.openxmlformats.org/officeDocument/2006/relationships/hyperlink" Target="https://ibero.mx/" TargetMode="External"/><Relationship Id="rId1616" Type="http://schemas.openxmlformats.org/officeDocument/2006/relationships/hyperlink" Target="https://internacional.ibero.mx/en/incoming-students/?_ga=2.61887724.1315224387.1729753695-1141839035.1729753695" TargetMode="External"/><Relationship Id="rId907" Type="http://schemas.openxmlformats.org/officeDocument/2006/relationships/hyperlink" Target="https://admissions.vcu.edu/apply-to-vcu/international/undergraduate/" TargetMode="External"/><Relationship Id="rId1617" Type="http://schemas.openxmlformats.org/officeDocument/2006/relationships/hyperlink" Target="https://internacional.ibero.mx/en/incoming-students/?_ga=2.61887724.1315224387.1729753695-1141839035.1729753695" TargetMode="External"/><Relationship Id="rId906" Type="http://schemas.openxmlformats.org/officeDocument/2006/relationships/hyperlink" Target="https://admissions.vcu.edu/apply-to-vcu/international/undergraduate/" TargetMode="External"/><Relationship Id="rId1618" Type="http://schemas.openxmlformats.org/officeDocument/2006/relationships/hyperlink" Target="https://www.iberopuebla.mx/" TargetMode="External"/><Relationship Id="rId905" Type="http://schemas.openxmlformats.org/officeDocument/2006/relationships/hyperlink" Target="https://www.vcu.edu/" TargetMode="External"/><Relationship Id="rId1619" Type="http://schemas.openxmlformats.org/officeDocument/2006/relationships/hyperlink" Target="http://n/a" TargetMode="External"/><Relationship Id="rId904" Type="http://schemas.openxmlformats.org/officeDocument/2006/relationships/hyperlink" Target="https://admissions.vcu.edu/apply-to-vcu/international/undergraduate/" TargetMode="External"/><Relationship Id="rId909" Type="http://schemas.openxmlformats.org/officeDocument/2006/relationships/hyperlink" Target="https://www.wichita.edu/admissions/international/toefl_ielts_req.php" TargetMode="External"/><Relationship Id="rId908" Type="http://schemas.openxmlformats.org/officeDocument/2006/relationships/hyperlink" Target="https://www.wichita.edu/" TargetMode="External"/><Relationship Id="rId903" Type="http://schemas.openxmlformats.org/officeDocument/2006/relationships/hyperlink" Target="https://admissions.vcu.edu/apply-to-vcu/international/undergraduate/" TargetMode="External"/><Relationship Id="rId902" Type="http://schemas.openxmlformats.org/officeDocument/2006/relationships/hyperlink" Target="https://www.vcu.edu/" TargetMode="External"/><Relationship Id="rId901" Type="http://schemas.openxmlformats.org/officeDocument/2006/relationships/hyperlink" Target="https://international.olemiss.edu/english-proficiency-requirements-11-2019/" TargetMode="External"/><Relationship Id="rId900" Type="http://schemas.openxmlformats.org/officeDocument/2006/relationships/hyperlink" Target="https://international.olemiss.edu/english-proficiency-requirements-11-2019/" TargetMode="External"/><Relationship Id="rId1600" Type="http://schemas.openxmlformats.org/officeDocument/2006/relationships/hyperlink" Target="https://www.iteso.mx/" TargetMode="External"/><Relationship Id="rId1601" Type="http://schemas.openxmlformats.org/officeDocument/2006/relationships/hyperlink" Target="https://uady.mx/" TargetMode="External"/><Relationship Id="rId1602" Type="http://schemas.openxmlformats.org/officeDocument/2006/relationships/hyperlink" Target="http://n/a" TargetMode="External"/><Relationship Id="rId1603" Type="http://schemas.openxmlformats.org/officeDocument/2006/relationships/hyperlink" Target="https://www.uaemex.mx/" TargetMode="External"/><Relationship Id="rId1604" Type="http://schemas.openxmlformats.org/officeDocument/2006/relationships/hyperlink" Target="http://n/a" TargetMode="External"/><Relationship Id="rId1605" Type="http://schemas.openxmlformats.org/officeDocument/2006/relationships/hyperlink" Target="https://www.uaemex.mx/" TargetMode="External"/><Relationship Id="rId1606" Type="http://schemas.openxmlformats.org/officeDocument/2006/relationships/hyperlink" Target="https://www.uaemex.mx/" TargetMode="External"/><Relationship Id="rId1607" Type="http://schemas.openxmlformats.org/officeDocument/2006/relationships/hyperlink" Target="https://www.uaemex.mx/" TargetMode="External"/><Relationship Id="rId1608" Type="http://schemas.openxmlformats.org/officeDocument/2006/relationships/hyperlink" Target="https://www.anahuac.mx/" TargetMode="External"/><Relationship Id="rId1609" Type="http://schemas.openxmlformats.org/officeDocument/2006/relationships/hyperlink" Target="https://www.anahuac.mx/movilidad" TargetMode="External"/><Relationship Id="rId1631" Type="http://schemas.openxmlformats.org/officeDocument/2006/relationships/hyperlink" Target="https://www.xochicalco.edu.mx/movilidad-estudiantil" TargetMode="External"/><Relationship Id="rId1632" Type="http://schemas.openxmlformats.org/officeDocument/2006/relationships/hyperlink" Target="https://www.xochicalco.edu.mx/movilidad-estudiantil" TargetMode="External"/><Relationship Id="rId1633" Type="http://schemas.openxmlformats.org/officeDocument/2006/relationships/hyperlink" Target="https://www.xochicalco.edu.mx/" TargetMode="External"/><Relationship Id="rId1634" Type="http://schemas.openxmlformats.org/officeDocument/2006/relationships/hyperlink" Target="http://n/a" TargetMode="External"/><Relationship Id="rId1635" Type="http://schemas.openxmlformats.org/officeDocument/2006/relationships/hyperlink" Target="https://www.xochicalco.edu.mx/" TargetMode="External"/><Relationship Id="rId1636" Type="http://schemas.openxmlformats.org/officeDocument/2006/relationships/hyperlink" Target="https://www.xochicalco.edu.mx/movilidad-estudiantil" TargetMode="External"/><Relationship Id="rId1637" Type="http://schemas.openxmlformats.org/officeDocument/2006/relationships/hyperlink" Target="https://www.xochicalco.edu.mx/movilidad-estudiantil" TargetMode="External"/><Relationship Id="rId1638" Type="http://schemas.openxmlformats.org/officeDocument/2006/relationships/hyperlink" Target="https://lasalle.mx/" TargetMode="External"/><Relationship Id="rId929" Type="http://schemas.openxmlformats.org/officeDocument/2006/relationships/hyperlink" Target="https://ut.ee/en" TargetMode="External"/><Relationship Id="rId1639" Type="http://schemas.openxmlformats.org/officeDocument/2006/relationships/hyperlink" Target="https://lasalle.mx/perfil/international-student/" TargetMode="External"/><Relationship Id="rId928" Type="http://schemas.openxmlformats.org/officeDocument/2006/relationships/hyperlink" Target="https://ebs.ee/en/international/incoming-students" TargetMode="External"/><Relationship Id="rId927" Type="http://schemas.openxmlformats.org/officeDocument/2006/relationships/hyperlink" Target="https://ebs.ee/en/international/incoming-students" TargetMode="External"/><Relationship Id="rId926" Type="http://schemas.openxmlformats.org/officeDocument/2006/relationships/hyperlink" Target="https://www.ebs.ee/en" TargetMode="External"/><Relationship Id="rId921" Type="http://schemas.openxmlformats.org/officeDocument/2006/relationships/hyperlink" Target="https://www.wichita.edu/admissions/international/toefl_ielts_req.php" TargetMode="External"/><Relationship Id="rId920" Type="http://schemas.openxmlformats.org/officeDocument/2006/relationships/hyperlink" Target="https://www.wichita.edu/" TargetMode="External"/><Relationship Id="rId925" Type="http://schemas.openxmlformats.org/officeDocument/2006/relationships/hyperlink" Target="https://www.winona.edu/admissions/apply/international/" TargetMode="External"/><Relationship Id="rId924" Type="http://schemas.openxmlformats.org/officeDocument/2006/relationships/hyperlink" Target="https://www.winona.edu/admissions/apply/international/" TargetMode="External"/><Relationship Id="rId923" Type="http://schemas.openxmlformats.org/officeDocument/2006/relationships/hyperlink" Target="https://www.winona.edu/" TargetMode="External"/><Relationship Id="rId922" Type="http://schemas.openxmlformats.org/officeDocument/2006/relationships/hyperlink" Target="https://www.wichita.edu/admissions/international/toefl_ielts_req.php" TargetMode="External"/><Relationship Id="rId1630" Type="http://schemas.openxmlformats.org/officeDocument/2006/relationships/hyperlink" Target="https://www.xochicalco.edu.mx/" TargetMode="External"/><Relationship Id="rId1620" Type="http://schemas.openxmlformats.org/officeDocument/2006/relationships/hyperlink" Target="https://www.iberopuebla.mx/" TargetMode="External"/><Relationship Id="rId1621" Type="http://schemas.openxmlformats.org/officeDocument/2006/relationships/hyperlink" Target="https://www.iberopuebla.mx/" TargetMode="External"/><Relationship Id="rId1622" Type="http://schemas.openxmlformats.org/officeDocument/2006/relationships/hyperlink" Target="https://www.iberopuebla.mx/" TargetMode="External"/><Relationship Id="rId1623" Type="http://schemas.openxmlformats.org/officeDocument/2006/relationships/hyperlink" Target="https://www.iberopuebla.mx/" TargetMode="External"/><Relationship Id="rId1624" Type="http://schemas.openxmlformats.org/officeDocument/2006/relationships/hyperlink" Target="https://www.iberopuebla.mx/" TargetMode="External"/><Relationship Id="rId1625" Type="http://schemas.openxmlformats.org/officeDocument/2006/relationships/hyperlink" Target="https://www.iberopuebla.mx/" TargetMode="External"/><Relationship Id="rId1626" Type="http://schemas.openxmlformats.org/officeDocument/2006/relationships/hyperlink" Target="https://www.iberopuebla.mx/" TargetMode="External"/><Relationship Id="rId1627" Type="http://schemas.openxmlformats.org/officeDocument/2006/relationships/hyperlink" Target="http://n/a" TargetMode="External"/><Relationship Id="rId918" Type="http://schemas.openxmlformats.org/officeDocument/2006/relationships/hyperlink" Target="https://www.wichita.edu/admissions/international/toefl_ielts_req.php" TargetMode="External"/><Relationship Id="rId1628" Type="http://schemas.openxmlformats.org/officeDocument/2006/relationships/hyperlink" Target="https://tecmilenio.mx/es" TargetMode="External"/><Relationship Id="rId917" Type="http://schemas.openxmlformats.org/officeDocument/2006/relationships/hyperlink" Target="https://www.wichita.edu/" TargetMode="External"/><Relationship Id="rId1629" Type="http://schemas.openxmlformats.org/officeDocument/2006/relationships/hyperlink" Target="http://n/a" TargetMode="External"/><Relationship Id="rId916" Type="http://schemas.openxmlformats.org/officeDocument/2006/relationships/hyperlink" Target="https://www.wichita.edu/admissions/international/toefl_ielts_req.php" TargetMode="External"/><Relationship Id="rId915" Type="http://schemas.openxmlformats.org/officeDocument/2006/relationships/hyperlink" Target="https://www.wichita.edu/admissions/international/toefl_ielts_req.php" TargetMode="External"/><Relationship Id="rId919" Type="http://schemas.openxmlformats.org/officeDocument/2006/relationships/hyperlink" Target="https://www.wichita.edu/admissions/international/toefl_ielts_req.php" TargetMode="External"/><Relationship Id="rId910" Type="http://schemas.openxmlformats.org/officeDocument/2006/relationships/hyperlink" Target="https://www.wichita.edu/admissions/international/toefl_ielts_req.php" TargetMode="External"/><Relationship Id="rId914" Type="http://schemas.openxmlformats.org/officeDocument/2006/relationships/hyperlink" Target="https://www.wichita.edu/" TargetMode="External"/><Relationship Id="rId913" Type="http://schemas.openxmlformats.org/officeDocument/2006/relationships/hyperlink" Target="https://www.wichita.edu/admissions/international/toefl_ielts_req.php" TargetMode="External"/><Relationship Id="rId912" Type="http://schemas.openxmlformats.org/officeDocument/2006/relationships/hyperlink" Target="https://www.wichita.edu/admissions/international/toefl_ielts_req.php" TargetMode="External"/><Relationship Id="rId911" Type="http://schemas.openxmlformats.org/officeDocument/2006/relationships/hyperlink" Target="https://www.wichita.edu/" TargetMode="External"/><Relationship Id="rId1213" Type="http://schemas.openxmlformats.org/officeDocument/2006/relationships/hyperlink" Target="https://edu.unideb.hu/" TargetMode="External"/><Relationship Id="rId1697" Type="http://schemas.openxmlformats.org/officeDocument/2006/relationships/hyperlink" Target="https://apps.unive.it/common2/file/download/destinazioni_erasmus/63eb8740a28ec" TargetMode="External"/><Relationship Id="rId1214" Type="http://schemas.openxmlformats.org/officeDocument/2006/relationships/hyperlink" Target="https://edu.unideb.hu/p/international-study-semester-program" TargetMode="External"/><Relationship Id="rId1698" Type="http://schemas.openxmlformats.org/officeDocument/2006/relationships/hyperlink" Target="https://apps.unive.it/common2/file/download/destinazioni_erasmus/63eb8740a28ec" TargetMode="External"/><Relationship Id="rId1215" Type="http://schemas.openxmlformats.org/officeDocument/2006/relationships/hyperlink" Target="https://edu.unideb.hu/p/international-study-semester-program" TargetMode="External"/><Relationship Id="rId1699" Type="http://schemas.openxmlformats.org/officeDocument/2006/relationships/hyperlink" Target="https://www.vid.no/en/" TargetMode="External"/><Relationship Id="rId1216" Type="http://schemas.openxmlformats.org/officeDocument/2006/relationships/hyperlink" Target="https://u-szeged.hu/english" TargetMode="External"/><Relationship Id="rId1217" Type="http://schemas.openxmlformats.org/officeDocument/2006/relationships/hyperlink" Target="https://www.fergusson.edu/article/page/id/78" TargetMode="External"/><Relationship Id="rId1218" Type="http://schemas.openxmlformats.org/officeDocument/2006/relationships/hyperlink" Target="https://www.fergusson.edu/article/page/id/78" TargetMode="External"/><Relationship Id="rId1219" Type="http://schemas.openxmlformats.org/officeDocument/2006/relationships/hyperlink" Target="https://www.nsb.edu.in/the-exchange-program.php" TargetMode="External"/><Relationship Id="rId866" Type="http://schemas.openxmlformats.org/officeDocument/2006/relationships/hyperlink" Target="https://international.olemiss.edu/english-proficiency-requirements-11-2019/" TargetMode="External"/><Relationship Id="rId865" Type="http://schemas.openxmlformats.org/officeDocument/2006/relationships/hyperlink" Target="https://olemiss.edu/" TargetMode="External"/><Relationship Id="rId864" Type="http://schemas.openxmlformats.org/officeDocument/2006/relationships/hyperlink" Target="https://international.olemiss.edu/english-proficiency-requirements-11-2019/" TargetMode="External"/><Relationship Id="rId863" Type="http://schemas.openxmlformats.org/officeDocument/2006/relationships/hyperlink" Target="https://international.olemiss.edu/english-proficiency-requirements-11-2019/" TargetMode="External"/><Relationship Id="rId869" Type="http://schemas.openxmlformats.org/officeDocument/2006/relationships/hyperlink" Target="https://international.olemiss.edu/english-proficiency-requirements-11-2019/" TargetMode="External"/><Relationship Id="rId868" Type="http://schemas.openxmlformats.org/officeDocument/2006/relationships/hyperlink" Target="https://olemiss.edu/" TargetMode="External"/><Relationship Id="rId867" Type="http://schemas.openxmlformats.org/officeDocument/2006/relationships/hyperlink" Target="https://international.olemiss.edu/english-proficiency-requirements-11-2019/" TargetMode="External"/><Relationship Id="rId1690" Type="http://schemas.openxmlformats.org/officeDocument/2006/relationships/hyperlink" Target="https://www.uis.no/en" TargetMode="External"/><Relationship Id="rId1691" Type="http://schemas.openxmlformats.org/officeDocument/2006/relationships/hyperlink" Target="https://apps.unive.it/common2/file/download/destinazioni_erasmus/63eb8740a28ec" TargetMode="External"/><Relationship Id="rId1692" Type="http://schemas.openxmlformats.org/officeDocument/2006/relationships/hyperlink" Target="https://apps.unive.it/common2/file/download/destinazioni_erasmus/63eb8740a28ec" TargetMode="External"/><Relationship Id="rId862" Type="http://schemas.openxmlformats.org/officeDocument/2006/relationships/hyperlink" Target="https://olemiss.edu/" TargetMode="External"/><Relationship Id="rId1693" Type="http://schemas.openxmlformats.org/officeDocument/2006/relationships/hyperlink" Target="https://www.uis.no/en" TargetMode="External"/><Relationship Id="rId861" Type="http://schemas.openxmlformats.org/officeDocument/2006/relationships/hyperlink" Target="https://udayton.edu/apply/international/index.php" TargetMode="External"/><Relationship Id="rId1210" Type="http://schemas.openxmlformats.org/officeDocument/2006/relationships/hyperlink" Target="https://u-szeged.hu/english" TargetMode="External"/><Relationship Id="rId1694" Type="http://schemas.openxmlformats.org/officeDocument/2006/relationships/hyperlink" Target="https://apps.unive.it/common2/file/download/destinazioni_erasmus/63eb8740a28ec" TargetMode="External"/><Relationship Id="rId860" Type="http://schemas.openxmlformats.org/officeDocument/2006/relationships/hyperlink" Target="https://udayton.edu/apply/international/index.php" TargetMode="External"/><Relationship Id="rId1211" Type="http://schemas.openxmlformats.org/officeDocument/2006/relationships/hyperlink" Target="http://www2.u-szeged.hu/erasmus/letolt/leaflet_2022_exchange.pdf" TargetMode="External"/><Relationship Id="rId1695" Type="http://schemas.openxmlformats.org/officeDocument/2006/relationships/hyperlink" Target="https://apps.unive.it/common2/file/download/destinazioni_erasmus/63eb8740a28ec" TargetMode="External"/><Relationship Id="rId1212" Type="http://schemas.openxmlformats.org/officeDocument/2006/relationships/hyperlink" Target="http://www2.u-szeged.hu/erasmus/letolt/leaflet_2022_exchange.pdf" TargetMode="External"/><Relationship Id="rId1696" Type="http://schemas.openxmlformats.org/officeDocument/2006/relationships/hyperlink" Target="https://www.uis.no/en" TargetMode="External"/><Relationship Id="rId1202" Type="http://schemas.openxmlformats.org/officeDocument/2006/relationships/hyperlink" Target="https://www.ajk.elte.hu/en/studying_here/application" TargetMode="External"/><Relationship Id="rId1686" Type="http://schemas.openxmlformats.org/officeDocument/2006/relationships/hyperlink" Target="https://www.uia.no/en/studies/exchange-students/english-proficiency-requirements-for-exchange-students" TargetMode="External"/><Relationship Id="rId1203" Type="http://schemas.openxmlformats.org/officeDocument/2006/relationships/hyperlink" Target="https://www.ajk.elte.hu/en/studying_here/application" TargetMode="External"/><Relationship Id="rId1687" Type="http://schemas.openxmlformats.org/officeDocument/2006/relationships/hyperlink" Target="https://www.uio.no/english/" TargetMode="External"/><Relationship Id="rId1204" Type="http://schemas.openxmlformats.org/officeDocument/2006/relationships/hyperlink" Target="https://www.elte.hu/en/" TargetMode="External"/><Relationship Id="rId1688" Type="http://schemas.openxmlformats.org/officeDocument/2006/relationships/hyperlink" Target="https://www.uio.no/english/studies/admission/exchange/english-requirements.html" TargetMode="External"/><Relationship Id="rId1205" Type="http://schemas.openxmlformats.org/officeDocument/2006/relationships/hyperlink" Target="https://www.ajk.elte.hu/en/studying_here/application" TargetMode="External"/><Relationship Id="rId1689" Type="http://schemas.openxmlformats.org/officeDocument/2006/relationships/hyperlink" Target="https://www.uio.no/english/studies/admission/exchange/english-requirements.html" TargetMode="External"/><Relationship Id="rId1206" Type="http://schemas.openxmlformats.org/officeDocument/2006/relationships/hyperlink" Target="https://www.ajk.elte.hu/en/studying_here/application" TargetMode="External"/><Relationship Id="rId1207" Type="http://schemas.openxmlformats.org/officeDocument/2006/relationships/hyperlink" Target="https://u-szeged.hu/english" TargetMode="External"/><Relationship Id="rId1208" Type="http://schemas.openxmlformats.org/officeDocument/2006/relationships/hyperlink" Target="http://www2.u-szeged.hu/erasmus/letolt/leaflet_2022_exchange.pdf" TargetMode="External"/><Relationship Id="rId1209" Type="http://schemas.openxmlformats.org/officeDocument/2006/relationships/hyperlink" Target="http://www2.u-szeged.hu/erasmus/letolt/leaflet_2022_exchange.pdf" TargetMode="External"/><Relationship Id="rId855" Type="http://schemas.openxmlformats.org/officeDocument/2006/relationships/hyperlink" Target="https://admissions.utexas.edu/info-for/international-students/" TargetMode="External"/><Relationship Id="rId854" Type="http://schemas.openxmlformats.org/officeDocument/2006/relationships/hyperlink" Target="https://admissions.utexas.edu/info-for/international-students/" TargetMode="External"/><Relationship Id="rId853" Type="http://schemas.openxmlformats.org/officeDocument/2006/relationships/hyperlink" Target="https://www.utexas.edu/" TargetMode="External"/><Relationship Id="rId852" Type="http://schemas.openxmlformats.org/officeDocument/2006/relationships/hyperlink" Target="https://www.saintpeters.edu/international/apply-to-an-undergraduate-program/" TargetMode="External"/><Relationship Id="rId859" Type="http://schemas.openxmlformats.org/officeDocument/2006/relationships/hyperlink" Target="https://udayton.edu/" TargetMode="External"/><Relationship Id="rId858" Type="http://schemas.openxmlformats.org/officeDocument/2006/relationships/hyperlink" Target="https://www.uc.edu/" TargetMode="External"/><Relationship Id="rId857" Type="http://schemas.openxmlformats.org/officeDocument/2006/relationships/hyperlink" Target="https://www.uc.edu/" TargetMode="External"/><Relationship Id="rId856" Type="http://schemas.openxmlformats.org/officeDocument/2006/relationships/hyperlink" Target="https://www.uc.edu/" TargetMode="External"/><Relationship Id="rId1680" Type="http://schemas.openxmlformats.org/officeDocument/2006/relationships/hyperlink" Target="https://www.uia.no/en/studies/exchange-students/english-proficiency-requirements-for-exchange-students" TargetMode="External"/><Relationship Id="rId1681" Type="http://schemas.openxmlformats.org/officeDocument/2006/relationships/hyperlink" Target="https://www.uia.no/en" TargetMode="External"/><Relationship Id="rId851" Type="http://schemas.openxmlformats.org/officeDocument/2006/relationships/hyperlink" Target="https://www.saintpeters.edu/international/apply-to-an-undergraduate-program/" TargetMode="External"/><Relationship Id="rId1682" Type="http://schemas.openxmlformats.org/officeDocument/2006/relationships/hyperlink" Target="https://www.uia.no/en/studies/exchange-students/english-proficiency-requirements-for-exchange-students" TargetMode="External"/><Relationship Id="rId850" Type="http://schemas.openxmlformats.org/officeDocument/2006/relationships/hyperlink" Target="https://www.saintpeters.edu/" TargetMode="External"/><Relationship Id="rId1683" Type="http://schemas.openxmlformats.org/officeDocument/2006/relationships/hyperlink" Target="https://www.uia.no/en/studies/exchange-students/english-proficiency-requirements-for-exchange-students" TargetMode="External"/><Relationship Id="rId2530" Type="http://schemas.openxmlformats.org/officeDocument/2006/relationships/drawing" Target="../drawings/drawing1.xml"/><Relationship Id="rId1200" Type="http://schemas.openxmlformats.org/officeDocument/2006/relationships/hyperlink" Target="https://www.uni-corvinus.hu/main-page/hello-corvinus/how-to-apply/ba-and-bsc-programs-application-informations/?lang=en" TargetMode="External"/><Relationship Id="rId1684" Type="http://schemas.openxmlformats.org/officeDocument/2006/relationships/hyperlink" Target="https://www.uia.no/en" TargetMode="External"/><Relationship Id="rId1201" Type="http://schemas.openxmlformats.org/officeDocument/2006/relationships/hyperlink" Target="https://www.elte.hu/en/" TargetMode="External"/><Relationship Id="rId1685" Type="http://schemas.openxmlformats.org/officeDocument/2006/relationships/hyperlink" Target="https://www.uia.no/en/studies/exchange-students/english-proficiency-requirements-for-exchange-students" TargetMode="External"/><Relationship Id="rId1235" Type="http://schemas.openxmlformats.org/officeDocument/2006/relationships/hyperlink" Target="https://www.ncirl.ie/English-Language-Requirements-International" TargetMode="External"/><Relationship Id="rId1236" Type="http://schemas.openxmlformats.org/officeDocument/2006/relationships/hyperlink" Target="https://www.maynoothuniversity.ie/" TargetMode="External"/><Relationship Id="rId1237" Type="http://schemas.openxmlformats.org/officeDocument/2006/relationships/hyperlink" Target="https://www.maynoothuniversity.ie/sites/default/files/assets/document/MU%20Factsheet%2024-25%20Updated.pdf" TargetMode="External"/><Relationship Id="rId1238" Type="http://schemas.openxmlformats.org/officeDocument/2006/relationships/hyperlink" Target="https://www.maynoothuniversity.ie/sites/default/files/assets/document/MU%20Factsheet%2024-25%20Updated.pdf" TargetMode="External"/><Relationship Id="rId1239" Type="http://schemas.openxmlformats.org/officeDocument/2006/relationships/hyperlink" Target="https://www.universityofgalway.ie/" TargetMode="External"/><Relationship Id="rId409" Type="http://schemas.openxmlformats.org/officeDocument/2006/relationships/hyperlink" Target="http://www.unisinos.br/global/images/parcerias/factsheet-Unisinos-University-2022.pdf" TargetMode="External"/><Relationship Id="rId404" Type="http://schemas.openxmlformats.org/officeDocument/2006/relationships/hyperlink" Target="https://www.unisinos.br/" TargetMode="External"/><Relationship Id="rId888" Type="http://schemas.openxmlformats.org/officeDocument/2006/relationships/hyperlink" Target="https://international.olemiss.edu/english-proficiency-requirements-11-2019/" TargetMode="External"/><Relationship Id="rId403" Type="http://schemas.openxmlformats.org/officeDocument/2006/relationships/hyperlink" Target="http://www.unisinos.br/global/images/parcerias/factsheet-Unisinos-University-2022.pdf" TargetMode="External"/><Relationship Id="rId887" Type="http://schemas.openxmlformats.org/officeDocument/2006/relationships/hyperlink" Target="https://www.stthom.edu/Home/Index.aqf" TargetMode="External"/><Relationship Id="rId402" Type="http://schemas.openxmlformats.org/officeDocument/2006/relationships/hyperlink" Target="http://www.unisinos.br/global/images/parcerias/factsheet-Unisinos-University-2022.pdf" TargetMode="External"/><Relationship Id="rId886" Type="http://schemas.openxmlformats.org/officeDocument/2006/relationships/hyperlink" Target="https://www.scu.edu/globalengagement/study-abroad/incoming-exchange/" TargetMode="External"/><Relationship Id="rId401" Type="http://schemas.openxmlformats.org/officeDocument/2006/relationships/hyperlink" Target="https://www.unisinos.br/" TargetMode="External"/><Relationship Id="rId885" Type="http://schemas.openxmlformats.org/officeDocument/2006/relationships/hyperlink" Target="https://www.scu.edu/globalengagement/study-abroad/incoming-exchange/" TargetMode="External"/><Relationship Id="rId408" Type="http://schemas.openxmlformats.org/officeDocument/2006/relationships/hyperlink" Target="http://www.unisinos.br/global/images/parcerias/factsheet-Unisinos-University-2022.pdf" TargetMode="External"/><Relationship Id="rId407" Type="http://schemas.openxmlformats.org/officeDocument/2006/relationships/hyperlink" Target="https://www.unisinos.br/" TargetMode="External"/><Relationship Id="rId406" Type="http://schemas.openxmlformats.org/officeDocument/2006/relationships/hyperlink" Target="https://www.unisinos.br/" TargetMode="External"/><Relationship Id="rId405" Type="http://schemas.openxmlformats.org/officeDocument/2006/relationships/hyperlink" Target="https://www.unisinos.br/" TargetMode="External"/><Relationship Id="rId889" Type="http://schemas.openxmlformats.org/officeDocument/2006/relationships/hyperlink" Target="https://international.olemiss.edu/english-proficiency-requirements-11-2019/" TargetMode="External"/><Relationship Id="rId880" Type="http://schemas.openxmlformats.org/officeDocument/2006/relationships/hyperlink" Target="https://international.richmond.edu/international-students/apply/exchange.html" TargetMode="External"/><Relationship Id="rId1230" Type="http://schemas.openxmlformats.org/officeDocument/2006/relationships/hyperlink" Target="https://www.ncirl.ie/" TargetMode="External"/><Relationship Id="rId400" Type="http://schemas.openxmlformats.org/officeDocument/2006/relationships/hyperlink" Target="https://www.grupotiradentes.com/international/" TargetMode="External"/><Relationship Id="rId884" Type="http://schemas.openxmlformats.org/officeDocument/2006/relationships/hyperlink" Target="https://www.scu.edu/" TargetMode="External"/><Relationship Id="rId1231" Type="http://schemas.openxmlformats.org/officeDocument/2006/relationships/hyperlink" Target="https://www.ncirl.ie/English-Language-Requirements-International" TargetMode="External"/><Relationship Id="rId883" Type="http://schemas.openxmlformats.org/officeDocument/2006/relationships/hyperlink" Target="https://www.scu.edu/globalengagement/study-abroad/incoming-exchange/" TargetMode="External"/><Relationship Id="rId1232" Type="http://schemas.openxmlformats.org/officeDocument/2006/relationships/hyperlink" Target="https://www.ncirl.ie/English-Language-Requirements-International" TargetMode="External"/><Relationship Id="rId882" Type="http://schemas.openxmlformats.org/officeDocument/2006/relationships/hyperlink" Target="https://www.scu.edu/globalengagement/study-abroad/incoming-exchange/" TargetMode="External"/><Relationship Id="rId1233" Type="http://schemas.openxmlformats.org/officeDocument/2006/relationships/hyperlink" Target="https://www.ncirl.ie/" TargetMode="External"/><Relationship Id="rId881" Type="http://schemas.openxmlformats.org/officeDocument/2006/relationships/hyperlink" Target="https://www.scu.edu/" TargetMode="External"/><Relationship Id="rId1234" Type="http://schemas.openxmlformats.org/officeDocument/2006/relationships/hyperlink" Target="https://www.ncirl.ie/English-Language-Requirements-International" TargetMode="External"/><Relationship Id="rId1224" Type="http://schemas.openxmlformats.org/officeDocument/2006/relationships/hyperlink" Target="https://www.dcu.ie/" TargetMode="External"/><Relationship Id="rId1225" Type="http://schemas.openxmlformats.org/officeDocument/2006/relationships/hyperlink" Target="https://www.dcu.ie/registry/english-language-requirements-non-native-speakers-english-registry" TargetMode="External"/><Relationship Id="rId1226" Type="http://schemas.openxmlformats.org/officeDocument/2006/relationships/hyperlink" Target="https://www.dcu.ie/registry/english-language-requirements-non-native-speakers-english-registry" TargetMode="External"/><Relationship Id="rId1227" Type="http://schemas.openxmlformats.org/officeDocument/2006/relationships/hyperlink" Target="https://www.ul.ie/business" TargetMode="External"/><Relationship Id="rId1228" Type="http://schemas.openxmlformats.org/officeDocument/2006/relationships/hyperlink" Target="https://www.ul.ie/global/incoming-students/need-know-information/english-language-requirements" TargetMode="External"/><Relationship Id="rId1229" Type="http://schemas.openxmlformats.org/officeDocument/2006/relationships/hyperlink" Target="https://www.ul.ie/global/incoming-students/need-know-information/english-language-requirements" TargetMode="External"/><Relationship Id="rId877" Type="http://schemas.openxmlformats.org/officeDocument/2006/relationships/hyperlink" Target="https://www.richmond.edu/" TargetMode="External"/><Relationship Id="rId876" Type="http://schemas.openxmlformats.org/officeDocument/2006/relationships/hyperlink" Target="https://international.richmond.edu/international-students/apply/exchange.html" TargetMode="External"/><Relationship Id="rId875" Type="http://schemas.openxmlformats.org/officeDocument/2006/relationships/hyperlink" Target="https://international.richmond.edu/international-students/apply/exchange.html" TargetMode="External"/><Relationship Id="rId874" Type="http://schemas.openxmlformats.org/officeDocument/2006/relationships/hyperlink" Target="https://www.richmond.edu/" TargetMode="External"/><Relationship Id="rId879" Type="http://schemas.openxmlformats.org/officeDocument/2006/relationships/hyperlink" Target="https://international.richmond.edu/international-students/apply/exchange.html" TargetMode="External"/><Relationship Id="rId878" Type="http://schemas.openxmlformats.org/officeDocument/2006/relationships/hyperlink" Target="https://www.richmond.edu/" TargetMode="External"/><Relationship Id="rId873" Type="http://schemas.openxmlformats.org/officeDocument/2006/relationships/hyperlink" Target="https://international.olemiss.edu/english-proficiency-requirements-11-2019/" TargetMode="External"/><Relationship Id="rId1220" Type="http://schemas.openxmlformats.org/officeDocument/2006/relationships/hyperlink" Target="https://www.nsb.edu.in/the-exchange-program.php" TargetMode="External"/><Relationship Id="rId872" Type="http://schemas.openxmlformats.org/officeDocument/2006/relationships/hyperlink" Target="https://international.olemiss.edu/english-proficiency-requirements-11-2019/" TargetMode="External"/><Relationship Id="rId1221" Type="http://schemas.openxmlformats.org/officeDocument/2006/relationships/hyperlink" Target="https://www.dcu.ie/" TargetMode="External"/><Relationship Id="rId871" Type="http://schemas.openxmlformats.org/officeDocument/2006/relationships/hyperlink" Target="https://olemiss.edu/" TargetMode="External"/><Relationship Id="rId1222" Type="http://schemas.openxmlformats.org/officeDocument/2006/relationships/hyperlink" Target="https://www.dcu.ie/registry/english-language-requirements-non-native-speakers-english-registry" TargetMode="External"/><Relationship Id="rId870" Type="http://schemas.openxmlformats.org/officeDocument/2006/relationships/hyperlink" Target="https://international.olemiss.edu/english-proficiency-requirements-11-2019/" TargetMode="External"/><Relationship Id="rId1223" Type="http://schemas.openxmlformats.org/officeDocument/2006/relationships/hyperlink" Target="https://www.dcu.ie/registry/english-language-requirements-non-native-speakers-english-registry" TargetMode="External"/><Relationship Id="rId1653" Type="http://schemas.openxmlformats.org/officeDocument/2006/relationships/hyperlink" Target="http://n/a" TargetMode="External"/><Relationship Id="rId2500" Type="http://schemas.openxmlformats.org/officeDocument/2006/relationships/hyperlink" Target="https://www.metu.edu.tr/" TargetMode="External"/><Relationship Id="rId1654" Type="http://schemas.openxmlformats.org/officeDocument/2006/relationships/hyperlink" Target="https://eng.inn.no/" TargetMode="External"/><Relationship Id="rId2501" Type="http://schemas.openxmlformats.org/officeDocument/2006/relationships/hyperlink" Target="https://iso.metu.edu.tr/en/english-proficiency" TargetMode="External"/><Relationship Id="rId1655" Type="http://schemas.openxmlformats.org/officeDocument/2006/relationships/hyperlink" Target="https://www.inn.no/english/study-options/incoming-exchange-students/application-process/how-to-submit-an-application-for-your-exchange/" TargetMode="External"/><Relationship Id="rId2502" Type="http://schemas.openxmlformats.org/officeDocument/2006/relationships/hyperlink" Target="https://iso.metu.edu.tr/en/english-proficiency" TargetMode="External"/><Relationship Id="rId1656" Type="http://schemas.openxmlformats.org/officeDocument/2006/relationships/hyperlink" Target="https://www.inn.no/english/study-options/incoming-exchange-students/application-process/how-to-submit-an-application-for-your-exchange/" TargetMode="External"/><Relationship Id="rId2503" Type="http://schemas.openxmlformats.org/officeDocument/2006/relationships/hyperlink" Target="https://www.metu.edu.tr/" TargetMode="External"/><Relationship Id="rId1657" Type="http://schemas.openxmlformats.org/officeDocument/2006/relationships/hyperlink" Target="https://eng.inn.no/" TargetMode="External"/><Relationship Id="rId2504" Type="http://schemas.openxmlformats.org/officeDocument/2006/relationships/hyperlink" Target="https://iso.metu.edu.tr/en/english-proficiency" TargetMode="External"/><Relationship Id="rId1658" Type="http://schemas.openxmlformats.org/officeDocument/2006/relationships/hyperlink" Target="https://www.inn.no/english/study-options/incoming-exchange-students/application-process/how-to-submit-an-application-for-your-exchange/" TargetMode="External"/><Relationship Id="rId2505" Type="http://schemas.openxmlformats.org/officeDocument/2006/relationships/hyperlink" Target="https://www.nisantasi.edu.tr/index?dil=eng" TargetMode="External"/><Relationship Id="rId1659" Type="http://schemas.openxmlformats.org/officeDocument/2006/relationships/hyperlink" Target="https://www.inn.no/english/study-options/incoming-exchange-students/application-process/how-to-submit-an-application-for-your-exchange/" TargetMode="External"/><Relationship Id="rId2506" Type="http://schemas.openxmlformats.org/officeDocument/2006/relationships/hyperlink" Target="https://www.nisantasi.edu.tr/dosyalar/international-file/information_guide_for_exchange_students_nisantasi_university-compressed.pdf" TargetMode="External"/><Relationship Id="rId2507" Type="http://schemas.openxmlformats.org/officeDocument/2006/relationships/hyperlink" Target="https://www.pau.edu.tr/pau/en" TargetMode="External"/><Relationship Id="rId2508" Type="http://schemas.openxmlformats.org/officeDocument/2006/relationships/hyperlink" Target="https://www.pau.edu.tr/ulikeskisite/en/sayfa/incoming-students-2" TargetMode="External"/><Relationship Id="rId829" Type="http://schemas.openxmlformats.org/officeDocument/2006/relationships/hyperlink" Target="https://regents.umich.edu/" TargetMode="External"/><Relationship Id="rId2509" Type="http://schemas.openxmlformats.org/officeDocument/2006/relationships/hyperlink" Target="https://www.yasar.edu.tr/en/" TargetMode="External"/><Relationship Id="rId828" Type="http://schemas.openxmlformats.org/officeDocument/2006/relationships/hyperlink" Target="https://www.mnsu.edu/future-students/international-admissions/international-bachelors-students/international-admissions-checklist/" TargetMode="External"/><Relationship Id="rId827" Type="http://schemas.openxmlformats.org/officeDocument/2006/relationships/hyperlink" Target="https://www.mnsu.edu/future-students/international-admissions/international-bachelors-students/international-admissions-checklist/" TargetMode="External"/><Relationship Id="rId822" Type="http://schemas.openxmlformats.org/officeDocument/2006/relationships/hyperlink" Target="https://www.mnsu.edu/future-students/international-admissions/international-bachelors-students/international-admissions-checklist/" TargetMode="External"/><Relationship Id="rId821" Type="http://schemas.openxmlformats.org/officeDocument/2006/relationships/hyperlink" Target="https://www.mnsu.edu/future-students/international-admissions/international-bachelors-students/international-admissions-checklist/" TargetMode="External"/><Relationship Id="rId820" Type="http://schemas.openxmlformats.org/officeDocument/2006/relationships/hyperlink" Target="https://www.mnsu.edu/" TargetMode="External"/><Relationship Id="rId826" Type="http://schemas.openxmlformats.org/officeDocument/2006/relationships/hyperlink" Target="https://www.mnsu.edu/" TargetMode="External"/><Relationship Id="rId825" Type="http://schemas.openxmlformats.org/officeDocument/2006/relationships/hyperlink" Target="https://www.mnsu.edu/future-students/international-admissions/international-bachelors-students/international-admissions-checklist/" TargetMode="External"/><Relationship Id="rId824" Type="http://schemas.openxmlformats.org/officeDocument/2006/relationships/hyperlink" Target="https://www.mnsu.edu/future-students/international-admissions/international-bachelors-students/international-admissions-checklist/" TargetMode="External"/><Relationship Id="rId823" Type="http://schemas.openxmlformats.org/officeDocument/2006/relationships/hyperlink" Target="https://www.mnsu.edu/" TargetMode="External"/><Relationship Id="rId1650" Type="http://schemas.openxmlformats.org/officeDocument/2006/relationships/hyperlink" Target="https://www.iberotorreon.mx/publico/actividades-estudiantiles.php" TargetMode="External"/><Relationship Id="rId1651" Type="http://schemas.openxmlformats.org/officeDocument/2006/relationships/hyperlink" Target="https://www.iberotorreon.mx/publico/actividades-estudiantiles.php" TargetMode="External"/><Relationship Id="rId1652" Type="http://schemas.openxmlformats.org/officeDocument/2006/relationships/hyperlink" Target="https://www.uca.edu.ni/" TargetMode="External"/><Relationship Id="rId1642" Type="http://schemas.openxmlformats.org/officeDocument/2006/relationships/hyperlink" Target="https://www.iberotorreon.mx/publico/index.php" TargetMode="External"/><Relationship Id="rId1643" Type="http://schemas.openxmlformats.org/officeDocument/2006/relationships/hyperlink" Target="https://www.iberotorreon.mx/publico/actividades-estudiantiles.php" TargetMode="External"/><Relationship Id="rId1644" Type="http://schemas.openxmlformats.org/officeDocument/2006/relationships/hyperlink" Target="https://www.iberotorreon.mx/publico/actividades-estudiantiles.php" TargetMode="External"/><Relationship Id="rId1645" Type="http://schemas.openxmlformats.org/officeDocument/2006/relationships/hyperlink" Target="https://www.iberotorreon.mx/publico/index.php" TargetMode="External"/><Relationship Id="rId1646" Type="http://schemas.openxmlformats.org/officeDocument/2006/relationships/hyperlink" Target="https://www.iberotorreon.mx/publico/actividades-estudiantiles.php" TargetMode="External"/><Relationship Id="rId1647" Type="http://schemas.openxmlformats.org/officeDocument/2006/relationships/hyperlink" Target="https://www.iberotorreon.mx/publico/actividades-estudiantiles.php" TargetMode="External"/><Relationship Id="rId1648" Type="http://schemas.openxmlformats.org/officeDocument/2006/relationships/hyperlink" Target="https://www.iberotorreon.mx/publico/index.php" TargetMode="External"/><Relationship Id="rId1649" Type="http://schemas.openxmlformats.org/officeDocument/2006/relationships/hyperlink" Target="https://www.iberotorreon.mx/publico/index.php" TargetMode="External"/><Relationship Id="rId819" Type="http://schemas.openxmlformats.org/officeDocument/2006/relationships/hyperlink" Target="https://www.luc.edu/isss/studentresources/j-1exchangestudents/" TargetMode="External"/><Relationship Id="rId818" Type="http://schemas.openxmlformats.org/officeDocument/2006/relationships/hyperlink" Target="https://www.luc.edu/isss/studentresources/j-1exchangestudents/" TargetMode="External"/><Relationship Id="rId817" Type="http://schemas.openxmlformats.org/officeDocument/2006/relationships/hyperlink" Target="https://www.luc.edu/" TargetMode="External"/><Relationship Id="rId816" Type="http://schemas.openxmlformats.org/officeDocument/2006/relationships/hyperlink" Target="https://www.luc.edu/isss/studentresources/j-1exchangestudents/" TargetMode="External"/><Relationship Id="rId811" Type="http://schemas.openxmlformats.org/officeDocument/2006/relationships/hyperlink" Target="https://www.gvsu.edu/" TargetMode="External"/><Relationship Id="rId810" Type="http://schemas.openxmlformats.org/officeDocument/2006/relationships/hyperlink" Target="https://www.gvsu.edu/admissions/international-undergraduate-admissions-requirements-37.htm" TargetMode="External"/><Relationship Id="rId815" Type="http://schemas.openxmlformats.org/officeDocument/2006/relationships/hyperlink" Target="https://www.luc.edu/isss/studentresources/j-1exchangestudents/" TargetMode="External"/><Relationship Id="rId814" Type="http://schemas.openxmlformats.org/officeDocument/2006/relationships/hyperlink" Target="https://www.luc.edu/" TargetMode="External"/><Relationship Id="rId813" Type="http://schemas.openxmlformats.org/officeDocument/2006/relationships/hyperlink" Target="https://www.gvsu.edu/admissions/international-undergraduate-admissions-requirements-37.htm" TargetMode="External"/><Relationship Id="rId812" Type="http://schemas.openxmlformats.org/officeDocument/2006/relationships/hyperlink" Target="https://www.gvsu.edu/admissions/international-undergraduate-admissions-requirements-37.htm" TargetMode="External"/><Relationship Id="rId1640" Type="http://schemas.openxmlformats.org/officeDocument/2006/relationships/hyperlink" Target="https://lasalle.mx/perfil/international-student/" TargetMode="External"/><Relationship Id="rId1641" Type="http://schemas.openxmlformats.org/officeDocument/2006/relationships/hyperlink" Target="https://www.iberotorreon.mx/publico/index.php" TargetMode="External"/><Relationship Id="rId1675" Type="http://schemas.openxmlformats.org/officeDocument/2006/relationships/hyperlink" Target="https://www.uia.no/en" TargetMode="External"/><Relationship Id="rId2522" Type="http://schemas.openxmlformats.org/officeDocument/2006/relationships/hyperlink" Target="https://www.ucu.edu.uy/categoria/Internacionales-321" TargetMode="External"/><Relationship Id="rId1676" Type="http://schemas.openxmlformats.org/officeDocument/2006/relationships/hyperlink" Target="https://www.uia.no/en/studies/exchange-students/english-proficiency-requirements-for-exchange-students" TargetMode="External"/><Relationship Id="rId2523" Type="http://schemas.openxmlformats.org/officeDocument/2006/relationships/hyperlink" Target="https://ucu.edu.uy/es" TargetMode="External"/><Relationship Id="rId1677" Type="http://schemas.openxmlformats.org/officeDocument/2006/relationships/hyperlink" Target="https://www.uia.no/en/studies/exchange-students/english-proficiency-requirements-for-exchange-students" TargetMode="External"/><Relationship Id="rId2524" Type="http://schemas.openxmlformats.org/officeDocument/2006/relationships/hyperlink" Target="https://www.ucu.edu.uy/categoria/Internacionales-321" TargetMode="External"/><Relationship Id="rId1678" Type="http://schemas.openxmlformats.org/officeDocument/2006/relationships/hyperlink" Target="https://www.uia.no/en" TargetMode="External"/><Relationship Id="rId2525" Type="http://schemas.openxmlformats.org/officeDocument/2006/relationships/hyperlink" Target="https://ucu.edu.uy/es" TargetMode="External"/><Relationship Id="rId1679" Type="http://schemas.openxmlformats.org/officeDocument/2006/relationships/hyperlink" Target="https://www.uia.no/en/studies/exchange-students/english-proficiency-requirements-for-exchange-students" TargetMode="External"/><Relationship Id="rId2526" Type="http://schemas.openxmlformats.org/officeDocument/2006/relationships/hyperlink" Target="https://ucu.edu.uy/es" TargetMode="External"/><Relationship Id="rId2527" Type="http://schemas.openxmlformats.org/officeDocument/2006/relationships/hyperlink" Target="https://ucu.edu.uy/es" TargetMode="External"/><Relationship Id="rId2528" Type="http://schemas.openxmlformats.org/officeDocument/2006/relationships/hyperlink" Target="https://www.ucu.edu.uy/categoria/Internacionales-321" TargetMode="External"/><Relationship Id="rId2529" Type="http://schemas.openxmlformats.org/officeDocument/2006/relationships/hyperlink" Target="https://ucu.edu.uy/es" TargetMode="External"/><Relationship Id="rId849" Type="http://schemas.openxmlformats.org/officeDocument/2006/relationships/hyperlink" Target="https://www.saintpeters.edu/international/apply-to-an-undergraduate-program/" TargetMode="External"/><Relationship Id="rId844" Type="http://schemas.openxmlformats.org/officeDocument/2006/relationships/hyperlink" Target="https://www.saintpeters.edu/" TargetMode="External"/><Relationship Id="rId843" Type="http://schemas.openxmlformats.org/officeDocument/2006/relationships/hyperlink" Target="https://www.saintpeters.edu/international/apply-to-an-undergraduate-program/" TargetMode="External"/><Relationship Id="rId842" Type="http://schemas.openxmlformats.org/officeDocument/2006/relationships/hyperlink" Target="https://www.saintpeters.edu/international/apply-to-an-undergraduate-program/" TargetMode="External"/><Relationship Id="rId841" Type="http://schemas.openxmlformats.org/officeDocument/2006/relationships/hyperlink" Target="https://www.saintpeters.edu/" TargetMode="External"/><Relationship Id="rId848" Type="http://schemas.openxmlformats.org/officeDocument/2006/relationships/hyperlink" Target="https://www.saintpeters.edu/international/apply-to-an-undergraduate-program/" TargetMode="External"/><Relationship Id="rId847" Type="http://schemas.openxmlformats.org/officeDocument/2006/relationships/hyperlink" Target="https://www.saintpeters.edu/" TargetMode="External"/><Relationship Id="rId846" Type="http://schemas.openxmlformats.org/officeDocument/2006/relationships/hyperlink" Target="https://www.saintpeters.edu/international/apply-to-an-undergraduate-program/" TargetMode="External"/><Relationship Id="rId845" Type="http://schemas.openxmlformats.org/officeDocument/2006/relationships/hyperlink" Target="https://www.saintpeters.edu/international/apply-to-an-undergraduate-program/" TargetMode="External"/><Relationship Id="rId1670" Type="http://schemas.openxmlformats.org/officeDocument/2006/relationships/hyperlink" Target="https://www.hiof.no/english/studies/exchange-students/how-to-apply/required-documentation/" TargetMode="External"/><Relationship Id="rId840" Type="http://schemas.openxmlformats.org/officeDocument/2006/relationships/hyperlink" Target="https://www.saintpeters.edu/international/apply-to-an-undergraduate-program/" TargetMode="External"/><Relationship Id="rId1671" Type="http://schemas.openxmlformats.org/officeDocument/2006/relationships/hyperlink" Target="https://www.hiof.no/english/studies/exchange-students/how-to-apply/required-documentation/" TargetMode="External"/><Relationship Id="rId1672" Type="http://schemas.openxmlformats.org/officeDocument/2006/relationships/hyperlink" Target="https://www.uia.no/en" TargetMode="External"/><Relationship Id="rId1673" Type="http://schemas.openxmlformats.org/officeDocument/2006/relationships/hyperlink" Target="https://www.uia.no/en/studies/exchange-students/english-proficiency-requirements-for-exchange-students" TargetMode="External"/><Relationship Id="rId2520" Type="http://schemas.openxmlformats.org/officeDocument/2006/relationships/hyperlink" Target="https://www.okan.edu.tr/en/" TargetMode="External"/><Relationship Id="rId1674" Type="http://schemas.openxmlformats.org/officeDocument/2006/relationships/hyperlink" Target="https://www.uia.no/en/studies/exchange-students/english-proficiency-requirements-for-exchange-students" TargetMode="External"/><Relationship Id="rId2521" Type="http://schemas.openxmlformats.org/officeDocument/2006/relationships/hyperlink" Target="https://ucu.edu.uy/es" TargetMode="External"/><Relationship Id="rId1664" Type="http://schemas.openxmlformats.org/officeDocument/2006/relationships/hyperlink" Target="https://www.ntnu.edu/studies/exchange/how_to_apply" TargetMode="External"/><Relationship Id="rId2511" Type="http://schemas.openxmlformats.org/officeDocument/2006/relationships/hyperlink" Target="https://www.yeditepe.edu.tr/en" TargetMode="External"/><Relationship Id="rId1665" Type="http://schemas.openxmlformats.org/officeDocument/2006/relationships/hyperlink" Target="https://www.ntnu.edu/studies/exchange/how_to_apply" TargetMode="External"/><Relationship Id="rId2512" Type="http://schemas.openxmlformats.org/officeDocument/2006/relationships/hyperlink" Target="https://international.yeditepe.edu.tr/en/international/duyuru/2023-2024-erasmus-foreign-language-exam-results" TargetMode="External"/><Relationship Id="rId1666" Type="http://schemas.openxmlformats.org/officeDocument/2006/relationships/hyperlink" Target="https://www.hiof.no/english/" TargetMode="External"/><Relationship Id="rId2513" Type="http://schemas.openxmlformats.org/officeDocument/2006/relationships/hyperlink" Target="https://www.yeditepe.edu.tr/en" TargetMode="External"/><Relationship Id="rId1667" Type="http://schemas.openxmlformats.org/officeDocument/2006/relationships/hyperlink" Target="https://www.hiof.no/english/studies/exchange-students/how-to-apply/required-documentation/" TargetMode="External"/><Relationship Id="rId2514" Type="http://schemas.openxmlformats.org/officeDocument/2006/relationships/hyperlink" Target="https://international.yeditepe.edu.tr/en/international/duyuru/2023-2024-erasmus-foreign-language-exam-results" TargetMode="External"/><Relationship Id="rId1668" Type="http://schemas.openxmlformats.org/officeDocument/2006/relationships/hyperlink" Target="https://www.hiof.no/english/studies/exchange-students/how-to-apply/required-documentation/" TargetMode="External"/><Relationship Id="rId2515" Type="http://schemas.openxmlformats.org/officeDocument/2006/relationships/hyperlink" Target="https://www.yeditepe.edu.tr/en" TargetMode="External"/><Relationship Id="rId1669" Type="http://schemas.openxmlformats.org/officeDocument/2006/relationships/hyperlink" Target="https://www.hiof.no/english/" TargetMode="External"/><Relationship Id="rId2516" Type="http://schemas.openxmlformats.org/officeDocument/2006/relationships/hyperlink" Target="https://international.yeditepe.edu.tr/en/international/duyuru/2023-2024-erasmus-foreign-language-exam-results" TargetMode="External"/><Relationship Id="rId2517" Type="http://schemas.openxmlformats.org/officeDocument/2006/relationships/hyperlink" Target="http://yildiz.edu.tr/en" TargetMode="External"/><Relationship Id="rId2518" Type="http://schemas.openxmlformats.org/officeDocument/2006/relationships/hyperlink" Target="https://erasmus.yildiz.edu.tr/page/Erasmus--Studies-Europe/Requirements/462" TargetMode="External"/><Relationship Id="rId2519" Type="http://schemas.openxmlformats.org/officeDocument/2006/relationships/hyperlink" Target="https://www.okan.edu.tr/en/" TargetMode="External"/><Relationship Id="rId839" Type="http://schemas.openxmlformats.org/officeDocument/2006/relationships/hyperlink" Target="https://www.saintpeters.edu/international/apply-to-an-undergraduate-program/" TargetMode="External"/><Relationship Id="rId838" Type="http://schemas.openxmlformats.org/officeDocument/2006/relationships/hyperlink" Target="https://www.saintpeters.edu/" TargetMode="External"/><Relationship Id="rId833" Type="http://schemas.openxmlformats.org/officeDocument/2006/relationships/hyperlink" Target="https://www.saintpeters.edu/international/apply-to-an-undergraduate-program/" TargetMode="External"/><Relationship Id="rId832" Type="http://schemas.openxmlformats.org/officeDocument/2006/relationships/hyperlink" Target="https://www.saintpeters.edu/" TargetMode="External"/><Relationship Id="rId831" Type="http://schemas.openxmlformats.org/officeDocument/2006/relationships/hyperlink" Target="https://admissions.umich.edu/apply/international-applicants/exams-visas" TargetMode="External"/><Relationship Id="rId830" Type="http://schemas.openxmlformats.org/officeDocument/2006/relationships/hyperlink" Target="https://admissions.umich.edu/apply/international-applicants/exams-visas" TargetMode="External"/><Relationship Id="rId837" Type="http://schemas.openxmlformats.org/officeDocument/2006/relationships/hyperlink" Target="https://www.saintpeters.edu/international/apply-to-an-undergraduate-program/" TargetMode="External"/><Relationship Id="rId836" Type="http://schemas.openxmlformats.org/officeDocument/2006/relationships/hyperlink" Target="https://www.saintpeters.edu/international/apply-to-an-undergraduate-program/" TargetMode="External"/><Relationship Id="rId835" Type="http://schemas.openxmlformats.org/officeDocument/2006/relationships/hyperlink" Target="https://www.saintpeters.edu/" TargetMode="External"/><Relationship Id="rId834" Type="http://schemas.openxmlformats.org/officeDocument/2006/relationships/hyperlink" Target="https://www.saintpeters.edu/international/apply-to-an-undergraduate-program/" TargetMode="External"/><Relationship Id="rId1660" Type="http://schemas.openxmlformats.org/officeDocument/2006/relationships/hyperlink" Target="https://www.nhh.no/en/" TargetMode="External"/><Relationship Id="rId1661" Type="http://schemas.openxmlformats.org/officeDocument/2006/relationships/hyperlink" Target="http://web.nbs.ntu.edu.sg/graduatestudies/nanyangmba/InternationalOpportunities/documents/FACTSHEETS/EUROPE/Norway/Norwegian%20School%20of%20Management.pdf" TargetMode="External"/><Relationship Id="rId1662" Type="http://schemas.openxmlformats.org/officeDocument/2006/relationships/hyperlink" Target="http://web.nbs.ntu.edu.sg/graduatestudies/nanyangmba/InternationalOpportunities/documents/FACTSHEETS/EUROPE/Norway/Norwegian%20School%20of%20Management.pdf" TargetMode="External"/><Relationship Id="rId1663" Type="http://schemas.openxmlformats.org/officeDocument/2006/relationships/hyperlink" Target="https://www.ntnu.edu/" TargetMode="External"/><Relationship Id="rId2510" Type="http://schemas.openxmlformats.org/officeDocument/2006/relationships/hyperlink" Target="https://erasmus.yasar.edu.tr/wp-content/uploads/2023/09/Yasar-University-Incoming-Students-Fact-Sheet.pdf" TargetMode="External"/><Relationship Id="rId2148" Type="http://schemas.openxmlformats.org/officeDocument/2006/relationships/hyperlink" Target="https://www.birmingham.ac.uk/index.aspx" TargetMode="External"/><Relationship Id="rId2149" Type="http://schemas.openxmlformats.org/officeDocument/2006/relationships/hyperlink" Target="https://www.birmingham.ac.uk/international/study-abroad/study-abroad-incoming/applying.aspx" TargetMode="External"/><Relationship Id="rId469" Type="http://schemas.openxmlformats.org/officeDocument/2006/relationships/hyperlink" Target="https://www.hec.ca/en/students/international-students/" TargetMode="External"/><Relationship Id="rId468" Type="http://schemas.openxmlformats.org/officeDocument/2006/relationships/hyperlink" Target="https://www.hec.ca/" TargetMode="External"/><Relationship Id="rId467" Type="http://schemas.openxmlformats.org/officeDocument/2006/relationships/hyperlink" Target="https://sage.centennialcollege.ca/index.cfm?FuseAction=Abroad.ViewLink&amp;Parent_ID=FECCA595-F673-84E3-BC1F68113EB56716&amp;Link_ID=0D64980F-5056-BA1F-744BAB7C1C88B842" TargetMode="External"/><Relationship Id="rId1290" Type="http://schemas.openxmlformats.org/officeDocument/2006/relationships/hyperlink" Target="https://lumsa.it/en/erasmus-incoming-students" TargetMode="External"/><Relationship Id="rId1291" Type="http://schemas.openxmlformats.org/officeDocument/2006/relationships/hyperlink" Target="https://lumsa.it/en/erasmus-incoming-students" TargetMode="External"/><Relationship Id="rId1292" Type="http://schemas.openxmlformats.org/officeDocument/2006/relationships/hyperlink" Target="https://www.lumsa.it/" TargetMode="External"/><Relationship Id="rId462" Type="http://schemas.openxmlformats.org/officeDocument/2006/relationships/hyperlink" Target="https://www.centennialcollege.ca/" TargetMode="External"/><Relationship Id="rId1293" Type="http://schemas.openxmlformats.org/officeDocument/2006/relationships/hyperlink" Target="https://lumsa.it/en/erasmus-incoming-students" TargetMode="External"/><Relationship Id="rId2140" Type="http://schemas.openxmlformats.org/officeDocument/2006/relationships/hyperlink" Target="https://www.birmingham.ac.uk/international/study-abroad/study-abroad-incoming/applying.aspx" TargetMode="External"/><Relationship Id="rId461" Type="http://schemas.openxmlformats.org/officeDocument/2006/relationships/hyperlink" Target="https://sage.centennialcollege.ca/index.cfm?FuseAction=Abroad.ViewLink&amp;Parent_ID=FECCA595-F673-84E3-BC1F68113EB56716&amp;Link_ID=0D64980F-5056-BA1F-744BAB7C1C88B840" TargetMode="External"/><Relationship Id="rId1294" Type="http://schemas.openxmlformats.org/officeDocument/2006/relationships/hyperlink" Target="https://lumsa.it/en/erasmus-incoming-students" TargetMode="External"/><Relationship Id="rId2141" Type="http://schemas.openxmlformats.org/officeDocument/2006/relationships/hyperlink" Target="https://www.birmingham.ac.uk/international/study-abroad/study-abroad-incoming/applying.aspx" TargetMode="External"/><Relationship Id="rId460" Type="http://schemas.openxmlformats.org/officeDocument/2006/relationships/hyperlink" Target="https://sage.centennialcollege.ca/index.cfm?FuseAction=Abroad.ViewLink&amp;Parent_ID=FECCA595-F673-84E3-BC1F68113EB56716&amp;Link_ID=0D64980F-5056-BA1F-744BAB7C1C88B840" TargetMode="External"/><Relationship Id="rId1295" Type="http://schemas.openxmlformats.org/officeDocument/2006/relationships/hyperlink" Target="https://www.lumsa.it/" TargetMode="External"/><Relationship Id="rId2142" Type="http://schemas.openxmlformats.org/officeDocument/2006/relationships/hyperlink" Target="https://www.birmingham.ac.uk/index.aspx" TargetMode="External"/><Relationship Id="rId1296" Type="http://schemas.openxmlformats.org/officeDocument/2006/relationships/hyperlink" Target="https://lumsa.it/en/erasmus-incoming-students" TargetMode="External"/><Relationship Id="rId2143" Type="http://schemas.openxmlformats.org/officeDocument/2006/relationships/hyperlink" Target="https://www.birmingham.ac.uk/international/study-abroad/study-abroad-incoming/applying.aspx" TargetMode="External"/><Relationship Id="rId466" Type="http://schemas.openxmlformats.org/officeDocument/2006/relationships/hyperlink" Target="https://sage.centennialcollege.ca/index.cfm?FuseAction=Abroad.ViewLink&amp;Parent_ID=FECCA595-F673-84E3-BC1F68113EB56716&amp;Link_ID=0D64980F-5056-BA1F-744BAB7C1C88B842" TargetMode="External"/><Relationship Id="rId1297" Type="http://schemas.openxmlformats.org/officeDocument/2006/relationships/hyperlink" Target="https://lumsa.it/en/erasmus-incoming-students" TargetMode="External"/><Relationship Id="rId2144" Type="http://schemas.openxmlformats.org/officeDocument/2006/relationships/hyperlink" Target="https://www.birmingham.ac.uk/international/study-abroad/study-abroad-incoming/applying.aspx" TargetMode="External"/><Relationship Id="rId465" Type="http://schemas.openxmlformats.org/officeDocument/2006/relationships/hyperlink" Target="https://www.centennialcollege.ca/" TargetMode="External"/><Relationship Id="rId1298" Type="http://schemas.openxmlformats.org/officeDocument/2006/relationships/hyperlink" Target="https://www.lumsa.it/" TargetMode="External"/><Relationship Id="rId2145" Type="http://schemas.openxmlformats.org/officeDocument/2006/relationships/hyperlink" Target="https://www.birmingham.ac.uk/index.aspx" TargetMode="External"/><Relationship Id="rId464" Type="http://schemas.openxmlformats.org/officeDocument/2006/relationships/hyperlink" Target="https://sage.centennialcollege.ca/index.cfm?FuseAction=Abroad.ViewLink&amp;Parent_ID=FECCA595-F673-84E3-BC1F68113EB56716&amp;Link_ID=0D64980F-5056-BA1F-744BAB7C1C88B841" TargetMode="External"/><Relationship Id="rId1299" Type="http://schemas.openxmlformats.org/officeDocument/2006/relationships/hyperlink" Target="https://www.lumsa.it/sites/default/files/didattica/gepli/LMG01Rm_regolamento_2021_2022.pdf" TargetMode="External"/><Relationship Id="rId2146" Type="http://schemas.openxmlformats.org/officeDocument/2006/relationships/hyperlink" Target="https://www.birmingham.ac.uk/international/study-abroad/study-abroad-incoming/applying.aspx" TargetMode="External"/><Relationship Id="rId463" Type="http://schemas.openxmlformats.org/officeDocument/2006/relationships/hyperlink" Target="https://sage.centennialcollege.ca/index.cfm?FuseAction=Abroad.ViewLink&amp;Parent_ID=FECCA595-F673-84E3-BC1F68113EB56716&amp;Link_ID=0D64980F-5056-BA1F-744BAB7C1C88B841" TargetMode="External"/><Relationship Id="rId2147" Type="http://schemas.openxmlformats.org/officeDocument/2006/relationships/hyperlink" Target="https://www.birmingham.ac.uk/international/study-abroad/study-abroad-incoming/applying.aspx" TargetMode="External"/><Relationship Id="rId2137" Type="http://schemas.openxmlformats.org/officeDocument/2006/relationships/hyperlink" Target="https://www.abdn.ac.uk/study/international/undergraduate-degrees-english-requirements-268.php" TargetMode="External"/><Relationship Id="rId2138" Type="http://schemas.openxmlformats.org/officeDocument/2006/relationships/hyperlink" Target="https://www.abdn.ac.uk/study/international/undergraduate-degrees-english-requirements-268.php" TargetMode="External"/><Relationship Id="rId2139" Type="http://schemas.openxmlformats.org/officeDocument/2006/relationships/hyperlink" Target="https://www.birmingham.ac.uk/index.aspx" TargetMode="External"/><Relationship Id="rId459" Type="http://schemas.openxmlformats.org/officeDocument/2006/relationships/hyperlink" Target="https://www.centennialcollege.ca/" TargetMode="External"/><Relationship Id="rId458" Type="http://schemas.openxmlformats.org/officeDocument/2006/relationships/hyperlink" Target="https://sage.centennialcollege.ca/index.cfm?FuseAction=Abroad.ViewLink&amp;Parent_ID=FECCA595-F673-84E3-BC1F68113EB56716&amp;Link_ID=0D64980F-5056-BA1F-744BAB7C1C88B839" TargetMode="External"/><Relationship Id="rId457" Type="http://schemas.openxmlformats.org/officeDocument/2006/relationships/hyperlink" Target="https://sage.centennialcollege.ca/index.cfm?FuseAction=Abroad.ViewLink&amp;Parent_ID=FECCA595-F673-84E3-BC1F68113EB56716&amp;Link_ID=0D64980F-5056-BA1F-744BAB7C1C88B839" TargetMode="External"/><Relationship Id="rId456" Type="http://schemas.openxmlformats.org/officeDocument/2006/relationships/hyperlink" Target="https://www.centennialcollege.ca/" TargetMode="External"/><Relationship Id="rId1280" Type="http://schemas.openxmlformats.org/officeDocument/2006/relationships/hyperlink" Target="https://www.lumsa.it/" TargetMode="External"/><Relationship Id="rId1281" Type="http://schemas.openxmlformats.org/officeDocument/2006/relationships/hyperlink" Target="https://lumsa.it/en/erasmus-incoming-students" TargetMode="External"/><Relationship Id="rId451" Type="http://schemas.openxmlformats.org/officeDocument/2006/relationships/hyperlink" Target="https://ue-varna.bg/en/p/8316/admission//faq" TargetMode="External"/><Relationship Id="rId1282" Type="http://schemas.openxmlformats.org/officeDocument/2006/relationships/hyperlink" Target="https://lumsa.it/en/erasmus-incoming-students" TargetMode="External"/><Relationship Id="rId450" Type="http://schemas.openxmlformats.org/officeDocument/2006/relationships/hyperlink" Target="http://www.ue-varna.bg/en/" TargetMode="External"/><Relationship Id="rId1283" Type="http://schemas.openxmlformats.org/officeDocument/2006/relationships/hyperlink" Target="https://www.lumsa.it/" TargetMode="External"/><Relationship Id="rId2130" Type="http://schemas.openxmlformats.org/officeDocument/2006/relationships/hyperlink" Target="https://www.swansea.ac.uk/" TargetMode="External"/><Relationship Id="rId1284" Type="http://schemas.openxmlformats.org/officeDocument/2006/relationships/hyperlink" Target="https://www.lumsa.it/sites/default/files/didattica/gepli/LMG01Rm_regolamento_2021_2022.pdf" TargetMode="External"/><Relationship Id="rId2131" Type="http://schemas.openxmlformats.org/officeDocument/2006/relationships/hyperlink" Target="https://www.swansea.ac.uk/admissions/english-language-requirements/" TargetMode="External"/><Relationship Id="rId1285" Type="http://schemas.openxmlformats.org/officeDocument/2006/relationships/hyperlink" Target="https://www.lumsa.it/sites/default/files/didattica/gepli/LMG01Rm_regolamento_2021_2022.pdf" TargetMode="External"/><Relationship Id="rId2132" Type="http://schemas.openxmlformats.org/officeDocument/2006/relationships/hyperlink" Target="https://www.swansea.ac.uk/admissions/english-language-requirements/" TargetMode="External"/><Relationship Id="rId455" Type="http://schemas.openxmlformats.org/officeDocument/2006/relationships/hyperlink" Target="https://ue-varna.bg/en/p/8316/admission//faq" TargetMode="External"/><Relationship Id="rId1286" Type="http://schemas.openxmlformats.org/officeDocument/2006/relationships/hyperlink" Target="https://www.lumsa.it/" TargetMode="External"/><Relationship Id="rId2133" Type="http://schemas.openxmlformats.org/officeDocument/2006/relationships/hyperlink" Target="https://www.abdn.ac.uk/" TargetMode="External"/><Relationship Id="rId454" Type="http://schemas.openxmlformats.org/officeDocument/2006/relationships/hyperlink" Target="https://ue-varna.bg/en/p/8316/admission//faq" TargetMode="External"/><Relationship Id="rId1287" Type="http://schemas.openxmlformats.org/officeDocument/2006/relationships/hyperlink" Target="https://lumsa.it/en/erasmus-incoming-students" TargetMode="External"/><Relationship Id="rId2134" Type="http://schemas.openxmlformats.org/officeDocument/2006/relationships/hyperlink" Target="https://www.abdn.ac.uk/study/international/undergraduate-degrees-english-requirements-268.php" TargetMode="External"/><Relationship Id="rId453" Type="http://schemas.openxmlformats.org/officeDocument/2006/relationships/hyperlink" Target="https://www.ue-varna.bg/en/" TargetMode="External"/><Relationship Id="rId1288" Type="http://schemas.openxmlformats.org/officeDocument/2006/relationships/hyperlink" Target="https://lumsa.it/en/erasmus-incoming-students" TargetMode="External"/><Relationship Id="rId2135" Type="http://schemas.openxmlformats.org/officeDocument/2006/relationships/hyperlink" Target="https://www.abdn.ac.uk/study/international/undergraduate-degrees-english-requirements-268.php" TargetMode="External"/><Relationship Id="rId452" Type="http://schemas.openxmlformats.org/officeDocument/2006/relationships/hyperlink" Target="https://ue-varna.bg/en/p/8316/admission//faq" TargetMode="External"/><Relationship Id="rId1289" Type="http://schemas.openxmlformats.org/officeDocument/2006/relationships/hyperlink" Target="https://www.lumsa.it/" TargetMode="External"/><Relationship Id="rId2136" Type="http://schemas.openxmlformats.org/officeDocument/2006/relationships/hyperlink" Target="https://www.abdn.ac.uk/" TargetMode="External"/><Relationship Id="rId491" Type="http://schemas.openxmlformats.org/officeDocument/2006/relationships/hyperlink" Target="https://www.wlu.ca/future-students/undergraduate/admissions/requirements/english-proficiency.html" TargetMode="External"/><Relationship Id="rId490" Type="http://schemas.openxmlformats.org/officeDocument/2006/relationships/hyperlink" Target="https://www.wlu.ca/future-students/undergraduate/admissions/requirements/english-proficiency.html" TargetMode="External"/><Relationship Id="rId489" Type="http://schemas.openxmlformats.org/officeDocument/2006/relationships/hyperlink" Target="https://www.wlu.ca/" TargetMode="External"/><Relationship Id="rId2160" Type="http://schemas.openxmlformats.org/officeDocument/2006/relationships/hyperlink" Target="https://www.birmingham.ac.uk/index.aspx" TargetMode="External"/><Relationship Id="rId2161" Type="http://schemas.openxmlformats.org/officeDocument/2006/relationships/hyperlink" Target="https://www.birmingham.ac.uk/international/study-abroad/study-abroad-incoming/applying.aspx" TargetMode="External"/><Relationship Id="rId484" Type="http://schemas.openxmlformats.org/officeDocument/2006/relationships/hyperlink" Target="https://www.ulaval.ca/en/international/mobility/international-students/student-exchanges" TargetMode="External"/><Relationship Id="rId2162" Type="http://schemas.openxmlformats.org/officeDocument/2006/relationships/hyperlink" Target="https://www.birmingham.ac.uk/international/study-abroad/study-abroad-incoming/applying.aspx" TargetMode="External"/><Relationship Id="rId483" Type="http://schemas.openxmlformats.org/officeDocument/2006/relationships/hyperlink" Target="https://www.ulaval.ca/" TargetMode="External"/><Relationship Id="rId2163" Type="http://schemas.openxmlformats.org/officeDocument/2006/relationships/hyperlink" Target="https://www.bristol.ac.uk/" TargetMode="External"/><Relationship Id="rId482" Type="http://schemas.openxmlformats.org/officeDocument/2006/relationships/hyperlink" Target="https://www.ulaval.ca/en/international/mobility/international-students/student-exchanges" TargetMode="External"/><Relationship Id="rId2164" Type="http://schemas.openxmlformats.org/officeDocument/2006/relationships/hyperlink" Target="https://www.bristol.ac.uk/study/language-requirements/profile-h/" TargetMode="External"/><Relationship Id="rId481" Type="http://schemas.openxmlformats.org/officeDocument/2006/relationships/hyperlink" Target="https://www.ulaval.ca/en/international/mobility/international-students/student-exchanges" TargetMode="External"/><Relationship Id="rId2165" Type="http://schemas.openxmlformats.org/officeDocument/2006/relationships/hyperlink" Target="https://www.bristol.ac.uk/study/language-requirements/profile-h/" TargetMode="External"/><Relationship Id="rId488" Type="http://schemas.openxmlformats.org/officeDocument/2006/relationships/hyperlink" Target="https://www.uregina.ca/gradstudies/future-students/Eligibility/International/english-requirements.html" TargetMode="External"/><Relationship Id="rId2166" Type="http://schemas.openxmlformats.org/officeDocument/2006/relationships/hyperlink" Target="https://www.uea.ac.uk/" TargetMode="External"/><Relationship Id="rId487" Type="http://schemas.openxmlformats.org/officeDocument/2006/relationships/hyperlink" Target="https://www.uregina.ca/gradstudies/future-students/Eligibility/International/english-requirements.html" TargetMode="External"/><Relationship Id="rId2167" Type="http://schemas.openxmlformats.org/officeDocument/2006/relationships/hyperlink" Target="https://www.uea.ac.uk/study/study-abroad-and-exchange/inbound-study-abroad-and-exchange/application" TargetMode="External"/><Relationship Id="rId486" Type="http://schemas.openxmlformats.org/officeDocument/2006/relationships/hyperlink" Target="https://www.uregina.ca/" TargetMode="External"/><Relationship Id="rId2168" Type="http://schemas.openxmlformats.org/officeDocument/2006/relationships/hyperlink" Target="https://www.uea.ac.uk/study/study-abroad-and-exchange/inbound-study-abroad-and-exchange/application" TargetMode="External"/><Relationship Id="rId485" Type="http://schemas.openxmlformats.org/officeDocument/2006/relationships/hyperlink" Target="https://www.ulaval.ca/en/international/mobility/international-students/student-exchanges" TargetMode="External"/><Relationship Id="rId2169" Type="http://schemas.openxmlformats.org/officeDocument/2006/relationships/hyperlink" Target="https://www.uea.ac.uk/" TargetMode="External"/><Relationship Id="rId2159" Type="http://schemas.openxmlformats.org/officeDocument/2006/relationships/hyperlink" Target="https://www.birmingham.ac.uk/international/study-abroad/study-abroad-incoming/applying.aspx" TargetMode="External"/><Relationship Id="rId480" Type="http://schemas.openxmlformats.org/officeDocument/2006/relationships/hyperlink" Target="https://www.ulaval.ca/" TargetMode="External"/><Relationship Id="rId479" Type="http://schemas.openxmlformats.org/officeDocument/2006/relationships/hyperlink" Target="https://www.ulaval.ca/en/international/mobility/international-students/student-exchanges" TargetMode="External"/><Relationship Id="rId478" Type="http://schemas.openxmlformats.org/officeDocument/2006/relationships/hyperlink" Target="https://www.ulaval.ca/en/international/mobility/international-students/student-exchanges" TargetMode="External"/><Relationship Id="rId2150" Type="http://schemas.openxmlformats.org/officeDocument/2006/relationships/hyperlink" Target="https://www.birmingham.ac.uk/international/study-abroad/study-abroad-incoming/applying.aspx" TargetMode="External"/><Relationship Id="rId473" Type="http://schemas.openxmlformats.org/officeDocument/2006/relationships/hyperlink" Target="https://www.uc3m.es/secretaria-virtual/media/secretaria-virtual/doc/archivo/doc_mne_can_fact-sheet-uqam-21-22/uqam-general-factsheet.pdf" TargetMode="External"/><Relationship Id="rId2151" Type="http://schemas.openxmlformats.org/officeDocument/2006/relationships/hyperlink" Target="https://www.birmingham.ac.uk/index.aspx" TargetMode="External"/><Relationship Id="rId472" Type="http://schemas.openxmlformats.org/officeDocument/2006/relationships/hyperlink" Target="https://www.uc3m.es/secretaria-virtual/media/secretaria-virtual/doc/archivo/doc_mne_can_fact-sheet-uqam-21-22/uqam-general-factsheet.pdf" TargetMode="External"/><Relationship Id="rId2152" Type="http://schemas.openxmlformats.org/officeDocument/2006/relationships/hyperlink" Target="https://www.birmingham.ac.uk/international/study-abroad/study-abroad-incoming/applying.aspx" TargetMode="External"/><Relationship Id="rId471" Type="http://schemas.openxmlformats.org/officeDocument/2006/relationships/hyperlink" Target="https://uqam.ca/" TargetMode="External"/><Relationship Id="rId2153" Type="http://schemas.openxmlformats.org/officeDocument/2006/relationships/hyperlink" Target="https://www.birmingham.ac.uk/international/study-abroad/study-abroad-incoming/applying.aspx" TargetMode="External"/><Relationship Id="rId470" Type="http://schemas.openxmlformats.org/officeDocument/2006/relationships/hyperlink" Target="https://www.hec.ca/en/students/international-students/" TargetMode="External"/><Relationship Id="rId2154" Type="http://schemas.openxmlformats.org/officeDocument/2006/relationships/hyperlink" Target="https://www.birmingham.ac.uk/index.aspx" TargetMode="External"/><Relationship Id="rId477" Type="http://schemas.openxmlformats.org/officeDocument/2006/relationships/hyperlink" Target="https://www.ulaval.ca/" TargetMode="External"/><Relationship Id="rId2155" Type="http://schemas.openxmlformats.org/officeDocument/2006/relationships/hyperlink" Target="https://www.birmingham.ac.uk/international/study-abroad/study-abroad-incoming/applying.aspx" TargetMode="External"/><Relationship Id="rId476" Type="http://schemas.openxmlformats.org/officeDocument/2006/relationships/hyperlink" Target="https://www.ulaval.ca/en/international/mobility/international-students/student-exchanges" TargetMode="External"/><Relationship Id="rId2156" Type="http://schemas.openxmlformats.org/officeDocument/2006/relationships/hyperlink" Target="https://www.birmingham.ac.uk/international/study-abroad/study-abroad-incoming/applying.aspx" TargetMode="External"/><Relationship Id="rId475" Type="http://schemas.openxmlformats.org/officeDocument/2006/relationships/hyperlink" Target="https://www.ulaval.ca/en/international/mobility/international-students/student-exchanges" TargetMode="External"/><Relationship Id="rId2157" Type="http://schemas.openxmlformats.org/officeDocument/2006/relationships/hyperlink" Target="https://www.birmingham.ac.uk/index.aspx" TargetMode="External"/><Relationship Id="rId474" Type="http://schemas.openxmlformats.org/officeDocument/2006/relationships/hyperlink" Target="https://www.ulaval.ca/" TargetMode="External"/><Relationship Id="rId2158" Type="http://schemas.openxmlformats.org/officeDocument/2006/relationships/hyperlink" Target="https://www.birmingham.ac.uk/international/study-abroad/study-abroad-incoming/applying.aspx" TargetMode="External"/><Relationship Id="rId1257" Type="http://schemas.openxmlformats.org/officeDocument/2006/relationships/hyperlink" Target="https://www.ucc.ie/" TargetMode="External"/><Relationship Id="rId2104" Type="http://schemas.openxmlformats.org/officeDocument/2006/relationships/hyperlink" Target="https://www.dmu.ac.uk/international/en/study-on-exchange/incoming-students.aspx" TargetMode="External"/><Relationship Id="rId1258" Type="http://schemas.openxmlformats.org/officeDocument/2006/relationships/hyperlink" Target="https://www.ucc.ie/en/international/studyatucc/incomingerasmusstudents/" TargetMode="External"/><Relationship Id="rId2105" Type="http://schemas.openxmlformats.org/officeDocument/2006/relationships/hyperlink" Target="https://www.dmu.ac.uk/international/en/study-on-exchange/incoming-students.aspx" TargetMode="External"/><Relationship Id="rId1259" Type="http://schemas.openxmlformats.org/officeDocument/2006/relationships/hyperlink" Target="https://www.ucc.ie/en/international/studyatucc/incomingerasmusstudents/" TargetMode="External"/><Relationship Id="rId2106" Type="http://schemas.openxmlformats.org/officeDocument/2006/relationships/hyperlink" Target="https://www.dmu.ac.uk/home.aspx" TargetMode="External"/><Relationship Id="rId2107" Type="http://schemas.openxmlformats.org/officeDocument/2006/relationships/hyperlink" Target="https://www.dmu.ac.uk/international/en/study-on-exchange/incoming-students.aspx" TargetMode="External"/><Relationship Id="rId2108" Type="http://schemas.openxmlformats.org/officeDocument/2006/relationships/hyperlink" Target="https://www.dmu.ac.uk/international/en/study-on-exchange/incoming-students.aspx" TargetMode="External"/><Relationship Id="rId2109" Type="http://schemas.openxmlformats.org/officeDocument/2006/relationships/hyperlink" Target="https://www.hw.ac.uk/" TargetMode="External"/><Relationship Id="rId426" Type="http://schemas.openxmlformats.org/officeDocument/2006/relationships/hyperlink" Target="http://www.ufrgs.br/english/student-mobility/frequently-asked-questions" TargetMode="External"/><Relationship Id="rId425" Type="http://schemas.openxmlformats.org/officeDocument/2006/relationships/hyperlink" Target="http://www.ufrgs.br/ufrgs/inicial" TargetMode="External"/><Relationship Id="rId424" Type="http://schemas.openxmlformats.org/officeDocument/2006/relationships/hyperlink" Target="http://www.ufrgs.br/english/student-mobility/frequently-asked-questions" TargetMode="External"/><Relationship Id="rId423" Type="http://schemas.openxmlformats.org/officeDocument/2006/relationships/hyperlink" Target="http://www.ufrgs.br/english/student-mobility/frequently-asked-questions" TargetMode="External"/><Relationship Id="rId429" Type="http://schemas.openxmlformats.org/officeDocument/2006/relationships/hyperlink" Target="https://www.uscs.edu.br/relacoes-internacionais" TargetMode="External"/><Relationship Id="rId428" Type="http://schemas.openxmlformats.org/officeDocument/2006/relationships/hyperlink" Target="https://www.uscs.edu.br/" TargetMode="External"/><Relationship Id="rId427" Type="http://schemas.openxmlformats.org/officeDocument/2006/relationships/hyperlink" Target="http://www.ufrgs.br/english/student-mobility/frequently-asked-questions" TargetMode="External"/><Relationship Id="rId1250" Type="http://schemas.openxmlformats.org/officeDocument/2006/relationships/hyperlink" Target="https://www.ucc.ie/en/international/studyatucc/incomingerasmusstudents/" TargetMode="External"/><Relationship Id="rId1251" Type="http://schemas.openxmlformats.org/officeDocument/2006/relationships/hyperlink" Target="https://www.ucc.ie/" TargetMode="External"/><Relationship Id="rId1252" Type="http://schemas.openxmlformats.org/officeDocument/2006/relationships/hyperlink" Target="https://www.ucc.ie/en/international/studyatucc/incomingerasmusstudents/" TargetMode="External"/><Relationship Id="rId422" Type="http://schemas.openxmlformats.org/officeDocument/2006/relationships/hyperlink" Target="http://www.ufrgs.br/ufrgs/inicial" TargetMode="External"/><Relationship Id="rId1253" Type="http://schemas.openxmlformats.org/officeDocument/2006/relationships/hyperlink" Target="https://www.ucc.ie/en/international/studyatucc/incomingerasmusstudents/" TargetMode="External"/><Relationship Id="rId2100" Type="http://schemas.openxmlformats.org/officeDocument/2006/relationships/hyperlink" Target="https://www.dmu.ac.uk/home.aspx" TargetMode="External"/><Relationship Id="rId421" Type="http://schemas.openxmlformats.org/officeDocument/2006/relationships/hyperlink" Target="https://www2.unesp.br/portal" TargetMode="External"/><Relationship Id="rId1254" Type="http://schemas.openxmlformats.org/officeDocument/2006/relationships/hyperlink" Target="https://www.ucc.ie/" TargetMode="External"/><Relationship Id="rId2101" Type="http://schemas.openxmlformats.org/officeDocument/2006/relationships/hyperlink" Target="https://www.dmu.ac.uk/international/en/study-on-exchange/incoming-students.aspx" TargetMode="External"/><Relationship Id="rId420" Type="http://schemas.openxmlformats.org/officeDocument/2006/relationships/hyperlink" Target="https://www2.unesp.br/portal" TargetMode="External"/><Relationship Id="rId1255" Type="http://schemas.openxmlformats.org/officeDocument/2006/relationships/hyperlink" Target="https://www.ucc.ie/en/international/studyatucc/incomingerasmusstudents/" TargetMode="External"/><Relationship Id="rId2102" Type="http://schemas.openxmlformats.org/officeDocument/2006/relationships/hyperlink" Target="https://www.dmu.ac.uk/international/en/study-on-exchange/incoming-students.aspx" TargetMode="External"/><Relationship Id="rId1256" Type="http://schemas.openxmlformats.org/officeDocument/2006/relationships/hyperlink" Target="https://www.ucc.ie/en/international/studyatucc/incomingerasmusstudents/" TargetMode="External"/><Relationship Id="rId2103" Type="http://schemas.openxmlformats.org/officeDocument/2006/relationships/hyperlink" Target="https://www.dmu.ac.uk/home.aspx" TargetMode="External"/><Relationship Id="rId1246" Type="http://schemas.openxmlformats.org/officeDocument/2006/relationships/hyperlink" Target="https://www.ucc.ie/en/international/studyatucc/incomingerasmusstudents/" TargetMode="External"/><Relationship Id="rId1247" Type="http://schemas.openxmlformats.org/officeDocument/2006/relationships/hyperlink" Target="https://www.ucc.ie/en/international/studyatucc/incomingerasmusstudents/" TargetMode="External"/><Relationship Id="rId1248" Type="http://schemas.openxmlformats.org/officeDocument/2006/relationships/hyperlink" Target="https://www.ucc.ie/" TargetMode="External"/><Relationship Id="rId1249" Type="http://schemas.openxmlformats.org/officeDocument/2006/relationships/hyperlink" Target="https://www.ucc.ie/en/international/studyatucc/incomingerasmusstudents/" TargetMode="External"/><Relationship Id="rId415" Type="http://schemas.openxmlformats.org/officeDocument/2006/relationships/hyperlink" Target="https://www.unisinos.br/" TargetMode="External"/><Relationship Id="rId899" Type="http://schemas.openxmlformats.org/officeDocument/2006/relationships/hyperlink" Target="https://www.stthom.edu/Home/Index.aqf" TargetMode="External"/><Relationship Id="rId414" Type="http://schemas.openxmlformats.org/officeDocument/2006/relationships/hyperlink" Target="https://www.unisinos.br/" TargetMode="External"/><Relationship Id="rId898" Type="http://schemas.openxmlformats.org/officeDocument/2006/relationships/hyperlink" Target="https://international.olemiss.edu/english-proficiency-requirements-11-2019/" TargetMode="External"/><Relationship Id="rId413" Type="http://schemas.openxmlformats.org/officeDocument/2006/relationships/hyperlink" Target="https://www.unisinos.br/" TargetMode="External"/><Relationship Id="rId897" Type="http://schemas.openxmlformats.org/officeDocument/2006/relationships/hyperlink" Target="https://international.olemiss.edu/english-proficiency-requirements-11-2019/" TargetMode="External"/><Relationship Id="rId412" Type="http://schemas.openxmlformats.org/officeDocument/2006/relationships/hyperlink" Target="http://www.unisinos.br/global/images/parcerias/factsheet-Unisinos-University-2022.pdf" TargetMode="External"/><Relationship Id="rId896" Type="http://schemas.openxmlformats.org/officeDocument/2006/relationships/hyperlink" Target="https://www.stthom.edu/Home/Index.aqf" TargetMode="External"/><Relationship Id="rId419" Type="http://schemas.openxmlformats.org/officeDocument/2006/relationships/hyperlink" Target="https://www.unesp.br/" TargetMode="External"/><Relationship Id="rId418" Type="http://schemas.openxmlformats.org/officeDocument/2006/relationships/hyperlink" Target="https://www.ucs.br/site/midia/arquivos/edital-001-2017-estrangeiros-esp.pdf" TargetMode="External"/><Relationship Id="rId417" Type="http://schemas.openxmlformats.org/officeDocument/2006/relationships/hyperlink" Target="https://www.ucs.br/site/midia/arquivos/edital-001-2017-estrangeiros-esp.pdf" TargetMode="External"/><Relationship Id="rId416" Type="http://schemas.openxmlformats.org/officeDocument/2006/relationships/hyperlink" Target="https://www.ucs.br/site/espanol/" TargetMode="External"/><Relationship Id="rId891" Type="http://schemas.openxmlformats.org/officeDocument/2006/relationships/hyperlink" Target="https://international.olemiss.edu/english-proficiency-requirements-11-2019/" TargetMode="External"/><Relationship Id="rId890" Type="http://schemas.openxmlformats.org/officeDocument/2006/relationships/hyperlink" Target="https://www.stthom.edu/Home/Index.aqf" TargetMode="External"/><Relationship Id="rId1240" Type="http://schemas.openxmlformats.org/officeDocument/2006/relationships/hyperlink" Target="https://www.universityofgalway.ie/international-students/inboundstudyabroad/howtoapply/" TargetMode="External"/><Relationship Id="rId1241" Type="http://schemas.openxmlformats.org/officeDocument/2006/relationships/hyperlink" Target="https://www.universityofgalway.ie/international-students/inboundstudyabroad/howtoapply/" TargetMode="External"/><Relationship Id="rId411" Type="http://schemas.openxmlformats.org/officeDocument/2006/relationships/hyperlink" Target="http://www.unisinos.br/global/images/parcerias/factsheet-Unisinos-University-2022.pdf" TargetMode="External"/><Relationship Id="rId895" Type="http://schemas.openxmlformats.org/officeDocument/2006/relationships/hyperlink" Target="https://international.olemiss.edu/english-proficiency-requirements-11-2019/" TargetMode="External"/><Relationship Id="rId1242" Type="http://schemas.openxmlformats.org/officeDocument/2006/relationships/hyperlink" Target="https://www.universityofgalway.ie/" TargetMode="External"/><Relationship Id="rId410" Type="http://schemas.openxmlformats.org/officeDocument/2006/relationships/hyperlink" Target="https://www.unisinos.br/" TargetMode="External"/><Relationship Id="rId894" Type="http://schemas.openxmlformats.org/officeDocument/2006/relationships/hyperlink" Target="https://international.olemiss.edu/english-proficiency-requirements-11-2019/" TargetMode="External"/><Relationship Id="rId1243" Type="http://schemas.openxmlformats.org/officeDocument/2006/relationships/hyperlink" Target="https://www.universityofgalway.ie/international-students/inboundstudyabroad/howtoapply/" TargetMode="External"/><Relationship Id="rId893" Type="http://schemas.openxmlformats.org/officeDocument/2006/relationships/hyperlink" Target="https://www.stthom.edu/Home/Index.aqf" TargetMode="External"/><Relationship Id="rId1244" Type="http://schemas.openxmlformats.org/officeDocument/2006/relationships/hyperlink" Target="https://www.universityofgalway.ie/international-students/inboundstudyabroad/howtoapply/" TargetMode="External"/><Relationship Id="rId892" Type="http://schemas.openxmlformats.org/officeDocument/2006/relationships/hyperlink" Target="https://international.olemiss.edu/english-proficiency-requirements-11-2019/" TargetMode="External"/><Relationship Id="rId1245" Type="http://schemas.openxmlformats.org/officeDocument/2006/relationships/hyperlink" Target="https://www.ucc.ie/" TargetMode="External"/><Relationship Id="rId1279" Type="http://schemas.openxmlformats.org/officeDocument/2006/relationships/hyperlink" Target="https://labavalencia.net/en/admission-and-matriculation-entry-requirements/" TargetMode="External"/><Relationship Id="rId2126" Type="http://schemas.openxmlformats.org/officeDocument/2006/relationships/hyperlink" Target="https://www.qub.ac.uk/International/International-students/Applying/English-language-requirements/" TargetMode="External"/><Relationship Id="rId2127" Type="http://schemas.openxmlformats.org/officeDocument/2006/relationships/hyperlink" Target="https://www.swansea.ac.uk/" TargetMode="External"/><Relationship Id="rId2128" Type="http://schemas.openxmlformats.org/officeDocument/2006/relationships/hyperlink" Target="https://www.swansea.ac.uk/admissions/english-language-requirements/" TargetMode="External"/><Relationship Id="rId2129" Type="http://schemas.openxmlformats.org/officeDocument/2006/relationships/hyperlink" Target="https://www.swansea.ac.uk/admissions/english-language-requirements/" TargetMode="External"/><Relationship Id="rId448" Type="http://schemas.openxmlformats.org/officeDocument/2006/relationships/hyperlink" Target="https://erasmus-vtu.bg/en/" TargetMode="External"/><Relationship Id="rId447" Type="http://schemas.openxmlformats.org/officeDocument/2006/relationships/hyperlink" Target="https://www.uni-vt.bg/eng/" TargetMode="External"/><Relationship Id="rId446" Type="http://schemas.openxmlformats.org/officeDocument/2006/relationships/hyperlink" Target="https://erasmus-vtu.bg/en/" TargetMode="External"/><Relationship Id="rId445" Type="http://schemas.openxmlformats.org/officeDocument/2006/relationships/hyperlink" Target="https://erasmus-vtu.bg/en/" TargetMode="External"/><Relationship Id="rId449" Type="http://schemas.openxmlformats.org/officeDocument/2006/relationships/hyperlink" Target="https://erasmus-vtu.bg/en/" TargetMode="External"/><Relationship Id="rId1270" Type="http://schemas.openxmlformats.org/officeDocument/2006/relationships/hyperlink" Target="https://www.universityofgalway.ie/erasmus-programme/incomingstudents/admissionprocedures/" TargetMode="External"/><Relationship Id="rId440" Type="http://schemas.openxmlformats.org/officeDocument/2006/relationships/hyperlink" Target="https://www.au-plovdiv.bg/en/erasmus/incoming-students" TargetMode="External"/><Relationship Id="rId1271" Type="http://schemas.openxmlformats.org/officeDocument/2006/relationships/hyperlink" Target="https://www.universityofgalway.ie/erasmus-programme/incomingstudents/admissionprocedures/" TargetMode="External"/><Relationship Id="rId1272" Type="http://schemas.openxmlformats.org/officeDocument/2006/relationships/hyperlink" Target="https://www.ul.ie/global/incoming-students/need-know-information/english-language-requirements" TargetMode="External"/><Relationship Id="rId1273" Type="http://schemas.openxmlformats.org/officeDocument/2006/relationships/hyperlink" Target="https://www.ul.ie/global/incoming-students/need-know-information/english-language-requirements" TargetMode="External"/><Relationship Id="rId2120" Type="http://schemas.openxmlformats.org/officeDocument/2006/relationships/hyperlink" Target="https://www.ntu.ac.uk/international/study-and-courses/your-application/entry-requirements-by-country/english-language-requirements" TargetMode="External"/><Relationship Id="rId1274" Type="http://schemas.openxmlformats.org/officeDocument/2006/relationships/hyperlink" Target="https://www.int.mta.ac.il/" TargetMode="External"/><Relationship Id="rId2121" Type="http://schemas.openxmlformats.org/officeDocument/2006/relationships/hyperlink" Target="https://www.qub.ac.uk/" TargetMode="External"/><Relationship Id="rId444" Type="http://schemas.openxmlformats.org/officeDocument/2006/relationships/hyperlink" Target="https://www.uni-vt.bg/eng/" TargetMode="External"/><Relationship Id="rId1275" Type="http://schemas.openxmlformats.org/officeDocument/2006/relationships/hyperlink" Target="https://www.int.mta.ac.il/_files/ugd/a9a15c_1918c8a5aa004f3c96fe13eace991890.pdf" TargetMode="External"/><Relationship Id="rId2122" Type="http://schemas.openxmlformats.org/officeDocument/2006/relationships/hyperlink" Target="https://www.qub.ac.uk/International/International-students/Applying/English-language-requirements/" TargetMode="External"/><Relationship Id="rId443" Type="http://schemas.openxmlformats.org/officeDocument/2006/relationships/hyperlink" Target="https://nsa-erasmus.com/" TargetMode="External"/><Relationship Id="rId1276" Type="http://schemas.openxmlformats.org/officeDocument/2006/relationships/hyperlink" Target="https://www.int.mta.ac.il/_files/ugd/a9a15c_1918c8a5aa004f3c96fe13eace991890.pdf" TargetMode="External"/><Relationship Id="rId2123" Type="http://schemas.openxmlformats.org/officeDocument/2006/relationships/hyperlink" Target="https://www.qub.ac.uk/International/International-students/Applying/English-language-requirements/" TargetMode="External"/><Relationship Id="rId442" Type="http://schemas.openxmlformats.org/officeDocument/2006/relationships/hyperlink" Target="https://nsa-erasmus.com/" TargetMode="External"/><Relationship Id="rId1277" Type="http://schemas.openxmlformats.org/officeDocument/2006/relationships/hyperlink" Target="https://en.laba.biz/" TargetMode="External"/><Relationship Id="rId2124" Type="http://schemas.openxmlformats.org/officeDocument/2006/relationships/hyperlink" Target="https://www.qub.ac.uk/" TargetMode="External"/><Relationship Id="rId441" Type="http://schemas.openxmlformats.org/officeDocument/2006/relationships/hyperlink" Target="http://www.nsa.bg/en" TargetMode="External"/><Relationship Id="rId1278" Type="http://schemas.openxmlformats.org/officeDocument/2006/relationships/hyperlink" Target="https://labavalencia.net/en/admission-and-matriculation-entry-requirements/" TargetMode="External"/><Relationship Id="rId2125" Type="http://schemas.openxmlformats.org/officeDocument/2006/relationships/hyperlink" Target="https://www.qub.ac.uk/International/International-students/Applying/English-language-requirements/" TargetMode="External"/><Relationship Id="rId1268" Type="http://schemas.openxmlformats.org/officeDocument/2006/relationships/hyperlink" Target="https://www.ucd.ie/registry/prospectivestudents/admissions/policiesandgeneralregulations/generalrequirements/minimumenglishlanguagerequirements/" TargetMode="External"/><Relationship Id="rId2115" Type="http://schemas.openxmlformats.org/officeDocument/2006/relationships/hyperlink" Target="https://www.lancaster.ac.uk/" TargetMode="External"/><Relationship Id="rId1269" Type="http://schemas.openxmlformats.org/officeDocument/2006/relationships/hyperlink" Target="https://www.universityofgalway.ie/" TargetMode="External"/><Relationship Id="rId2116" Type="http://schemas.openxmlformats.org/officeDocument/2006/relationships/hyperlink" Target="https://www.lancaster.ac.uk/study/undergraduate/courses/modern-languages-ba-hons-r800/2025/" TargetMode="External"/><Relationship Id="rId2117" Type="http://schemas.openxmlformats.org/officeDocument/2006/relationships/hyperlink" Target="https://www.lancaster.ac.uk/study/undergraduate/courses/modern-languages-ba-hons-r800/2025/" TargetMode="External"/><Relationship Id="rId2118" Type="http://schemas.openxmlformats.org/officeDocument/2006/relationships/hyperlink" Target="https://www.ntu.ac.uk/" TargetMode="External"/><Relationship Id="rId2119" Type="http://schemas.openxmlformats.org/officeDocument/2006/relationships/hyperlink" Target="https://www.ntu.ac.uk/international/study-and-courses/your-application/entry-requirements-by-country/english-language-requirements" TargetMode="External"/><Relationship Id="rId437" Type="http://schemas.openxmlformats.org/officeDocument/2006/relationships/hyperlink" Target="http://en.swu.bg/" TargetMode="External"/><Relationship Id="rId436" Type="http://schemas.openxmlformats.org/officeDocument/2006/relationships/hyperlink" Target="https://www.uscs.edu.br/relacoes-internacionais" TargetMode="External"/><Relationship Id="rId435" Type="http://schemas.openxmlformats.org/officeDocument/2006/relationships/hyperlink" Target="https://www.uscs.edu.br/relacoes-internacionais" TargetMode="External"/><Relationship Id="rId434" Type="http://schemas.openxmlformats.org/officeDocument/2006/relationships/hyperlink" Target="https://www.uscs.edu.br/" TargetMode="External"/><Relationship Id="rId439" Type="http://schemas.openxmlformats.org/officeDocument/2006/relationships/hyperlink" Target="https://www.au-plovdiv.bg/en/erasmus/incoming-students" TargetMode="External"/><Relationship Id="rId438" Type="http://schemas.openxmlformats.org/officeDocument/2006/relationships/hyperlink" Target="https://www.au-plovdiv.bg/en/" TargetMode="External"/><Relationship Id="rId1260" Type="http://schemas.openxmlformats.org/officeDocument/2006/relationships/hyperlink" Target="https://www.ucd.ie/" TargetMode="External"/><Relationship Id="rId1261" Type="http://schemas.openxmlformats.org/officeDocument/2006/relationships/hyperlink" Target="https://www.ucd.ie/registry/prospectivestudents/admissions/policiesandgeneralregulations/generalrequirements/minimumenglishlanguagerequirements/" TargetMode="External"/><Relationship Id="rId1262" Type="http://schemas.openxmlformats.org/officeDocument/2006/relationships/hyperlink" Target="https://www.ucd.ie/registry/prospectivestudents/admissions/policiesandgeneralregulations/generalrequirements/minimumenglishlanguagerequirements/" TargetMode="External"/><Relationship Id="rId1263" Type="http://schemas.openxmlformats.org/officeDocument/2006/relationships/hyperlink" Target="https://www.ucd.ie/quinn/" TargetMode="External"/><Relationship Id="rId2110" Type="http://schemas.openxmlformats.org/officeDocument/2006/relationships/hyperlink" Target="https://www.hw.ac.uk/study/entry/english-language-requirements.htm" TargetMode="External"/><Relationship Id="rId433" Type="http://schemas.openxmlformats.org/officeDocument/2006/relationships/hyperlink" Target="https://www.uscs.edu.br/relacoes-internacionais" TargetMode="External"/><Relationship Id="rId1264" Type="http://schemas.openxmlformats.org/officeDocument/2006/relationships/hyperlink" Target="https://www.ucd.ie/registry/prospectivestudents/admissions/policiesandgeneralregulations/generalrequirements/minimumenglishlanguagerequirements/" TargetMode="External"/><Relationship Id="rId2111" Type="http://schemas.openxmlformats.org/officeDocument/2006/relationships/hyperlink" Target="https://www.hw.ac.uk/study/entry/english-language-requirements.htm" TargetMode="External"/><Relationship Id="rId432" Type="http://schemas.openxmlformats.org/officeDocument/2006/relationships/hyperlink" Target="https://www.uscs.edu.br/relacoes-internacionais" TargetMode="External"/><Relationship Id="rId1265" Type="http://schemas.openxmlformats.org/officeDocument/2006/relationships/hyperlink" Target="https://www.ucd.ie/registry/prospectivestudents/admissions/policiesandgeneralregulations/generalrequirements/minimumenglishlanguagerequirements/" TargetMode="External"/><Relationship Id="rId2112" Type="http://schemas.openxmlformats.org/officeDocument/2006/relationships/hyperlink" Target="https://www.lancaster.ac.uk/" TargetMode="External"/><Relationship Id="rId431" Type="http://schemas.openxmlformats.org/officeDocument/2006/relationships/hyperlink" Target="https://www.uscs.edu.br/" TargetMode="External"/><Relationship Id="rId1266" Type="http://schemas.openxmlformats.org/officeDocument/2006/relationships/hyperlink" Target="https://www.ucd.ie/quinn/" TargetMode="External"/><Relationship Id="rId2113" Type="http://schemas.openxmlformats.org/officeDocument/2006/relationships/hyperlink" Target="https://www.lancaster.ac.uk/study/entry-requirements/" TargetMode="External"/><Relationship Id="rId430" Type="http://schemas.openxmlformats.org/officeDocument/2006/relationships/hyperlink" Target="https://www.uscs.edu.br/relacoes-internacionais" TargetMode="External"/><Relationship Id="rId1267" Type="http://schemas.openxmlformats.org/officeDocument/2006/relationships/hyperlink" Target="https://www.ucd.ie/registry/prospectivestudents/admissions/policiesandgeneralregulations/generalrequirements/minimumenglishlanguagerequirements/" TargetMode="External"/><Relationship Id="rId2114" Type="http://schemas.openxmlformats.org/officeDocument/2006/relationships/hyperlink" Target="https://www.lancaster.ac.uk/study/entry-requirement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4.13"/>
    <col customWidth="1" min="3" max="3" width="42.38"/>
    <col hidden="1" min="5" max="6" width="12.63"/>
    <col customWidth="1" min="8" max="8" width="25.75"/>
    <col customWidth="1" min="9" max="9" width="57.63"/>
    <col customWidth="1" hidden="1" min="10" max="10" width="35.75"/>
    <col customWidth="1" min="11" max="11" width="13.5"/>
    <col customWidth="1" min="12" max="12" width="13.38"/>
    <col customWidth="1" min="13" max="13" width="12.13"/>
    <col hidden="1" min="14" max="14" width="12.63"/>
    <col customWidth="1" min="15" max="15" width="17.63"/>
    <col hidden="1" min="16" max="20" width="12.63"/>
    <col customWidth="1" hidden="1" min="21" max="21" width="47.0"/>
    <col hidden="1" min="22" max="26" width="12.63"/>
  </cols>
  <sheetData>
    <row r="1" ht="42.0" customHeight="1">
      <c r="A1" s="1" t="str">
        <f>IFERROR(__xludf.DUMMYFUNCTION("IMPORTRANGE(""https://docs.google.com/spreadsheets/d/1FZQTTIbB0l1x7qzcGI5zWvrAIKsgecs3TuultXh3_MU/edit?gid=512428270#gid=512428270"",""Requisito de idioma en universidades de destino!A:O"")"),"País / Herrialdea")</f>
        <v>País / Herrialdea</v>
      </c>
      <c r="B1" s="1" t="str">
        <f>IFERROR(__xludf.DUMMYFUNCTION("""COMPUTED_VALUE"""),"Código / Kodea")</f>
        <v>Código / Kodea</v>
      </c>
      <c r="C1" s="1" t="str">
        <f>IFERROR(__xludf.DUMMYFUNCTION("""COMPUTED_VALUE"""),"Universidad / Unibertsitatea")</f>
        <v>Universidad / Unibertsitatea</v>
      </c>
      <c r="D1" s="1" t="str">
        <f>IFERROR(__xludf.DUMMYFUNCTION("""COMPUTED_VALUE"""),"Programa")</f>
        <v>Programa</v>
      </c>
      <c r="E1" s="1" t="str">
        <f>IFERROR(__xludf.DUMMYFUNCTION("""COMPUTED_VALUE"""),"Plazas / Tokiak")</f>
        <v>Plazas / Tokiak</v>
      </c>
      <c r="F1" s="1" t="str">
        <f>IFERROR(__xludf.DUMMYFUNCTION("""COMPUTED_VALUE"""),"Duración / Iraupena")</f>
        <v>Duración / Iraupena</v>
      </c>
      <c r="G1" s="1" t="str">
        <f>IFERROR(__xludf.DUMMYFUNCTION("""COMPUTED_VALUE"""),"Campus / Kanpus")</f>
        <v>Campus / Kanpus</v>
      </c>
      <c r="H1" s="1" t="str">
        <f>IFERROR(__xludf.DUMMYFUNCTION("""COMPUTED_VALUE"""),"Facultad / Fakultatea")</f>
        <v>Facultad / Fakultatea</v>
      </c>
      <c r="I1" s="1" t="str">
        <f>IFERROR(__xludf.DUMMYFUNCTION("""COMPUTED_VALUE"""),"Estudios / Ikasketak")</f>
        <v>Estudios / Ikasketak</v>
      </c>
      <c r="J1" s="1" t="str">
        <f>IFERROR(__xludf.DUMMYFUNCTION("""COMPUTED_VALUE"""),"Nivel / Maila")</f>
        <v>Nivel / Maila</v>
      </c>
      <c r="K1" s="1" t="str">
        <f>IFERROR(__xludf.DUMMYFUNCTION("""COMPUTED_VALUE"""),"Idioma / Hizkuntza")</f>
        <v>Idioma / Hizkuntza</v>
      </c>
      <c r="L1" s="1" t="str">
        <f>IFERROR(__xludf.DUMMYFUNCTION("""COMPUTED_VALUE"""),"Nivel de idioma / Hizkuntza maila")</f>
        <v>Nivel de idioma / Hizkuntza maila</v>
      </c>
      <c r="M1" s="1" t="str">
        <f>IFERROR(__xludf.DUMMYFUNCTION("""COMPUTED_VALUE"""),"Exigencia de título / Ziurtagiririk")</f>
        <v>Exigencia de título / Ziurtagiririk</v>
      </c>
      <c r="N1" s="1" t="str">
        <f>IFERROR(__xludf.DUMMYFUNCTION("""COMPUTED_VALUE"""),"Más información / Informazio gehigarria")</f>
        <v>Más información / Informazio gehigarria</v>
      </c>
      <c r="O1" s="1" t="str">
        <f>IFERROR(__xludf.DUMMYFUNCTION("""COMPUTED_VALUE"""),"Observaciones de idioma / Hizkuntza oharrak")</f>
        <v>Observaciones de idioma / Hizkuntza oharrak</v>
      </c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30.0" hidden="1" customHeight="1">
      <c r="A2" s="2" t="str">
        <f>IFERROR(__xludf.DUMMYFUNCTION("""COMPUTED_VALUE"""),"-")</f>
        <v>-</v>
      </c>
      <c r="B2" s="2"/>
      <c r="C2" s="2" t="str">
        <f>IFERROR(__xludf.DUMMYFUNCTION("""COMPUTED_VALUE"""),"-")</f>
        <v>-</v>
      </c>
      <c r="D2" s="2" t="str">
        <f>IFERROR(__xludf.DUMMYFUNCTION("""COMPUTED_VALUE"""),"-")</f>
        <v>-</v>
      </c>
      <c r="E2" s="2" t="str">
        <f>IFERROR(__xludf.DUMMYFUNCTION("""COMPUTED_VALUE"""),"-")</f>
        <v>-</v>
      </c>
      <c r="F2" s="2" t="str">
        <f>IFERROR(__xludf.DUMMYFUNCTION("""COMPUTED_VALUE"""),"-")</f>
        <v>-</v>
      </c>
      <c r="G2" s="2" t="str">
        <f>IFERROR(__xludf.DUMMYFUNCTION("""COMPUTED_VALUE"""),"-")</f>
        <v>-</v>
      </c>
      <c r="H2" s="2" t="str">
        <f>IFERROR(__xludf.DUMMYFUNCTION("""COMPUTED_VALUE"""),"-")</f>
        <v>-</v>
      </c>
      <c r="I2" s="2" t="str">
        <f>IFERROR(__xludf.DUMMYFUNCTION("""COMPUTED_VALUE"""),"-")</f>
        <v>-</v>
      </c>
      <c r="J2" s="2" t="str">
        <f>IFERROR(__xludf.DUMMYFUNCTION("""COMPUTED_VALUE"""),"-")</f>
        <v>-</v>
      </c>
      <c r="K2" s="2" t="str">
        <f>IFERROR(__xludf.DUMMYFUNCTION("""COMPUTED_VALUE"""),"-")</f>
        <v>-</v>
      </c>
      <c r="L2" s="2" t="str">
        <f>IFERROR(__xludf.DUMMYFUNCTION("""COMPUTED_VALUE"""),"-")</f>
        <v>-</v>
      </c>
      <c r="M2" s="2" t="str">
        <f>IFERROR(__xludf.DUMMYFUNCTION("""COMPUTED_VALUE"""),"-")</f>
        <v>-</v>
      </c>
      <c r="N2" s="2" t="str">
        <f>IFERROR(__xludf.DUMMYFUNCTION("""COMPUTED_VALUE"""),"-")</f>
        <v>-</v>
      </c>
      <c r="O2" s="2" t="str">
        <f>IFERROR(__xludf.DUMMYFUNCTION("""COMPUTED_VALUE"""),"-")</f>
        <v>-</v>
      </c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30.0" customHeight="1">
      <c r="A3" s="2" t="str">
        <f>IFERROR(__xludf.DUMMYFUNCTION("""COMPUTED_VALUE"""),"Alemania")</f>
        <v>Alemania</v>
      </c>
      <c r="B3" s="2" t="str">
        <f>IFERROR(__xludf.DUMMYFUNCTION("""COMPUTED_VALUE"""),"D WURZBUR01")</f>
        <v>D WURZBUR01</v>
      </c>
      <c r="C3" s="3" t="str">
        <f>IFERROR(__xludf.DUMMYFUNCTION("""COMPUTED_VALUE"""),"Bayerische Julius-Maximilians-Universitat Würzburg")</f>
        <v>Bayerische Julius-Maximilians-Universitat Würzburg</v>
      </c>
      <c r="D3" s="2" t="str">
        <f>IFERROR(__xludf.DUMMYFUNCTION("""COMPUTED_VALUE"""),"Erasmus+")</f>
        <v>Erasmus+</v>
      </c>
      <c r="E3" s="2">
        <f>IFERROR(__xludf.DUMMYFUNCTION("""COMPUTED_VALUE"""),2.0)</f>
        <v>2</v>
      </c>
      <c r="F3" s="2" t="str">
        <f>IFERROR(__xludf.DUMMYFUNCTION("""COMPUTED_VALUE"""),"Ambos semestres")</f>
        <v>Ambos semestres</v>
      </c>
      <c r="G3" s="2" t="str">
        <f>IFERROR(__xludf.DUMMYFUNCTION("""COMPUTED_VALUE"""),"Bilbao")</f>
        <v>Bilbao</v>
      </c>
      <c r="H3" s="2" t="str">
        <f>IFERROR(__xludf.DUMMYFUNCTION("""COMPUTED_VALUE"""),"Deusto Business School")</f>
        <v>Deusto Business School</v>
      </c>
      <c r="I3" s="2" t="str">
        <f>IFERROR(__xludf.DUMMYFUNCTION("""COMPUTED_VALUE"""),"Administración y Dirección de Empresas")</f>
        <v>Administración y Dirección de Empresas</v>
      </c>
      <c r="J3" s="2" t="str">
        <f>IFERROR(__xludf.DUMMYFUNCTION("""COMPUTED_VALUE"""),"Grado")</f>
        <v>Grado</v>
      </c>
      <c r="K3" s="2" t="str">
        <f>IFERROR(__xludf.DUMMYFUNCTION("""COMPUTED_VALUE"""),"Alemán")</f>
        <v>Alemán</v>
      </c>
      <c r="L3" s="2" t="str">
        <f>IFERROR(__xludf.DUMMYFUNCTION("""COMPUTED_VALUE"""),"B2")</f>
        <v>B2</v>
      </c>
      <c r="M3" s="2" t="str">
        <f>IFERROR(__xludf.DUMMYFUNCTION("""COMPUTED_VALUE"""),"No")</f>
        <v>No</v>
      </c>
      <c r="N3" s="3" t="str">
        <f>IFERROR(__xludf.DUMMYFUNCTION("""COMPUTED_VALUE"""),"https://www.uni-wuerzburg.de/en/international/studying-in-wuerzburg/exchange-students/before-arrival-exchange-students/language-proficiency-german-language-courses/")</f>
        <v>https://www.uni-wuerzburg.de/en/international/studying-in-wuerzburg/exchange-students/before-arrival-exchange-students/language-proficiency-german-language-courses/</v>
      </c>
      <c r="O3" s="3" t="str">
        <f>IFERROR(__xludf.DUMMYFUNCTION("""COMPUTED_VALUE"""),"Más información / Informazio gehigarria")</f>
        <v>Más información / Informazio gehigarria</v>
      </c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30.0" customHeight="1">
      <c r="A4" s="2" t="str">
        <f>IFERROR(__xludf.DUMMYFUNCTION("""COMPUTED_VALUE"""),"Alemania")</f>
        <v>Alemania</v>
      </c>
      <c r="B4" s="2" t="str">
        <f>IFERROR(__xludf.DUMMYFUNCTION("""COMPUTED_VALUE"""),"D WURZBUR01")</f>
        <v>D WURZBUR01</v>
      </c>
      <c r="C4" s="3" t="str">
        <f>IFERROR(__xludf.DUMMYFUNCTION("""COMPUTED_VALUE"""),"Bayerische Julius-Maximilians-Universitat Würzburg")</f>
        <v>Bayerische Julius-Maximilians-Universitat Würzburg</v>
      </c>
      <c r="D4" s="2" t="str">
        <f>IFERROR(__xludf.DUMMYFUNCTION("""COMPUTED_VALUE"""),"Erasmus+")</f>
        <v>Erasmus+</v>
      </c>
      <c r="E4" s="2">
        <f>IFERROR(__xludf.DUMMYFUNCTION("""COMPUTED_VALUE"""),4.0)</f>
        <v>4</v>
      </c>
      <c r="F4" s="2" t="str">
        <f>IFERROR(__xludf.DUMMYFUNCTION("""COMPUTED_VALUE"""),"Anual")</f>
        <v>Anual</v>
      </c>
      <c r="G4" s="2" t="str">
        <f>IFERROR(__xludf.DUMMYFUNCTION("""COMPUTED_VALUE"""),"Bilbao")</f>
        <v>Bilbao</v>
      </c>
      <c r="H4" s="2" t="str">
        <f>IFERROR(__xludf.DUMMYFUNCTION("""COMPUTED_VALUE"""),"Ciencias Sociales y Humanas")</f>
        <v>Ciencias Sociales y Humanas</v>
      </c>
      <c r="I4" s="2" t="str">
        <f>IFERROR(__xludf.DUMMYFUNCTION("""COMPUTED_VALUE"""),"Lenguas Modernas, Lengua y Cultura Vasca + Lenguas Modernas, Lenguas Modernas y Gestión, Euskal Hizkuntza eta Kultura")</f>
        <v>Lenguas Modernas, Lengua y Cultura Vasca + Lenguas Modernas, Lenguas Modernas y Gestión, Euskal Hizkuntza eta Kultura</v>
      </c>
      <c r="J4" s="2" t="str">
        <f>IFERROR(__xludf.DUMMYFUNCTION("""COMPUTED_VALUE"""),"Grado")</f>
        <v>Grado</v>
      </c>
      <c r="K4" s="2" t="str">
        <f>IFERROR(__xludf.DUMMYFUNCTION("""COMPUTED_VALUE"""),"Alemán")</f>
        <v>Alemán</v>
      </c>
      <c r="L4" s="2" t="str">
        <f>IFERROR(__xludf.DUMMYFUNCTION("""COMPUTED_VALUE"""),"B2")</f>
        <v>B2</v>
      </c>
      <c r="M4" s="2" t="str">
        <f>IFERROR(__xludf.DUMMYFUNCTION("""COMPUTED_VALUE"""),"No")</f>
        <v>No</v>
      </c>
      <c r="N4" s="3" t="str">
        <f>IFERROR(__xludf.DUMMYFUNCTION("""COMPUTED_VALUE"""),"https://www.uni-wuerzburg.de/en/international/studying-in-wuerzburg/exchange-students/before-arrival-exchange-students/language-proficiency-german-language-courses/")</f>
        <v>https://www.uni-wuerzburg.de/en/international/studying-in-wuerzburg/exchange-students/before-arrival-exchange-students/language-proficiency-german-language-courses/</v>
      </c>
      <c r="O4" s="3" t="str">
        <f>IFERROR(__xludf.DUMMYFUNCTION("""COMPUTED_VALUE"""),"Más información / Informazio gehigarria")</f>
        <v>Más información / Informazio gehigarria</v>
      </c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30.0" customHeight="1">
      <c r="A5" s="2" t="str">
        <f>IFERROR(__xludf.DUMMYFUNCTION("""COMPUTED_VALUE"""),"Alemania")</f>
        <v>Alemania</v>
      </c>
      <c r="B5" s="2" t="str">
        <f>IFERROR(__xludf.DUMMYFUNCTION("""COMPUTED_VALUE"""),"D WURZBUR01")</f>
        <v>D WURZBUR01</v>
      </c>
      <c r="C5" s="3" t="str">
        <f>IFERROR(__xludf.DUMMYFUNCTION("""COMPUTED_VALUE"""),"Bayerische Julius-Maximilians-Universitat Würzburg")</f>
        <v>Bayerische Julius-Maximilians-Universitat Würzburg</v>
      </c>
      <c r="D5" s="2" t="str">
        <f>IFERROR(__xludf.DUMMYFUNCTION("""COMPUTED_VALUE"""),"Erasmus+")</f>
        <v>Erasmus+</v>
      </c>
      <c r="E5" s="2">
        <f>IFERROR(__xludf.DUMMYFUNCTION("""COMPUTED_VALUE"""),1.0)</f>
        <v>1</v>
      </c>
      <c r="F5" s="2" t="str">
        <f>IFERROR(__xludf.DUMMYFUNCTION("""COMPUTED_VALUE"""),"Anual")</f>
        <v>Anual</v>
      </c>
      <c r="G5" s="2" t="str">
        <f>IFERROR(__xludf.DUMMYFUNCTION("""COMPUTED_VALUE"""),"Bilbao")</f>
        <v>Bilbao</v>
      </c>
      <c r="H5" s="2" t="str">
        <f>IFERROR(__xludf.DUMMYFUNCTION("""COMPUTED_VALUE"""),"Ciencias de la Salud")</f>
        <v>Ciencias de la Salud</v>
      </c>
      <c r="I5" s="2" t="str">
        <f>IFERROR(__xludf.DUMMYFUNCTION("""COMPUTED_VALUE"""),"Psicología")</f>
        <v>Psicología</v>
      </c>
      <c r="J5" s="2" t="str">
        <f>IFERROR(__xludf.DUMMYFUNCTION("""COMPUTED_VALUE"""),"Grado")</f>
        <v>Grado</v>
      </c>
      <c r="K5" s="2" t="str">
        <f>IFERROR(__xludf.DUMMYFUNCTION("""COMPUTED_VALUE"""),"Alemán / Inglés")</f>
        <v>Alemán / Inglés</v>
      </c>
      <c r="L5" s="2" t="str">
        <f>IFERROR(__xludf.DUMMYFUNCTION("""COMPUTED_VALUE"""),"B2")</f>
        <v>B2</v>
      </c>
      <c r="M5" s="2" t="str">
        <f>IFERROR(__xludf.DUMMYFUNCTION("""COMPUTED_VALUE"""),"No")</f>
        <v>No</v>
      </c>
      <c r="N5" s="3" t="str">
        <f>IFERROR(__xludf.DUMMYFUNCTION("""COMPUTED_VALUE"""),"https://www.uni-wuerzburg.de/en/international/studying-in-wuerzburg/exchange-students/before-arrival-exchange-students/language-proficiency-german-language-courses/")</f>
        <v>https://www.uni-wuerzburg.de/en/international/studying-in-wuerzburg/exchange-students/before-arrival-exchange-students/language-proficiency-german-language-courses/</v>
      </c>
      <c r="O5" s="3" t="str">
        <f>IFERROR(__xludf.DUMMYFUNCTION("""COMPUTED_VALUE"""),"Más información / Informazio gehigarria")</f>
        <v>Más información / Informazio gehigarria</v>
      </c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30.0" customHeight="1">
      <c r="A6" s="2" t="str">
        <f>IFERROR(__xludf.DUMMYFUNCTION("""COMPUTED_VALUE"""),"Alemania")</f>
        <v>Alemania</v>
      </c>
      <c r="B6" s="2" t="str">
        <f>IFERROR(__xludf.DUMMYFUNCTION("""COMPUTED_VALUE"""),"D TUBINGE01")</f>
        <v>D TUBINGE01</v>
      </c>
      <c r="C6" s="3" t="str">
        <f>IFERROR(__xludf.DUMMYFUNCTION("""COMPUTED_VALUE"""),"Eberhard Karls - Universität Tübingen")</f>
        <v>Eberhard Karls - Universität Tübingen</v>
      </c>
      <c r="D6" s="2" t="str">
        <f>IFERROR(__xludf.DUMMYFUNCTION("""COMPUTED_VALUE"""),"Erasmus+")</f>
        <v>Erasmus+</v>
      </c>
      <c r="E6" s="2">
        <f>IFERROR(__xludf.DUMMYFUNCTION("""COMPUTED_VALUE"""),2.0)</f>
        <v>2</v>
      </c>
      <c r="F6" s="2" t="str">
        <f>IFERROR(__xludf.DUMMYFUNCTION("""COMPUTED_VALUE"""),"Ambos semestres")</f>
        <v>Ambos semestres</v>
      </c>
      <c r="G6" s="2" t="str">
        <f>IFERROR(__xludf.DUMMYFUNCTION("""COMPUTED_VALUE"""),"Bilbao")</f>
        <v>Bilbao</v>
      </c>
      <c r="H6" s="2" t="str">
        <f>IFERROR(__xludf.DUMMYFUNCTION("""COMPUTED_VALUE"""),"Deusto Business School")</f>
        <v>Deusto Business School</v>
      </c>
      <c r="I6" s="2" t="str">
        <f>IFERROR(__xludf.DUMMYFUNCTION("""COMPUTED_VALUE"""),"Administración y Dirección de Empresas")</f>
        <v>Administración y Dirección de Empresas</v>
      </c>
      <c r="J6" s="2" t="str">
        <f>IFERROR(__xludf.DUMMYFUNCTION("""COMPUTED_VALUE"""),"Grado")</f>
        <v>Grado</v>
      </c>
      <c r="K6" s="2" t="str">
        <f>IFERROR(__xludf.DUMMYFUNCTION("""COMPUTED_VALUE"""),"Alemán")</f>
        <v>Alemán</v>
      </c>
      <c r="L6" s="2" t="str">
        <f>IFERROR(__xludf.DUMMYFUNCTION("""COMPUTED_VALUE"""),"B2")</f>
        <v>B2</v>
      </c>
      <c r="M6" s="2" t="str">
        <f>IFERROR(__xludf.DUMMYFUNCTION("""COMPUTED_VALUE"""),"No")</f>
        <v>No</v>
      </c>
      <c r="N6" s="3" t="str">
        <f>IFERROR(__xludf.DUMMYFUNCTION("""COMPUTED_VALUE"""),"https://uni-tuebingen.de/en/international/study-in-tuebingen/erasmus-and-exchange-to-tuebingen/application-and-preparation/#c452763")</f>
        <v>https://uni-tuebingen.de/en/international/study-in-tuebingen/erasmus-and-exchange-to-tuebingen/application-and-preparation/#c452763</v>
      </c>
      <c r="O6" s="3" t="str">
        <f>IFERROR(__xludf.DUMMYFUNCTION("""COMPUTED_VALUE"""),"Más información / Informazio gehigarria")</f>
        <v>Más información / Informazio gehigarria</v>
      </c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30.0" customHeight="1">
      <c r="A7" s="2" t="str">
        <f>IFERROR(__xludf.DUMMYFUNCTION("""COMPUTED_VALUE"""),"Alemania")</f>
        <v>Alemania</v>
      </c>
      <c r="B7" s="2" t="str">
        <f>IFERROR(__xludf.DUMMYFUNCTION("""COMPUTED_VALUE"""),"D TUBINGE01")</f>
        <v>D TUBINGE01</v>
      </c>
      <c r="C7" s="3" t="str">
        <f>IFERROR(__xludf.DUMMYFUNCTION("""COMPUTED_VALUE"""),"Eberhard Karls - Universität Tübingen")</f>
        <v>Eberhard Karls - Universität Tübingen</v>
      </c>
      <c r="D7" s="2" t="str">
        <f>IFERROR(__xludf.DUMMYFUNCTION("""COMPUTED_VALUE"""),"Erasmus+")</f>
        <v>Erasmus+</v>
      </c>
      <c r="E7" s="2">
        <f>IFERROR(__xludf.DUMMYFUNCTION("""COMPUTED_VALUE"""),2.0)</f>
        <v>2</v>
      </c>
      <c r="F7" s="2" t="str">
        <f>IFERROR(__xludf.DUMMYFUNCTION("""COMPUTED_VALUE"""),"Semestre")</f>
        <v>Semestre</v>
      </c>
      <c r="G7" s="2" t="str">
        <f>IFERROR(__xludf.DUMMYFUNCTION("""COMPUTED_VALUE"""),"Bilbao")</f>
        <v>Bilbao</v>
      </c>
      <c r="H7" s="2" t="str">
        <f>IFERROR(__xludf.DUMMYFUNCTION("""COMPUTED_VALUE"""),"Derecho")</f>
        <v>Derecho</v>
      </c>
      <c r="I7" s="2" t="str">
        <f>IFERROR(__xludf.DUMMYFUNCTION("""COMPUTED_VALUE"""),"Derecho, Derecho + Relaciones Laborales")</f>
        <v>Derecho, Derecho + Relaciones Laborales</v>
      </c>
      <c r="J7" s="2" t="str">
        <f>IFERROR(__xludf.DUMMYFUNCTION("""COMPUTED_VALUE"""),"Grado")</f>
        <v>Grado</v>
      </c>
      <c r="K7" s="2" t="str">
        <f>IFERROR(__xludf.DUMMYFUNCTION("""COMPUTED_VALUE"""),"Alemán / Inglés")</f>
        <v>Alemán / Inglés</v>
      </c>
      <c r="L7" s="2" t="str">
        <f>IFERROR(__xludf.DUMMYFUNCTION("""COMPUTED_VALUE"""),"B2")</f>
        <v>B2</v>
      </c>
      <c r="M7" s="2" t="str">
        <f>IFERROR(__xludf.DUMMYFUNCTION("""COMPUTED_VALUE"""),"Sí")</f>
        <v>Sí</v>
      </c>
      <c r="N7" s="3" t="str">
        <f>IFERROR(__xludf.DUMMYFUNCTION("""COMPUTED_VALUE"""),"https://uni-tuebingen.de/en/international/study-in-tuebingen/erasmus-and-exchange-to-tuebingen/application-and-preparation/#c452764")</f>
        <v>https://uni-tuebingen.de/en/international/study-in-tuebingen/erasmus-and-exchange-to-tuebingen/application-and-preparation/#c452764</v>
      </c>
      <c r="O7" s="3" t="str">
        <f>IFERROR(__xludf.DUMMYFUNCTION("""COMPUTED_VALUE"""),"Más información / Informazio gehigarria")</f>
        <v>Más información / Informazio gehigarria</v>
      </c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30.0" customHeight="1">
      <c r="A8" s="2" t="str">
        <f>IFERROR(__xludf.DUMMYFUNCTION("""COMPUTED_VALUE"""),"Alemania")</f>
        <v>Alemania</v>
      </c>
      <c r="B8" s="2" t="str">
        <f>IFERROR(__xludf.DUMMYFUNCTION("""COMPUTED_VALUE"""),"D TUBINGE01")</f>
        <v>D TUBINGE01</v>
      </c>
      <c r="C8" s="3" t="str">
        <f>IFERROR(__xludf.DUMMYFUNCTION("""COMPUTED_VALUE"""),"Eberhard Karls - Universität Tübingen")</f>
        <v>Eberhard Karls - Universität Tübingen</v>
      </c>
      <c r="D8" s="2" t="str">
        <f>IFERROR(__xludf.DUMMYFUNCTION("""COMPUTED_VALUE"""),"Erasmus+")</f>
        <v>Erasmus+</v>
      </c>
      <c r="E8" s="2">
        <f>IFERROR(__xludf.DUMMYFUNCTION("""COMPUTED_VALUE"""),2.0)</f>
        <v>2</v>
      </c>
      <c r="F8" s="2" t="str">
        <f>IFERROR(__xludf.DUMMYFUNCTION("""COMPUTED_VALUE"""),"Semestre")</f>
        <v>Semestre</v>
      </c>
      <c r="G8" s="2" t="str">
        <f>IFERROR(__xludf.DUMMYFUNCTION("""COMPUTED_VALUE"""),"Bilbao")</f>
        <v>Bilbao</v>
      </c>
      <c r="H8" s="2" t="str">
        <f>IFERROR(__xludf.DUMMYFUNCTION("""COMPUTED_VALUE"""),"Ciencias Sociales y Humanas")</f>
        <v>Ciencias Sociales y Humanas</v>
      </c>
      <c r="I8" s="2" t="str">
        <f>IFERROR(__xludf.DUMMYFUNCTION("""COMPUTED_VALUE"""),"Filosofía, Política y Economía")</f>
        <v>Filosofía, Política y Economía</v>
      </c>
      <c r="J8" s="2" t="str">
        <f>IFERROR(__xludf.DUMMYFUNCTION("""COMPUTED_VALUE"""),"Grado")</f>
        <v>Grado</v>
      </c>
      <c r="K8" s="2" t="str">
        <f>IFERROR(__xludf.DUMMYFUNCTION("""COMPUTED_VALUE"""),"Alemán")</f>
        <v>Alemán</v>
      </c>
      <c r="L8" s="2" t="str">
        <f>IFERROR(__xludf.DUMMYFUNCTION("""COMPUTED_VALUE"""),"B2")</f>
        <v>B2</v>
      </c>
      <c r="M8" s="2" t="str">
        <f>IFERROR(__xludf.DUMMYFUNCTION("""COMPUTED_VALUE"""),"No")</f>
        <v>No</v>
      </c>
      <c r="N8" s="3" t="str">
        <f>IFERROR(__xludf.DUMMYFUNCTION("""COMPUTED_VALUE"""),"https://uni-tuebingen.de/en/international/study-in-tuebingen/erasmus-and-exchange-to-tuebingen/application-and-preparation/#c452763")</f>
        <v>https://uni-tuebingen.de/en/international/study-in-tuebingen/erasmus-and-exchange-to-tuebingen/application-and-preparation/#c452763</v>
      </c>
      <c r="O8" s="3" t="str">
        <f>IFERROR(__xludf.DUMMYFUNCTION("""COMPUTED_VALUE"""),"Más información / Informazio gehigarria")</f>
        <v>Más información / Informazio gehigarria</v>
      </c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30.0" customHeight="1">
      <c r="A9" s="2" t="str">
        <f>IFERROR(__xludf.DUMMYFUNCTION("""COMPUTED_VALUE"""),"Alemania")</f>
        <v>Alemania</v>
      </c>
      <c r="B9" s="2" t="str">
        <f>IFERROR(__xludf.DUMMYFUNCTION("""COMPUTED_VALUE"""),"D OESTRIC01")</f>
        <v>D OESTRIC01</v>
      </c>
      <c r="C9" s="3" t="str">
        <f>IFERROR(__xludf.DUMMYFUNCTION("""COMPUTED_VALUE"""),"EBS Universität für Wirtschaft und Recht")</f>
        <v>EBS Universität für Wirtschaft und Recht</v>
      </c>
      <c r="D9" s="2" t="str">
        <f>IFERROR(__xludf.DUMMYFUNCTION("""COMPUTED_VALUE"""),"Erasmus+")</f>
        <v>Erasmus+</v>
      </c>
      <c r="E9" s="2">
        <f>IFERROR(__xludf.DUMMYFUNCTION("""COMPUTED_VALUE"""),2.0)</f>
        <v>2</v>
      </c>
      <c r="F9" s="2" t="str">
        <f>IFERROR(__xludf.DUMMYFUNCTION("""COMPUTED_VALUE"""),"Semestre")</f>
        <v>Semestre</v>
      </c>
      <c r="G9" s="2" t="str">
        <f>IFERROR(__xludf.DUMMYFUNCTION("""COMPUTED_VALUE"""),"San Sebastián")</f>
        <v>San Sebastián</v>
      </c>
      <c r="H9" s="2" t="str">
        <f>IFERROR(__xludf.DUMMYFUNCTION("""COMPUTED_VALUE"""),"Deusto Business School")</f>
        <v>Deusto Business School</v>
      </c>
      <c r="I9" s="2" t="str">
        <f>IFERROR(__xludf.DUMMYFUNCTION("""COMPUTED_VALUE"""),"Administración y Dirección de Empresas")</f>
        <v>Administración y Dirección de Empresas</v>
      </c>
      <c r="J9" s="2" t="str">
        <f>IFERROR(__xludf.DUMMYFUNCTION("""COMPUTED_VALUE"""),"Grado")</f>
        <v>Grado</v>
      </c>
      <c r="K9" s="2" t="str">
        <f>IFERROR(__xludf.DUMMYFUNCTION("""COMPUTED_VALUE"""),"Inglés")</f>
        <v>Inglés</v>
      </c>
      <c r="L9" s="2" t="str">
        <f>IFERROR(__xludf.DUMMYFUNCTION("""COMPUTED_VALUE"""),"B2")</f>
        <v>B2</v>
      </c>
      <c r="M9" s="2" t="str">
        <f>IFERROR(__xludf.DUMMYFUNCTION("""COMPUTED_VALUE"""),"Sí")</f>
        <v>Sí</v>
      </c>
      <c r="N9" s="3" t="str">
        <f>IFERROR(__xludf.DUMMYFUNCTION("""COMPUTED_VALUE"""),"https://en.fh-westkueste.de/en/international/incoming-students/international-applicants/")</f>
        <v>https://en.fh-westkueste.de/en/international/incoming-students/international-applicants/</v>
      </c>
      <c r="O9" s="3" t="str">
        <f>IFERROR(__xludf.DUMMYFUNCTION("""COMPUTED_VALUE"""),"Más información / Informazio gehigarria")</f>
        <v>Más información / Informazio gehigarria</v>
      </c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30.0" customHeight="1">
      <c r="A10" s="2" t="str">
        <f>IFERROR(__xludf.DUMMYFUNCTION("""COMPUTED_VALUE"""),"Alemania")</f>
        <v>Alemania</v>
      </c>
      <c r="B10" s="2" t="str">
        <f>IFERROR(__xludf.DUMMYFUNCTION("""COMPUTED_VALUE"""),"D OESTRIC01")</f>
        <v>D OESTRIC01</v>
      </c>
      <c r="C10" s="3" t="str">
        <f>IFERROR(__xludf.DUMMYFUNCTION("""COMPUTED_VALUE"""),"EBS Universität für Wirtschaft und Recht")</f>
        <v>EBS Universität für Wirtschaft und Recht</v>
      </c>
      <c r="D10" s="2" t="str">
        <f>IFERROR(__xludf.DUMMYFUNCTION("""COMPUTED_VALUE"""),"Erasmus+")</f>
        <v>Erasmus+</v>
      </c>
      <c r="E10" s="2">
        <f>IFERROR(__xludf.DUMMYFUNCTION("""COMPUTED_VALUE"""),2.0)</f>
        <v>2</v>
      </c>
      <c r="F10" s="2" t="str">
        <f>IFERROR(__xludf.DUMMYFUNCTION("""COMPUTED_VALUE"""),"Ambos semestres")</f>
        <v>Ambos semestres</v>
      </c>
      <c r="G10" s="2" t="str">
        <f>IFERROR(__xludf.DUMMYFUNCTION("""COMPUTED_VALUE"""),"Bilbao")</f>
        <v>Bilbao</v>
      </c>
      <c r="H10" s="2" t="str">
        <f>IFERROR(__xludf.DUMMYFUNCTION("""COMPUTED_VALUE"""),"Deusto Business School")</f>
        <v>Deusto Business School</v>
      </c>
      <c r="I10" s="2" t="str">
        <f>IFERROR(__xludf.DUMMYFUNCTION("""COMPUTED_VALUE"""),"Administración y Dirección de Empresas")</f>
        <v>Administración y Dirección de Empresas</v>
      </c>
      <c r="J10" s="2" t="str">
        <f>IFERROR(__xludf.DUMMYFUNCTION("""COMPUTED_VALUE"""),"Grado")</f>
        <v>Grado</v>
      </c>
      <c r="K10" s="2" t="str">
        <f>IFERROR(__xludf.DUMMYFUNCTION("""COMPUTED_VALUE"""),"Inglés")</f>
        <v>Inglés</v>
      </c>
      <c r="L10" s="2" t="str">
        <f>IFERROR(__xludf.DUMMYFUNCTION("""COMPUTED_VALUE"""),"C1")</f>
        <v>C1</v>
      </c>
      <c r="M10" s="2" t="str">
        <f>IFERROR(__xludf.DUMMYFUNCTION("""COMPUTED_VALUE"""),"Sí")</f>
        <v>Sí</v>
      </c>
      <c r="N10" s="3" t="str">
        <f>IFERROR(__xludf.DUMMYFUNCTION("""COMPUTED_VALUE"""),"https://en.fh-westkueste.de/en/international/incoming-students/international-applicants/")</f>
        <v>https://en.fh-westkueste.de/en/international/incoming-students/international-applicants/</v>
      </c>
      <c r="O10" s="3" t="str">
        <f>IFERROR(__xludf.DUMMYFUNCTION("""COMPUTED_VALUE"""),"Más información / Informazio gehigarria")</f>
        <v>Más información / Informazio gehigarria</v>
      </c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30.0" customHeight="1">
      <c r="A11" s="2" t="str">
        <f>IFERROR(__xludf.DUMMYFUNCTION("""COMPUTED_VALUE"""),"Alemania")</f>
        <v>Alemania</v>
      </c>
      <c r="B11" s="2" t="str">
        <f>IFERROR(__xludf.DUMMYFUNCTION("""COMPUTED_VALUE"""),"D OESTRIC01")</f>
        <v>D OESTRIC01</v>
      </c>
      <c r="C11" s="3" t="str">
        <f>IFERROR(__xludf.DUMMYFUNCTION("""COMPUTED_VALUE"""),"EBS Universität für Wirtschaft und Recht")</f>
        <v>EBS Universität für Wirtschaft und Recht</v>
      </c>
      <c r="D11" s="2" t="str">
        <f>IFERROR(__xludf.DUMMYFUNCTION("""COMPUTED_VALUE"""),"Erasmus+")</f>
        <v>Erasmus+</v>
      </c>
      <c r="E11" s="2">
        <f>IFERROR(__xludf.DUMMYFUNCTION("""COMPUTED_VALUE"""),4.0)</f>
        <v>4</v>
      </c>
      <c r="F11" s="2" t="str">
        <f>IFERROR(__xludf.DUMMYFUNCTION("""COMPUTED_VALUE"""),"Semestre")</f>
        <v>Semestre</v>
      </c>
      <c r="G11" s="2" t="str">
        <f>IFERROR(__xludf.DUMMYFUNCTION("""COMPUTED_VALUE"""),"Ambos")</f>
        <v>Ambos</v>
      </c>
      <c r="H11" s="2" t="str">
        <f>IFERROR(__xludf.DUMMYFUNCTION("""COMPUTED_VALUE"""),"Derecho")</f>
        <v>Derecho</v>
      </c>
      <c r="I11" s="2" t="str">
        <f>IFERROR(__xludf.DUMMYFUNCTION("""COMPUTED_VALUE"""),"Derecho, Derecho + Relaciones Laborales")</f>
        <v>Derecho, Derecho + Relaciones Laborales</v>
      </c>
      <c r="J11" s="2" t="str">
        <f>IFERROR(__xludf.DUMMYFUNCTION("""COMPUTED_VALUE"""),"Grado")</f>
        <v>Grado</v>
      </c>
      <c r="K11" s="2" t="str">
        <f>IFERROR(__xludf.DUMMYFUNCTION("""COMPUTED_VALUE"""),"Alemán / Inglés")</f>
        <v>Alemán / Inglés</v>
      </c>
      <c r="L11" s="2" t="str">
        <f>IFERROR(__xludf.DUMMYFUNCTION("""COMPUTED_VALUE"""),"B2")</f>
        <v>B2</v>
      </c>
      <c r="M11" s="2" t="str">
        <f>IFERROR(__xludf.DUMMYFUNCTION("""COMPUTED_VALUE"""),"Sí")</f>
        <v>Sí</v>
      </c>
      <c r="N11" s="3" t="str">
        <f>IFERROR(__xludf.DUMMYFUNCTION("""COMPUTED_VALUE"""),"https://www.hwr-berlin.de/fileadmin/portal/Dokumente/Studium/Internationales/Exchange-Fact-Sheet.pdf")</f>
        <v>https://www.hwr-berlin.de/fileadmin/portal/Dokumente/Studium/Internationales/Exchange-Fact-Sheet.pdf</v>
      </c>
      <c r="O11" s="3" t="str">
        <f>IFERROR(__xludf.DUMMYFUNCTION("""COMPUTED_VALUE"""),"Más información / Informazio gehigarria")</f>
        <v>Más información / Informazio gehigarria</v>
      </c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30.0" customHeight="1">
      <c r="A12" s="2" t="str">
        <f>IFERROR(__xludf.DUMMYFUNCTION("""COMPUTED_VALUE"""),"Alemania")</f>
        <v>Alemania</v>
      </c>
      <c r="B12" s="2" t="str">
        <f>IFERROR(__xludf.DUMMYFUNCTION("""COMPUTED_VALUE"""),"D FRANKFU08")</f>
        <v>D FRANKFU08</v>
      </c>
      <c r="C12" s="3" t="str">
        <f>IFERROR(__xludf.DUMMYFUNCTION("""COMPUTED_VALUE"""),"Europa Universität Viadrina")</f>
        <v>Europa Universität Viadrina</v>
      </c>
      <c r="D12" s="2" t="str">
        <f>IFERROR(__xludf.DUMMYFUNCTION("""COMPUTED_VALUE"""),"Erasmus+")</f>
        <v>Erasmus+</v>
      </c>
      <c r="E12" s="2">
        <f>IFERROR(__xludf.DUMMYFUNCTION("""COMPUTED_VALUE"""),4.0)</f>
        <v>4</v>
      </c>
      <c r="F12" s="2" t="str">
        <f>IFERROR(__xludf.DUMMYFUNCTION("""COMPUTED_VALUE"""),"Semestre")</f>
        <v>Semestre</v>
      </c>
      <c r="G12" s="2" t="str">
        <f>IFERROR(__xludf.DUMMYFUNCTION("""COMPUTED_VALUE"""),"San Sebastián")</f>
        <v>San Sebastián</v>
      </c>
      <c r="H12" s="2" t="str">
        <f>IFERROR(__xludf.DUMMYFUNCTION("""COMPUTED_VALUE"""),"Deusto Business School")</f>
        <v>Deusto Business School</v>
      </c>
      <c r="I12" s="2" t="str">
        <f>IFERROR(__xludf.DUMMYFUNCTION("""COMPUTED_VALUE"""),"Administración y Dirección de Empresas")</f>
        <v>Administración y Dirección de Empresas</v>
      </c>
      <c r="J12" s="2" t="str">
        <f>IFERROR(__xludf.DUMMYFUNCTION("""COMPUTED_VALUE"""),"Grado")</f>
        <v>Grado</v>
      </c>
      <c r="K12" s="2" t="str">
        <f>IFERROR(__xludf.DUMMYFUNCTION("""COMPUTED_VALUE"""),"Alemán / Inglés")</f>
        <v>Alemán / Inglés</v>
      </c>
      <c r="L12" s="2" t="str">
        <f>IFERROR(__xludf.DUMMYFUNCTION("""COMPUTED_VALUE"""),"B2")</f>
        <v>B2</v>
      </c>
      <c r="M12" s="2" t="str">
        <f>IFERROR(__xludf.DUMMYFUNCTION("""COMPUTED_VALUE"""),"Sí")</f>
        <v>Sí</v>
      </c>
      <c r="N12" s="3" t="str">
        <f>IFERROR(__xludf.DUMMYFUNCTION("""COMPUTED_VALUE"""),"https://www.europa-uni.de/en/internationales/index.html")</f>
        <v>https://www.europa-uni.de/en/internationales/index.html</v>
      </c>
      <c r="O12" s="3" t="str">
        <f>IFERROR(__xludf.DUMMYFUNCTION("""COMPUTED_VALUE"""),"Más información / Informazio gehigarria")</f>
        <v>Más información / Informazio gehigarria</v>
      </c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30.0" customHeight="1">
      <c r="A13" s="2" t="str">
        <f>IFERROR(__xludf.DUMMYFUNCTION("""COMPUTED_VALUE"""),"Alemania")</f>
        <v>Alemania</v>
      </c>
      <c r="B13" s="2" t="str">
        <f>IFERROR(__xludf.DUMMYFUNCTION("""COMPUTED_VALUE"""),"D PADERBO04")</f>
        <v>D PADERBO04</v>
      </c>
      <c r="C13" s="3" t="str">
        <f>IFERROR(__xludf.DUMMYFUNCTION("""COMPUTED_VALUE"""),"Fachhochschule der Wirtschaft")</f>
        <v>Fachhochschule der Wirtschaft</v>
      </c>
      <c r="D13" s="2" t="str">
        <f>IFERROR(__xludf.DUMMYFUNCTION("""COMPUTED_VALUE"""),"Erasmus+")</f>
        <v>Erasmus+</v>
      </c>
      <c r="E13" s="2">
        <f>IFERROR(__xludf.DUMMYFUNCTION("""COMPUTED_VALUE"""),2.0)</f>
        <v>2</v>
      </c>
      <c r="F13" s="2" t="str">
        <f>IFERROR(__xludf.DUMMYFUNCTION("""COMPUTED_VALUE"""),"Ambos semestres")</f>
        <v>Ambos semestres</v>
      </c>
      <c r="G13" s="2" t="str">
        <f>IFERROR(__xludf.DUMMYFUNCTION("""COMPUTED_VALUE"""),"Bilbao")</f>
        <v>Bilbao</v>
      </c>
      <c r="H13" s="2" t="str">
        <f>IFERROR(__xludf.DUMMYFUNCTION("""COMPUTED_VALUE"""),"Deusto Business School")</f>
        <v>Deusto Business School</v>
      </c>
      <c r="I13" s="2" t="str">
        <f>IFERROR(__xludf.DUMMYFUNCTION("""COMPUTED_VALUE"""),"Administración y Dirección de Empresas")</f>
        <v>Administración y Dirección de Empresas</v>
      </c>
      <c r="J13" s="2" t="str">
        <f>IFERROR(__xludf.DUMMYFUNCTION("""COMPUTED_VALUE"""),"Grado")</f>
        <v>Grado</v>
      </c>
      <c r="K13" s="2" t="str">
        <f>IFERROR(__xludf.DUMMYFUNCTION("""COMPUTED_VALUE"""),"Alemán")</f>
        <v>Alemán</v>
      </c>
      <c r="L13" s="2" t="str">
        <f>IFERROR(__xludf.DUMMYFUNCTION("""COMPUTED_VALUE"""),"B2")</f>
        <v>B2</v>
      </c>
      <c r="M13" s="2" t="str">
        <f>IFERROR(__xludf.DUMMYFUNCTION("""COMPUTED_VALUE"""),"No")</f>
        <v>No</v>
      </c>
      <c r="N13" s="3" t="str">
        <f>IFERROR(__xludf.DUMMYFUNCTION("""COMPUTED_VALUE"""),"https://en.fh-westkueste.de/en/international/incoming-students/international-applicants/")</f>
        <v>https://en.fh-westkueste.de/en/international/incoming-students/international-applicants/</v>
      </c>
      <c r="O13" s="3" t="str">
        <f>IFERROR(__xludf.DUMMYFUNCTION("""COMPUTED_VALUE"""),"Más información / Informazio gehigarria")</f>
        <v>Más información / Informazio gehigarria</v>
      </c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30.0" customHeight="1">
      <c r="A14" s="2" t="str">
        <f>IFERROR(__xludf.DUMMYFUNCTION("""COMPUTED_VALUE"""),"Alemania")</f>
        <v>Alemania</v>
      </c>
      <c r="B14" s="2" t="str">
        <f>IFERROR(__xludf.DUMMYFUNCTION("""COMPUTED_VALUE"""),"D PFORZHE01")</f>
        <v>D PFORZHE01</v>
      </c>
      <c r="C14" s="3" t="str">
        <f>IFERROR(__xludf.DUMMYFUNCTION("""COMPUTED_VALUE"""),"Fachhochschule Pforzheim")</f>
        <v>Fachhochschule Pforzheim</v>
      </c>
      <c r="D14" s="2" t="str">
        <f>IFERROR(__xludf.DUMMYFUNCTION("""COMPUTED_VALUE"""),"Erasmus+")</f>
        <v>Erasmus+</v>
      </c>
      <c r="E14" s="2">
        <f>IFERROR(__xludf.DUMMYFUNCTION("""COMPUTED_VALUE"""),4.0)</f>
        <v>4</v>
      </c>
      <c r="F14" s="2" t="str">
        <f>IFERROR(__xludf.DUMMYFUNCTION("""COMPUTED_VALUE"""),"Semestre")</f>
        <v>Semestre</v>
      </c>
      <c r="G14" s="2" t="str">
        <f>IFERROR(__xludf.DUMMYFUNCTION("""COMPUTED_VALUE"""),"Ambos")</f>
        <v>Ambos</v>
      </c>
      <c r="H14" s="2" t="str">
        <f>IFERROR(__xludf.DUMMYFUNCTION("""COMPUTED_VALUE"""),"Deusto Business School")</f>
        <v>Deusto Business School</v>
      </c>
      <c r="I14" s="2" t="str">
        <f>IFERROR(__xludf.DUMMYFUNCTION("""COMPUTED_VALUE"""),"Administración y Dirección de Empresas")</f>
        <v>Administración y Dirección de Empresas</v>
      </c>
      <c r="J14" s="2" t="str">
        <f>IFERROR(__xludf.DUMMYFUNCTION("""COMPUTED_VALUE"""),"Grado")</f>
        <v>Grado</v>
      </c>
      <c r="K14" s="2" t="str">
        <f>IFERROR(__xludf.DUMMYFUNCTION("""COMPUTED_VALUE"""),"Pendiente confirmación")</f>
        <v>Pendiente confirmación</v>
      </c>
      <c r="L14" s="2" t="str">
        <f>IFERROR(__xludf.DUMMYFUNCTION("""COMPUTED_VALUE"""),"Pendiente confirmación")</f>
        <v>Pendiente confirmación</v>
      </c>
      <c r="M14" s="2"/>
      <c r="N14" s="3" t="str">
        <f>IFERROR(__xludf.DUMMYFUNCTION("""COMPUTED_VALUE"""),"https://www.hs-pforzheim.de/en/international/studying_in_pforzheim/regular_degree_students/language_requirements#:~:text=For%20all%20degree%20programs%20Pforzheim,a%20TESTDAF%20score%20of%204.")</f>
        <v>https://www.hs-pforzheim.de/en/international/studying_in_pforzheim/regular_degree_students/language_requirements#:~:text=For%20all%20degree%20programs%20Pforzheim,a%20TESTDAF%20score%20of%204.</v>
      </c>
      <c r="O14" s="3" t="str">
        <f>IFERROR(__xludf.DUMMYFUNCTION("""COMPUTED_VALUE"""),"Más información / Informazio gehigarria")</f>
        <v>Más información / Informazio gehigarria</v>
      </c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30.0" customHeight="1">
      <c r="A15" s="2" t="str">
        <f>IFERROR(__xludf.DUMMYFUNCTION("""COMPUTED_VALUE"""),"Alemania")</f>
        <v>Alemania</v>
      </c>
      <c r="B15" s="2" t="str">
        <f>IFERROR(__xludf.DUMMYFUNCTION("""COMPUTED_VALUE"""),"D HEIDE01")</f>
        <v>D HEIDE01</v>
      </c>
      <c r="C15" s="3" t="str">
        <f>IFERROR(__xludf.DUMMYFUNCTION("""COMPUTED_VALUE"""),"Fachoschule Westküste")</f>
        <v>Fachoschule Westküste</v>
      </c>
      <c r="D15" s="2" t="str">
        <f>IFERROR(__xludf.DUMMYFUNCTION("""COMPUTED_VALUE"""),"Erasmus+")</f>
        <v>Erasmus+</v>
      </c>
      <c r="E15" s="2">
        <f>IFERROR(__xludf.DUMMYFUNCTION("""COMPUTED_VALUE"""),4.0)</f>
        <v>4</v>
      </c>
      <c r="F15" s="2" t="str">
        <f>IFERROR(__xludf.DUMMYFUNCTION("""COMPUTED_VALUE"""),"Semestre")</f>
        <v>Semestre</v>
      </c>
      <c r="G15" s="2" t="str">
        <f>IFERROR(__xludf.DUMMYFUNCTION("""COMPUTED_VALUE"""),"Bilbao")</f>
        <v>Bilbao</v>
      </c>
      <c r="H15" s="2" t="str">
        <f>IFERROR(__xludf.DUMMYFUNCTION("""COMPUTED_VALUE"""),"Ciencias Sociales y Humanas")</f>
        <v>Ciencias Sociales y Humanas</v>
      </c>
      <c r="I15" s="2" t="str">
        <f>IFERROR(__xludf.DUMMYFUNCTION("""COMPUTED_VALUE"""),"Turismo")</f>
        <v>Turismo</v>
      </c>
      <c r="J15" s="2" t="str">
        <f>IFERROR(__xludf.DUMMYFUNCTION("""COMPUTED_VALUE"""),"Grado")</f>
        <v>Grado</v>
      </c>
      <c r="K15" s="2" t="str">
        <f>IFERROR(__xludf.DUMMYFUNCTION("""COMPUTED_VALUE"""),"Alemán / Inglés")</f>
        <v>Alemán / Inglés</v>
      </c>
      <c r="L15" s="2" t="str">
        <f>IFERROR(__xludf.DUMMYFUNCTION("""COMPUTED_VALUE"""),"C1 / B2")</f>
        <v>C1 / B2</v>
      </c>
      <c r="M15" s="2" t="str">
        <f>IFERROR(__xludf.DUMMYFUNCTION("""COMPUTED_VALUE"""),"Sí")</f>
        <v>Sí</v>
      </c>
      <c r="N15" s="3" t="str">
        <f>IFERROR(__xludf.DUMMYFUNCTION("""COMPUTED_VALUE"""),"https://en.fh-westkueste.de/international/incoming-students/international-applicants/")</f>
        <v>https://en.fh-westkueste.de/international/incoming-students/international-applicants/</v>
      </c>
      <c r="O15" s="3" t="str">
        <f>IFERROR(__xludf.DUMMYFUNCTION("""COMPUTED_VALUE"""),"Más información / Informazio gehigarria")</f>
        <v>Más información / Informazio gehigarria</v>
      </c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30.0" customHeight="1">
      <c r="A16" s="2" t="str">
        <f>IFERROR(__xludf.DUMMYFUNCTION("""COMPUTED_VALUE"""),"Alemania")</f>
        <v>Alemania</v>
      </c>
      <c r="B16" s="2" t="str">
        <f>IFERROR(__xludf.DUMMYFUNCTION("""COMPUTED_VALUE"""),"D BERLIN01")</f>
        <v>D BERLIN01</v>
      </c>
      <c r="C16" s="3" t="str">
        <f>IFERROR(__xludf.DUMMYFUNCTION("""COMPUTED_VALUE"""),"Freie Universität Berlin")</f>
        <v>Freie Universität Berlin</v>
      </c>
      <c r="D16" s="2" t="str">
        <f>IFERROR(__xludf.DUMMYFUNCTION("""COMPUTED_VALUE"""),"Erasmus+")</f>
        <v>Erasmus+</v>
      </c>
      <c r="E16" s="2">
        <f>IFERROR(__xludf.DUMMYFUNCTION("""COMPUTED_VALUE"""),2.0)</f>
        <v>2</v>
      </c>
      <c r="F16" s="2" t="str">
        <f>IFERROR(__xludf.DUMMYFUNCTION("""COMPUTED_VALUE"""),"Anual")</f>
        <v>Anual</v>
      </c>
      <c r="G16" s="2" t="str">
        <f>IFERROR(__xludf.DUMMYFUNCTION("""COMPUTED_VALUE"""),"Bilbao")</f>
        <v>Bilbao</v>
      </c>
      <c r="H16" s="2" t="str">
        <f>IFERROR(__xludf.DUMMYFUNCTION("""COMPUTED_VALUE"""),"Ciencias Sociales y Humanas")</f>
        <v>Ciencias Sociales y Humanas</v>
      </c>
      <c r="I16" s="2" t="str">
        <f>IFERROR(__xludf.DUMMYFUNCTION("""COMPUTED_VALUE"""),"Lenguas Modernas, Lengua y Cultura Vasca + Lenguas Modernas, Lenguas Modernas y Gestión, Euskal Hizkuntza eta Kultura")</f>
        <v>Lenguas Modernas, Lengua y Cultura Vasca + Lenguas Modernas, Lenguas Modernas y Gestión, Euskal Hizkuntza eta Kultura</v>
      </c>
      <c r="J16" s="2" t="str">
        <f>IFERROR(__xludf.DUMMYFUNCTION("""COMPUTED_VALUE"""),"Grado")</f>
        <v>Grado</v>
      </c>
      <c r="K16" s="2" t="str">
        <f>IFERROR(__xludf.DUMMYFUNCTION("""COMPUTED_VALUE"""),"Alemán / Inglés")</f>
        <v>Alemán / Inglés</v>
      </c>
      <c r="L16" s="2" t="str">
        <f>IFERROR(__xludf.DUMMYFUNCTION("""COMPUTED_VALUE"""),"C1")</f>
        <v>C1</v>
      </c>
      <c r="M16" s="2" t="str">
        <f>IFERROR(__xludf.DUMMYFUNCTION("""COMPUTED_VALUE"""),"No")</f>
        <v>No</v>
      </c>
      <c r="N16" s="3" t="str">
        <f>IFERROR(__xludf.DUMMYFUNCTION("""COMPUTED_VALUE"""),"https://www.fu-berlin.de/en/studium/international/studium_fu/auslandssemester/erasmus_in/infos_incomingstudents/Sprachkenntnisse_Erasmus_incomings.html#:~:text=As%20you%20already%20know%2C%20most,or%20European%20language%20certificate%20B.")</f>
        <v>https://www.fu-berlin.de/en/studium/international/studium_fu/auslandssemester/erasmus_in/infos_incomingstudents/Sprachkenntnisse_Erasmus_incomings.html#:~:text=As%20you%20already%20know%2C%20most,or%20European%20language%20certificate%20B.</v>
      </c>
      <c r="O16" s="3" t="str">
        <f>IFERROR(__xludf.DUMMYFUNCTION("""COMPUTED_VALUE"""),"Más información / Informazio gehigarria")</f>
        <v>Más información / Informazio gehigarria</v>
      </c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30.0" customHeight="1">
      <c r="A17" s="2" t="str">
        <f>IFERROR(__xludf.DUMMYFUNCTION("""COMPUTED_VALUE"""),"Alemania")</f>
        <v>Alemania</v>
      </c>
      <c r="B17" s="2" t="str">
        <f>IFERROR(__xludf.DUMMYFUNCTION("""COMPUTED_VALUE"""),"D GOTTING01")</f>
        <v>D GOTTING01</v>
      </c>
      <c r="C17" s="3" t="str">
        <f>IFERROR(__xludf.DUMMYFUNCTION("""COMPUTED_VALUE"""),"Georg-August-Universität Göttingen")</f>
        <v>Georg-August-Universität Göttingen</v>
      </c>
      <c r="D17" s="2" t="str">
        <f>IFERROR(__xludf.DUMMYFUNCTION("""COMPUTED_VALUE"""),"Erasmus+")</f>
        <v>Erasmus+</v>
      </c>
      <c r="E17" s="2">
        <f>IFERROR(__xludf.DUMMYFUNCTION("""COMPUTED_VALUE"""),3.0)</f>
        <v>3</v>
      </c>
      <c r="F17" s="2" t="str">
        <f>IFERROR(__xludf.DUMMYFUNCTION("""COMPUTED_VALUE"""),"Anual")</f>
        <v>Anual</v>
      </c>
      <c r="G17" s="2" t="str">
        <f>IFERROR(__xludf.DUMMYFUNCTION("""COMPUTED_VALUE"""),"Bilbao")</f>
        <v>Bilbao</v>
      </c>
      <c r="H17" s="2" t="str">
        <f>IFERROR(__xludf.DUMMYFUNCTION("""COMPUTED_VALUE"""),"Ciencias Sociales y Humanas")</f>
        <v>Ciencias Sociales y Humanas</v>
      </c>
      <c r="I17" s="2" t="str">
        <f>IFERROR(__xludf.DUMMYFUNCTION("""COMPUTED_VALUE"""),"Relaciones Internacionales, Relaciones Internacionales + Derecho")</f>
        <v>Relaciones Internacionales, Relaciones Internacionales + Derecho</v>
      </c>
      <c r="J17" s="2" t="str">
        <f>IFERROR(__xludf.DUMMYFUNCTION("""COMPUTED_VALUE"""),"Grado")</f>
        <v>Grado</v>
      </c>
      <c r="K17" s="2" t="str">
        <f>IFERROR(__xludf.DUMMYFUNCTION("""COMPUTED_VALUE"""),"Alemán / Inglés")</f>
        <v>Alemán / Inglés</v>
      </c>
      <c r="L17" s="2" t="str">
        <f>IFERROR(__xludf.DUMMYFUNCTION("""COMPUTED_VALUE"""),"B2")</f>
        <v>B2</v>
      </c>
      <c r="M17" s="2" t="str">
        <f>IFERROR(__xludf.DUMMYFUNCTION("""COMPUTED_VALUE"""),"No")</f>
        <v>No</v>
      </c>
      <c r="N17" s="3" t="str">
        <f>IFERROR(__xludf.DUMMYFUNCTION("""COMPUTED_VALUE"""),"https://www.uni-goettingen.de/en/646821.html")</f>
        <v>https://www.uni-goettingen.de/en/646821.html</v>
      </c>
      <c r="O17" s="3" t="str">
        <f>IFERROR(__xludf.DUMMYFUNCTION("""COMPUTED_VALUE"""),"Más información / Informazio gehigarria")</f>
        <v>Más información / Informazio gehigarria</v>
      </c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30.0" customHeight="1">
      <c r="A18" s="2" t="str">
        <f>IFERROR(__xludf.DUMMYFUNCTION("""COMPUTED_VALUE"""),"Alemania")</f>
        <v>Alemania</v>
      </c>
      <c r="B18" s="2" t="str">
        <f>IFERROR(__xludf.DUMMYFUNCTION("""COMPUTED_VALUE"""),"D DUSSELD01")</f>
        <v>D DUSSELD01</v>
      </c>
      <c r="C18" s="3" t="str">
        <f>IFERROR(__xludf.DUMMYFUNCTION("""COMPUTED_VALUE"""),"Heinrich Heine University Düsseldorf")</f>
        <v>Heinrich Heine University Düsseldorf</v>
      </c>
      <c r="D18" s="2" t="str">
        <f>IFERROR(__xludf.DUMMYFUNCTION("""COMPUTED_VALUE"""),"Erasmus+")</f>
        <v>Erasmus+</v>
      </c>
      <c r="E18" s="2">
        <f>IFERROR(__xludf.DUMMYFUNCTION("""COMPUTED_VALUE"""),2.0)</f>
        <v>2</v>
      </c>
      <c r="F18" s="2" t="str">
        <f>IFERROR(__xludf.DUMMYFUNCTION("""COMPUTED_VALUE"""),"Anual")</f>
        <v>Anual</v>
      </c>
      <c r="G18" s="2" t="str">
        <f>IFERROR(__xludf.DUMMYFUNCTION("""COMPUTED_VALUE"""),"Bilbao")</f>
        <v>Bilbao</v>
      </c>
      <c r="H18" s="2" t="str">
        <f>IFERROR(__xludf.DUMMYFUNCTION("""COMPUTED_VALUE"""),"Ciencias Sociales y Humanas")</f>
        <v>Ciencias Sociales y Humanas</v>
      </c>
      <c r="I18" s="2" t="str">
        <f>IFERROR(__xludf.DUMMYFUNCTION("""COMPUTED_VALUE"""),"Relaciones Internacionales, Relaciones Internacionales + Derecho")</f>
        <v>Relaciones Internacionales, Relaciones Internacionales + Derecho</v>
      </c>
      <c r="J18" s="2" t="str">
        <f>IFERROR(__xludf.DUMMYFUNCTION("""COMPUTED_VALUE"""),"Grado")</f>
        <v>Grado</v>
      </c>
      <c r="K18" s="2" t="str">
        <f>IFERROR(__xludf.DUMMYFUNCTION("""COMPUTED_VALUE"""),"Alemán / Inglés")</f>
        <v>Alemán / Inglés</v>
      </c>
      <c r="L18" s="2" t="str">
        <f>IFERROR(__xludf.DUMMYFUNCTION("""COMPUTED_VALUE"""),"B2")</f>
        <v>B2</v>
      </c>
      <c r="M18" s="2" t="str">
        <f>IFERROR(__xludf.DUMMYFUNCTION("""COMPUTED_VALUE"""),"No")</f>
        <v>No</v>
      </c>
      <c r="N18" s="3" t="str">
        <f>IFERROR(__xludf.DUMMYFUNCTION("""COMPUTED_VALUE"""),"https://www.hhu.de/en/international/stay-at-the-hhu-as-an-incoming")</f>
        <v>https://www.hhu.de/en/international/stay-at-the-hhu-as-an-incoming</v>
      </c>
      <c r="O18" s="3" t="str">
        <f>IFERROR(__xludf.DUMMYFUNCTION("""COMPUTED_VALUE"""),"Más información / Informazio gehigarria")</f>
        <v>Más información / Informazio gehigarria</v>
      </c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30.0" customHeight="1">
      <c r="A19" s="2" t="str">
        <f>IFERROR(__xludf.DUMMYFUNCTION("""COMPUTED_VALUE"""),"Alemania")</f>
        <v>Alemania</v>
      </c>
      <c r="B19" s="2" t="str">
        <f>IFERROR(__xludf.DUMMYFUNCTION("""COMPUTED_VALUE"""),"D MUNCHEN06")</f>
        <v>D MUNCHEN06</v>
      </c>
      <c r="C19" s="3" t="str">
        <f>IFERROR(__xludf.DUMMYFUNCTION("""COMPUTED_VALUE"""),"Hochschule fur Angewandte Wissenschaften - FH Munchen")</f>
        <v>Hochschule fur Angewandte Wissenschaften - FH Munchen</v>
      </c>
      <c r="D19" s="2" t="str">
        <f>IFERROR(__xludf.DUMMYFUNCTION("""COMPUTED_VALUE"""),"Erasmus+")</f>
        <v>Erasmus+</v>
      </c>
      <c r="E19" s="2">
        <f>IFERROR(__xludf.DUMMYFUNCTION("""COMPUTED_VALUE"""),2.0)</f>
        <v>2</v>
      </c>
      <c r="F19" s="2" t="str">
        <f>IFERROR(__xludf.DUMMYFUNCTION("""COMPUTED_VALUE"""),"Ambos semestres")</f>
        <v>Ambos semestres</v>
      </c>
      <c r="G19" s="2" t="str">
        <f>IFERROR(__xludf.DUMMYFUNCTION("""COMPUTED_VALUE"""),"Bilbao")</f>
        <v>Bilbao</v>
      </c>
      <c r="H19" s="2" t="str">
        <f>IFERROR(__xludf.DUMMYFUNCTION("""COMPUTED_VALUE"""),"Deusto Business School")</f>
        <v>Deusto Business School</v>
      </c>
      <c r="I19" s="2" t="str">
        <f>IFERROR(__xludf.DUMMYFUNCTION("""COMPUTED_VALUE"""),"Administración y Dirección de Empresas")</f>
        <v>Administración y Dirección de Empresas</v>
      </c>
      <c r="J19" s="2" t="str">
        <f>IFERROR(__xludf.DUMMYFUNCTION("""COMPUTED_VALUE"""),"Grado")</f>
        <v>Grado</v>
      </c>
      <c r="K19" s="2" t="str">
        <f>IFERROR(__xludf.DUMMYFUNCTION("""COMPUTED_VALUE"""),"Alemán")</f>
        <v>Alemán</v>
      </c>
      <c r="L19" s="2" t="str">
        <f>IFERROR(__xludf.DUMMYFUNCTION("""COMPUTED_VALUE"""),"B2")</f>
        <v>B2</v>
      </c>
      <c r="M19" s="2" t="str">
        <f>IFERROR(__xludf.DUMMYFUNCTION("""COMPUTED_VALUE"""),"Sí")</f>
        <v>Sí</v>
      </c>
      <c r="N19" s="3" t="str">
        <f>IFERROR(__xludf.DUMMYFUNCTION("""COMPUTED_VALUE"""),"https://www.hm.edu/en/your_stay_at_hm/exchange_students/index.en.html")</f>
        <v>https://www.hm.edu/en/your_stay_at_hm/exchange_students/index.en.html</v>
      </c>
      <c r="O19" s="3" t="str">
        <f>IFERROR(__xludf.DUMMYFUNCTION("""COMPUTED_VALUE"""),"Más información / Informazio gehigarria")</f>
        <v>Más información / Informazio gehigarria</v>
      </c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30.0" customHeight="1">
      <c r="A20" s="2" t="str">
        <f>IFERROR(__xludf.DUMMYFUNCTION("""COMPUTED_VALUE"""),"Alemania")</f>
        <v>Alemania</v>
      </c>
      <c r="B20" s="2" t="str">
        <f>IFERROR(__xludf.DUMMYFUNCTION("""COMPUTED_VALUE"""),"D MUNCHEN06")</f>
        <v>D MUNCHEN06</v>
      </c>
      <c r="C20" s="3" t="str">
        <f>IFERROR(__xludf.DUMMYFUNCTION("""COMPUTED_VALUE"""),"Hochschule fur Angewandte Wissenschaften - FH Munchen")</f>
        <v>Hochschule fur Angewandte Wissenschaften - FH Munchen</v>
      </c>
      <c r="D20" s="2" t="str">
        <f>IFERROR(__xludf.DUMMYFUNCTION("""COMPUTED_VALUE"""),"Erasmus+")</f>
        <v>Erasmus+</v>
      </c>
      <c r="E20" s="2">
        <f>IFERROR(__xludf.DUMMYFUNCTION("""COMPUTED_VALUE"""),2.0)</f>
        <v>2</v>
      </c>
      <c r="F20" s="2" t="str">
        <f>IFERROR(__xludf.DUMMYFUNCTION("""COMPUTED_VALUE"""),"Semestre")</f>
        <v>Semestre</v>
      </c>
      <c r="G20" s="2" t="str">
        <f>IFERROR(__xludf.DUMMYFUNCTION("""COMPUTED_VALUE"""),"Bilbao")</f>
        <v>Bilbao</v>
      </c>
      <c r="H20" s="2" t="str">
        <f>IFERROR(__xludf.DUMMYFUNCTION("""COMPUTED_VALUE"""),"Ingeniería")</f>
        <v>Ingeniería</v>
      </c>
      <c r="I20" s="2" t="str">
        <f>IFERROR(__xludf.DUMMYFUNCTION("""COMPUTED_VALUE"""),"Diseño Industrial, Diseño Industrial + Ingeniería Mecánica")</f>
        <v>Diseño Industrial, Diseño Industrial + Ingeniería Mecánica</v>
      </c>
      <c r="J20" s="2" t="str">
        <f>IFERROR(__xludf.DUMMYFUNCTION("""COMPUTED_VALUE"""),"Grado")</f>
        <v>Grado</v>
      </c>
      <c r="K20" s="2" t="str">
        <f>IFERROR(__xludf.DUMMYFUNCTION("""COMPUTED_VALUE"""),"Alemán / Inglés")</f>
        <v>Alemán / Inglés</v>
      </c>
      <c r="L20" s="2" t="str">
        <f>IFERROR(__xludf.DUMMYFUNCTION("""COMPUTED_VALUE"""),"B2")</f>
        <v>B2</v>
      </c>
      <c r="M20" s="2" t="str">
        <f>IFERROR(__xludf.DUMMYFUNCTION("""COMPUTED_VALUE"""),"No")</f>
        <v>No</v>
      </c>
      <c r="N20" s="3" t="str">
        <f>IFERROR(__xludf.DUMMYFUNCTION("""COMPUTED_VALUE"""),"https://www.hm.edu/en/your_stay_at_hm/exchange_students/index.en.html")</f>
        <v>https://www.hm.edu/en/your_stay_at_hm/exchange_students/index.en.html</v>
      </c>
      <c r="O20" s="3" t="str">
        <f>IFERROR(__xludf.DUMMYFUNCTION("""COMPUTED_VALUE"""),"Más información / Informazio gehigarria")</f>
        <v>Más información / Informazio gehigarria</v>
      </c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30.0" customHeight="1">
      <c r="A21" s="2" t="str">
        <f>IFERROR(__xludf.DUMMYFUNCTION("""COMPUTED_VALUE"""),"Alemania")</f>
        <v>Alemania</v>
      </c>
      <c r="B21" s="2" t="str">
        <f>IFERROR(__xludf.DUMMYFUNCTION("""COMPUTED_VALUE"""),"D MUNCHEN06")</f>
        <v>D MUNCHEN06</v>
      </c>
      <c r="C21" s="3" t="str">
        <f>IFERROR(__xludf.DUMMYFUNCTION("""COMPUTED_VALUE"""),"Hochschule fur Angewandte Wissenschaften - FH Munchen")</f>
        <v>Hochschule fur Angewandte Wissenschaften - FH Munchen</v>
      </c>
      <c r="D21" s="2" t="str">
        <f>IFERROR(__xludf.DUMMYFUNCTION("""COMPUTED_VALUE"""),"Erasmus+")</f>
        <v>Erasmus+</v>
      </c>
      <c r="E21" s="2">
        <f>IFERROR(__xludf.DUMMYFUNCTION("""COMPUTED_VALUE"""),2.0)</f>
        <v>2</v>
      </c>
      <c r="F21" s="2" t="str">
        <f>IFERROR(__xludf.DUMMYFUNCTION("""COMPUTED_VALUE"""),"Semestre")</f>
        <v>Semestre</v>
      </c>
      <c r="G21" s="2" t="str">
        <f>IFERROR(__xludf.DUMMYFUNCTION("""COMPUTED_VALUE"""),"Bilbao")</f>
        <v>Bilbao</v>
      </c>
      <c r="H21" s="2" t="str">
        <f>IFERROR(__xludf.DUMMYFUNCTION("""COMPUTED_VALUE"""),"Ingeniería")</f>
        <v>Ingeniería</v>
      </c>
      <c r="I21" s="2" t="str">
        <f>IFERROR(__xludf.DUMMYFUNCTION("""COMPUTED_VALUE"""),"Tecnologías Industriales, Ingeniería Robótica, Industria Digital")</f>
        <v>Tecnologías Industriales, Ingeniería Robótica, Industria Digital</v>
      </c>
      <c r="J21" s="2" t="str">
        <f>IFERROR(__xludf.DUMMYFUNCTION("""COMPUTED_VALUE"""),"Grado")</f>
        <v>Grado</v>
      </c>
      <c r="K21" s="2" t="str">
        <f>IFERROR(__xludf.DUMMYFUNCTION("""COMPUTED_VALUE"""),"Alemán / Inglés")</f>
        <v>Alemán / Inglés</v>
      </c>
      <c r="L21" s="2" t="str">
        <f>IFERROR(__xludf.DUMMYFUNCTION("""COMPUTED_VALUE"""),"B2")</f>
        <v>B2</v>
      </c>
      <c r="M21" s="2" t="str">
        <f>IFERROR(__xludf.DUMMYFUNCTION("""COMPUTED_VALUE"""),"No")</f>
        <v>No</v>
      </c>
      <c r="N21" s="3" t="str">
        <f>IFERROR(__xludf.DUMMYFUNCTION("""COMPUTED_VALUE"""),"https://www.hm.edu/en/your_stay_at_hm/exchange_students/index.en.html")</f>
        <v>https://www.hm.edu/en/your_stay_at_hm/exchange_students/index.en.html</v>
      </c>
      <c r="O21" s="3" t="str">
        <f>IFERROR(__xludf.DUMMYFUNCTION("""COMPUTED_VALUE"""),"Más información / Informazio gehigarria")</f>
        <v>Más información / Informazio gehigarria</v>
      </c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30.0" customHeight="1">
      <c r="A22" s="2" t="str">
        <f>IFERROR(__xludf.DUMMYFUNCTION("""COMPUTED_VALUE"""),"Alemania")</f>
        <v>Alemania</v>
      </c>
      <c r="B22" s="2" t="str">
        <f>IFERROR(__xludf.DUMMYFUNCTION("""COMPUTED_VALUE"""),"D MUNCHEN06")</f>
        <v>D MUNCHEN06</v>
      </c>
      <c r="C22" s="3" t="str">
        <f>IFERROR(__xludf.DUMMYFUNCTION("""COMPUTED_VALUE"""),"Hochschule fur Angewandte Wissenschaften - FH Munchen")</f>
        <v>Hochschule fur Angewandte Wissenschaften - FH Munchen</v>
      </c>
      <c r="D22" s="2" t="str">
        <f>IFERROR(__xludf.DUMMYFUNCTION("""COMPUTED_VALUE"""),"Erasmus+")</f>
        <v>Erasmus+</v>
      </c>
      <c r="E22" s="2">
        <f>IFERROR(__xludf.DUMMYFUNCTION("""COMPUTED_VALUE"""),4.0)</f>
        <v>4</v>
      </c>
      <c r="F22" s="2" t="str">
        <f>IFERROR(__xludf.DUMMYFUNCTION("""COMPUTED_VALUE"""),"Semestre")</f>
        <v>Semestre</v>
      </c>
      <c r="G22" s="2" t="str">
        <f>IFERROR(__xludf.DUMMYFUNCTION("""COMPUTED_VALUE"""),"Bilbao")</f>
        <v>Bilbao</v>
      </c>
      <c r="H22" s="2" t="str">
        <f>IFERROR(__xludf.DUMMYFUNCTION("""COMPUTED_VALUE"""),"Ciencias Sociales y Humanas")</f>
        <v>Ciencias Sociales y Humanas</v>
      </c>
      <c r="I22" s="2" t="str">
        <f>IFERROR(__xludf.DUMMYFUNCTION("""COMPUTED_VALUE"""),"Turismo")</f>
        <v>Turismo</v>
      </c>
      <c r="J22" s="2" t="str">
        <f>IFERROR(__xludf.DUMMYFUNCTION("""COMPUTED_VALUE"""),"Grado")</f>
        <v>Grado</v>
      </c>
      <c r="K22" s="2" t="str">
        <f>IFERROR(__xludf.DUMMYFUNCTION("""COMPUTED_VALUE"""),"Alemán / Inglés")</f>
        <v>Alemán / Inglés</v>
      </c>
      <c r="L22" s="2" t="str">
        <f>IFERROR(__xludf.DUMMYFUNCTION("""COMPUTED_VALUE"""),"B2")</f>
        <v>B2</v>
      </c>
      <c r="M22" s="2" t="str">
        <f>IFERROR(__xludf.DUMMYFUNCTION("""COMPUTED_VALUE"""),"Sí")</f>
        <v>Sí</v>
      </c>
      <c r="N22" s="3" t="str">
        <f>IFERROR(__xludf.DUMMYFUNCTION("""COMPUTED_VALUE"""),"https://www.hm.edu/en/your_stay_at_hm/exchange_students/index.en.html")</f>
        <v>https://www.hm.edu/en/your_stay_at_hm/exchange_students/index.en.html</v>
      </c>
      <c r="O22" s="3" t="str">
        <f>IFERROR(__xludf.DUMMYFUNCTION("""COMPUTED_VALUE"""),"Más información / Informazio gehigarria")</f>
        <v>Más información / Informazio gehigarria</v>
      </c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30.0" customHeight="1">
      <c r="A23" s="2" t="str">
        <f>IFERROR(__xludf.DUMMYFUNCTION("""COMPUTED_VALUE"""),"Alemania")</f>
        <v>Alemania</v>
      </c>
      <c r="B23" s="2" t="str">
        <f>IFERROR(__xludf.DUMMYFUNCTION("""COMPUTED_VALUE"""),"D MUNCHEN17")</f>
        <v>D MUNCHEN17</v>
      </c>
      <c r="C23" s="3" t="str">
        <f>IFERROR(__xludf.DUMMYFUNCTION("""COMPUTED_VALUE"""),"Hochschule für Philosophie München")</f>
        <v>Hochschule für Philosophie München</v>
      </c>
      <c r="D23" s="2" t="str">
        <f>IFERROR(__xludf.DUMMYFUNCTION("""COMPUTED_VALUE"""),"Erasmus+")</f>
        <v>Erasmus+</v>
      </c>
      <c r="E23" s="2">
        <f>IFERROR(__xludf.DUMMYFUNCTION("""COMPUTED_VALUE"""),2.0)</f>
        <v>2</v>
      </c>
      <c r="F23" s="2" t="str">
        <f>IFERROR(__xludf.DUMMYFUNCTION("""COMPUTED_VALUE"""),"Semestre")</f>
        <v>Semestre</v>
      </c>
      <c r="G23" s="2" t="str">
        <f>IFERROR(__xludf.DUMMYFUNCTION("""COMPUTED_VALUE"""),"Bilbao")</f>
        <v>Bilbao</v>
      </c>
      <c r="H23" s="2" t="str">
        <f>IFERROR(__xludf.DUMMYFUNCTION("""COMPUTED_VALUE"""),"Ciencias Sociales y Humanas")</f>
        <v>Ciencias Sociales y Humanas</v>
      </c>
      <c r="I23" s="2" t="str">
        <f>IFERROR(__xludf.DUMMYFUNCTION("""COMPUTED_VALUE"""),"Filosofía, Política y Economía")</f>
        <v>Filosofía, Política y Economía</v>
      </c>
      <c r="J23" s="2" t="str">
        <f>IFERROR(__xludf.DUMMYFUNCTION("""COMPUTED_VALUE"""),"Grado")</f>
        <v>Grado</v>
      </c>
      <c r="K23" s="2" t="str">
        <f>IFERROR(__xludf.DUMMYFUNCTION("""COMPUTED_VALUE"""),"Alemán")</f>
        <v>Alemán</v>
      </c>
      <c r="L23" s="2" t="str">
        <f>IFERROR(__xludf.DUMMYFUNCTION("""COMPUTED_VALUE"""),"C1")</f>
        <v>C1</v>
      </c>
      <c r="M23" s="2" t="str">
        <f>IFERROR(__xludf.DUMMYFUNCTION("""COMPUTED_VALUE"""),"Sí")</f>
        <v>Sí</v>
      </c>
      <c r="N23" s="3" t="str">
        <f>IFERROR(__xludf.DUMMYFUNCTION("""COMPUTED_VALUE"""),"https://www.hfph.de/en/studies/studies-and-admissions")</f>
        <v>https://www.hfph.de/en/studies/studies-and-admissions</v>
      </c>
      <c r="O23" s="3" t="str">
        <f>IFERROR(__xludf.DUMMYFUNCTION("""COMPUTED_VALUE"""),"Más información / Informazio gehigarria")</f>
        <v>Más información / Informazio gehigarria</v>
      </c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30.0" customHeight="1">
      <c r="A24" s="2" t="str">
        <f>IFERROR(__xludf.DUMMYFUNCTION("""COMPUTED_VALUE"""),"Alemania")</f>
        <v>Alemania</v>
      </c>
      <c r="B24" s="2" t="str">
        <f>IFERROR(__xludf.DUMMYFUNCTION("""COMPUTED_VALUE"""),"D REGENSB02")</f>
        <v>D REGENSB02</v>
      </c>
      <c r="C24" s="3" t="str">
        <f>IFERROR(__xludf.DUMMYFUNCTION("""COMPUTED_VALUE"""),"Hochschule Regensburg")</f>
        <v>Hochschule Regensburg</v>
      </c>
      <c r="D24" s="2" t="str">
        <f>IFERROR(__xludf.DUMMYFUNCTION("""COMPUTED_VALUE"""),"Erasmus+")</f>
        <v>Erasmus+</v>
      </c>
      <c r="E24" s="2">
        <f>IFERROR(__xludf.DUMMYFUNCTION("""COMPUTED_VALUE"""),4.0)</f>
        <v>4</v>
      </c>
      <c r="F24" s="2" t="str">
        <f>IFERROR(__xludf.DUMMYFUNCTION("""COMPUTED_VALUE"""),"Semestre")</f>
        <v>Semestre</v>
      </c>
      <c r="G24" s="2" t="str">
        <f>IFERROR(__xludf.DUMMYFUNCTION("""COMPUTED_VALUE"""),"Ambos")</f>
        <v>Ambos</v>
      </c>
      <c r="H24" s="2" t="str">
        <f>IFERROR(__xludf.DUMMYFUNCTION("""COMPUTED_VALUE"""),"Ingeniería")</f>
        <v>Ingeniería</v>
      </c>
      <c r="I24" s="2" t="str">
        <f>IFERROR(__xludf.DUMMYFUNCTION("""COMPUTED_VALUE"""),"Organización Industrial, Ingeniería Informática, Tecnologías Industriales, Ingeniería Mecánica, Ciencia de Datos e IA, Industria Digital, Ciencia de Datos e IA + Ingeniería Informática, Diseño Industrial + Ingeniería Mecánica, Ingeniería Informática + Vid"&amp;"eojuegos, Ingeniería Biomédica")</f>
        <v>Organización Industrial, Ingeniería Informática, Tecnologías Industriales, Ingeniería Mecánica, Ciencia de Datos e IA, Industria Digital, Ciencia de Datos e IA + Ingeniería Informática, Diseño Industrial + Ingeniería Mecánica, Ingeniería Informática + Videojuegos, Ingeniería Biomédica</v>
      </c>
      <c r="J24" s="2" t="str">
        <f>IFERROR(__xludf.DUMMYFUNCTION("""COMPUTED_VALUE"""),"Grado")</f>
        <v>Grado</v>
      </c>
      <c r="K24" s="2" t="str">
        <f>IFERROR(__xludf.DUMMYFUNCTION("""COMPUTED_VALUE"""),"Inglés")</f>
        <v>Inglés</v>
      </c>
      <c r="L24" s="2" t="str">
        <f>IFERROR(__xludf.DUMMYFUNCTION("""COMPUTED_VALUE"""),"B2")</f>
        <v>B2</v>
      </c>
      <c r="M24" s="2" t="str">
        <f>IFERROR(__xludf.DUMMYFUNCTION("""COMPUTED_VALUE"""),"Sí")</f>
        <v>Sí</v>
      </c>
      <c r="N24" s="3" t="str">
        <f>IFERROR(__xludf.DUMMYFUNCTION("""COMPUTED_VALUE"""),"https://www.uni-regensburg.de/ur-international/incomings/exchange-programs/application/index.html")</f>
        <v>https://www.uni-regensburg.de/ur-international/incomings/exchange-programs/application/index.html</v>
      </c>
      <c r="O24" s="3" t="str">
        <f>IFERROR(__xludf.DUMMYFUNCTION("""COMPUTED_VALUE"""),"Más información / Informazio gehigarria")</f>
        <v>Más información / Informazio gehigarria</v>
      </c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30.0" customHeight="1">
      <c r="A25" s="2" t="str">
        <f>IFERROR(__xludf.DUMMYFUNCTION("""COMPUTED_VALUE"""),"Alemania")</f>
        <v>Alemania</v>
      </c>
      <c r="B25" s="2" t="str">
        <f>IFERROR(__xludf.DUMMYFUNCTION("""COMPUTED_VALUE"""),"D ULM01")</f>
        <v>D ULM01</v>
      </c>
      <c r="C25" s="2" t="str">
        <f>IFERROR(__xludf.DUMMYFUNCTION("""COMPUTED_VALUE"""),"Universitaet Ulm  (*)")</f>
        <v>Universitaet Ulm  (*)</v>
      </c>
      <c r="D25" s="2" t="str">
        <f>IFERROR(__xludf.DUMMYFUNCTION("""COMPUTED_VALUE"""),"Erasmus+")</f>
        <v>Erasmus+</v>
      </c>
      <c r="E25" s="2">
        <f>IFERROR(__xludf.DUMMYFUNCTION("""COMPUTED_VALUE"""),1.0)</f>
        <v>1</v>
      </c>
      <c r="F25" s="2" t="str">
        <f>IFERROR(__xludf.DUMMYFUNCTION("""COMPUTED_VALUE"""),"Semestre")</f>
        <v>Semestre</v>
      </c>
      <c r="G25" s="2" t="str">
        <f>IFERROR(__xludf.DUMMYFUNCTION("""COMPUTED_VALUE"""),"Bilbao")</f>
        <v>Bilbao</v>
      </c>
      <c r="H25" s="2" t="str">
        <f>IFERROR(__xludf.DUMMYFUNCTION("""COMPUTED_VALUE"""),"Ingeniería")</f>
        <v>Ingeniería</v>
      </c>
      <c r="I25" s="2" t="str">
        <f>IFERROR(__xludf.DUMMYFUNCTION("""COMPUTED_VALUE"""),"Ingeniería Biomédica")</f>
        <v>Ingeniería Biomédica</v>
      </c>
      <c r="J25" s="2" t="str">
        <f>IFERROR(__xludf.DUMMYFUNCTION("""COMPUTED_VALUE"""),"Grado/Master")</f>
        <v>Grado/Master</v>
      </c>
      <c r="K25" s="2" t="str">
        <f>IFERROR(__xludf.DUMMYFUNCTION("""COMPUTED_VALUE"""),"Inglés")</f>
        <v>Inglés</v>
      </c>
      <c r="L25" s="2" t="str">
        <f>IFERROR(__xludf.DUMMYFUNCTION("""COMPUTED_VALUE"""),"B2")</f>
        <v>B2</v>
      </c>
      <c r="M25" s="2" t="str">
        <f>IFERROR(__xludf.DUMMYFUNCTION("""COMPUTED_VALUE"""),"Sí")</f>
        <v>Sí</v>
      </c>
      <c r="N25" s="3" t="str">
        <f>IFERROR(__xludf.DUMMYFUNCTION("""COMPUTED_VALUE"""),"https://www.uni-ulm.de/en/io/mobility-incomings/planning-to-study-abroad/sprachliche-aspekte/#:~:text=Exchange%20Students&amp;text=with%20their%20application.-,If%20students%20wish%20to%20take%20classes%20in%20both%20English%20and,at%20the%20time%20of%20appli"&amp;"cation.")</f>
        <v>https://www.uni-ulm.de/en/io/mobility-incomings/planning-to-study-abroad/sprachliche-aspekte/#:~:text=Exchange%20Students&amp;text=with%20their%20application.-,If%20students%20wish%20to%20take%20classes%20in%20both%20English%20and,at%20the%20time%20of%20application.</v>
      </c>
      <c r="O25" s="3" t="str">
        <f>IFERROR(__xludf.DUMMYFUNCTION("""COMPUTED_VALUE"""),"Más información / Informazio gehigarria")</f>
        <v>Más información / Informazio gehigarria</v>
      </c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30.0" customHeight="1">
      <c r="A26" s="2" t="str">
        <f>IFERROR(__xludf.DUMMYFUNCTION("""COMPUTED_VALUE"""),"Alemania")</f>
        <v>Alemania</v>
      </c>
      <c r="B26" s="2" t="str">
        <f>IFERROR(__xludf.DUMMYFUNCTION("""COMPUTED_VALUE"""),"D WIESBAD01")</f>
        <v>D WIESBAD01</v>
      </c>
      <c r="C26" s="3" t="str">
        <f>IFERROR(__xludf.DUMMYFUNCTION("""COMPUTED_VALUE"""),"Hochschule Rheinmain-University of applied sciences/Wiesbade")</f>
        <v>Hochschule Rheinmain-University of applied sciences/Wiesbade</v>
      </c>
      <c r="D26" s="2" t="str">
        <f>IFERROR(__xludf.DUMMYFUNCTION("""COMPUTED_VALUE"""),"Erasmus+")</f>
        <v>Erasmus+</v>
      </c>
      <c r="E26" s="2">
        <f>IFERROR(__xludf.DUMMYFUNCTION("""COMPUTED_VALUE"""),2.0)</f>
        <v>2</v>
      </c>
      <c r="F26" s="2" t="str">
        <f>IFERROR(__xludf.DUMMYFUNCTION("""COMPUTED_VALUE"""),"Semestre")</f>
        <v>Semestre</v>
      </c>
      <c r="G26" s="2" t="str">
        <f>IFERROR(__xludf.DUMMYFUNCTION("""COMPUTED_VALUE"""),"San Sebastián")</f>
        <v>San Sebastián</v>
      </c>
      <c r="H26" s="2" t="str">
        <f>IFERROR(__xludf.DUMMYFUNCTION("""COMPUTED_VALUE"""),"Deusto Business School")</f>
        <v>Deusto Business School</v>
      </c>
      <c r="I26" s="2" t="str">
        <f>IFERROR(__xludf.DUMMYFUNCTION("""COMPUTED_VALUE"""),"Administración y Dirección de Empresas")</f>
        <v>Administración y Dirección de Empresas</v>
      </c>
      <c r="J26" s="2" t="str">
        <f>IFERROR(__xludf.DUMMYFUNCTION("""COMPUTED_VALUE"""),"Grado")</f>
        <v>Grado</v>
      </c>
      <c r="K26" s="2" t="str">
        <f>IFERROR(__xludf.DUMMYFUNCTION("""COMPUTED_VALUE"""),"Alemán / Inglés")</f>
        <v>Alemán / Inglés</v>
      </c>
      <c r="L26" s="2" t="str">
        <f>IFERROR(__xludf.DUMMYFUNCTION("""COMPUTED_VALUE"""),"B2")</f>
        <v>B2</v>
      </c>
      <c r="M26" s="2" t="str">
        <f>IFERROR(__xludf.DUMMYFUNCTION("""COMPUTED_VALUE"""),"Sí")</f>
        <v>Sí</v>
      </c>
      <c r="N26" s="3" t="str">
        <f>IFERROR(__xludf.DUMMYFUNCTION("""COMPUTED_VALUE"""),"https://www.hs-rm.de/fileadmin/user_upload/FactSheet_AY2022_23_web.pdf")</f>
        <v>https://www.hs-rm.de/fileadmin/user_upload/FactSheet_AY2022_23_web.pdf</v>
      </c>
      <c r="O26" s="3" t="str">
        <f>IFERROR(__xludf.DUMMYFUNCTION("""COMPUTED_VALUE"""),"Más información / Informazio gehigarria")</f>
        <v>Más información / Informazio gehigarria</v>
      </c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30.0" customHeight="1">
      <c r="A27" s="2" t="str">
        <f>IFERROR(__xludf.DUMMYFUNCTION("""COMPUTED_VALUE"""),"Alemania")</f>
        <v>Alemania</v>
      </c>
      <c r="B27" s="2" t="str">
        <f>IFERROR(__xludf.DUMMYFUNCTION("""COMPUTED_VALUE"""),"D WERNIGE01")</f>
        <v>D WERNIGE01</v>
      </c>
      <c r="C27" s="3" t="str">
        <f>IFERROR(__xludf.DUMMYFUNCTION("""COMPUTED_VALUE"""),"HS HARZ - University of Applied Sciences")</f>
        <v>HS HARZ - University of Applied Sciences</v>
      </c>
      <c r="D27" s="2" t="str">
        <f>IFERROR(__xludf.DUMMYFUNCTION("""COMPUTED_VALUE"""),"Erasmus+")</f>
        <v>Erasmus+</v>
      </c>
      <c r="E27" s="2">
        <f>IFERROR(__xludf.DUMMYFUNCTION("""COMPUTED_VALUE"""),2.0)</f>
        <v>2</v>
      </c>
      <c r="F27" s="2" t="str">
        <f>IFERROR(__xludf.DUMMYFUNCTION("""COMPUTED_VALUE"""),"Semestre")</f>
        <v>Semestre</v>
      </c>
      <c r="G27" s="2" t="str">
        <f>IFERROR(__xludf.DUMMYFUNCTION("""COMPUTED_VALUE"""),"Bilbao")</f>
        <v>Bilbao</v>
      </c>
      <c r="H27" s="2" t="str">
        <f>IFERROR(__xludf.DUMMYFUNCTION("""COMPUTED_VALUE"""),"Ciencias Sociales y Humanas")</f>
        <v>Ciencias Sociales y Humanas</v>
      </c>
      <c r="I27" s="2" t="str">
        <f>IFERROR(__xludf.DUMMYFUNCTION("""COMPUTED_VALUE"""),"Turismo")</f>
        <v>Turismo</v>
      </c>
      <c r="J27" s="2" t="str">
        <f>IFERROR(__xludf.DUMMYFUNCTION("""COMPUTED_VALUE"""),"Grado")</f>
        <v>Grado</v>
      </c>
      <c r="K27" s="2" t="str">
        <f>IFERROR(__xludf.DUMMYFUNCTION("""COMPUTED_VALUE"""),"Alemán / Inglés")</f>
        <v>Alemán / Inglés</v>
      </c>
      <c r="L27" s="2" t="str">
        <f>IFERROR(__xludf.DUMMYFUNCTION("""COMPUTED_VALUE"""),"B2")</f>
        <v>B2</v>
      </c>
      <c r="M27" s="2" t="str">
        <f>IFERROR(__xludf.DUMMYFUNCTION("""COMPUTED_VALUE"""),"No")</f>
        <v>No</v>
      </c>
      <c r="N27" s="3" t="str">
        <f>IFERROR(__xludf.DUMMYFUNCTION("""COMPUTED_VALUE"""),"https://www.hs-harz.de/en/study/exchange-students/study-options/basic-information-on-courses-for-exchange-students")</f>
        <v>https://www.hs-harz.de/en/study/exchange-students/study-options/basic-information-on-courses-for-exchange-students</v>
      </c>
      <c r="O27" s="3" t="str">
        <f>IFERROR(__xludf.DUMMYFUNCTION("""COMPUTED_VALUE"""),"Más información / Informazio gehigarria")</f>
        <v>Más información / Informazio gehigarria</v>
      </c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30.0" customHeight="1">
      <c r="A28" s="2" t="str">
        <f>IFERROR(__xludf.DUMMYFUNCTION("""COMPUTED_VALUE"""),"Alemania")</f>
        <v>Alemania</v>
      </c>
      <c r="B28" s="2" t="str">
        <f>IFERROR(__xludf.DUMMYFUNCTION("""COMPUTED_VALUE"""),"D MAINZ01")</f>
        <v>D MAINZ01</v>
      </c>
      <c r="C28" s="3" t="str">
        <f>IFERROR(__xludf.DUMMYFUNCTION("""COMPUTED_VALUE"""),"Johannes Gutenberg-University Mainz")</f>
        <v>Johannes Gutenberg-University Mainz</v>
      </c>
      <c r="D28" s="2" t="str">
        <f>IFERROR(__xludf.DUMMYFUNCTION("""COMPUTED_VALUE"""),"Erasmus+")</f>
        <v>Erasmus+</v>
      </c>
      <c r="E28" s="2">
        <f>IFERROR(__xludf.DUMMYFUNCTION("""COMPUTED_VALUE"""),2.0)</f>
        <v>2</v>
      </c>
      <c r="F28" s="2" t="str">
        <f>IFERROR(__xludf.DUMMYFUNCTION("""COMPUTED_VALUE"""),"Semestre")</f>
        <v>Semestre</v>
      </c>
      <c r="G28" s="2" t="str">
        <f>IFERROR(__xludf.DUMMYFUNCTION("""COMPUTED_VALUE"""),"Bilbao")</f>
        <v>Bilbao</v>
      </c>
      <c r="H28" s="2" t="str">
        <f>IFERROR(__xludf.DUMMYFUNCTION("""COMPUTED_VALUE"""),"Ciencias Sociales y Humanas")</f>
        <v>Ciencias Sociales y Humanas</v>
      </c>
      <c r="I28" s="2" t="str">
        <f>IFERROR(__xludf.DUMMYFUNCTION("""COMPUTED_VALUE"""),"Filosofía, Política y Economía")</f>
        <v>Filosofía, Política y Economía</v>
      </c>
      <c r="J28" s="2" t="str">
        <f>IFERROR(__xludf.DUMMYFUNCTION("""COMPUTED_VALUE"""),"Grado")</f>
        <v>Grado</v>
      </c>
      <c r="K28" s="2" t="str">
        <f>IFERROR(__xludf.DUMMYFUNCTION("""COMPUTED_VALUE"""),"Alemán ")</f>
        <v>Alemán </v>
      </c>
      <c r="L28" s="2" t="str">
        <f>IFERROR(__xludf.DUMMYFUNCTION("""COMPUTED_VALUE"""),"B1")</f>
        <v>B1</v>
      </c>
      <c r="M28" s="2" t="str">
        <f>IFERROR(__xludf.DUMMYFUNCTION("""COMPUTED_VALUE"""),"No")</f>
        <v>No</v>
      </c>
      <c r="N28" s="3" t="str">
        <f>IFERROR(__xludf.DUMMYFUNCTION("""COMPUTED_VALUE"""),"https://content.usi.ch/sites/default/files/storage/attachments/relint/relint-factsheet-mainz.pdf")</f>
        <v>https://content.usi.ch/sites/default/files/storage/attachments/relint/relint-factsheet-mainz.pdf</v>
      </c>
      <c r="O28" s="3" t="str">
        <f>IFERROR(__xludf.DUMMYFUNCTION("""COMPUTED_VALUE"""),"Más información / Informazio gehigarria")</f>
        <v>Más información / Informazio gehigarria</v>
      </c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30.0" customHeight="1">
      <c r="A29" s="2" t="str">
        <f>IFERROR(__xludf.DUMMYFUNCTION("""COMPUTED_VALUE"""),"Alemania")</f>
        <v>Alemania</v>
      </c>
      <c r="B29" s="2" t="str">
        <f>IFERROR(__xludf.DUMMYFUNCTION("""COMPUTED_VALUE"""),"D KOLN05")</f>
        <v>D KOLN05</v>
      </c>
      <c r="C29" s="3" t="str">
        <f>IFERROR(__xludf.DUMMYFUNCTION("""COMPUTED_VALUE"""),"Katholische Fachhoschule Nordrhein-Westfalen")</f>
        <v>Katholische Fachhoschule Nordrhein-Westfalen</v>
      </c>
      <c r="D29" s="2" t="str">
        <f>IFERROR(__xludf.DUMMYFUNCTION("""COMPUTED_VALUE"""),"Erasmus+")</f>
        <v>Erasmus+</v>
      </c>
      <c r="E29" s="2">
        <f>IFERROR(__xludf.DUMMYFUNCTION("""COMPUTED_VALUE"""),2.0)</f>
        <v>2</v>
      </c>
      <c r="F29" s="2" t="str">
        <f>IFERROR(__xludf.DUMMYFUNCTION("""COMPUTED_VALUE"""),"Semestre")</f>
        <v>Semestre</v>
      </c>
      <c r="G29" s="2" t="str">
        <f>IFERROR(__xludf.DUMMYFUNCTION("""COMPUTED_VALUE"""),"Ambos")</f>
        <v>Ambos</v>
      </c>
      <c r="H29" s="2" t="str">
        <f>IFERROR(__xludf.DUMMYFUNCTION("""COMPUTED_VALUE"""),"Ciencias Sociales y Humanas")</f>
        <v>Ciencias Sociales y Humanas</v>
      </c>
      <c r="I29" s="2" t="str">
        <f>IFERROR(__xludf.DUMMYFUNCTION("""COMPUTED_VALUE"""),"Trabajo Social")</f>
        <v>Trabajo Social</v>
      </c>
      <c r="J29" s="2" t="str">
        <f>IFERROR(__xludf.DUMMYFUNCTION("""COMPUTED_VALUE"""),"Grado")</f>
        <v>Grado</v>
      </c>
      <c r="K29" s="2" t="str">
        <f>IFERROR(__xludf.DUMMYFUNCTION("""COMPUTED_VALUE"""),"Alemán")</f>
        <v>Alemán</v>
      </c>
      <c r="L29" s="2" t="str">
        <f>IFERROR(__xludf.DUMMYFUNCTION("""COMPUTED_VALUE"""),"B2")</f>
        <v>B2</v>
      </c>
      <c r="M29" s="2" t="str">
        <f>IFERROR(__xludf.DUMMYFUNCTION("""COMPUTED_VALUE"""),"Sí")</f>
        <v>Sí</v>
      </c>
      <c r="N29" s="3" t="str">
        <f>IFERROR(__xludf.DUMMYFUNCTION("""COMPUTED_VALUE"""),"https://katho-nrw.de/en/international/international-studies/international-students-at-the-catholic-university-of-the-applied-sciences")</f>
        <v>https://katho-nrw.de/en/international/international-studies/international-students-at-the-catholic-university-of-the-applied-sciences</v>
      </c>
      <c r="O29" s="3" t="str">
        <f>IFERROR(__xludf.DUMMYFUNCTION("""COMPUTED_VALUE"""),"Más información / Informazio gehigarria")</f>
        <v>Más información / Informazio gehigarria</v>
      </c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30.0" customHeight="1">
      <c r="A30" s="2" t="str">
        <f>IFERROR(__xludf.DUMMYFUNCTION("""COMPUTED_VALUE"""),"Alemania")</f>
        <v>Alemania</v>
      </c>
      <c r="B30" s="2" t="str">
        <f>IFERROR(__xludf.DUMMYFUNCTION("""COMPUTED_VALUE"""),"D HANNOVE02")</f>
        <v>D HANNOVE02</v>
      </c>
      <c r="C30" s="3" t="str">
        <f>IFERROR(__xludf.DUMMYFUNCTION("""COMPUTED_VALUE"""),"Medizinische Hochschule Hannover")</f>
        <v>Medizinische Hochschule Hannover</v>
      </c>
      <c r="D30" s="2" t="str">
        <f>IFERROR(__xludf.DUMMYFUNCTION("""COMPUTED_VALUE"""),"Erasmus+")</f>
        <v>Erasmus+</v>
      </c>
      <c r="E30" s="2">
        <f>IFERROR(__xludf.DUMMYFUNCTION("""COMPUTED_VALUE"""),1.0)</f>
        <v>1</v>
      </c>
      <c r="F30" s="2" t="str">
        <f>IFERROR(__xludf.DUMMYFUNCTION("""COMPUTED_VALUE"""),"Anual")</f>
        <v>Anual</v>
      </c>
      <c r="G30" s="2" t="str">
        <f>IFERROR(__xludf.DUMMYFUNCTION("""COMPUTED_VALUE"""),"Bilbao")</f>
        <v>Bilbao</v>
      </c>
      <c r="H30" s="2" t="str">
        <f>IFERROR(__xludf.DUMMYFUNCTION("""COMPUTED_VALUE"""),"Ciencias de la Salud")</f>
        <v>Ciencias de la Salud</v>
      </c>
      <c r="I30" s="2" t="str">
        <f>IFERROR(__xludf.DUMMYFUNCTION("""COMPUTED_VALUE"""),"Psicología")</f>
        <v>Psicología</v>
      </c>
      <c r="J30" s="2" t="str">
        <f>IFERROR(__xludf.DUMMYFUNCTION("""COMPUTED_VALUE"""),"Grado")</f>
        <v>Grado</v>
      </c>
      <c r="K30" s="2" t="str">
        <f>IFERROR(__xludf.DUMMYFUNCTION("""COMPUTED_VALUE"""),"Alemán ")</f>
        <v>Alemán </v>
      </c>
      <c r="L30" s="2" t="str">
        <f>IFERROR(__xludf.DUMMYFUNCTION("""COMPUTED_VALUE"""),"B1")</f>
        <v>B1</v>
      </c>
      <c r="M30" s="2" t="str">
        <f>IFERROR(__xludf.DUMMYFUNCTION("""COMPUTED_VALUE"""),"Sí")</f>
        <v>Sí</v>
      </c>
      <c r="N30" s="3" t="str">
        <f>IFERROR(__xludf.DUMMYFUNCTION("""COMPUTED_VALUE"""),"https://www.mhh.de/en/incomings#c17393")</f>
        <v>https://www.mhh.de/en/incomings#c17393</v>
      </c>
      <c r="O30" s="3" t="str">
        <f>IFERROR(__xludf.DUMMYFUNCTION("""COMPUTED_VALUE"""),"Más información / Informazio gehigarria")</f>
        <v>Más información / Informazio gehigarria</v>
      </c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30.0" customHeight="1">
      <c r="A31" s="2" t="str">
        <f>IFERROR(__xludf.DUMMYFUNCTION("""COMPUTED_VALUE"""),"Alemania")</f>
        <v>Alemania</v>
      </c>
      <c r="B31" s="2" t="str">
        <f>IFERROR(__xludf.DUMMYFUNCTION("""COMPUTED_VALUE"""),"D ELMSHOR01")</f>
        <v>D ELMSHOR01</v>
      </c>
      <c r="C31" s="3" t="str">
        <f>IFERROR(__xludf.DUMMYFUNCTION("""COMPUTED_VALUE"""),"Nordakademie")</f>
        <v>Nordakademie</v>
      </c>
      <c r="D31" s="2" t="str">
        <f>IFERROR(__xludf.DUMMYFUNCTION("""COMPUTED_VALUE"""),"Erasmus+")</f>
        <v>Erasmus+</v>
      </c>
      <c r="E31" s="2">
        <f>IFERROR(__xludf.DUMMYFUNCTION("""COMPUTED_VALUE"""),4.0)</f>
        <v>4</v>
      </c>
      <c r="F31" s="2" t="str">
        <f>IFERROR(__xludf.DUMMYFUNCTION("""COMPUTED_VALUE"""),"Semestre")</f>
        <v>Semestre</v>
      </c>
      <c r="G31" s="2" t="str">
        <f>IFERROR(__xludf.DUMMYFUNCTION("""COMPUTED_VALUE"""),"Bilbao")</f>
        <v>Bilbao</v>
      </c>
      <c r="H31" s="2" t="str">
        <f>IFERROR(__xludf.DUMMYFUNCTION("""COMPUTED_VALUE"""),"Ingeniería")</f>
        <v>Ingeniería</v>
      </c>
      <c r="I31" s="2" t="str">
        <f>IFERROR(__xludf.DUMMYFUNCTION("""COMPUTED_VALUE"""),"Organización Industrial")</f>
        <v>Organización Industrial</v>
      </c>
      <c r="J31" s="2" t="str">
        <f>IFERROR(__xludf.DUMMYFUNCTION("""COMPUTED_VALUE"""),"Grado")</f>
        <v>Grado</v>
      </c>
      <c r="K31" s="2" t="str">
        <f>IFERROR(__xludf.DUMMYFUNCTION("""COMPUTED_VALUE"""),"Alemán ")</f>
        <v>Alemán </v>
      </c>
      <c r="L31" s="2" t="str">
        <f>IFERROR(__xludf.DUMMYFUNCTION("""COMPUTED_VALUE"""),"C1")</f>
        <v>C1</v>
      </c>
      <c r="M31" s="2" t="str">
        <f>IFERROR(__xludf.DUMMYFUNCTION("""COMPUTED_VALUE"""),"Sí")</f>
        <v>Sí</v>
      </c>
      <c r="N31" s="3" t="str">
        <f>IFERROR(__xludf.DUMMYFUNCTION("""COMPUTED_VALUE"""),"https://www.nordakademie.de/study-abroad")</f>
        <v>https://www.nordakademie.de/study-abroad</v>
      </c>
      <c r="O31" s="3" t="str">
        <f>IFERROR(__xludf.DUMMYFUNCTION("""COMPUTED_VALUE"""),"Más información / Informazio gehigarria")</f>
        <v>Más información / Informazio gehigarria</v>
      </c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30.0" customHeight="1">
      <c r="A32" s="2" t="str">
        <f>IFERROR(__xludf.DUMMYFUNCTION("""COMPUTED_VALUE"""),"Alemania")</f>
        <v>Alemania</v>
      </c>
      <c r="B32" s="2" t="str">
        <f>IFERROR(__xludf.DUMMYFUNCTION("""COMPUTED_VALUE"""),"D OSNABRU02")</f>
        <v>D OSNABRU02</v>
      </c>
      <c r="C32" s="3" t="str">
        <f>IFERROR(__xludf.DUMMYFUNCTION("""COMPUTED_VALUE"""),"Osnabrück University of Applied Sciences")</f>
        <v>Osnabrück University of Applied Sciences</v>
      </c>
      <c r="D32" s="2" t="str">
        <f>IFERROR(__xludf.DUMMYFUNCTION("""COMPUTED_VALUE"""),"Erasmus+")</f>
        <v>Erasmus+</v>
      </c>
      <c r="E32" s="2">
        <f>IFERROR(__xludf.DUMMYFUNCTION("""COMPUTED_VALUE"""),2.0)</f>
        <v>2</v>
      </c>
      <c r="F32" s="2" t="str">
        <f>IFERROR(__xludf.DUMMYFUNCTION("""COMPUTED_VALUE"""),"Semestre")</f>
        <v>Semestre</v>
      </c>
      <c r="G32" s="2" t="str">
        <f>IFERROR(__xludf.DUMMYFUNCTION("""COMPUTED_VALUE"""),"San Sebastián")</f>
        <v>San Sebastián</v>
      </c>
      <c r="H32" s="2" t="str">
        <f>IFERROR(__xludf.DUMMYFUNCTION("""COMPUTED_VALUE"""),"Ciencias de la Salud")</f>
        <v>Ciencias de la Salud</v>
      </c>
      <c r="I32" s="2" t="str">
        <f>IFERROR(__xludf.DUMMYFUNCTION("""COMPUTED_VALUE"""),"Fisioterapia")</f>
        <v>Fisioterapia</v>
      </c>
      <c r="J32" s="2" t="str">
        <f>IFERROR(__xludf.DUMMYFUNCTION("""COMPUTED_VALUE"""),"Grado")</f>
        <v>Grado</v>
      </c>
      <c r="K32" s="2" t="str">
        <f>IFERROR(__xludf.DUMMYFUNCTION("""COMPUTED_VALUE"""),"Alemán")</f>
        <v>Alemán</v>
      </c>
      <c r="L32" s="2" t="str">
        <f>IFERROR(__xludf.DUMMYFUNCTION("""COMPUTED_VALUE"""),"C1")</f>
        <v>C1</v>
      </c>
      <c r="M32" s="2" t="str">
        <f>IFERROR(__xludf.DUMMYFUNCTION("""COMPUTED_VALUE"""),"Sí")</f>
        <v>Sí</v>
      </c>
      <c r="N32" s="3" t="str">
        <f>IFERROR(__xludf.DUMMYFUNCTION("""COMPUTED_VALUE"""),"https://www.hs-osnabrueck.de/en/study/study-offerings/international/incoming/")</f>
        <v>https://www.hs-osnabrueck.de/en/study/study-offerings/international/incoming/</v>
      </c>
      <c r="O32" s="3" t="str">
        <f>IFERROR(__xludf.DUMMYFUNCTION("""COMPUTED_VALUE"""),"Más información / Informazio gehigarria")</f>
        <v>Más información / Informazio gehigarria</v>
      </c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30.0" customHeight="1">
      <c r="A33" s="2" t="str">
        <f>IFERROR(__xludf.DUMMYFUNCTION("""COMPUTED_VALUE"""),"Alemania")</f>
        <v>Alemania</v>
      </c>
      <c r="B33" s="2" t="str">
        <f>IFERROR(__xludf.DUMMYFUNCTION("""COMPUTED_VALUE"""),"D OSNABRU02")</f>
        <v>D OSNABRU02</v>
      </c>
      <c r="C33" s="3" t="str">
        <f>IFERROR(__xludf.DUMMYFUNCTION("""COMPUTED_VALUE"""),"Osnabrück University of Applied Sciences")</f>
        <v>Osnabrück University of Applied Sciences</v>
      </c>
      <c r="D33" s="2" t="str">
        <f>IFERROR(__xludf.DUMMYFUNCTION("""COMPUTED_VALUE"""),"Erasmus+")</f>
        <v>Erasmus+</v>
      </c>
      <c r="E33" s="2">
        <f>IFERROR(__xludf.DUMMYFUNCTION("""COMPUTED_VALUE"""),2.0)</f>
        <v>2</v>
      </c>
      <c r="F33" s="2" t="str">
        <f>IFERROR(__xludf.DUMMYFUNCTION("""COMPUTED_VALUE"""),"Semestre")</f>
        <v>Semestre</v>
      </c>
      <c r="G33" s="2" t="str">
        <f>IFERROR(__xludf.DUMMYFUNCTION("""COMPUTED_VALUE"""),"San Sebastián")</f>
        <v>San Sebastián</v>
      </c>
      <c r="H33" s="2" t="str">
        <f>IFERROR(__xludf.DUMMYFUNCTION("""COMPUTED_VALUE"""),"Deusto Business School")</f>
        <v>Deusto Business School</v>
      </c>
      <c r="I33" s="2" t="str">
        <f>IFERROR(__xludf.DUMMYFUNCTION("""COMPUTED_VALUE"""),"Administración y Dirección de Empresas")</f>
        <v>Administración y Dirección de Empresas</v>
      </c>
      <c r="J33" s="2" t="str">
        <f>IFERROR(__xludf.DUMMYFUNCTION("""COMPUTED_VALUE"""),"Grado")</f>
        <v>Grado</v>
      </c>
      <c r="K33" s="2" t="str">
        <f>IFERROR(__xludf.DUMMYFUNCTION("""COMPUTED_VALUE"""),"Alemán / Inglés")</f>
        <v>Alemán / Inglés</v>
      </c>
      <c r="L33" s="2" t="str">
        <f>IFERROR(__xludf.DUMMYFUNCTION("""COMPUTED_VALUE"""),"B2")</f>
        <v>B2</v>
      </c>
      <c r="M33" s="2" t="str">
        <f>IFERROR(__xludf.DUMMYFUNCTION("""COMPUTED_VALUE"""),"Sí")</f>
        <v>Sí</v>
      </c>
      <c r="N33" s="3" t="str">
        <f>IFERROR(__xludf.DUMMYFUNCTION("""COMPUTED_VALUE"""),"https://www.hs-osnabrueck.de/en/study/study-offerings/international/incoming/")</f>
        <v>https://www.hs-osnabrueck.de/en/study/study-offerings/international/incoming/</v>
      </c>
      <c r="O33" s="3" t="str">
        <f>IFERROR(__xludf.DUMMYFUNCTION("""COMPUTED_VALUE"""),"Más información / Informazio gehigarria")</f>
        <v>Más información / Informazio gehigarria</v>
      </c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30.0" customHeight="1">
      <c r="A34" s="2" t="str">
        <f>IFERROR(__xludf.DUMMYFUNCTION("""COMPUTED_VALUE"""),"Alemania")</f>
        <v>Alemania</v>
      </c>
      <c r="B34" s="2" t="str">
        <f>IFERROR(__xludf.DUMMYFUNCTION("""COMPUTED_VALUE"""),"D BAMBERG01")</f>
        <v>D BAMBERG01</v>
      </c>
      <c r="C34" s="3" t="str">
        <f>IFERROR(__xludf.DUMMYFUNCTION("""COMPUTED_VALUE"""),"Otto-Friedrich-Universität Bamberg (University of Bamberg)")</f>
        <v>Otto-Friedrich-Universität Bamberg (University of Bamberg)</v>
      </c>
      <c r="D34" s="2" t="str">
        <f>IFERROR(__xludf.DUMMYFUNCTION("""COMPUTED_VALUE"""),"Erasmus+")</f>
        <v>Erasmus+</v>
      </c>
      <c r="E34" s="2">
        <f>IFERROR(__xludf.DUMMYFUNCTION("""COMPUTED_VALUE"""),1.0)</f>
        <v>1</v>
      </c>
      <c r="F34" s="2" t="str">
        <f>IFERROR(__xludf.DUMMYFUNCTION("""COMPUTED_VALUE"""),"1er Semestre")</f>
        <v>1er Semestre</v>
      </c>
      <c r="G34" s="2" t="str">
        <f>IFERROR(__xludf.DUMMYFUNCTION("""COMPUTED_VALUE"""),"Bilbao")</f>
        <v>Bilbao</v>
      </c>
      <c r="H34" s="2" t="str">
        <f>IFERROR(__xludf.DUMMYFUNCTION("""COMPUTED_VALUE"""),"Deusto Business School")</f>
        <v>Deusto Business School</v>
      </c>
      <c r="I34" s="2" t="str">
        <f>IFERROR(__xludf.DUMMYFUNCTION("""COMPUTED_VALUE"""),"Administración y Dirección de Empresas")</f>
        <v>Administración y Dirección de Empresas</v>
      </c>
      <c r="J34" s="2" t="str">
        <f>IFERROR(__xludf.DUMMYFUNCTION("""COMPUTED_VALUE"""),"Grado")</f>
        <v>Grado</v>
      </c>
      <c r="K34" s="2" t="str">
        <f>IFERROR(__xludf.DUMMYFUNCTION("""COMPUTED_VALUE"""),"Alemán")</f>
        <v>Alemán</v>
      </c>
      <c r="L34" s="2" t="str">
        <f>IFERROR(__xludf.DUMMYFUNCTION("""COMPUTED_VALUE"""),"B1 Al / B2 En")</f>
        <v>B1 Al / B2 En</v>
      </c>
      <c r="M34" s="2" t="str">
        <f>IFERROR(__xludf.DUMMYFUNCTION("""COMPUTED_VALUE"""),"No")</f>
        <v>No</v>
      </c>
      <c r="N34" s="3" t="str">
        <f>IFERROR(__xludf.DUMMYFUNCTION("""COMPUTED_VALUE"""),"https://eurep.auth.gr/sites/default/files/fact_sheets/D%20BAMBERG01_Factsheet_2022-2023.pdf")</f>
        <v>https://eurep.auth.gr/sites/default/files/fact_sheets/D%20BAMBERG01_Factsheet_2022-2023.pdf</v>
      </c>
      <c r="O34" s="3" t="str">
        <f>IFERROR(__xludf.DUMMYFUNCTION("""COMPUTED_VALUE"""),"Más información / Informazio gehigarria")</f>
        <v>Más información / Informazio gehigarria</v>
      </c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30.0" customHeight="1">
      <c r="A35" s="2" t="str">
        <f>IFERROR(__xludf.DUMMYFUNCTION("""COMPUTED_VALUE"""),"Alemania")</f>
        <v>Alemania</v>
      </c>
      <c r="B35" s="2" t="str">
        <f>IFERROR(__xludf.DUMMYFUNCTION("""COMPUTED_VALUE"""),"D BAMBERG01")</f>
        <v>D BAMBERG01</v>
      </c>
      <c r="C35" s="3" t="str">
        <f>IFERROR(__xludf.DUMMYFUNCTION("""COMPUTED_VALUE"""),"Otto-Friedrich-Universität Bamberg (University of Bamberg)")</f>
        <v>Otto-Friedrich-Universität Bamberg (University of Bamberg)</v>
      </c>
      <c r="D35" s="2" t="str">
        <f>IFERROR(__xludf.DUMMYFUNCTION("""COMPUTED_VALUE"""),"Erasmus+")</f>
        <v>Erasmus+</v>
      </c>
      <c r="E35" s="2">
        <f>IFERROR(__xludf.DUMMYFUNCTION("""COMPUTED_VALUE"""),1.0)</f>
        <v>1</v>
      </c>
      <c r="F35" s="2" t="str">
        <f>IFERROR(__xludf.DUMMYFUNCTION("""COMPUTED_VALUE"""),"Anual")</f>
        <v>Anual</v>
      </c>
      <c r="G35" s="2" t="str">
        <f>IFERROR(__xludf.DUMMYFUNCTION("""COMPUTED_VALUE"""),"Bilbao")</f>
        <v>Bilbao</v>
      </c>
      <c r="H35" s="2" t="str">
        <f>IFERROR(__xludf.DUMMYFUNCTION("""COMPUTED_VALUE"""),"Ciencias de la Salud")</f>
        <v>Ciencias de la Salud</v>
      </c>
      <c r="I35" s="2" t="str">
        <f>IFERROR(__xludf.DUMMYFUNCTION("""COMPUTED_VALUE"""),"Psicología")</f>
        <v>Psicología</v>
      </c>
      <c r="J35" s="2" t="str">
        <f>IFERROR(__xludf.DUMMYFUNCTION("""COMPUTED_VALUE"""),"Grado")</f>
        <v>Grado</v>
      </c>
      <c r="K35" s="2" t="str">
        <f>IFERROR(__xludf.DUMMYFUNCTION("""COMPUTED_VALUE"""),"Alemán / Inglés")</f>
        <v>Alemán / Inglés</v>
      </c>
      <c r="L35" s="2" t="str">
        <f>IFERROR(__xludf.DUMMYFUNCTION("""COMPUTED_VALUE"""),"B1 Al / B2 En")</f>
        <v>B1 Al / B2 En</v>
      </c>
      <c r="M35" s="2" t="str">
        <f>IFERROR(__xludf.DUMMYFUNCTION("""COMPUTED_VALUE"""),"No")</f>
        <v>No</v>
      </c>
      <c r="N35" s="3" t="str">
        <f>IFERROR(__xludf.DUMMYFUNCTION("""COMPUTED_VALUE"""),"https://eurep.auth.gr/sites/default/files/fact_sheets/D%20BAMBERG01_Factsheet_2022-2023.pdf")</f>
        <v>https://eurep.auth.gr/sites/default/files/fact_sheets/D%20BAMBERG01_Factsheet_2022-2023.pdf</v>
      </c>
      <c r="O35" s="3" t="str">
        <f>IFERROR(__xludf.DUMMYFUNCTION("""COMPUTED_VALUE"""),"Más información / Informazio gehigarria")</f>
        <v>Más información / Informazio gehigarria</v>
      </c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30.0" customHeight="1">
      <c r="A36" s="2" t="str">
        <f>IFERROR(__xludf.DUMMYFUNCTION("""COMPUTED_VALUE"""),"Alemania")</f>
        <v>Alemania</v>
      </c>
      <c r="B36" s="2" t="str">
        <f>IFERROR(__xludf.DUMMYFUNCTION("""COMPUTED_VALUE"""),"D BAMBERG01")</f>
        <v>D BAMBERG01</v>
      </c>
      <c r="C36" s="3" t="str">
        <f>IFERROR(__xludf.DUMMYFUNCTION("""COMPUTED_VALUE"""),"Otto-Friedrich-Universität Bamberg (University of Bamberg)")</f>
        <v>Otto-Friedrich-Universität Bamberg (University of Bamberg)</v>
      </c>
      <c r="D36" s="2" t="str">
        <f>IFERROR(__xludf.DUMMYFUNCTION("""COMPUTED_VALUE"""),"Erasmus+")</f>
        <v>Erasmus+</v>
      </c>
      <c r="E36" s="2">
        <f>IFERROR(__xludf.DUMMYFUNCTION("""COMPUTED_VALUE"""),3.0)</f>
        <v>3</v>
      </c>
      <c r="F36" s="2" t="str">
        <f>IFERROR(__xludf.DUMMYFUNCTION("""COMPUTED_VALUE"""),"Anual")</f>
        <v>Anual</v>
      </c>
      <c r="G36" s="2" t="str">
        <f>IFERROR(__xludf.DUMMYFUNCTION("""COMPUTED_VALUE"""),"Bilbao")</f>
        <v>Bilbao</v>
      </c>
      <c r="H36" s="2" t="str">
        <f>IFERROR(__xludf.DUMMYFUNCTION("""COMPUTED_VALUE"""),"Ciencias Sociales y Humanas")</f>
        <v>Ciencias Sociales y Humanas</v>
      </c>
      <c r="I36" s="2" t="str">
        <f>IFERROR(__xludf.DUMMYFUNCTION("""COMPUTED_VALUE"""),"Relaciones Internacionales, Relaciones Internacionales + Derecho")</f>
        <v>Relaciones Internacionales, Relaciones Internacionales + Derecho</v>
      </c>
      <c r="J36" s="2" t="str">
        <f>IFERROR(__xludf.DUMMYFUNCTION("""COMPUTED_VALUE"""),"Grado")</f>
        <v>Grado</v>
      </c>
      <c r="K36" s="2" t="str">
        <f>IFERROR(__xludf.DUMMYFUNCTION("""COMPUTED_VALUE"""),"Alemán / Inglés")</f>
        <v>Alemán / Inglés</v>
      </c>
      <c r="L36" s="2" t="str">
        <f>IFERROR(__xludf.DUMMYFUNCTION("""COMPUTED_VALUE"""),"B1 Al / B2 En")</f>
        <v>B1 Al / B2 En</v>
      </c>
      <c r="M36" s="2" t="str">
        <f>IFERROR(__xludf.DUMMYFUNCTION("""COMPUTED_VALUE"""),"No")</f>
        <v>No</v>
      </c>
      <c r="N36" s="3" t="str">
        <f>IFERROR(__xludf.DUMMYFUNCTION("""COMPUTED_VALUE"""),"https://eurep.auth.gr/sites/default/files/fact_sheets/D%20BAMBERG01_Factsheet_2022-2023.pdf")</f>
        <v>https://eurep.auth.gr/sites/default/files/fact_sheets/D%20BAMBERG01_Factsheet_2022-2023.pdf</v>
      </c>
      <c r="O36" s="3" t="str">
        <f>IFERROR(__xludf.DUMMYFUNCTION("""COMPUTED_VALUE"""),"Más información / Informazio gehigarria")</f>
        <v>Más información / Informazio gehigarria</v>
      </c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30.0" customHeight="1">
      <c r="A37" s="2" t="str">
        <f>IFERROR(__xludf.DUMMYFUNCTION("""COMPUTED_VALUE"""),"Alemania")</f>
        <v>Alemania</v>
      </c>
      <c r="B37" s="2" t="str">
        <f>IFERROR(__xludf.DUMMYFUNCTION("""COMPUTED_VALUE"""),"D BOCHUM01")</f>
        <v>D BOCHUM01</v>
      </c>
      <c r="C37" s="3" t="str">
        <f>IFERROR(__xludf.DUMMYFUNCTION("""COMPUTED_VALUE"""),"Ruhr-universität Bochum")</f>
        <v>Ruhr-universität Bochum</v>
      </c>
      <c r="D37" s="2" t="str">
        <f>IFERROR(__xludf.DUMMYFUNCTION("""COMPUTED_VALUE"""),"Erasmus+")</f>
        <v>Erasmus+</v>
      </c>
      <c r="E37" s="2">
        <f>IFERROR(__xludf.DUMMYFUNCTION("""COMPUTED_VALUE"""),2.0)</f>
        <v>2</v>
      </c>
      <c r="F37" s="2" t="str">
        <f>IFERROR(__xludf.DUMMYFUNCTION("""COMPUTED_VALUE"""),"Ambos semestres")</f>
        <v>Ambos semestres</v>
      </c>
      <c r="G37" s="2" t="str">
        <f>IFERROR(__xludf.DUMMYFUNCTION("""COMPUTED_VALUE"""),"Bilbao")</f>
        <v>Bilbao</v>
      </c>
      <c r="H37" s="2" t="str">
        <f>IFERROR(__xludf.DUMMYFUNCTION("""COMPUTED_VALUE"""),"Deusto Business School")</f>
        <v>Deusto Business School</v>
      </c>
      <c r="I37" s="2" t="str">
        <f>IFERROR(__xludf.DUMMYFUNCTION("""COMPUTED_VALUE"""),"Administración y Dirección de Empresas")</f>
        <v>Administración y Dirección de Empresas</v>
      </c>
      <c r="J37" s="2" t="str">
        <f>IFERROR(__xludf.DUMMYFUNCTION("""COMPUTED_VALUE"""),"Grado")</f>
        <v>Grado</v>
      </c>
      <c r="K37" s="2" t="str">
        <f>IFERROR(__xludf.DUMMYFUNCTION("""COMPUTED_VALUE"""),"Alemán")</f>
        <v>Alemán</v>
      </c>
      <c r="L37" s="2" t="str">
        <f>IFERROR(__xludf.DUMMYFUNCTION("""COMPUTED_VALUE"""),"B2")</f>
        <v>B2</v>
      </c>
      <c r="M37" s="2" t="str">
        <f>IFERROR(__xludf.DUMMYFUNCTION("""COMPUTED_VALUE"""),"Sí")</f>
        <v>Sí</v>
      </c>
      <c r="N37" s="3" t="str">
        <f>IFERROR(__xludf.DUMMYFUNCTION("""COMPUTED_VALUE"""),"https://studium.ruhr-uni-bochum.de/en/application-international-prospective-students")</f>
        <v>https://studium.ruhr-uni-bochum.de/en/application-international-prospective-students</v>
      </c>
      <c r="O37" s="3" t="str">
        <f>IFERROR(__xludf.DUMMYFUNCTION("""COMPUTED_VALUE"""),"Más información / Informazio gehigarria")</f>
        <v>Más información / Informazio gehigarria</v>
      </c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30.0" customHeight="1">
      <c r="A38" s="2" t="str">
        <f>IFERROR(__xludf.DUMMYFUNCTION("""COMPUTED_VALUE"""),"Alemania")</f>
        <v>Alemania</v>
      </c>
      <c r="B38" s="2" t="str">
        <f>IFERROR(__xludf.DUMMYFUNCTION("""COMPUTED_VALUE"""),"D BOCHUM01")</f>
        <v>D BOCHUM01</v>
      </c>
      <c r="C38" s="3" t="str">
        <f>IFERROR(__xludf.DUMMYFUNCTION("""COMPUTED_VALUE"""),"Ruhr-universität Bochum")</f>
        <v>Ruhr-universität Bochum</v>
      </c>
      <c r="D38" s="2" t="str">
        <f>IFERROR(__xludf.DUMMYFUNCTION("""COMPUTED_VALUE"""),"Erasmus+")</f>
        <v>Erasmus+</v>
      </c>
      <c r="E38" s="2">
        <f>IFERROR(__xludf.DUMMYFUNCTION("""COMPUTED_VALUE"""),3.0)</f>
        <v>3</v>
      </c>
      <c r="F38" s="2" t="str">
        <f>IFERROR(__xludf.DUMMYFUNCTION("""COMPUTED_VALUE"""),"Semestre")</f>
        <v>Semestre</v>
      </c>
      <c r="G38" s="2" t="str">
        <f>IFERROR(__xludf.DUMMYFUNCTION("""COMPUTED_VALUE"""),"Bilbao")</f>
        <v>Bilbao</v>
      </c>
      <c r="H38" s="2" t="str">
        <f>IFERROR(__xludf.DUMMYFUNCTION("""COMPUTED_VALUE"""),"Ingeniería")</f>
        <v>Ingeniería</v>
      </c>
      <c r="I38" s="2" t="str">
        <f>IFERROR(__xludf.DUMMYFUNCTION("""COMPUTED_VALUE"""),"Ingeniería en Diseño Industrial, Ingeniería en Organización Industrial, Ingeniería en Tecnologías Industriales, Ingeniería Mecánica, ADE + Ingeniería en Tecnologías Industriales, Diseño Industrial + Ingeniería Mecánica")</f>
        <v>Ingeniería en Diseño Industrial, Ingeniería en Organización Industrial, Ingeniería en Tecnologías Industriales, Ingeniería Mecánica, ADE + Ingeniería en Tecnologías Industriales, Diseño Industrial + Ingeniería Mecánica</v>
      </c>
      <c r="J38" s="2" t="str">
        <f>IFERROR(__xludf.DUMMYFUNCTION("""COMPUTED_VALUE"""),"Grado")</f>
        <v>Grado</v>
      </c>
      <c r="K38" s="2" t="str">
        <f>IFERROR(__xludf.DUMMYFUNCTION("""COMPUTED_VALUE"""),"Alemán")</f>
        <v>Alemán</v>
      </c>
      <c r="L38" s="2" t="str">
        <f>IFERROR(__xludf.DUMMYFUNCTION("""COMPUTED_VALUE"""),"B2")</f>
        <v>B2</v>
      </c>
      <c r="M38" s="2" t="str">
        <f>IFERROR(__xludf.DUMMYFUNCTION("""COMPUTED_VALUE"""),"Sí")</f>
        <v>Sí</v>
      </c>
      <c r="N38" s="3" t="str">
        <f>IFERROR(__xludf.DUMMYFUNCTION("""COMPUTED_VALUE"""),"https://studium.ruhr-uni-bochum.de/en/application-international-prospective-students")</f>
        <v>https://studium.ruhr-uni-bochum.de/en/application-international-prospective-students</v>
      </c>
      <c r="O38" s="3" t="str">
        <f>IFERROR(__xludf.DUMMYFUNCTION("""COMPUTED_VALUE"""),"Más información / Informazio gehigarria")</f>
        <v>Más información / Informazio gehigarria</v>
      </c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30.0" customHeight="1">
      <c r="A39" s="2" t="str">
        <f>IFERROR(__xludf.DUMMYFUNCTION("""COMPUTED_VALUE"""),"Alemania")</f>
        <v>Alemania</v>
      </c>
      <c r="B39" s="2" t="str">
        <f>IFERROR(__xludf.DUMMYFUNCTION("""COMPUTED_VALUE"""),"D BOCHUM01")</f>
        <v>D BOCHUM01</v>
      </c>
      <c r="C39" s="3" t="str">
        <f>IFERROR(__xludf.DUMMYFUNCTION("""COMPUTED_VALUE"""),"Ruhr-universität Bochum")</f>
        <v>Ruhr-universität Bochum</v>
      </c>
      <c r="D39" s="2" t="str">
        <f>IFERROR(__xludf.DUMMYFUNCTION("""COMPUTED_VALUE"""),"Erasmus+")</f>
        <v>Erasmus+</v>
      </c>
      <c r="E39" s="2">
        <f>IFERROR(__xludf.DUMMYFUNCTION("""COMPUTED_VALUE"""),2.0)</f>
        <v>2</v>
      </c>
      <c r="F39" s="2" t="str">
        <f>IFERROR(__xludf.DUMMYFUNCTION("""COMPUTED_VALUE"""),"Semestre")</f>
        <v>Semestre</v>
      </c>
      <c r="G39" s="2" t="str">
        <f>IFERROR(__xludf.DUMMYFUNCTION("""COMPUTED_VALUE"""),"Bilbao")</f>
        <v>Bilbao</v>
      </c>
      <c r="H39" s="2" t="str">
        <f>IFERROR(__xludf.DUMMYFUNCTION("""COMPUTED_VALUE"""),"Educación y Deporte")</f>
        <v>Educación y Deporte</v>
      </c>
      <c r="I39" s="2" t="str">
        <f>IFERROR(__xludf.DUMMYFUNCTION("""COMPUTED_VALUE"""),"CAFyD")</f>
        <v>CAFyD</v>
      </c>
      <c r="J39" s="2" t="str">
        <f>IFERROR(__xludf.DUMMYFUNCTION("""COMPUTED_VALUE"""),"Grado")</f>
        <v>Grado</v>
      </c>
      <c r="K39" s="2" t="str">
        <f>IFERROR(__xludf.DUMMYFUNCTION("""COMPUTED_VALUE"""),"Alemán")</f>
        <v>Alemán</v>
      </c>
      <c r="L39" s="2" t="str">
        <f>IFERROR(__xludf.DUMMYFUNCTION("""COMPUTED_VALUE"""),"B2")</f>
        <v>B2</v>
      </c>
      <c r="M39" s="2" t="str">
        <f>IFERROR(__xludf.DUMMYFUNCTION("""COMPUTED_VALUE"""),"Sí")</f>
        <v>Sí</v>
      </c>
      <c r="N39" s="3" t="str">
        <f>IFERROR(__xludf.DUMMYFUNCTION("""COMPUTED_VALUE"""),"https://studium.ruhr-uni-bochum.de/en/application-international-prospective-students")</f>
        <v>https://studium.ruhr-uni-bochum.de/en/application-international-prospective-students</v>
      </c>
      <c r="O39" s="3" t="str">
        <f>IFERROR(__xludf.DUMMYFUNCTION("""COMPUTED_VALUE"""),"Más información / Informazio gehigarria")</f>
        <v>Más información / Informazio gehigarria</v>
      </c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30.0" customHeight="1">
      <c r="A40" s="2" t="str">
        <f>IFERROR(__xludf.DUMMYFUNCTION("""COMPUTED_VALUE"""),"Alemania")</f>
        <v>Alemania</v>
      </c>
      <c r="B40" s="2" t="str">
        <f>IFERROR(__xludf.DUMMYFUNCTION("""COMPUTED_VALUE"""),"D BOCHUM01")</f>
        <v>D BOCHUM01</v>
      </c>
      <c r="C40" s="3" t="str">
        <f>IFERROR(__xludf.DUMMYFUNCTION("""COMPUTED_VALUE"""),"Ruhr-universität Bochum")</f>
        <v>Ruhr-universität Bochum</v>
      </c>
      <c r="D40" s="2" t="str">
        <f>IFERROR(__xludf.DUMMYFUNCTION("""COMPUTED_VALUE"""),"Erasmus+")</f>
        <v>Erasmus+</v>
      </c>
      <c r="E40" s="2">
        <f>IFERROR(__xludf.DUMMYFUNCTION("""COMPUTED_VALUE"""),2.0)</f>
        <v>2</v>
      </c>
      <c r="F40" s="2" t="str">
        <f>IFERROR(__xludf.DUMMYFUNCTION("""COMPUTED_VALUE"""),"Anual")</f>
        <v>Anual</v>
      </c>
      <c r="G40" s="2" t="str">
        <f>IFERROR(__xludf.DUMMYFUNCTION("""COMPUTED_VALUE"""),"Bilbao")</f>
        <v>Bilbao</v>
      </c>
      <c r="H40" s="2" t="str">
        <f>IFERROR(__xludf.DUMMYFUNCTION("""COMPUTED_VALUE"""),"Ciencias de la Salud")</f>
        <v>Ciencias de la Salud</v>
      </c>
      <c r="I40" s="2" t="str">
        <f>IFERROR(__xludf.DUMMYFUNCTION("""COMPUTED_VALUE"""),"Psicología")</f>
        <v>Psicología</v>
      </c>
      <c r="J40" s="2" t="str">
        <f>IFERROR(__xludf.DUMMYFUNCTION("""COMPUTED_VALUE"""),"Grado")</f>
        <v>Grado</v>
      </c>
      <c r="K40" s="2" t="str">
        <f>IFERROR(__xludf.DUMMYFUNCTION("""COMPUTED_VALUE"""),"Alemán / Inglés")</f>
        <v>Alemán / Inglés</v>
      </c>
      <c r="L40" s="2" t="str">
        <f>IFERROR(__xludf.DUMMYFUNCTION("""COMPUTED_VALUE"""),"B2")</f>
        <v>B2</v>
      </c>
      <c r="M40" s="2" t="str">
        <f>IFERROR(__xludf.DUMMYFUNCTION("""COMPUTED_VALUE"""),"No")</f>
        <v>No</v>
      </c>
      <c r="N40" s="3" t="str">
        <f>IFERROR(__xludf.DUMMYFUNCTION("""COMPUTED_VALUE"""),"https://studium.ruhr-uni-bochum.de/en/application-international-prospective-students")</f>
        <v>https://studium.ruhr-uni-bochum.de/en/application-international-prospective-students</v>
      </c>
      <c r="O40" s="3" t="str">
        <f>IFERROR(__xludf.DUMMYFUNCTION("""COMPUTED_VALUE"""),"Más información / Informazio gehigarria")</f>
        <v>Más información / Informazio gehigarria</v>
      </c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30.0" customHeight="1">
      <c r="A41" s="2" t="str">
        <f>IFERROR(__xludf.DUMMYFUNCTION("""COMPUTED_VALUE"""),"Alemania")</f>
        <v>Alemania</v>
      </c>
      <c r="B41" s="2" t="str">
        <f>IFERROR(__xludf.DUMMYFUNCTION("""COMPUTED_VALUE"""),"D HEIDELB01")</f>
        <v>D HEIDELB01</v>
      </c>
      <c r="C41" s="3" t="str">
        <f>IFERROR(__xludf.DUMMYFUNCTION("""COMPUTED_VALUE"""),"Ruprecht-Karls - Universität Heidelberg")</f>
        <v>Ruprecht-Karls - Universität Heidelberg</v>
      </c>
      <c r="D41" s="2" t="str">
        <f>IFERROR(__xludf.DUMMYFUNCTION("""COMPUTED_VALUE"""),"Erasmus+")</f>
        <v>Erasmus+</v>
      </c>
      <c r="E41" s="2">
        <f>IFERROR(__xludf.DUMMYFUNCTION("""COMPUTED_VALUE"""),4.0)</f>
        <v>4</v>
      </c>
      <c r="F41" s="2" t="str">
        <f>IFERROR(__xludf.DUMMYFUNCTION("""COMPUTED_VALUE"""),"Semestre")</f>
        <v>Semestre</v>
      </c>
      <c r="G41" s="2" t="str">
        <f>IFERROR(__xludf.DUMMYFUNCTION("""COMPUTED_VALUE"""),"Bilbao")</f>
        <v>Bilbao</v>
      </c>
      <c r="H41" s="2" t="str">
        <f>IFERROR(__xludf.DUMMYFUNCTION("""COMPUTED_VALUE"""),"Educación y Deporte")</f>
        <v>Educación y Deporte</v>
      </c>
      <c r="I41" s="2" t="str">
        <f>IFERROR(__xludf.DUMMYFUNCTION("""COMPUTED_VALUE"""),"CAFyD")</f>
        <v>CAFyD</v>
      </c>
      <c r="J41" s="2" t="str">
        <f>IFERROR(__xludf.DUMMYFUNCTION("""COMPUTED_VALUE"""),"Grado")</f>
        <v>Grado</v>
      </c>
      <c r="K41" s="2" t="str">
        <f>IFERROR(__xludf.DUMMYFUNCTION("""COMPUTED_VALUE"""),"Alemán / Inglés")</f>
        <v>Alemán / Inglés</v>
      </c>
      <c r="L41" s="2" t="str">
        <f>IFERROR(__xludf.DUMMYFUNCTION("""COMPUTED_VALUE"""),"B2")</f>
        <v>B2</v>
      </c>
      <c r="M41" s="2" t="str">
        <f>IFERROR(__xludf.DUMMYFUNCTION("""COMPUTED_VALUE"""),"Sí")</f>
        <v>Sí</v>
      </c>
      <c r="N41" s="3" t="str">
        <f>IFERROR(__xludf.DUMMYFUNCTION("""COMPUTED_VALUE"""),"https://international.hit-u.ac.jp/hp-international/wp-content/uploads/2024/03/10202_Heidelberg-Infosheet-2024-25.pdf")</f>
        <v>https://international.hit-u.ac.jp/hp-international/wp-content/uploads/2024/03/10202_Heidelberg-Infosheet-2024-25.pdf</v>
      </c>
      <c r="O41" s="3" t="str">
        <f>IFERROR(__xludf.DUMMYFUNCTION("""COMPUTED_VALUE"""),"Más información / Informazio gehigarria")</f>
        <v>Más información / Informazio gehigarria</v>
      </c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30.0" customHeight="1">
      <c r="A42" s="2" t="str">
        <f>IFERROR(__xludf.DUMMYFUNCTION("""COMPUTED_VALUE"""),"Alemania")</f>
        <v>Alemania</v>
      </c>
      <c r="B42" s="2" t="str">
        <f>IFERROR(__xludf.DUMMYFUNCTION("""COMPUTED_VALUE"""),"D HEIDELB01")</f>
        <v>D HEIDELB01</v>
      </c>
      <c r="C42" s="3" t="str">
        <f>IFERROR(__xludf.DUMMYFUNCTION("""COMPUTED_VALUE"""),"Ruprecht-Karls - Universität Heidelberg")</f>
        <v>Ruprecht-Karls - Universität Heidelberg</v>
      </c>
      <c r="D42" s="2" t="str">
        <f>IFERROR(__xludf.DUMMYFUNCTION("""COMPUTED_VALUE"""),"Erasmus+")</f>
        <v>Erasmus+</v>
      </c>
      <c r="E42" s="2">
        <f>IFERROR(__xludf.DUMMYFUNCTION("""COMPUTED_VALUE"""),3.0)</f>
        <v>3</v>
      </c>
      <c r="F42" s="2" t="str">
        <f>IFERROR(__xludf.DUMMYFUNCTION("""COMPUTED_VALUE"""),"Semestre")</f>
        <v>Semestre</v>
      </c>
      <c r="G42" s="2" t="str">
        <f>IFERROR(__xludf.DUMMYFUNCTION("""COMPUTED_VALUE"""),"Bilbao")</f>
        <v>Bilbao</v>
      </c>
      <c r="H42" s="2" t="str">
        <f>IFERROR(__xludf.DUMMYFUNCTION("""COMPUTED_VALUE"""),"Ciencias Sociales y Humanas")</f>
        <v>Ciencias Sociales y Humanas</v>
      </c>
      <c r="I42" s="2" t="str">
        <f>IFERROR(__xludf.DUMMYFUNCTION("""COMPUTED_VALUE"""),"Filosofía, Política y Economía")</f>
        <v>Filosofía, Política y Economía</v>
      </c>
      <c r="J42" s="2" t="str">
        <f>IFERROR(__xludf.DUMMYFUNCTION("""COMPUTED_VALUE"""),"Grado")</f>
        <v>Grado</v>
      </c>
      <c r="K42" s="2" t="str">
        <f>IFERROR(__xludf.DUMMYFUNCTION("""COMPUTED_VALUE"""),"Alemán / Inglés")</f>
        <v>Alemán / Inglés</v>
      </c>
      <c r="L42" s="2" t="str">
        <f>IFERROR(__xludf.DUMMYFUNCTION("""COMPUTED_VALUE"""),"B2")</f>
        <v>B2</v>
      </c>
      <c r="M42" s="2" t="str">
        <f>IFERROR(__xludf.DUMMYFUNCTION("""COMPUTED_VALUE"""),"Sí")</f>
        <v>Sí</v>
      </c>
      <c r="N42" s="3" t="str">
        <f>IFERROR(__xludf.DUMMYFUNCTION("""COMPUTED_VALUE"""),"https://international.hit-u.ac.jp/hp-international/wp-content/uploads/2024/03/10202_Heidelberg-Infosheet-2024-25.pdf")</f>
        <v>https://international.hit-u.ac.jp/hp-international/wp-content/uploads/2024/03/10202_Heidelberg-Infosheet-2024-25.pdf</v>
      </c>
      <c r="O42" s="3" t="str">
        <f>IFERROR(__xludf.DUMMYFUNCTION("""COMPUTED_VALUE"""),"Más información / Informazio gehigarria")</f>
        <v>Más información / Informazio gehigarria</v>
      </c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30.0" customHeight="1">
      <c r="A43" s="2" t="str">
        <f>IFERROR(__xludf.DUMMYFUNCTION("""COMPUTED_VALUE"""),"Alemania")</f>
        <v>Alemania</v>
      </c>
      <c r="B43" s="2" t="str">
        <f>IFERROR(__xludf.DUMMYFUNCTION("""COMPUTED_VALUE"""),"D HEIDELB01")</f>
        <v>D HEIDELB01</v>
      </c>
      <c r="C43" s="3" t="str">
        <f>IFERROR(__xludf.DUMMYFUNCTION("""COMPUTED_VALUE"""),"Ruprecht-Karls - Universität Heidelberg")</f>
        <v>Ruprecht-Karls - Universität Heidelberg</v>
      </c>
      <c r="D43" s="2" t="str">
        <f>IFERROR(__xludf.DUMMYFUNCTION("""COMPUTED_VALUE"""),"Erasmus+")</f>
        <v>Erasmus+</v>
      </c>
      <c r="E43" s="2">
        <f>IFERROR(__xludf.DUMMYFUNCTION("""COMPUTED_VALUE"""),2.0)</f>
        <v>2</v>
      </c>
      <c r="F43" s="2" t="str">
        <f>IFERROR(__xludf.DUMMYFUNCTION("""COMPUTED_VALUE"""),"Anual")</f>
        <v>Anual</v>
      </c>
      <c r="G43" s="2" t="str">
        <f>IFERROR(__xludf.DUMMYFUNCTION("""COMPUTED_VALUE"""),"Bilbao")</f>
        <v>Bilbao</v>
      </c>
      <c r="H43" s="2" t="str">
        <f>IFERROR(__xludf.DUMMYFUNCTION("""COMPUTED_VALUE"""),"Ciencias Sociales y Humanas")</f>
        <v>Ciencias Sociales y Humanas</v>
      </c>
      <c r="I43" s="2" t="str">
        <f>IFERROR(__xludf.DUMMYFUNCTION("""COMPUTED_VALUE"""),"Lenguas Modernas, Lengua y Cultura Vasca + Lenguas Modernas, Lenguas Modernas y Gestión, Euskal Hizkuntza eta Kultura")</f>
        <v>Lenguas Modernas, Lengua y Cultura Vasca + Lenguas Modernas, Lenguas Modernas y Gestión, Euskal Hizkuntza eta Kultura</v>
      </c>
      <c r="J43" s="2" t="str">
        <f>IFERROR(__xludf.DUMMYFUNCTION("""COMPUTED_VALUE"""),"Grado")</f>
        <v>Grado</v>
      </c>
      <c r="K43" s="2" t="str">
        <f>IFERROR(__xludf.DUMMYFUNCTION("""COMPUTED_VALUE"""),"Alemán / Inglés")</f>
        <v>Alemán / Inglés</v>
      </c>
      <c r="L43" s="2" t="str">
        <f>IFERROR(__xludf.DUMMYFUNCTION("""COMPUTED_VALUE"""),"B2")</f>
        <v>B2</v>
      </c>
      <c r="M43" s="2" t="str">
        <f>IFERROR(__xludf.DUMMYFUNCTION("""COMPUTED_VALUE"""),"Sí")</f>
        <v>Sí</v>
      </c>
      <c r="N43" s="3" t="str">
        <f>IFERROR(__xludf.DUMMYFUNCTION("""COMPUTED_VALUE"""),"https://international.hit-u.ac.jp/hp-international/wp-content/uploads/2024/03/10202_Heidelberg-Infosheet-2024-25.pdf")</f>
        <v>https://international.hit-u.ac.jp/hp-international/wp-content/uploads/2024/03/10202_Heidelberg-Infosheet-2024-25.pdf</v>
      </c>
      <c r="O43" s="3" t="str">
        <f>IFERROR(__xludf.DUMMYFUNCTION("""COMPUTED_VALUE"""),"Más información / Informazio gehigarria")</f>
        <v>Más información / Informazio gehigarria</v>
      </c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30.0" customHeight="1">
      <c r="A44" s="2" t="str">
        <f>IFERROR(__xludf.DUMMYFUNCTION("""COMPUTED_VALUE"""),"Alemania")</f>
        <v>Alemania</v>
      </c>
      <c r="B44" s="2" t="str">
        <f>IFERROR(__xludf.DUMMYFUNCTION("""COMPUTED_VALUE"""),"D KOLN04")</f>
        <v>D KOLN04</v>
      </c>
      <c r="C44" s="3" t="str">
        <f>IFERROR(__xludf.DUMMYFUNCTION("""COMPUTED_VALUE"""),"TH Köln - University of Applied Sciences")</f>
        <v>TH Köln - University of Applied Sciences</v>
      </c>
      <c r="D44" s="2" t="str">
        <f>IFERROR(__xludf.DUMMYFUNCTION("""COMPUTED_VALUE"""),"Erasmus+")</f>
        <v>Erasmus+</v>
      </c>
      <c r="E44" s="2">
        <f>IFERROR(__xludf.DUMMYFUNCTION("""COMPUTED_VALUE"""),2.0)</f>
        <v>2</v>
      </c>
      <c r="F44" s="2" t="str">
        <f>IFERROR(__xludf.DUMMYFUNCTION("""COMPUTED_VALUE"""),"Semestre")</f>
        <v>Semestre</v>
      </c>
      <c r="G44" s="2" t="str">
        <f>IFERROR(__xludf.DUMMYFUNCTION("""COMPUTED_VALUE"""),"Bilbao")</f>
        <v>Bilbao</v>
      </c>
      <c r="H44" s="2" t="str">
        <f>IFERROR(__xludf.DUMMYFUNCTION("""COMPUTED_VALUE"""),"Ingeniería")</f>
        <v>Ingeniería</v>
      </c>
      <c r="I44" s="2" t="str">
        <f>IFERROR(__xludf.DUMMYFUNCTION("""COMPUTED_VALUE"""),"Tecnologías Industriales, Ingeniería Mecánica, Organización Industrial, Ingeniería Robótica, Diseño Industrial + Ingeniería Mecánica")</f>
        <v>Tecnologías Industriales, Ingeniería Mecánica, Organización Industrial, Ingeniería Robótica, Diseño Industrial + Ingeniería Mecánica</v>
      </c>
      <c r="J44" s="2" t="str">
        <f>IFERROR(__xludf.DUMMYFUNCTION("""COMPUTED_VALUE"""),"Grado")</f>
        <v>Grado</v>
      </c>
      <c r="K44" s="2" t="str">
        <f>IFERROR(__xludf.DUMMYFUNCTION("""COMPUTED_VALUE"""),"Alemán")</f>
        <v>Alemán</v>
      </c>
      <c r="L44" s="2" t="str">
        <f>IFERROR(__xludf.DUMMYFUNCTION("""COMPUTED_VALUE"""),"B2")</f>
        <v>B2</v>
      </c>
      <c r="M44" s="2" t="str">
        <f>IFERROR(__xludf.DUMMYFUNCTION("""COMPUTED_VALUE"""),"No")</f>
        <v>No</v>
      </c>
      <c r="N44" s="3" t="str">
        <f>IFERROR(__xludf.DUMMYFUNCTION("""COMPUTED_VALUE"""),"https://www.th-koeln.de/en/international_office/information-for-exchange-students_55834.php#sprungmarke_1_9")</f>
        <v>https://www.th-koeln.de/en/international_office/information-for-exchange-students_55834.php#sprungmarke_1_9</v>
      </c>
      <c r="O44" s="3" t="str">
        <f>IFERROR(__xludf.DUMMYFUNCTION("""COMPUTED_VALUE"""),"Más información / Informazio gehigarria")</f>
        <v>Más información / Informazio gehigarria</v>
      </c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30.0" customHeight="1">
      <c r="A45" s="2" t="str">
        <f>IFERROR(__xludf.DUMMYFUNCTION("""COMPUTED_VALUE"""),"Alemania")</f>
        <v>Alemania</v>
      </c>
      <c r="B45" s="2" t="str">
        <f>IFERROR(__xludf.DUMMYFUNCTION("""COMPUTED_VALUE"""),"D BIELEFE01")</f>
        <v>D BIELEFE01</v>
      </c>
      <c r="C45" s="3" t="str">
        <f>IFERROR(__xludf.DUMMYFUNCTION("""COMPUTED_VALUE"""),"Universität Bielefeld")</f>
        <v>Universität Bielefeld</v>
      </c>
      <c r="D45" s="2" t="str">
        <f>IFERROR(__xludf.DUMMYFUNCTION("""COMPUTED_VALUE"""),"Erasmus+")</f>
        <v>Erasmus+</v>
      </c>
      <c r="E45" s="2">
        <f>IFERROR(__xludf.DUMMYFUNCTION("""COMPUTED_VALUE"""),2.0)</f>
        <v>2</v>
      </c>
      <c r="F45" s="2" t="str">
        <f>IFERROR(__xludf.DUMMYFUNCTION("""COMPUTED_VALUE"""),"Semestre")</f>
        <v>Semestre</v>
      </c>
      <c r="G45" s="2" t="str">
        <f>IFERROR(__xludf.DUMMYFUNCTION("""COMPUTED_VALUE"""),"Bilbao")</f>
        <v>Bilbao</v>
      </c>
      <c r="H45" s="2" t="str">
        <f>IFERROR(__xludf.DUMMYFUNCTION("""COMPUTED_VALUE"""),"Ciencias Sociales y Humanas")</f>
        <v>Ciencias Sociales y Humanas</v>
      </c>
      <c r="I45" s="2" t="str">
        <f>IFERROR(__xludf.DUMMYFUNCTION("""COMPUTED_VALUE"""),"Filosofía, Política y Economía")</f>
        <v>Filosofía, Política y Economía</v>
      </c>
      <c r="J45" s="2" t="str">
        <f>IFERROR(__xludf.DUMMYFUNCTION("""COMPUTED_VALUE"""),"Grado")</f>
        <v>Grado</v>
      </c>
      <c r="K45" s="2" t="str">
        <f>IFERROR(__xludf.DUMMYFUNCTION("""COMPUTED_VALUE"""),"Alemán / Inglés")</f>
        <v>Alemán / Inglés</v>
      </c>
      <c r="L45" s="2" t="str">
        <f>IFERROR(__xludf.DUMMYFUNCTION("""COMPUTED_VALUE"""),"C1 Al / B2 En")</f>
        <v>C1 Al / B2 En</v>
      </c>
      <c r="M45" s="2" t="str">
        <f>IFERROR(__xludf.DUMMYFUNCTION("""COMPUTED_VALUE"""),"Sí")</f>
        <v>Sí</v>
      </c>
      <c r="N45" s="3" t="str">
        <f>IFERROR(__xludf.DUMMYFUNCTION("""COMPUTED_VALUE"""),"https://www.uni-bielefeld.de/international/come-in/studium/studium-mit-abschluss/sprachkenntnisse/2023-07-21_Sprachrichtlinien_EN.pdf")</f>
        <v>https://www.uni-bielefeld.de/international/come-in/studium/studium-mit-abschluss/sprachkenntnisse/2023-07-21_Sprachrichtlinien_EN.pdf</v>
      </c>
      <c r="O45" s="3" t="str">
        <f>IFERROR(__xludf.DUMMYFUNCTION("""COMPUTED_VALUE"""),"Más información / Informazio gehigarria")</f>
        <v>Más información / Informazio gehigarria</v>
      </c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30.0" customHeight="1">
      <c r="A46" s="2" t="str">
        <f>IFERROR(__xludf.DUMMYFUNCTION("""COMPUTED_VALUE"""),"Alemania")</f>
        <v>Alemania</v>
      </c>
      <c r="B46" s="2" t="str">
        <f>IFERROR(__xludf.DUMMYFUNCTION("""COMPUTED_VALUE"""),"D BIELEFE01")</f>
        <v>D BIELEFE01</v>
      </c>
      <c r="C46" s="3" t="str">
        <f>IFERROR(__xludf.DUMMYFUNCTION("""COMPUTED_VALUE"""),"Universität Bielefeld")</f>
        <v>Universität Bielefeld</v>
      </c>
      <c r="D46" s="2" t="str">
        <f>IFERROR(__xludf.DUMMYFUNCTION("""COMPUTED_VALUE"""),"Erasmus+")</f>
        <v>Erasmus+</v>
      </c>
      <c r="E46" s="2">
        <f>IFERROR(__xludf.DUMMYFUNCTION("""COMPUTED_VALUE"""),2.0)</f>
        <v>2</v>
      </c>
      <c r="F46" s="2" t="str">
        <f>IFERROR(__xludf.DUMMYFUNCTION("""COMPUTED_VALUE"""),"Anual")</f>
        <v>Anual</v>
      </c>
      <c r="G46" s="2" t="str">
        <f>IFERROR(__xludf.DUMMYFUNCTION("""COMPUTED_VALUE"""),"Ambos")</f>
        <v>Ambos</v>
      </c>
      <c r="H46" s="2" t="str">
        <f>IFERROR(__xludf.DUMMYFUNCTION("""COMPUTED_VALUE"""),"Ciencias Sociales y Humanas")</f>
        <v>Ciencias Sociales y Humanas</v>
      </c>
      <c r="I46" s="2" t="str">
        <f>IFERROR(__xludf.DUMMYFUNCTION("""COMPUTED_VALUE"""),"Relaciones Internacionales")</f>
        <v>Relaciones Internacionales</v>
      </c>
      <c r="J46" s="2" t="str">
        <f>IFERROR(__xludf.DUMMYFUNCTION("""COMPUTED_VALUE"""),"Grado")</f>
        <v>Grado</v>
      </c>
      <c r="K46" s="2" t="str">
        <f>IFERROR(__xludf.DUMMYFUNCTION("""COMPUTED_VALUE"""),"Alemán / Inglés")</f>
        <v>Alemán / Inglés</v>
      </c>
      <c r="L46" s="2" t="str">
        <f>IFERROR(__xludf.DUMMYFUNCTION("""COMPUTED_VALUE"""),"C1 Al / B2 En")</f>
        <v>C1 Al / B2 En</v>
      </c>
      <c r="M46" s="2" t="str">
        <f>IFERROR(__xludf.DUMMYFUNCTION("""COMPUTED_VALUE"""),"Sí")</f>
        <v>Sí</v>
      </c>
      <c r="N46" s="3" t="str">
        <f>IFERROR(__xludf.DUMMYFUNCTION("""COMPUTED_VALUE"""),"https://www.uni-bielefeld.de/international/come-in/studium/studium-mit-abschluss/sprachkenntnisse/2023-07-21_Sprachrichtlinien_EN.pdf")</f>
        <v>https://www.uni-bielefeld.de/international/come-in/studium/studium-mit-abschluss/sprachkenntnisse/2023-07-21_Sprachrichtlinien_EN.pdf</v>
      </c>
      <c r="O46" s="3" t="str">
        <f>IFERROR(__xludf.DUMMYFUNCTION("""COMPUTED_VALUE"""),"Más información / Informazio gehigarria")</f>
        <v>Más información / Informazio gehigarria</v>
      </c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30.0" customHeight="1">
      <c r="A47" s="2" t="str">
        <f>IFERROR(__xludf.DUMMYFUNCTION("""COMPUTED_VALUE"""),"Alemania")</f>
        <v>Alemania</v>
      </c>
      <c r="B47" s="2" t="str">
        <f>IFERROR(__xludf.DUMMYFUNCTION("""COMPUTED_VALUE"""),"D ERLANGE01")</f>
        <v>D ERLANGE01</v>
      </c>
      <c r="C47" s="3" t="str">
        <f>IFERROR(__xludf.DUMMYFUNCTION("""COMPUTED_VALUE"""),"FAU - Erlangen - Friedrich-Alexander-Universität Erlangen-Nürnberg")</f>
        <v>FAU - Erlangen - Friedrich-Alexander-Universität Erlangen-Nürnberg</v>
      </c>
      <c r="D47" s="2" t="str">
        <f>IFERROR(__xludf.DUMMYFUNCTION("""COMPUTED_VALUE"""),"Erasmus+")</f>
        <v>Erasmus+</v>
      </c>
      <c r="E47" s="2">
        <f>IFERROR(__xludf.DUMMYFUNCTION("""COMPUTED_VALUE"""),4.0)</f>
        <v>4</v>
      </c>
      <c r="F47" s="2" t="str">
        <f>IFERROR(__xludf.DUMMYFUNCTION("""COMPUTED_VALUE"""),"Semestre")</f>
        <v>Semestre</v>
      </c>
      <c r="G47" s="2" t="str">
        <f>IFERROR(__xludf.DUMMYFUNCTION("""COMPUTED_VALUE"""),"Bilbao")</f>
        <v>Bilbao</v>
      </c>
      <c r="H47" s="2" t="str">
        <f>IFERROR(__xludf.DUMMYFUNCTION("""COMPUTED_VALUE"""),"Ingeniería")</f>
        <v>Ingeniería</v>
      </c>
      <c r="I47" s="2" t="str">
        <f>IFERROR(__xludf.DUMMYFUNCTION("""COMPUTED_VALUE"""),"Ingeniería Biomédica")</f>
        <v>Ingeniería Biomédica</v>
      </c>
      <c r="J47" s="2" t="str">
        <f>IFERROR(__xludf.DUMMYFUNCTION("""COMPUTED_VALUE"""),"Grado/Master")</f>
        <v>Grado/Master</v>
      </c>
      <c r="K47" s="2" t="str">
        <f>IFERROR(__xludf.DUMMYFUNCTION("""COMPUTED_VALUE"""),"Alemán / Inglés")</f>
        <v>Alemán / Inglés</v>
      </c>
      <c r="L47" s="2" t="str">
        <f>IFERROR(__xludf.DUMMYFUNCTION("""COMPUTED_VALUE"""),"B2")</f>
        <v>B2</v>
      </c>
      <c r="M47" s="2" t="str">
        <f>IFERROR(__xludf.DUMMYFUNCTION("""COMPUTED_VALUE"""),"No")</f>
        <v>No</v>
      </c>
      <c r="N47" s="3" t="str">
        <f>IFERROR(__xludf.DUMMYFUNCTION("""COMPUTED_VALUE"""),"https://fceye.us.es/sites/economicas/files/contenido/movilidad/guia-alumnos-espanoles/D%20ERLANGE01_Factsheet_2022-2023.pdf")</f>
        <v>https://fceye.us.es/sites/economicas/files/contenido/movilidad/guia-alumnos-espanoles/D%20ERLANGE01_Factsheet_2022-2023.pdf</v>
      </c>
      <c r="O47" s="3" t="str">
        <f>IFERROR(__xludf.DUMMYFUNCTION("""COMPUTED_VALUE"""),"Más información / Informazio gehigarria")</f>
        <v>Más información / Informazio gehigarria</v>
      </c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30.0" customHeight="1">
      <c r="A48" s="2" t="str">
        <f>IFERROR(__xludf.DUMMYFUNCTION("""COMPUTED_VALUE"""),"Alemania")</f>
        <v>Alemania</v>
      </c>
      <c r="B48" s="2" t="str">
        <f>IFERROR(__xludf.DUMMYFUNCTION("""COMPUTED_VALUE"""),"D ESSEN04")</f>
        <v>D ESSEN04</v>
      </c>
      <c r="C48" s="3" t="str">
        <f>IFERROR(__xludf.DUMMYFUNCTION("""COMPUTED_VALUE"""),"Universität Duisburg-Essen")</f>
        <v>Universität Duisburg-Essen</v>
      </c>
      <c r="D48" s="2" t="str">
        <f>IFERROR(__xludf.DUMMYFUNCTION("""COMPUTED_VALUE"""),"Erasmus+")</f>
        <v>Erasmus+</v>
      </c>
      <c r="E48" s="2">
        <f>IFERROR(__xludf.DUMMYFUNCTION("""COMPUTED_VALUE"""),2.0)</f>
        <v>2</v>
      </c>
      <c r="F48" s="2" t="str">
        <f>IFERROR(__xludf.DUMMYFUNCTION("""COMPUTED_VALUE"""),"Semestre")</f>
        <v>Semestre</v>
      </c>
      <c r="G48" s="2" t="str">
        <f>IFERROR(__xludf.DUMMYFUNCTION("""COMPUTED_VALUE"""),"Bilbao")</f>
        <v>Bilbao</v>
      </c>
      <c r="H48" s="2" t="str">
        <f>IFERROR(__xludf.DUMMYFUNCTION("""COMPUTED_VALUE"""),"Ingeniería")</f>
        <v>Ingeniería</v>
      </c>
      <c r="I48" s="2" t="str">
        <f>IFERROR(__xludf.DUMMYFUNCTION("""COMPUTED_VALUE"""),"Tecnologías Industriales, Electrónica y Automática")</f>
        <v>Tecnologías Industriales, Electrónica y Automática</v>
      </c>
      <c r="J48" s="2" t="str">
        <f>IFERROR(__xludf.DUMMYFUNCTION("""COMPUTED_VALUE"""),"Grado")</f>
        <v>Grado</v>
      </c>
      <c r="K48" s="2" t="str">
        <f>IFERROR(__xludf.DUMMYFUNCTION("""COMPUTED_VALUE"""),"Alemán / Inglés")</f>
        <v>Alemán / Inglés</v>
      </c>
      <c r="L48" s="2" t="str">
        <f>IFERROR(__xludf.DUMMYFUNCTION("""COMPUTED_VALUE"""),"B2")</f>
        <v>B2</v>
      </c>
      <c r="M48" s="2" t="str">
        <f>IFERROR(__xludf.DUMMYFUNCTION("""COMPUTED_VALUE"""),"Sí")</f>
        <v>Sí</v>
      </c>
      <c r="N48" s="3" t="str">
        <f>IFERROR(__xludf.DUMMYFUNCTION("""COMPUTED_VALUE"""),"https://www.uni-due.de/ise/admission.php")</f>
        <v>https://www.uni-due.de/ise/admission.php</v>
      </c>
      <c r="O48" s="3" t="str">
        <f>IFERROR(__xludf.DUMMYFUNCTION("""COMPUTED_VALUE"""),"Más información / Informazio gehigarria")</f>
        <v>Más información / Informazio gehigarria</v>
      </c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30.0" customHeight="1">
      <c r="A49" s="2" t="str">
        <f>IFERROR(__xludf.DUMMYFUNCTION("""COMPUTED_VALUE"""),"Alemania")</f>
        <v>Alemania</v>
      </c>
      <c r="B49" s="2" t="str">
        <f>IFERROR(__xludf.DUMMYFUNCTION("""COMPUTED_VALUE"""),"D HAMBURG01")</f>
        <v>D HAMBURG01</v>
      </c>
      <c r="C49" s="3" t="str">
        <f>IFERROR(__xludf.DUMMYFUNCTION("""COMPUTED_VALUE"""),"Universität Hamburg")</f>
        <v>Universität Hamburg</v>
      </c>
      <c r="D49" s="2" t="str">
        <f>IFERROR(__xludf.DUMMYFUNCTION("""COMPUTED_VALUE"""),"Erasmus+")</f>
        <v>Erasmus+</v>
      </c>
      <c r="E49" s="2">
        <f>IFERROR(__xludf.DUMMYFUNCTION("""COMPUTED_VALUE"""),4.0)</f>
        <v>4</v>
      </c>
      <c r="F49" s="2" t="str">
        <f>IFERROR(__xludf.DUMMYFUNCTION("""COMPUTED_VALUE"""),"Semestre")</f>
        <v>Semestre</v>
      </c>
      <c r="G49" s="2" t="str">
        <f>IFERROR(__xludf.DUMMYFUNCTION("""COMPUTED_VALUE"""),"Bilbao")</f>
        <v>Bilbao</v>
      </c>
      <c r="H49" s="2" t="str">
        <f>IFERROR(__xludf.DUMMYFUNCTION("""COMPUTED_VALUE"""),"Derecho")</f>
        <v>Derecho</v>
      </c>
      <c r="I49" s="2" t="str">
        <f>IFERROR(__xludf.DUMMYFUNCTION("""COMPUTED_VALUE"""),"Derecho, Derecho + Relaciones Laborales")</f>
        <v>Derecho, Derecho + Relaciones Laborales</v>
      </c>
      <c r="J49" s="2" t="str">
        <f>IFERROR(__xludf.DUMMYFUNCTION("""COMPUTED_VALUE"""),"Grado")</f>
        <v>Grado</v>
      </c>
      <c r="K49" s="2" t="str">
        <f>IFERROR(__xludf.DUMMYFUNCTION("""COMPUTED_VALUE"""),"Alemán / Inglés")</f>
        <v>Alemán / Inglés</v>
      </c>
      <c r="L49" s="2" t="str">
        <f>IFERROR(__xludf.DUMMYFUNCTION("""COMPUTED_VALUE"""),"B2")</f>
        <v>B2</v>
      </c>
      <c r="M49" s="2" t="str">
        <f>IFERROR(__xludf.DUMMYFUNCTION("""COMPUTED_VALUE"""),"Sí")</f>
        <v>Sí</v>
      </c>
      <c r="N49" s="3" t="str">
        <f>IFERROR(__xludf.DUMMYFUNCTION("""COMPUTED_VALUE"""),"https://www.uni-hamburg.de/en/campuscenter/bewerbung/international/studium-mit-abschluss/sprachkenntnisse.html")</f>
        <v>https://www.uni-hamburg.de/en/campuscenter/bewerbung/international/studium-mit-abschluss/sprachkenntnisse.html</v>
      </c>
      <c r="O49" s="3" t="str">
        <f>IFERROR(__xludf.DUMMYFUNCTION("""COMPUTED_VALUE"""),"Más información / Informazio gehigarria")</f>
        <v>Más información / Informazio gehigarria</v>
      </c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30.0" customHeight="1">
      <c r="A50" s="2" t="str">
        <f>IFERROR(__xludf.DUMMYFUNCTION("""COMPUTED_VALUE"""),"Alemania")</f>
        <v>Alemania</v>
      </c>
      <c r="B50" s="2" t="str">
        <f>IFERROR(__xludf.DUMMYFUNCTION("""COMPUTED_VALUE"""),"D ROSTOCK01")</f>
        <v>D ROSTOCK01</v>
      </c>
      <c r="C50" s="3" t="str">
        <f>IFERROR(__xludf.DUMMYFUNCTION("""COMPUTED_VALUE"""),"Universität Rostock")</f>
        <v>Universität Rostock</v>
      </c>
      <c r="D50" s="2" t="str">
        <f>IFERROR(__xludf.DUMMYFUNCTION("""COMPUTED_VALUE"""),"Erasmus+")</f>
        <v>Erasmus+</v>
      </c>
      <c r="E50" s="2">
        <f>IFERROR(__xludf.DUMMYFUNCTION("""COMPUTED_VALUE"""),2.0)</f>
        <v>2</v>
      </c>
      <c r="F50" s="2" t="str">
        <f>IFERROR(__xludf.DUMMYFUNCTION("""COMPUTED_VALUE"""),"Semestre")</f>
        <v>Semestre</v>
      </c>
      <c r="G50" s="2" t="str">
        <f>IFERROR(__xludf.DUMMYFUNCTION("""COMPUTED_VALUE"""),"Bilbao")</f>
        <v>Bilbao</v>
      </c>
      <c r="H50" s="2" t="str">
        <f>IFERROR(__xludf.DUMMYFUNCTION("""COMPUTED_VALUE"""),"Begoñako Andramari, BAM")</f>
        <v>Begoñako Andramari, BAM</v>
      </c>
      <c r="I50" s="2" t="str">
        <f>IFERROR(__xludf.DUMMYFUNCTION("""COMPUTED_VALUE"""),"Educación Primaria, Educación Infantil")</f>
        <v>Educación Primaria, Educación Infantil</v>
      </c>
      <c r="J50" s="2" t="str">
        <f>IFERROR(__xludf.DUMMYFUNCTION("""COMPUTED_VALUE"""),"Grado")</f>
        <v>Grado</v>
      </c>
      <c r="K50" s="2" t="str">
        <f>IFERROR(__xludf.DUMMYFUNCTION("""COMPUTED_VALUE"""),"Alemán")</f>
        <v>Alemán</v>
      </c>
      <c r="L50" s="2" t="str">
        <f>IFERROR(__xludf.DUMMYFUNCTION("""COMPUTED_VALUE"""),"B1")</f>
        <v>B1</v>
      </c>
      <c r="M50" s="2" t="str">
        <f>IFERROR(__xludf.DUMMYFUNCTION("""COMPUTED_VALUE"""),"Sí")</f>
        <v>Sí</v>
      </c>
      <c r="N50" s="3" t="str">
        <f>IFERROR(__xludf.DUMMYFUNCTION("""COMPUTED_VALUE"""),"https://www.uni-rostock.de/en/international-affairs/incoming/gueststudies-erasmus/exchange-possibilities/#:~:text=Language%20Requirements&amp;text=Given%20that%20you%20only%20have,take%20up%20full%2Dtime%20studies.")</f>
        <v>https://www.uni-rostock.de/en/international-affairs/incoming/gueststudies-erasmus/exchange-possibilities/#:~:text=Language%20Requirements&amp;text=Given%20that%20you%20only%20have,take%20up%20full%2Dtime%20studies.</v>
      </c>
      <c r="O50" s="3" t="str">
        <f>IFERROR(__xludf.DUMMYFUNCTION("""COMPUTED_VALUE"""),"Más información / Informazio gehigarria")</f>
        <v>Más información / Informazio gehigarria</v>
      </c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30.0" customHeight="1">
      <c r="A51" s="2" t="str">
        <f>IFERROR(__xludf.DUMMYFUNCTION("""COMPUTED_VALUE"""),"Alemania")</f>
        <v>Alemania</v>
      </c>
      <c r="B51" s="2" t="str">
        <f>IFERROR(__xludf.DUMMYFUNCTION("""COMPUTED_VALUE"""),"D ROSTOCK01")</f>
        <v>D ROSTOCK01</v>
      </c>
      <c r="C51" s="3" t="str">
        <f>IFERROR(__xludf.DUMMYFUNCTION("""COMPUTED_VALUE"""),"Universität Rostock")</f>
        <v>Universität Rostock</v>
      </c>
      <c r="D51" s="2" t="str">
        <f>IFERROR(__xludf.DUMMYFUNCTION("""COMPUTED_VALUE"""),"Erasmus+")</f>
        <v>Erasmus+</v>
      </c>
      <c r="E51" s="2">
        <f>IFERROR(__xludf.DUMMYFUNCTION("""COMPUTED_VALUE"""),1.0)</f>
        <v>1</v>
      </c>
      <c r="F51" s="2" t="str">
        <f>IFERROR(__xludf.DUMMYFUNCTION("""COMPUTED_VALUE"""),"Anual")</f>
        <v>Anual</v>
      </c>
      <c r="G51" s="2" t="str">
        <f>IFERROR(__xludf.DUMMYFUNCTION("""COMPUTED_VALUE"""),"Bilbao")</f>
        <v>Bilbao</v>
      </c>
      <c r="H51" s="2" t="str">
        <f>IFERROR(__xludf.DUMMYFUNCTION("""COMPUTED_VALUE"""),"Ciencias Sociales y Humanas")</f>
        <v>Ciencias Sociales y Humanas</v>
      </c>
      <c r="I51" s="2" t="str">
        <f>IFERROR(__xludf.DUMMYFUNCTION("""COMPUTED_VALUE"""),"Lenguas Modernas")</f>
        <v>Lenguas Modernas</v>
      </c>
      <c r="J51" s="2" t="str">
        <f>IFERROR(__xludf.DUMMYFUNCTION("""COMPUTED_VALUE"""),"Grado")</f>
        <v>Grado</v>
      </c>
      <c r="K51" s="2" t="str">
        <f>IFERROR(__xludf.DUMMYFUNCTION("""COMPUTED_VALUE"""),"Alemán / Inglés")</f>
        <v>Alemán / Inglés</v>
      </c>
      <c r="L51" s="2" t="str">
        <f>IFERROR(__xludf.DUMMYFUNCTION("""COMPUTED_VALUE"""),"B2")</f>
        <v>B2</v>
      </c>
      <c r="M51" s="2" t="str">
        <f>IFERROR(__xludf.DUMMYFUNCTION("""COMPUTED_VALUE"""),"Sí")</f>
        <v>Sí</v>
      </c>
      <c r="N51" s="3" t="str">
        <f>IFERROR(__xludf.DUMMYFUNCTION("""COMPUTED_VALUE"""),"https://www.uni-rostock.de/en/international-affairs/incoming/gueststudies-erasmus/exchange-possibilities/#:~:text=Language%20Requirements&amp;text=Given%20that%20you%20only%20have,take%20up%20full%2Dtime%20studies.")</f>
        <v>https://www.uni-rostock.de/en/international-affairs/incoming/gueststudies-erasmus/exchange-possibilities/#:~:text=Language%20Requirements&amp;text=Given%20that%20you%20only%20have,take%20up%20full%2Dtime%20studies.</v>
      </c>
      <c r="O51" s="3" t="str">
        <f>IFERROR(__xludf.DUMMYFUNCTION("""COMPUTED_VALUE"""),"Más información / Informazio gehigarria")</f>
        <v>Más información / Informazio gehigarria</v>
      </c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30.0" customHeight="1">
      <c r="A52" s="2" t="str">
        <f>IFERROR(__xludf.DUMMYFUNCTION("""COMPUTED_VALUE"""),"Alemania")</f>
        <v>Alemania</v>
      </c>
      <c r="B52" s="2" t="str">
        <f>IFERROR(__xludf.DUMMYFUNCTION("""COMPUTED_VALUE"""),"D ROSTOCK01")</f>
        <v>D ROSTOCK01</v>
      </c>
      <c r="C52" s="3" t="str">
        <f>IFERROR(__xludf.DUMMYFUNCTION("""COMPUTED_VALUE"""),"Universität Rostock")</f>
        <v>Universität Rostock</v>
      </c>
      <c r="D52" s="2" t="str">
        <f>IFERROR(__xludf.DUMMYFUNCTION("""COMPUTED_VALUE"""),"Erasmus+")</f>
        <v>Erasmus+</v>
      </c>
      <c r="E52" s="2">
        <f>IFERROR(__xludf.DUMMYFUNCTION("""COMPUTED_VALUE"""),2.0)</f>
        <v>2</v>
      </c>
      <c r="F52" s="2" t="str">
        <f>IFERROR(__xludf.DUMMYFUNCTION("""COMPUTED_VALUE"""),"Semestre")</f>
        <v>Semestre</v>
      </c>
      <c r="G52" s="2" t="str">
        <f>IFERROR(__xludf.DUMMYFUNCTION("""COMPUTED_VALUE"""),"Bilbao")</f>
        <v>Bilbao</v>
      </c>
      <c r="H52" s="2" t="str">
        <f>IFERROR(__xludf.DUMMYFUNCTION("""COMPUTED_VALUE"""),"Ciencias Sociales y Humanas")</f>
        <v>Ciencias Sociales y Humanas</v>
      </c>
      <c r="I52" s="2" t="str">
        <f>IFERROR(__xludf.DUMMYFUNCTION("""COMPUTED_VALUE"""),"Lenguas Modernas y Gestión, Lengua y Cultura Vasca + Lenguas Modernas, Euskal Hizkuntza eta Kultura")</f>
        <v>Lenguas Modernas y Gestión, Lengua y Cultura Vasca + Lenguas Modernas, Euskal Hizkuntza eta Kultura</v>
      </c>
      <c r="J52" s="2" t="str">
        <f>IFERROR(__xludf.DUMMYFUNCTION("""COMPUTED_VALUE"""),"Grado")</f>
        <v>Grado</v>
      </c>
      <c r="K52" s="2" t="str">
        <f>IFERROR(__xludf.DUMMYFUNCTION("""COMPUTED_VALUE"""),"Alemán / Inglés")</f>
        <v>Alemán / Inglés</v>
      </c>
      <c r="L52" s="2" t="str">
        <f>IFERROR(__xludf.DUMMYFUNCTION("""COMPUTED_VALUE"""),"B2")</f>
        <v>B2</v>
      </c>
      <c r="M52" s="2" t="str">
        <f>IFERROR(__xludf.DUMMYFUNCTION("""COMPUTED_VALUE"""),"Sí")</f>
        <v>Sí</v>
      </c>
      <c r="N52" s="3" t="str">
        <f>IFERROR(__xludf.DUMMYFUNCTION("""COMPUTED_VALUE"""),"https://www.uni-rostock.de/en/international-affairs/incoming/gueststudies-erasmus/exchange-possibilities/#:~:text=Language%20Requirements&amp;text=Given%20that%20you%20only%20have,take%20up%20full%2Dtime%20studies.")</f>
        <v>https://www.uni-rostock.de/en/international-affairs/incoming/gueststudies-erasmus/exchange-possibilities/#:~:text=Language%20Requirements&amp;text=Given%20that%20you%20only%20have,take%20up%20full%2Dtime%20studies.</v>
      </c>
      <c r="O52" s="3" t="str">
        <f>IFERROR(__xludf.DUMMYFUNCTION("""COMPUTED_VALUE"""),"Más información / Informazio gehigarria")</f>
        <v>Más información / Informazio gehigarria</v>
      </c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30.0" customHeight="1">
      <c r="A53" s="2" t="str">
        <f>IFERROR(__xludf.DUMMYFUNCTION("""COMPUTED_VALUE"""),"Alemania")</f>
        <v>Alemania</v>
      </c>
      <c r="B53" s="2" t="str">
        <f>IFERROR(__xludf.DUMMYFUNCTION("""COMPUTED_VALUE"""),"D SAARBRU01")</f>
        <v>D SAARBRU01</v>
      </c>
      <c r="C53" s="3" t="str">
        <f>IFERROR(__xludf.DUMMYFUNCTION("""COMPUTED_VALUE"""),"Universitat Des Saarlandes")</f>
        <v>Universitat Des Saarlandes</v>
      </c>
      <c r="D53" s="2" t="str">
        <f>IFERROR(__xludf.DUMMYFUNCTION("""COMPUTED_VALUE"""),"Erasmus+")</f>
        <v>Erasmus+</v>
      </c>
      <c r="E53" s="2">
        <f>IFERROR(__xludf.DUMMYFUNCTION("""COMPUTED_VALUE"""),4.0)</f>
        <v>4</v>
      </c>
      <c r="F53" s="2" t="str">
        <f>IFERROR(__xludf.DUMMYFUNCTION("""COMPUTED_VALUE"""),"Semestre")</f>
        <v>Semestre</v>
      </c>
      <c r="G53" s="2" t="str">
        <f>IFERROR(__xludf.DUMMYFUNCTION("""COMPUTED_VALUE"""),"Ambos")</f>
        <v>Ambos</v>
      </c>
      <c r="H53" s="2" t="str">
        <f>IFERROR(__xludf.DUMMYFUNCTION("""COMPUTED_VALUE"""),"Ciencias Sociales y Humanas")</f>
        <v>Ciencias Sociales y Humanas</v>
      </c>
      <c r="I53" s="2" t="str">
        <f>IFERROR(__xludf.DUMMYFUNCTION("""COMPUTED_VALUE"""),"Relaciones Internacionales")</f>
        <v>Relaciones Internacionales</v>
      </c>
      <c r="J53" s="2" t="str">
        <f>IFERROR(__xludf.DUMMYFUNCTION("""COMPUTED_VALUE"""),"Grado")</f>
        <v>Grado</v>
      </c>
      <c r="K53" s="2" t="str">
        <f>IFERROR(__xludf.DUMMYFUNCTION("""COMPUTED_VALUE"""),"Alemán")</f>
        <v>Alemán</v>
      </c>
      <c r="L53" s="2" t="str">
        <f>IFERROR(__xludf.DUMMYFUNCTION("""COMPUTED_VALUE"""),"B1")</f>
        <v>B1</v>
      </c>
      <c r="M53" s="2" t="str">
        <f>IFERROR(__xludf.DUMMYFUNCTION("""COMPUTED_VALUE"""),"No")</f>
        <v>No</v>
      </c>
      <c r="N53" s="3" t="str">
        <f>IFERROR(__xludf.DUMMYFUNCTION("""COMPUTED_VALUE"""),"https://apps.unive.it/common2/file/download/destinazioni_erasmus/65ba4347e3024#:~:text=The%20main%20language%20of%20instruction%20at%20Saarland%20University%20is%20German,Language%20and%20Literature%20(Germanistik).")</f>
        <v>https://apps.unive.it/common2/file/download/destinazioni_erasmus/65ba4347e3024#:~:text=The%20main%20language%20of%20instruction%20at%20Saarland%20University%20is%20German,Language%20and%20Literature%20(Germanistik).</v>
      </c>
      <c r="O53" s="3" t="str">
        <f>IFERROR(__xludf.DUMMYFUNCTION("""COMPUTED_VALUE"""),"Más información / Informazio gehigarria")</f>
        <v>Más información / Informazio gehigarria</v>
      </c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30.0" customHeight="1">
      <c r="A54" s="2" t="str">
        <f>IFERROR(__xludf.DUMMYFUNCTION("""COMPUTED_VALUE"""),"Alemania")</f>
        <v>Alemania</v>
      </c>
      <c r="B54" s="2" t="str">
        <f>IFERROR(__xludf.DUMMYFUNCTION("""COMPUTED_VALUE"""),"D BAYREUT01")</f>
        <v>D BAYREUT01</v>
      </c>
      <c r="C54" s="3" t="str">
        <f>IFERROR(__xludf.DUMMYFUNCTION("""COMPUTED_VALUE"""),"University of Bayreuth")</f>
        <v>University of Bayreuth</v>
      </c>
      <c r="D54" s="2" t="str">
        <f>IFERROR(__xludf.DUMMYFUNCTION("""COMPUTED_VALUE"""),"Erasmus+")</f>
        <v>Erasmus+</v>
      </c>
      <c r="E54" s="2">
        <f>IFERROR(__xludf.DUMMYFUNCTION("""COMPUTED_VALUE"""),1.0)</f>
        <v>1</v>
      </c>
      <c r="F54" s="2" t="str">
        <f>IFERROR(__xludf.DUMMYFUNCTION("""COMPUTED_VALUE"""),"1er Semestre")</f>
        <v>1er Semestre</v>
      </c>
      <c r="G54" s="2" t="str">
        <f>IFERROR(__xludf.DUMMYFUNCTION("""COMPUTED_VALUE"""),"Bilbao")</f>
        <v>Bilbao</v>
      </c>
      <c r="H54" s="2" t="str">
        <f>IFERROR(__xludf.DUMMYFUNCTION("""COMPUTED_VALUE"""),"Deusto Business School")</f>
        <v>Deusto Business School</v>
      </c>
      <c r="I54" s="2" t="str">
        <f>IFERROR(__xludf.DUMMYFUNCTION("""COMPUTED_VALUE"""),"Administración y Dirección de Empresas")</f>
        <v>Administración y Dirección de Empresas</v>
      </c>
      <c r="J54" s="2" t="str">
        <f>IFERROR(__xludf.DUMMYFUNCTION("""COMPUTED_VALUE"""),"Grado")</f>
        <v>Grado</v>
      </c>
      <c r="K54" s="2" t="str">
        <f>IFERROR(__xludf.DUMMYFUNCTION("""COMPUTED_VALUE"""),"Alemán")</f>
        <v>Alemán</v>
      </c>
      <c r="L54" s="2" t="str">
        <f>IFERROR(__xludf.DUMMYFUNCTION("""COMPUTED_VALUE"""),"B2")</f>
        <v>B2</v>
      </c>
      <c r="M54" s="2" t="str">
        <f>IFERROR(__xludf.DUMMYFUNCTION("""COMPUTED_VALUE"""),"No")</f>
        <v>No</v>
      </c>
      <c r="N54" s="3" t="str">
        <f>IFERROR(__xludf.DUMMYFUNCTION("""COMPUTED_VALUE"""),"https://www.international-office.uni-bayreuth.de/en/come-to-bayreuth/exchange-students/index.html#:~:text=IELTS%2C%20at%20least%205.5")</f>
        <v>https://www.international-office.uni-bayreuth.de/en/come-to-bayreuth/exchange-students/index.html#:~:text=IELTS%2C%20at%20least%205.5</v>
      </c>
      <c r="O54" s="3" t="str">
        <f>IFERROR(__xludf.DUMMYFUNCTION("""COMPUTED_VALUE"""),"Más información / Informazio gehigarria")</f>
        <v>Más información / Informazio gehigarria</v>
      </c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30.0" customHeight="1">
      <c r="A55" s="2" t="str">
        <f>IFERROR(__xludf.DUMMYFUNCTION("""COMPUTED_VALUE"""),"Alemania")</f>
        <v>Alemania</v>
      </c>
      <c r="B55" s="2" t="str">
        <f>IFERROR(__xludf.DUMMYFUNCTION("""COMPUTED_VALUE"""),"D BAYREUT01")</f>
        <v>D BAYREUT01</v>
      </c>
      <c r="C55" s="3" t="str">
        <f>IFERROR(__xludf.DUMMYFUNCTION("""COMPUTED_VALUE"""),"University of Bayreuth")</f>
        <v>University of Bayreuth</v>
      </c>
      <c r="D55" s="2" t="str">
        <f>IFERROR(__xludf.DUMMYFUNCTION("""COMPUTED_VALUE"""),"Erasmus+")</f>
        <v>Erasmus+</v>
      </c>
      <c r="E55" s="2">
        <f>IFERROR(__xludf.DUMMYFUNCTION("""COMPUTED_VALUE"""),6.0)</f>
        <v>6</v>
      </c>
      <c r="F55" s="2" t="str">
        <f>IFERROR(__xludf.DUMMYFUNCTION("""COMPUTED_VALUE"""),"Semestre")</f>
        <v>Semestre</v>
      </c>
      <c r="G55" s="2" t="str">
        <f>IFERROR(__xludf.DUMMYFUNCTION("""COMPUTED_VALUE"""),"Ambos")</f>
        <v>Ambos</v>
      </c>
      <c r="H55" s="2" t="str">
        <f>IFERROR(__xludf.DUMMYFUNCTION("""COMPUTED_VALUE"""),"Derecho")</f>
        <v>Derecho</v>
      </c>
      <c r="I55" s="2" t="str">
        <f>IFERROR(__xludf.DUMMYFUNCTION("""COMPUTED_VALUE"""),"Derecho, Derecho + Relaciones Laborales")</f>
        <v>Derecho, Derecho + Relaciones Laborales</v>
      </c>
      <c r="J55" s="2" t="str">
        <f>IFERROR(__xludf.DUMMYFUNCTION("""COMPUTED_VALUE"""),"Grado")</f>
        <v>Grado</v>
      </c>
      <c r="K55" s="2" t="str">
        <f>IFERROR(__xludf.DUMMYFUNCTION("""COMPUTED_VALUE"""),"Alemán / Inglés")</f>
        <v>Alemán / Inglés</v>
      </c>
      <c r="L55" s="2" t="str">
        <f>IFERROR(__xludf.DUMMYFUNCTION("""COMPUTED_VALUE"""),"B2")</f>
        <v>B2</v>
      </c>
      <c r="M55" s="2" t="str">
        <f>IFERROR(__xludf.DUMMYFUNCTION("""COMPUTED_VALUE"""),"Sí")</f>
        <v>Sí</v>
      </c>
      <c r="N55" s="3" t="str">
        <f>IFERROR(__xludf.DUMMYFUNCTION("""COMPUTED_VALUE"""),"https://www.international-office.uni-bayreuth.de/en/come-to-bayreuth/exchange-students/index.html#:~:text=IELTS%2C%20at%20least%205.6")</f>
        <v>https://www.international-office.uni-bayreuth.de/en/come-to-bayreuth/exchange-students/index.html#:~:text=IELTS%2C%20at%20least%205.6</v>
      </c>
      <c r="O55" s="3" t="str">
        <f>IFERROR(__xludf.DUMMYFUNCTION("""COMPUTED_VALUE"""),"Más información / Informazio gehigarria")</f>
        <v>Más información / Informazio gehigarria</v>
      </c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30.0" customHeight="1">
      <c r="A56" s="2" t="str">
        <f>IFERROR(__xludf.DUMMYFUNCTION("""COMPUTED_VALUE"""),"Alemania")</f>
        <v>Alemania</v>
      </c>
      <c r="B56" s="2" t="str">
        <f>IFERROR(__xludf.DUMMYFUNCTION("""COMPUTED_VALUE"""),"D KOLN01")</f>
        <v>D KOLN01</v>
      </c>
      <c r="C56" s="3" t="str">
        <f>IFERROR(__xludf.DUMMYFUNCTION("""COMPUTED_VALUE"""),"University of Cologne")</f>
        <v>University of Cologne</v>
      </c>
      <c r="D56" s="2" t="str">
        <f>IFERROR(__xludf.DUMMYFUNCTION("""COMPUTED_VALUE"""),"Erasmus+")</f>
        <v>Erasmus+</v>
      </c>
      <c r="E56" s="2">
        <f>IFERROR(__xludf.DUMMYFUNCTION("""COMPUTED_VALUE"""),1.0)</f>
        <v>1</v>
      </c>
      <c r="F56" s="2" t="str">
        <f>IFERROR(__xludf.DUMMYFUNCTION("""COMPUTED_VALUE"""),"Semestre")</f>
        <v>Semestre</v>
      </c>
      <c r="G56" s="2" t="str">
        <f>IFERROR(__xludf.DUMMYFUNCTION("""COMPUTED_VALUE"""),"Ambos")</f>
        <v>Ambos</v>
      </c>
      <c r="H56" s="2" t="str">
        <f>IFERROR(__xludf.DUMMYFUNCTION("""COMPUTED_VALUE"""),"Educación y Deporte")</f>
        <v>Educación y Deporte</v>
      </c>
      <c r="I56" s="2" t="str">
        <f>IFERROR(__xludf.DUMMYFUNCTION("""COMPUTED_VALUE"""),"Educación Primaria")</f>
        <v>Educación Primaria</v>
      </c>
      <c r="J56" s="2" t="str">
        <f>IFERROR(__xludf.DUMMYFUNCTION("""COMPUTED_VALUE"""),"Grado")</f>
        <v>Grado</v>
      </c>
      <c r="K56" s="2" t="str">
        <f>IFERROR(__xludf.DUMMYFUNCTION("""COMPUTED_VALUE"""),"Alemán")</f>
        <v>Alemán</v>
      </c>
      <c r="L56" s="2" t="str">
        <f>IFERROR(__xludf.DUMMYFUNCTION("""COMPUTED_VALUE"""),"B2")</f>
        <v>B2</v>
      </c>
      <c r="M56" s="2" t="str">
        <f>IFERROR(__xludf.DUMMYFUNCTION("""COMPUTED_VALUE"""),"No")</f>
        <v>No</v>
      </c>
      <c r="N56" s="3" t="str">
        <f>IFERROR(__xludf.DUMMYFUNCTION("""COMPUTED_VALUE"""),"https://portal.uni-koeln.de/es/international/study-in-cologne/international-applications/exchange-students-from-partner-universities")</f>
        <v>https://portal.uni-koeln.de/es/international/study-in-cologne/international-applications/exchange-students-from-partner-universities</v>
      </c>
      <c r="O56" s="3" t="str">
        <f>IFERROR(__xludf.DUMMYFUNCTION("""COMPUTED_VALUE"""),"Más información / Informazio gehigarria")</f>
        <v>Más información / Informazio gehigarria</v>
      </c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30.0" customHeight="1">
      <c r="A57" s="2" t="str">
        <f>IFERROR(__xludf.DUMMYFUNCTION("""COMPUTED_VALUE"""),"Alemania")</f>
        <v>Alemania</v>
      </c>
      <c r="B57" s="2" t="str">
        <f>IFERROR(__xludf.DUMMYFUNCTION("""COMPUTED_VALUE"""),"D KOLN01")</f>
        <v>D KOLN01</v>
      </c>
      <c r="C57" s="3" t="str">
        <f>IFERROR(__xludf.DUMMYFUNCTION("""COMPUTED_VALUE"""),"University of Cologne")</f>
        <v>University of Cologne</v>
      </c>
      <c r="D57" s="2" t="str">
        <f>IFERROR(__xludf.DUMMYFUNCTION("""COMPUTED_VALUE"""),"Erasmus+")</f>
        <v>Erasmus+</v>
      </c>
      <c r="E57" s="2">
        <f>IFERROR(__xludf.DUMMYFUNCTION("""COMPUTED_VALUE"""),2.0)</f>
        <v>2</v>
      </c>
      <c r="F57" s="2" t="str">
        <f>IFERROR(__xludf.DUMMYFUNCTION("""COMPUTED_VALUE"""),"Semestre")</f>
        <v>Semestre</v>
      </c>
      <c r="G57" s="2" t="str">
        <f>IFERROR(__xludf.DUMMYFUNCTION("""COMPUTED_VALUE"""),"Bilbao")</f>
        <v>Bilbao</v>
      </c>
      <c r="H57" s="2" t="str">
        <f>IFERROR(__xludf.DUMMYFUNCTION("""COMPUTED_VALUE"""),"Ingeniería")</f>
        <v>Ingeniería</v>
      </c>
      <c r="I57" s="2" t="str">
        <f>IFERROR(__xludf.DUMMYFUNCTION("""COMPUTED_VALUE"""),"Ingeniería Biomédica")</f>
        <v>Ingeniería Biomédica</v>
      </c>
      <c r="J57" s="2" t="str">
        <f>IFERROR(__xludf.DUMMYFUNCTION("""COMPUTED_VALUE"""),"Grado")</f>
        <v>Grado</v>
      </c>
      <c r="K57" s="2" t="str">
        <f>IFERROR(__xludf.DUMMYFUNCTION("""COMPUTED_VALUE"""),"Alemán")</f>
        <v>Alemán</v>
      </c>
      <c r="L57" s="2" t="str">
        <f>IFERROR(__xludf.DUMMYFUNCTION("""COMPUTED_VALUE"""),"B2")</f>
        <v>B2</v>
      </c>
      <c r="M57" s="2" t="str">
        <f>IFERROR(__xludf.DUMMYFUNCTION("""COMPUTED_VALUE"""),"No")</f>
        <v>No</v>
      </c>
      <c r="N57" s="3" t="str">
        <f>IFERROR(__xludf.DUMMYFUNCTION("""COMPUTED_VALUE"""),"https://portal.uni-koeln.de/en/international/study-in-cologne")</f>
        <v>https://portal.uni-koeln.de/en/international/study-in-cologne</v>
      </c>
      <c r="O57" s="3" t="str">
        <f>IFERROR(__xludf.DUMMYFUNCTION("""COMPUTED_VALUE"""),"Más información / Informazio gehigarria")</f>
        <v>Más información / Informazio gehigarria</v>
      </c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30.0" customHeight="1">
      <c r="A58" s="2" t="str">
        <f>IFERROR(__xludf.DUMMYFUNCTION("""COMPUTED_VALUE"""),"Alemania")</f>
        <v>Alemania</v>
      </c>
      <c r="B58" s="2" t="str">
        <f>IFERROR(__xludf.DUMMYFUNCTION("""COMPUTED_VALUE"""),"D KOLN01")</f>
        <v>D KOLN01</v>
      </c>
      <c r="C58" s="3" t="str">
        <f>IFERROR(__xludf.DUMMYFUNCTION("""COMPUTED_VALUE"""),"University of Cologne")</f>
        <v>University of Cologne</v>
      </c>
      <c r="D58" s="2" t="str">
        <f>IFERROR(__xludf.DUMMYFUNCTION("""COMPUTED_VALUE"""),"Erasmus+")</f>
        <v>Erasmus+</v>
      </c>
      <c r="E58" s="2">
        <f>IFERROR(__xludf.DUMMYFUNCTION("""COMPUTED_VALUE"""),1.0)</f>
        <v>1</v>
      </c>
      <c r="F58" s="2" t="str">
        <f>IFERROR(__xludf.DUMMYFUNCTION("""COMPUTED_VALUE"""),"Semestre")</f>
        <v>Semestre</v>
      </c>
      <c r="G58" s="2" t="str">
        <f>IFERROR(__xludf.DUMMYFUNCTION("""COMPUTED_VALUE"""),"Ambos")</f>
        <v>Ambos</v>
      </c>
      <c r="H58" s="2" t="str">
        <f>IFERROR(__xludf.DUMMYFUNCTION("""COMPUTED_VALUE"""),"Ciencias Sociales y Humanas")</f>
        <v>Ciencias Sociales y Humanas</v>
      </c>
      <c r="I58" s="2" t="str">
        <f>IFERROR(__xludf.DUMMYFUNCTION("""COMPUTED_VALUE"""),"Relaciones Internacionales + Derecho")</f>
        <v>Relaciones Internacionales + Derecho</v>
      </c>
      <c r="J58" s="2" t="str">
        <f>IFERROR(__xludf.DUMMYFUNCTION("""COMPUTED_VALUE"""),"Grado")</f>
        <v>Grado</v>
      </c>
      <c r="K58" s="2" t="str">
        <f>IFERROR(__xludf.DUMMYFUNCTION("""COMPUTED_VALUE"""),"Alemán")</f>
        <v>Alemán</v>
      </c>
      <c r="L58" s="2" t="str">
        <f>IFERROR(__xludf.DUMMYFUNCTION("""COMPUTED_VALUE"""),"B2")</f>
        <v>B2</v>
      </c>
      <c r="M58" s="2" t="str">
        <f>IFERROR(__xludf.DUMMYFUNCTION("""COMPUTED_VALUE"""),"No")</f>
        <v>No</v>
      </c>
      <c r="N58" s="3" t="str">
        <f>IFERROR(__xludf.DUMMYFUNCTION("""COMPUTED_VALUE"""),"https://portal.uni-koeln.de/en/international/study-in-cologne")</f>
        <v>https://portal.uni-koeln.de/en/international/study-in-cologne</v>
      </c>
      <c r="O58" s="3" t="str">
        <f>IFERROR(__xludf.DUMMYFUNCTION("""COMPUTED_VALUE"""),"Más información / Informazio gehigarria")</f>
        <v>Más información / Informazio gehigarria</v>
      </c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30.0" customHeight="1">
      <c r="A59" s="2" t="str">
        <f>IFERROR(__xludf.DUMMYFUNCTION("""COMPUTED_VALUE"""),"Alemania")</f>
        <v>Alemania</v>
      </c>
      <c r="B59" s="2" t="str">
        <f>IFERROR(__xludf.DUMMYFUNCTION("""COMPUTED_VALUE"""),"D KOLN01")</f>
        <v>D KOLN01</v>
      </c>
      <c r="C59" s="3" t="str">
        <f>IFERROR(__xludf.DUMMYFUNCTION("""COMPUTED_VALUE"""),"University of Cologne")</f>
        <v>University of Cologne</v>
      </c>
      <c r="D59" s="2" t="str">
        <f>IFERROR(__xludf.DUMMYFUNCTION("""COMPUTED_VALUE"""),"Erasmus+")</f>
        <v>Erasmus+</v>
      </c>
      <c r="E59" s="2">
        <f>IFERROR(__xludf.DUMMYFUNCTION("""COMPUTED_VALUE"""),1.0)</f>
        <v>1</v>
      </c>
      <c r="F59" s="2" t="str">
        <f>IFERROR(__xludf.DUMMYFUNCTION("""COMPUTED_VALUE"""),"Anual")</f>
        <v>Anual</v>
      </c>
      <c r="G59" s="2" t="str">
        <f>IFERROR(__xludf.DUMMYFUNCTION("""COMPUTED_VALUE"""),"Ambos")</f>
        <v>Ambos</v>
      </c>
      <c r="H59" s="2" t="str">
        <f>IFERROR(__xludf.DUMMYFUNCTION("""COMPUTED_VALUE"""),"Ciencias Sociales y Humanas")</f>
        <v>Ciencias Sociales y Humanas</v>
      </c>
      <c r="I59" s="2" t="str">
        <f>IFERROR(__xludf.DUMMYFUNCTION("""COMPUTED_VALUE"""),"Relaciones Internacionales")</f>
        <v>Relaciones Internacionales</v>
      </c>
      <c r="J59" s="2" t="str">
        <f>IFERROR(__xludf.DUMMYFUNCTION("""COMPUTED_VALUE"""),"Grado")</f>
        <v>Grado</v>
      </c>
      <c r="K59" s="2" t="str">
        <f>IFERROR(__xludf.DUMMYFUNCTION("""COMPUTED_VALUE"""),"Alemán")</f>
        <v>Alemán</v>
      </c>
      <c r="L59" s="2" t="str">
        <f>IFERROR(__xludf.DUMMYFUNCTION("""COMPUTED_VALUE"""),"B2")</f>
        <v>B2</v>
      </c>
      <c r="M59" s="2" t="str">
        <f>IFERROR(__xludf.DUMMYFUNCTION("""COMPUTED_VALUE"""),"No")</f>
        <v>No</v>
      </c>
      <c r="N59" s="3" t="str">
        <f>IFERROR(__xludf.DUMMYFUNCTION("""COMPUTED_VALUE"""),"https://portal.uni-koeln.de/en/international/study-in-cologne")</f>
        <v>https://portal.uni-koeln.de/en/international/study-in-cologne</v>
      </c>
      <c r="O59" s="3" t="str">
        <f>IFERROR(__xludf.DUMMYFUNCTION("""COMPUTED_VALUE"""),"Más información / Informazio gehigarria")</f>
        <v>Más información / Informazio gehigarria</v>
      </c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30.0" customHeight="1">
      <c r="A60" s="2" t="str">
        <f>IFERROR(__xludf.DUMMYFUNCTION("""COMPUTED_VALUE"""),"Alemania")</f>
        <v>Alemania</v>
      </c>
      <c r="B60" s="2" t="str">
        <f>IFERROR(__xludf.DUMMYFUNCTION("""COMPUTED_VALUE"""),"D MANNHEI01")</f>
        <v>D MANNHEI01</v>
      </c>
      <c r="C60" s="3" t="str">
        <f>IFERROR(__xludf.DUMMYFUNCTION("""COMPUTED_VALUE"""),"University of Mannheim")</f>
        <v>University of Mannheim</v>
      </c>
      <c r="D60" s="2" t="str">
        <f>IFERROR(__xludf.DUMMYFUNCTION("""COMPUTED_VALUE"""),"Erasmus+")</f>
        <v>Erasmus+</v>
      </c>
      <c r="E60" s="2">
        <f>IFERROR(__xludf.DUMMYFUNCTION("""COMPUTED_VALUE"""),2.0)</f>
        <v>2</v>
      </c>
      <c r="F60" s="2" t="str">
        <f>IFERROR(__xludf.DUMMYFUNCTION("""COMPUTED_VALUE"""),"Ambos semestres")</f>
        <v>Ambos semestres</v>
      </c>
      <c r="G60" s="2" t="str">
        <f>IFERROR(__xludf.DUMMYFUNCTION("""COMPUTED_VALUE"""),"Bilbao")</f>
        <v>Bilbao</v>
      </c>
      <c r="H60" s="2" t="str">
        <f>IFERROR(__xludf.DUMMYFUNCTION("""COMPUTED_VALUE"""),"Deusto Business School")</f>
        <v>Deusto Business School</v>
      </c>
      <c r="I60" s="2" t="str">
        <f>IFERROR(__xludf.DUMMYFUNCTION("""COMPUTED_VALUE"""),"Administración y Dirección de Empresas")</f>
        <v>Administración y Dirección de Empresas</v>
      </c>
      <c r="J60" s="2" t="str">
        <f>IFERROR(__xludf.DUMMYFUNCTION("""COMPUTED_VALUE"""),"Grado")</f>
        <v>Grado</v>
      </c>
      <c r="K60" s="2" t="str">
        <f>IFERROR(__xludf.DUMMYFUNCTION("""COMPUTED_VALUE"""),"Alemán / Inglés")</f>
        <v>Alemán / Inglés</v>
      </c>
      <c r="L60" s="2" t="str">
        <f>IFERROR(__xludf.DUMMYFUNCTION("""COMPUTED_VALUE"""),"Ger B2 / Eng C1")</f>
        <v>Ger B2 / Eng C1</v>
      </c>
      <c r="M60" s="2" t="str">
        <f>IFERROR(__xludf.DUMMYFUNCTION("""COMPUTED_VALUE"""),"No")</f>
        <v>No</v>
      </c>
      <c r="N60" s="3" t="str">
        <f>IFERROR(__xludf.DUMMYFUNCTION("""COMPUTED_VALUE"""),"https://www.uni-mannheim.de/en/academics/coming-to-mannheim/exchange-students/application/#c22590")</f>
        <v>https://www.uni-mannheim.de/en/academics/coming-to-mannheim/exchange-students/application/#c22590</v>
      </c>
      <c r="O60" s="3" t="str">
        <f>IFERROR(__xludf.DUMMYFUNCTION("""COMPUTED_VALUE"""),"Más información / Informazio gehigarria")</f>
        <v>Más información / Informazio gehigarria</v>
      </c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30.0" customHeight="1">
      <c r="A61" s="2" t="str">
        <f>IFERROR(__xludf.DUMMYFUNCTION("""COMPUTED_VALUE"""),"Alemania")</f>
        <v>Alemania</v>
      </c>
      <c r="B61" s="2" t="str">
        <f>IFERROR(__xludf.DUMMYFUNCTION("""COMPUTED_VALUE"""),"D MANNHEI01")</f>
        <v>D MANNHEI01</v>
      </c>
      <c r="C61" s="3" t="str">
        <f>IFERROR(__xludf.DUMMYFUNCTION("""COMPUTED_VALUE"""),"University of Mannheim")</f>
        <v>University of Mannheim</v>
      </c>
      <c r="D61" s="2" t="str">
        <f>IFERROR(__xludf.DUMMYFUNCTION("""COMPUTED_VALUE"""),"Erasmus+")</f>
        <v>Erasmus+</v>
      </c>
      <c r="E61" s="2">
        <f>IFERROR(__xludf.DUMMYFUNCTION("""COMPUTED_VALUE"""),2.0)</f>
        <v>2</v>
      </c>
      <c r="F61" s="2" t="str">
        <f>IFERROR(__xludf.DUMMYFUNCTION("""COMPUTED_VALUE"""),"Semestre")</f>
        <v>Semestre</v>
      </c>
      <c r="G61" s="2" t="str">
        <f>IFERROR(__xludf.DUMMYFUNCTION("""COMPUTED_VALUE"""),"Ambos")</f>
        <v>Ambos</v>
      </c>
      <c r="H61" s="2" t="str">
        <f>IFERROR(__xludf.DUMMYFUNCTION("""COMPUTED_VALUE"""),"Ingeniería")</f>
        <v>Ingeniería</v>
      </c>
      <c r="I61" s="2" t="str">
        <f>IFERROR(__xludf.DUMMYFUNCTION("""COMPUTED_VALUE"""),"Ingeniería Informática, Ingeniería Informática + Videojuegos")</f>
        <v>Ingeniería Informática, Ingeniería Informática + Videojuegos</v>
      </c>
      <c r="J61" s="2" t="str">
        <f>IFERROR(__xludf.DUMMYFUNCTION("""COMPUTED_VALUE"""),"Grado")</f>
        <v>Grado</v>
      </c>
      <c r="K61" s="2" t="str">
        <f>IFERROR(__xludf.DUMMYFUNCTION("""COMPUTED_VALUE"""),"Alemán / Inglés")</f>
        <v>Alemán / Inglés</v>
      </c>
      <c r="L61" s="2" t="str">
        <f>IFERROR(__xludf.DUMMYFUNCTION("""COMPUTED_VALUE"""),"B2")</f>
        <v>B2</v>
      </c>
      <c r="M61" s="2" t="str">
        <f>IFERROR(__xludf.DUMMYFUNCTION("""COMPUTED_VALUE"""),"No")</f>
        <v>No</v>
      </c>
      <c r="N61" s="3" t="str">
        <f>IFERROR(__xludf.DUMMYFUNCTION("""COMPUTED_VALUE"""),"https://www.uni-mannheim.de/en/academics/coming-to-mannheim/exchange-students/application/#c22591")</f>
        <v>https://www.uni-mannheim.de/en/academics/coming-to-mannheim/exchange-students/application/#c22591</v>
      </c>
      <c r="O61" s="3" t="str">
        <f>IFERROR(__xludf.DUMMYFUNCTION("""COMPUTED_VALUE"""),"Más información / Informazio gehigarria")</f>
        <v>Más información / Informazio gehigarria</v>
      </c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30.0" customHeight="1">
      <c r="A62" s="2" t="str">
        <f>IFERROR(__xludf.DUMMYFUNCTION("""COMPUTED_VALUE"""),"Alemania")</f>
        <v>Alemania</v>
      </c>
      <c r="B62" s="2" t="str">
        <f>IFERROR(__xludf.DUMMYFUNCTION("""COMPUTED_VALUE"""),"D MANNHEI01")</f>
        <v>D MANNHEI01</v>
      </c>
      <c r="C62" s="3" t="str">
        <f>IFERROR(__xludf.DUMMYFUNCTION("""COMPUTED_VALUE"""),"University of Mannheim")</f>
        <v>University of Mannheim</v>
      </c>
      <c r="D62" s="2" t="str">
        <f>IFERROR(__xludf.DUMMYFUNCTION("""COMPUTED_VALUE"""),"Erasmus+")</f>
        <v>Erasmus+</v>
      </c>
      <c r="E62" s="2">
        <f>IFERROR(__xludf.DUMMYFUNCTION("""COMPUTED_VALUE"""),4.0)</f>
        <v>4</v>
      </c>
      <c r="F62" s="2" t="str">
        <f>IFERROR(__xludf.DUMMYFUNCTION("""COMPUTED_VALUE"""),"Anual")</f>
        <v>Anual</v>
      </c>
      <c r="G62" s="2" t="str">
        <f>IFERROR(__xludf.DUMMYFUNCTION("""COMPUTED_VALUE"""),"Bilbao")</f>
        <v>Bilbao</v>
      </c>
      <c r="H62" s="2" t="str">
        <f>IFERROR(__xludf.DUMMYFUNCTION("""COMPUTED_VALUE"""),"Ciencias Sociales y Humanas")</f>
        <v>Ciencias Sociales y Humanas</v>
      </c>
      <c r="I62" s="2" t="str">
        <f>IFERROR(__xludf.DUMMYFUNCTION("""COMPUTED_VALUE"""),"Lenguas Modernas, Lengua y Cultura Vasca + Lenguas Modernas, Lenguas Modernas y Gestión, Euskal Hizkuntza eta Kultura")</f>
        <v>Lenguas Modernas, Lengua y Cultura Vasca + Lenguas Modernas, Lenguas Modernas y Gestión, Euskal Hizkuntza eta Kultura</v>
      </c>
      <c r="J62" s="2" t="str">
        <f>IFERROR(__xludf.DUMMYFUNCTION("""COMPUTED_VALUE"""),"Grado")</f>
        <v>Grado</v>
      </c>
      <c r="K62" s="2" t="str">
        <f>IFERROR(__xludf.DUMMYFUNCTION("""COMPUTED_VALUE"""),"Alemán / Inglés")</f>
        <v>Alemán / Inglés</v>
      </c>
      <c r="L62" s="2" t="str">
        <f>IFERROR(__xludf.DUMMYFUNCTION("""COMPUTED_VALUE"""),"B2")</f>
        <v>B2</v>
      </c>
      <c r="M62" s="2" t="str">
        <f>IFERROR(__xludf.DUMMYFUNCTION("""COMPUTED_VALUE"""),"No")</f>
        <v>No</v>
      </c>
      <c r="N62" s="3" t="str">
        <f>IFERROR(__xludf.DUMMYFUNCTION("""COMPUTED_VALUE"""),"https://www.uni-mannheim.de/en/academics/coming-to-mannheim/exchange-students/application/#c22591")</f>
        <v>https://www.uni-mannheim.de/en/academics/coming-to-mannheim/exchange-students/application/#c22591</v>
      </c>
      <c r="O62" s="3" t="str">
        <f>IFERROR(__xludf.DUMMYFUNCTION("""COMPUTED_VALUE"""),"Más información / Informazio gehigarria")</f>
        <v>Más información / Informazio gehigarria</v>
      </c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30.0" customHeight="1">
      <c r="A63" s="2" t="str">
        <f>IFERROR(__xludf.DUMMYFUNCTION("""COMPUTED_VALUE"""),"Alemania")</f>
        <v>Alemania</v>
      </c>
      <c r="B63" s="2" t="str">
        <f>IFERROR(__xludf.DUMMYFUNCTION("""COMPUTED_VALUE"""),"D MANNHEI01")</f>
        <v>D MANNHEI01</v>
      </c>
      <c r="C63" s="3" t="str">
        <f>IFERROR(__xludf.DUMMYFUNCTION("""COMPUTED_VALUE"""),"University of Mannheim")</f>
        <v>University of Mannheim</v>
      </c>
      <c r="D63" s="2" t="str">
        <f>IFERROR(__xludf.DUMMYFUNCTION("""COMPUTED_VALUE"""),"Erasmus+")</f>
        <v>Erasmus+</v>
      </c>
      <c r="E63" s="2">
        <f>IFERROR(__xludf.DUMMYFUNCTION("""COMPUTED_VALUE"""),1.0)</f>
        <v>1</v>
      </c>
      <c r="F63" s="2" t="str">
        <f>IFERROR(__xludf.DUMMYFUNCTION("""COMPUTED_VALUE"""),"Anual")</f>
        <v>Anual</v>
      </c>
      <c r="G63" s="2" t="str">
        <f>IFERROR(__xludf.DUMMYFUNCTION("""COMPUTED_VALUE"""),"Bilbao")</f>
        <v>Bilbao</v>
      </c>
      <c r="H63" s="2" t="str">
        <f>IFERROR(__xludf.DUMMYFUNCTION("""COMPUTED_VALUE"""),"Ciencias de la Salud")</f>
        <v>Ciencias de la Salud</v>
      </c>
      <c r="I63" s="2" t="str">
        <f>IFERROR(__xludf.DUMMYFUNCTION("""COMPUTED_VALUE"""),"Psicología")</f>
        <v>Psicología</v>
      </c>
      <c r="J63" s="2" t="str">
        <f>IFERROR(__xludf.DUMMYFUNCTION("""COMPUTED_VALUE"""),"Grado")</f>
        <v>Grado</v>
      </c>
      <c r="K63" s="2" t="str">
        <f>IFERROR(__xludf.DUMMYFUNCTION("""COMPUTED_VALUE"""),"Alemán / Inglés")</f>
        <v>Alemán / Inglés</v>
      </c>
      <c r="L63" s="2" t="str">
        <f>IFERROR(__xludf.DUMMYFUNCTION("""COMPUTED_VALUE"""),"B2")</f>
        <v>B2</v>
      </c>
      <c r="M63" s="2" t="str">
        <f>IFERROR(__xludf.DUMMYFUNCTION("""COMPUTED_VALUE"""),"No")</f>
        <v>No</v>
      </c>
      <c r="N63" s="3" t="str">
        <f>IFERROR(__xludf.DUMMYFUNCTION("""COMPUTED_VALUE"""),"https://www.uni-mannheim.de/en/academics/coming-to-mannheim/exchange-students/application/#c22593")</f>
        <v>https://www.uni-mannheim.de/en/academics/coming-to-mannheim/exchange-students/application/#c22593</v>
      </c>
      <c r="O63" s="3" t="str">
        <f>IFERROR(__xludf.DUMMYFUNCTION("""COMPUTED_VALUE"""),"Más información / Informazio gehigarria")</f>
        <v>Más información / Informazio gehigarria</v>
      </c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30.0" customHeight="1">
      <c r="A64" s="2" t="str">
        <f>IFERROR(__xludf.DUMMYFUNCTION("""COMPUTED_VALUE"""),"Alemania")</f>
        <v>Alemania</v>
      </c>
      <c r="B64" s="2" t="str">
        <f>IFERROR(__xludf.DUMMYFUNCTION("""COMPUTED_VALUE"""),"D MANNHEI01")</f>
        <v>D MANNHEI01</v>
      </c>
      <c r="C64" s="3" t="str">
        <f>IFERROR(__xludf.DUMMYFUNCTION("""COMPUTED_VALUE"""),"University of Mannheim")</f>
        <v>University of Mannheim</v>
      </c>
      <c r="D64" s="2" t="str">
        <f>IFERROR(__xludf.DUMMYFUNCTION("""COMPUTED_VALUE"""),"Erasmus+")</f>
        <v>Erasmus+</v>
      </c>
      <c r="E64" s="2">
        <f>IFERROR(__xludf.DUMMYFUNCTION("""COMPUTED_VALUE"""),2.0)</f>
        <v>2</v>
      </c>
      <c r="F64" s="2" t="str">
        <f>IFERROR(__xludf.DUMMYFUNCTION("""COMPUTED_VALUE"""),"Semestre")</f>
        <v>Semestre</v>
      </c>
      <c r="G64" s="2" t="str">
        <f>IFERROR(__xludf.DUMMYFUNCTION("""COMPUTED_VALUE"""),"Ambos")</f>
        <v>Ambos</v>
      </c>
      <c r="H64" s="2" t="str">
        <f>IFERROR(__xludf.DUMMYFUNCTION("""COMPUTED_VALUE"""),"Ciencias Sociales y Humanas")</f>
        <v>Ciencias Sociales y Humanas</v>
      </c>
      <c r="I64" s="2" t="str">
        <f>IFERROR(__xludf.DUMMYFUNCTION("""COMPUTED_VALUE"""),"Relaciones Internacionales")</f>
        <v>Relaciones Internacionales</v>
      </c>
      <c r="J64" s="2" t="str">
        <f>IFERROR(__xludf.DUMMYFUNCTION("""COMPUTED_VALUE"""),"Grado")</f>
        <v>Grado</v>
      </c>
      <c r="K64" s="2" t="str">
        <f>IFERROR(__xludf.DUMMYFUNCTION("""COMPUTED_VALUE"""),"Alemán / Inglés")</f>
        <v>Alemán / Inglés</v>
      </c>
      <c r="L64" s="2" t="str">
        <f>IFERROR(__xludf.DUMMYFUNCTION("""COMPUTED_VALUE"""),"B2")</f>
        <v>B2</v>
      </c>
      <c r="M64" s="2" t="str">
        <f>IFERROR(__xludf.DUMMYFUNCTION("""COMPUTED_VALUE"""),"No")</f>
        <v>No</v>
      </c>
      <c r="N64" s="3" t="str">
        <f>IFERROR(__xludf.DUMMYFUNCTION("""COMPUTED_VALUE"""),"https://www.uni-mannheim.de/en/academics/coming-to-mannheim/exchange-students/application/#c22592")</f>
        <v>https://www.uni-mannheim.de/en/academics/coming-to-mannheim/exchange-students/application/#c22592</v>
      </c>
      <c r="O64" s="3" t="str">
        <f>IFERROR(__xludf.DUMMYFUNCTION("""COMPUTED_VALUE"""),"Más información / Informazio gehigarria")</f>
        <v>Más información / Informazio gehigarria</v>
      </c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30.0" customHeight="1">
      <c r="A65" s="2" t="str">
        <f>IFERROR(__xludf.DUMMYFUNCTION("""COMPUTED_VALUE"""),"Alemania")</f>
        <v>Alemania</v>
      </c>
      <c r="B65" s="2" t="str">
        <f>IFERROR(__xludf.DUMMYFUNCTION("""COMPUTED_VALUE"""),"D MANNHEI03")</f>
        <v>D MANNHEI03</v>
      </c>
      <c r="C65" s="2" t="str">
        <f>IFERROR(__xludf.DUMMYFUNCTION("""COMPUTED_VALUE"""),"Hochschule Mannheim-University of Applied Sciences (*)")</f>
        <v>Hochschule Mannheim-University of Applied Sciences (*)</v>
      </c>
      <c r="D65" s="2" t="str">
        <f>IFERROR(__xludf.DUMMYFUNCTION("""COMPUTED_VALUE"""),"Erasmus+")</f>
        <v>Erasmus+</v>
      </c>
      <c r="E65" s="2">
        <f>IFERROR(__xludf.DUMMYFUNCTION("""COMPUTED_VALUE"""),1.0)</f>
        <v>1</v>
      </c>
      <c r="F65" s="2" t="str">
        <f>IFERROR(__xludf.DUMMYFUNCTION("""COMPUTED_VALUE"""),"Semestre")</f>
        <v>Semestre</v>
      </c>
      <c r="G65" s="2" t="str">
        <f>IFERROR(__xludf.DUMMYFUNCTION("""COMPUTED_VALUE"""),"Bilbao")</f>
        <v>Bilbao</v>
      </c>
      <c r="H65" s="2" t="str">
        <f>IFERROR(__xludf.DUMMYFUNCTION("""COMPUTED_VALUE"""),"Ingeniería")</f>
        <v>Ingeniería</v>
      </c>
      <c r="I65" s="2" t="str">
        <f>IFERROR(__xludf.DUMMYFUNCTION("""COMPUTED_VALUE"""),"Ingeniería Biomédica")</f>
        <v>Ingeniería Biomédica</v>
      </c>
      <c r="J65" s="2" t="str">
        <f>IFERROR(__xludf.DUMMYFUNCTION("""COMPUTED_VALUE"""),"Grado/Master")</f>
        <v>Grado/Master</v>
      </c>
      <c r="K65" s="2" t="str">
        <f>IFERROR(__xludf.DUMMYFUNCTION("""COMPUTED_VALUE"""),"Alemán / Inglés")</f>
        <v>Alemán / Inglés</v>
      </c>
      <c r="L65" s="2" t="str">
        <f>IFERROR(__xludf.DUMMYFUNCTION("""COMPUTED_VALUE"""),"B2")</f>
        <v>B2</v>
      </c>
      <c r="M65" s="2" t="str">
        <f>IFERROR(__xludf.DUMMYFUNCTION("""COMPUTED_VALUE"""),"No")</f>
        <v>No</v>
      </c>
      <c r="N65" s="3" t="str">
        <f>IFERROR(__xludf.DUMMYFUNCTION("""COMPUTED_VALUE"""),"https://www.english.hs-mannheim.de/admission/admission-exchange-students.html#:~:text=Exchange%20students%20should%20have%20EITHER,Sciences%20are%20taught%20in%20German.")</f>
        <v>https://www.english.hs-mannheim.de/admission/admission-exchange-students.html#:~:text=Exchange%20students%20should%20have%20EITHER,Sciences%20are%20taught%20in%20German.</v>
      </c>
      <c r="O65" s="3" t="str">
        <f>IFERROR(__xludf.DUMMYFUNCTION("""COMPUTED_VALUE"""),"Más información / Informazio gehigarria")</f>
        <v>Más información / Informazio gehigarria</v>
      </c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30.0" customHeight="1">
      <c r="A66" s="2" t="str">
        <f>IFERROR(__xludf.DUMMYFUNCTION("""COMPUTED_VALUE"""),"Alemania")</f>
        <v>Alemania</v>
      </c>
      <c r="B66" s="2" t="str">
        <f>IFERROR(__xludf.DUMMYFUNCTION("""COMPUTED_VALUE"""),"D MUNSTER01")</f>
        <v>D MUNSTER01</v>
      </c>
      <c r="C66" s="3" t="str">
        <f>IFERROR(__xludf.DUMMYFUNCTION("""COMPUTED_VALUE"""),"Westfälische Wilhelms-Universität Münster")</f>
        <v>Westfälische Wilhelms-Universität Münster</v>
      </c>
      <c r="D66" s="2" t="str">
        <f>IFERROR(__xludf.DUMMYFUNCTION("""COMPUTED_VALUE"""),"Erasmus+")</f>
        <v>Erasmus+</v>
      </c>
      <c r="E66" s="2">
        <f>IFERROR(__xludf.DUMMYFUNCTION("""COMPUTED_VALUE"""),4.0)</f>
        <v>4</v>
      </c>
      <c r="F66" s="2" t="str">
        <f>IFERROR(__xludf.DUMMYFUNCTION("""COMPUTED_VALUE"""),"Semestre")</f>
        <v>Semestre</v>
      </c>
      <c r="G66" s="2" t="str">
        <f>IFERROR(__xludf.DUMMYFUNCTION("""COMPUTED_VALUE"""),"Bilbao")</f>
        <v>Bilbao</v>
      </c>
      <c r="H66" s="2" t="str">
        <f>IFERROR(__xludf.DUMMYFUNCTION("""COMPUTED_VALUE"""),"Derecho")</f>
        <v>Derecho</v>
      </c>
      <c r="I66" s="2" t="str">
        <f>IFERROR(__xludf.DUMMYFUNCTION("""COMPUTED_VALUE"""),"Derecho, Derecho + Relaciones Laborales")</f>
        <v>Derecho, Derecho + Relaciones Laborales</v>
      </c>
      <c r="J66" s="2" t="str">
        <f>IFERROR(__xludf.DUMMYFUNCTION("""COMPUTED_VALUE"""),"Grado")</f>
        <v>Grado</v>
      </c>
      <c r="K66" s="2" t="str">
        <f>IFERROR(__xludf.DUMMYFUNCTION("""COMPUTED_VALUE"""),"Alemán / Inglés")</f>
        <v>Alemán / Inglés</v>
      </c>
      <c r="L66" s="2" t="str">
        <f>IFERROR(__xludf.DUMMYFUNCTION("""COMPUTED_VALUE"""),"B2")</f>
        <v>B2</v>
      </c>
      <c r="M66" s="2" t="str">
        <f>IFERROR(__xludf.DUMMYFUNCTION("""COMPUTED_VALUE"""),"No")</f>
        <v>No</v>
      </c>
      <c r="N66" s="3" t="str">
        <f>IFERROR(__xludf.DUMMYFUNCTION("""COMPUTED_VALUE"""),"https://www.uni-muenster.de/studieninteressierte/en/studienvoraussetzungen/austausch/index.shtml")</f>
        <v>https://www.uni-muenster.de/studieninteressierte/en/studienvoraussetzungen/austausch/index.shtml</v>
      </c>
      <c r="O66" s="2" t="str">
        <f>IFERROR(__xludf.DUMMYFUNCTION("""COMPUTED_VALUE"""),"n/a")</f>
        <v>n/a</v>
      </c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30.0" customHeight="1">
      <c r="A67" s="2" t="str">
        <f>IFERROR(__xludf.DUMMYFUNCTION("""COMPUTED_VALUE"""),"Alemania")</f>
        <v>Alemania</v>
      </c>
      <c r="B67" s="2" t="str">
        <f>IFERROR(__xludf.DUMMYFUNCTION("""COMPUTED_VALUE"""),"D KOBLENZ03")</f>
        <v>D KOBLENZ03</v>
      </c>
      <c r="C67" s="3" t="str">
        <f>IFERROR(__xludf.DUMMYFUNCTION("""COMPUTED_VALUE"""),"WHU - Otto Beisheim School of Management")</f>
        <v>WHU - Otto Beisheim School of Management</v>
      </c>
      <c r="D67" s="2" t="str">
        <f>IFERROR(__xludf.DUMMYFUNCTION("""COMPUTED_VALUE"""),"Erasmus+")</f>
        <v>Erasmus+</v>
      </c>
      <c r="E67" s="2">
        <f>IFERROR(__xludf.DUMMYFUNCTION("""COMPUTED_VALUE"""),2.0)</f>
        <v>2</v>
      </c>
      <c r="F67" s="2" t="str">
        <f>IFERROR(__xludf.DUMMYFUNCTION("""COMPUTED_VALUE"""),"Ambos semestres")</f>
        <v>Ambos semestres</v>
      </c>
      <c r="G67" s="2" t="str">
        <f>IFERROR(__xludf.DUMMYFUNCTION("""COMPUTED_VALUE"""),"Bilbao")</f>
        <v>Bilbao</v>
      </c>
      <c r="H67" s="2" t="str">
        <f>IFERROR(__xludf.DUMMYFUNCTION("""COMPUTED_VALUE"""),"Deusto Business School")</f>
        <v>Deusto Business School</v>
      </c>
      <c r="I67" s="2" t="str">
        <f>IFERROR(__xludf.DUMMYFUNCTION("""COMPUTED_VALUE"""),"Administración y Dirección de Empresas")</f>
        <v>Administración y Dirección de Empresas</v>
      </c>
      <c r="J67" s="2" t="str">
        <f>IFERROR(__xludf.DUMMYFUNCTION("""COMPUTED_VALUE"""),"Grado")</f>
        <v>Grado</v>
      </c>
      <c r="K67" s="2" t="str">
        <f>IFERROR(__xludf.DUMMYFUNCTION("""COMPUTED_VALUE"""),"Inglés")</f>
        <v>Inglés</v>
      </c>
      <c r="L67" s="2" t="str">
        <f>IFERROR(__xludf.DUMMYFUNCTION("""COMPUTED_VALUE"""),"C1")</f>
        <v>C1</v>
      </c>
      <c r="M67" s="2" t="str">
        <f>IFERROR(__xludf.DUMMYFUNCTION("""COMPUTED_VALUE"""),"No")</f>
        <v>No</v>
      </c>
      <c r="N67" s="3" t="str">
        <f>IFERROR(__xludf.DUMMYFUNCTION("""COMPUTED_VALUE"""),"https://www.whu.edu/en/programs/exchange-programs/")</f>
        <v>https://www.whu.edu/en/programs/exchange-programs/</v>
      </c>
      <c r="O67" s="2" t="str">
        <f>IFERROR(__xludf.DUMMYFUNCTION("""COMPUTED_VALUE"""),"n/a")</f>
        <v>n/a</v>
      </c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30.0" customHeight="1">
      <c r="A68" s="2" t="str">
        <f>IFERROR(__xludf.DUMMYFUNCTION("""COMPUTED_VALUE"""),"Argentina")</f>
        <v>Argentina</v>
      </c>
      <c r="B68" s="2" t="str">
        <f>IFERROR(__xludf.DUMMYFUNCTION("""COMPUTED_VALUE"""),"RA BUENOSA05")</f>
        <v>RA BUENOSA05</v>
      </c>
      <c r="C68" s="3" t="str">
        <f>IFERROR(__xludf.DUMMYFUNCTION("""COMPUTED_VALUE"""),"Universidad Abierta Interamericana")</f>
        <v>Universidad Abierta Interamericana</v>
      </c>
      <c r="D68" s="2" t="str">
        <f>IFERROR(__xludf.DUMMYFUNCTION("""COMPUTED_VALUE"""),"Ac. Bilaterales (no Erasmus)")</f>
        <v>Ac. Bilaterales (no Erasmus)</v>
      </c>
      <c r="E68" s="2">
        <f>IFERROR(__xludf.DUMMYFUNCTION("""COMPUTED_VALUE"""),2.0)</f>
        <v>2</v>
      </c>
      <c r="F68" s="2" t="str">
        <f>IFERROR(__xludf.DUMMYFUNCTION("""COMPUTED_VALUE"""),"Semestre")</f>
        <v>Semestre</v>
      </c>
      <c r="G68" s="2" t="str">
        <f>IFERROR(__xludf.DUMMYFUNCTION("""COMPUTED_VALUE"""),"Bilbao")</f>
        <v>Bilbao</v>
      </c>
      <c r="H68" s="2" t="str">
        <f>IFERROR(__xludf.DUMMYFUNCTION("""COMPUTED_VALUE"""),"Educación y Deporte")</f>
        <v>Educación y Deporte</v>
      </c>
      <c r="I68" s="2" t="str">
        <f>IFERROR(__xludf.DUMMYFUNCTION("""COMPUTED_VALUE"""),"CAFyD")</f>
        <v>CAFyD</v>
      </c>
      <c r="J68" s="2" t="str">
        <f>IFERROR(__xludf.DUMMYFUNCTION("""COMPUTED_VALUE"""),"Grado")</f>
        <v>Grado</v>
      </c>
      <c r="K68" s="2" t="str">
        <f>IFERROR(__xludf.DUMMYFUNCTION("""COMPUTED_VALUE"""),"Español")</f>
        <v>Español</v>
      </c>
      <c r="L68" s="2" t="str">
        <f>IFERROR(__xludf.DUMMYFUNCTION("""COMPUTED_VALUE"""),"n/a")</f>
        <v>n/a</v>
      </c>
      <c r="M68" s="2" t="str">
        <f>IFERROR(__xludf.DUMMYFUNCTION("""COMPUTED_VALUE"""),"No")</f>
        <v>No</v>
      </c>
      <c r="N68" s="3" t="str">
        <f>IFERROR(__xludf.DUMMYFUNCTION("""COMPUTED_VALUE"""),"https://uai.edu.ar/bienestar/cooperacion-internacional/")</f>
        <v>https://uai.edu.ar/bienestar/cooperacion-internacional/</v>
      </c>
      <c r="O68" s="2" t="str">
        <f>IFERROR(__xludf.DUMMYFUNCTION("""COMPUTED_VALUE"""),"n/a")</f>
        <v>n/a</v>
      </c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30.0" customHeight="1">
      <c r="A69" s="2" t="str">
        <f>IFERROR(__xludf.DUMMYFUNCTION("""COMPUTED_VALUE"""),"Argentina")</f>
        <v>Argentina</v>
      </c>
      <c r="B69" s="2" t="str">
        <f>IFERROR(__xludf.DUMMYFUNCTION("""COMPUTED_VALUE"""),"RA BUENOSA05")</f>
        <v>RA BUENOSA05</v>
      </c>
      <c r="C69" s="3" t="str">
        <f>IFERROR(__xludf.DUMMYFUNCTION("""COMPUTED_VALUE"""),"Universidad Abierta Interamericana")</f>
        <v>Universidad Abierta Interamericana</v>
      </c>
      <c r="D69" s="2" t="str">
        <f>IFERROR(__xludf.DUMMYFUNCTION("""COMPUTED_VALUE"""),"Ac. Bilaterales (no Erasmus)")</f>
        <v>Ac. Bilaterales (no Erasmus)</v>
      </c>
      <c r="E69" s="2">
        <f>IFERROR(__xludf.DUMMYFUNCTION("""COMPUTED_VALUE"""),2.0)</f>
        <v>2</v>
      </c>
      <c r="F69" s="2" t="str">
        <f>IFERROR(__xludf.DUMMYFUNCTION("""COMPUTED_VALUE"""),"Semestre")</f>
        <v>Semestre</v>
      </c>
      <c r="G69" s="2" t="str">
        <f>IFERROR(__xludf.DUMMYFUNCTION("""COMPUTED_VALUE"""),"Ambos")</f>
        <v>Ambos</v>
      </c>
      <c r="H69" s="2" t="str">
        <f>IFERROR(__xludf.DUMMYFUNCTION("""COMPUTED_VALUE"""),"Educación y Deporte")</f>
        <v>Educación y Deporte</v>
      </c>
      <c r="I69" s="2" t="str">
        <f>IFERROR(__xludf.DUMMYFUNCTION("""COMPUTED_VALUE"""),"Educación Primaria")</f>
        <v>Educación Primaria</v>
      </c>
      <c r="J69" s="2" t="str">
        <f>IFERROR(__xludf.DUMMYFUNCTION("""COMPUTED_VALUE"""),"Grado")</f>
        <v>Grado</v>
      </c>
      <c r="K69" s="2" t="str">
        <f>IFERROR(__xludf.DUMMYFUNCTION("""COMPUTED_VALUE"""),"Español")</f>
        <v>Español</v>
      </c>
      <c r="L69" s="2" t="str">
        <f>IFERROR(__xludf.DUMMYFUNCTION("""COMPUTED_VALUE"""),"n/a")</f>
        <v>n/a</v>
      </c>
      <c r="M69" s="2" t="str">
        <f>IFERROR(__xludf.DUMMYFUNCTION("""COMPUTED_VALUE"""),"No")</f>
        <v>No</v>
      </c>
      <c r="N69" s="3" t="str">
        <f>IFERROR(__xludf.DUMMYFUNCTION("""COMPUTED_VALUE"""),"https://uai.edu.ar/bienestar/cooperacion-internacional/")</f>
        <v>https://uai.edu.ar/bienestar/cooperacion-internacional/</v>
      </c>
      <c r="O69" s="2" t="str">
        <f>IFERROR(__xludf.DUMMYFUNCTION("""COMPUTED_VALUE"""),"n/a")</f>
        <v>n/a</v>
      </c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30.0" customHeight="1">
      <c r="A70" s="2" t="str">
        <f>IFERROR(__xludf.DUMMYFUNCTION("""COMPUTED_VALUE"""),"Argentina")</f>
        <v>Argentina</v>
      </c>
      <c r="B70" s="2" t="str">
        <f>IFERROR(__xludf.DUMMYFUNCTION("""COMPUTED_VALUE"""),"RA BUENOSA05")</f>
        <v>RA BUENOSA05</v>
      </c>
      <c r="C70" s="3" t="str">
        <f>IFERROR(__xludf.DUMMYFUNCTION("""COMPUTED_VALUE"""),"Universidad Abierta Interamericana")</f>
        <v>Universidad Abierta Interamericana</v>
      </c>
      <c r="D70" s="2" t="str">
        <f>IFERROR(__xludf.DUMMYFUNCTION("""COMPUTED_VALUE"""),"Ac. Bilaterales (no Erasmus)")</f>
        <v>Ac. Bilaterales (no Erasmus)</v>
      </c>
      <c r="E70" s="2">
        <f>IFERROR(__xludf.DUMMYFUNCTION("""COMPUTED_VALUE"""),3.0)</f>
        <v>3</v>
      </c>
      <c r="F70" s="2" t="str">
        <f>IFERROR(__xludf.DUMMYFUNCTION("""COMPUTED_VALUE"""),"Anual")</f>
        <v>Anual</v>
      </c>
      <c r="G70" s="2" t="str">
        <f>IFERROR(__xludf.DUMMYFUNCTION("""COMPUTED_VALUE"""),"Bilbao")</f>
        <v>Bilbao</v>
      </c>
      <c r="H70" s="2" t="str">
        <f>IFERROR(__xludf.DUMMYFUNCTION("""COMPUTED_VALUE"""),"Ciencias de la Salud")</f>
        <v>Ciencias de la Salud</v>
      </c>
      <c r="I70" s="2" t="str">
        <f>IFERROR(__xludf.DUMMYFUNCTION("""COMPUTED_VALUE"""),"Psicología")</f>
        <v>Psicología</v>
      </c>
      <c r="J70" s="2" t="str">
        <f>IFERROR(__xludf.DUMMYFUNCTION("""COMPUTED_VALUE"""),"Grado")</f>
        <v>Grado</v>
      </c>
      <c r="K70" s="2" t="str">
        <f>IFERROR(__xludf.DUMMYFUNCTION("""COMPUTED_VALUE"""),"Español")</f>
        <v>Español</v>
      </c>
      <c r="L70" s="2" t="str">
        <f>IFERROR(__xludf.DUMMYFUNCTION("""COMPUTED_VALUE"""),"n/a")</f>
        <v>n/a</v>
      </c>
      <c r="M70" s="2" t="str">
        <f>IFERROR(__xludf.DUMMYFUNCTION("""COMPUTED_VALUE"""),"No")</f>
        <v>No</v>
      </c>
      <c r="N70" s="3" t="str">
        <f>IFERROR(__xludf.DUMMYFUNCTION("""COMPUTED_VALUE"""),"https://uai.edu.ar/bienestar/cooperacion-internacional/")</f>
        <v>https://uai.edu.ar/bienestar/cooperacion-internacional/</v>
      </c>
      <c r="O70" s="2" t="str">
        <f>IFERROR(__xludf.DUMMYFUNCTION("""COMPUTED_VALUE"""),"n/a")</f>
        <v>n/a</v>
      </c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30.0" customHeight="1">
      <c r="A71" s="2" t="str">
        <f>IFERROR(__xludf.DUMMYFUNCTION("""COMPUTED_VALUE"""),"Argentina")</f>
        <v>Argentina</v>
      </c>
      <c r="B71" s="2" t="str">
        <f>IFERROR(__xludf.DUMMYFUNCTION("""COMPUTED_VALUE"""),"RA CORDOBA01")</f>
        <v>RA CORDOBA01</v>
      </c>
      <c r="C71" s="3" t="str">
        <f>IFERROR(__xludf.DUMMYFUNCTION("""COMPUTED_VALUE"""),"Universidad Católica de Córdoba")</f>
        <v>Universidad Católica de Córdoba</v>
      </c>
      <c r="D71" s="2" t="str">
        <f>IFERROR(__xludf.DUMMYFUNCTION("""COMPUTED_VALUE"""),"Ac. Bilaterales (no Erasmus)")</f>
        <v>Ac. Bilaterales (no Erasmus)</v>
      </c>
      <c r="E71" s="2">
        <f>IFERROR(__xludf.DUMMYFUNCTION("""COMPUTED_VALUE"""),6.0)</f>
        <v>6</v>
      </c>
      <c r="F71" s="2" t="str">
        <f>IFERROR(__xludf.DUMMYFUNCTION("""COMPUTED_VALUE"""),"Semestre")</f>
        <v>Semestre</v>
      </c>
      <c r="G71" s="2" t="str">
        <f>IFERROR(__xludf.DUMMYFUNCTION("""COMPUTED_VALUE"""),"San Sebastián")</f>
        <v>San Sebastián</v>
      </c>
      <c r="H71" s="2" t="str">
        <f>IFERROR(__xludf.DUMMYFUNCTION("""COMPUTED_VALUE"""),"Deusto Business School")</f>
        <v>Deusto Business School</v>
      </c>
      <c r="I71" s="2" t="str">
        <f>IFERROR(__xludf.DUMMYFUNCTION("""COMPUTED_VALUE"""),"Administración y Dirección de Empresas")</f>
        <v>Administración y Dirección de Empresas</v>
      </c>
      <c r="J71" s="2" t="str">
        <f>IFERROR(__xludf.DUMMYFUNCTION("""COMPUTED_VALUE"""),"Grado")</f>
        <v>Grado</v>
      </c>
      <c r="K71" s="2" t="str">
        <f>IFERROR(__xludf.DUMMYFUNCTION("""COMPUTED_VALUE"""),"Español")</f>
        <v>Español</v>
      </c>
      <c r="L71" s="2" t="str">
        <f>IFERROR(__xludf.DUMMYFUNCTION("""COMPUTED_VALUE"""),"n/a")</f>
        <v>n/a</v>
      </c>
      <c r="M71" s="2" t="str">
        <f>IFERROR(__xludf.DUMMYFUNCTION("""COMPUTED_VALUE"""),"No")</f>
        <v>No</v>
      </c>
      <c r="N71" s="3" t="str">
        <f>IFERROR(__xludf.DUMMYFUNCTION("""COMPUTED_VALUE"""),"https://www.ucc.edu.ar/intercambio/intercambio-guia")</f>
        <v>https://www.ucc.edu.ar/intercambio/intercambio-guia</v>
      </c>
      <c r="O71" s="2" t="str">
        <f>IFERROR(__xludf.DUMMYFUNCTION("""COMPUTED_VALUE"""),"n/a")</f>
        <v>n/a</v>
      </c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30.0" customHeight="1">
      <c r="A72" s="2" t="str">
        <f>IFERROR(__xludf.DUMMYFUNCTION("""COMPUTED_VALUE"""),"Argentina")</f>
        <v>Argentina</v>
      </c>
      <c r="B72" s="2" t="str">
        <f>IFERROR(__xludf.DUMMYFUNCTION("""COMPUTED_VALUE"""),"RA CORDOBA01")</f>
        <v>RA CORDOBA01</v>
      </c>
      <c r="C72" s="3" t="str">
        <f>IFERROR(__xludf.DUMMYFUNCTION("""COMPUTED_VALUE"""),"Universidad Católica de Córdoba")</f>
        <v>Universidad Católica de Córdoba</v>
      </c>
      <c r="D72" s="2" t="str">
        <f>IFERROR(__xludf.DUMMYFUNCTION("""COMPUTED_VALUE"""),"Ac. Bilaterales (no Erasmus)")</f>
        <v>Ac. Bilaterales (no Erasmus)</v>
      </c>
      <c r="E72" s="2">
        <f>IFERROR(__xludf.DUMMYFUNCTION("""COMPUTED_VALUE"""),2.0)</f>
        <v>2</v>
      </c>
      <c r="F72" s="2" t="str">
        <f>IFERROR(__xludf.DUMMYFUNCTION("""COMPUTED_VALUE"""),"Semestre")</f>
        <v>Semestre</v>
      </c>
      <c r="G72" s="2" t="str">
        <f>IFERROR(__xludf.DUMMYFUNCTION("""COMPUTED_VALUE"""),"Ambos")</f>
        <v>Ambos</v>
      </c>
      <c r="H72" s="2" t="str">
        <f>IFERROR(__xludf.DUMMYFUNCTION("""COMPUTED_VALUE"""),"Educación y Deporte")</f>
        <v>Educación y Deporte</v>
      </c>
      <c r="I72" s="2" t="str">
        <f>IFERROR(__xludf.DUMMYFUNCTION("""COMPUTED_VALUE"""),"Educación Primaria")</f>
        <v>Educación Primaria</v>
      </c>
      <c r="J72" s="2" t="str">
        <f>IFERROR(__xludf.DUMMYFUNCTION("""COMPUTED_VALUE"""),"Grado")</f>
        <v>Grado</v>
      </c>
      <c r="K72" s="2" t="str">
        <f>IFERROR(__xludf.DUMMYFUNCTION("""COMPUTED_VALUE"""),"Español")</f>
        <v>Español</v>
      </c>
      <c r="L72" s="2" t="str">
        <f>IFERROR(__xludf.DUMMYFUNCTION("""COMPUTED_VALUE"""),"n/a")</f>
        <v>n/a</v>
      </c>
      <c r="M72" s="2" t="str">
        <f>IFERROR(__xludf.DUMMYFUNCTION("""COMPUTED_VALUE"""),"No")</f>
        <v>No</v>
      </c>
      <c r="N72" s="3" t="str">
        <f>IFERROR(__xludf.DUMMYFUNCTION("""COMPUTED_VALUE"""),"https://www.ucc.edu.ar/intercambio/intercambio-guia")</f>
        <v>https://www.ucc.edu.ar/intercambio/intercambio-guia</v>
      </c>
      <c r="O72" s="2" t="str">
        <f>IFERROR(__xludf.DUMMYFUNCTION("""COMPUTED_VALUE"""),"n/a")</f>
        <v>n/a</v>
      </c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30.0" customHeight="1">
      <c r="A73" s="2" t="str">
        <f>IFERROR(__xludf.DUMMYFUNCTION("""COMPUTED_VALUE"""),"Argentina")</f>
        <v>Argentina</v>
      </c>
      <c r="B73" s="2" t="str">
        <f>IFERROR(__xludf.DUMMYFUNCTION("""COMPUTED_VALUE"""),"RA CORDOBA01")</f>
        <v>RA CORDOBA01</v>
      </c>
      <c r="C73" s="3" t="str">
        <f>IFERROR(__xludf.DUMMYFUNCTION("""COMPUTED_VALUE"""),"Universidad Católica de Córdoba")</f>
        <v>Universidad Católica de Córdoba</v>
      </c>
      <c r="D73" s="2" t="str">
        <f>IFERROR(__xludf.DUMMYFUNCTION("""COMPUTED_VALUE"""),"Ac. Bilaterales (no Erasmus)")</f>
        <v>Ac. Bilaterales (no Erasmus)</v>
      </c>
      <c r="E73" s="2">
        <f>IFERROR(__xludf.DUMMYFUNCTION("""COMPUTED_VALUE"""),4.0)</f>
        <v>4</v>
      </c>
      <c r="F73" s="2" t="str">
        <f>IFERROR(__xludf.DUMMYFUNCTION("""COMPUTED_VALUE"""),"Semestre")</f>
        <v>Semestre</v>
      </c>
      <c r="G73" s="2" t="str">
        <f>IFERROR(__xludf.DUMMYFUNCTION("""COMPUTED_VALUE"""),"Bilbao")</f>
        <v>Bilbao</v>
      </c>
      <c r="H73" s="2" t="str">
        <f>IFERROR(__xludf.DUMMYFUNCTION("""COMPUTED_VALUE"""),"Begoñako Andramari, BAM")</f>
        <v>Begoñako Andramari, BAM</v>
      </c>
      <c r="I73" s="2" t="str">
        <f>IFERROR(__xludf.DUMMYFUNCTION("""COMPUTED_VALUE"""),"Educación Primaria, Educación Infantil")</f>
        <v>Educación Primaria, Educación Infantil</v>
      </c>
      <c r="J73" s="2" t="str">
        <f>IFERROR(__xludf.DUMMYFUNCTION("""COMPUTED_VALUE"""),"Grado")</f>
        <v>Grado</v>
      </c>
      <c r="K73" s="2" t="str">
        <f>IFERROR(__xludf.DUMMYFUNCTION("""COMPUTED_VALUE"""),"Español")</f>
        <v>Español</v>
      </c>
      <c r="L73" s="2" t="str">
        <f>IFERROR(__xludf.DUMMYFUNCTION("""COMPUTED_VALUE"""),"n/a")</f>
        <v>n/a</v>
      </c>
      <c r="M73" s="2" t="str">
        <f>IFERROR(__xludf.DUMMYFUNCTION("""COMPUTED_VALUE"""),"No")</f>
        <v>No</v>
      </c>
      <c r="N73" s="3" t="str">
        <f>IFERROR(__xludf.DUMMYFUNCTION("""COMPUTED_VALUE"""),"https://www.ucc.edu.ar/intercambio/intercambio-guia")</f>
        <v>https://www.ucc.edu.ar/intercambio/intercambio-guia</v>
      </c>
      <c r="O73" s="2" t="str">
        <f>IFERROR(__xludf.DUMMYFUNCTION("""COMPUTED_VALUE"""),"n/a")</f>
        <v>n/a</v>
      </c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30.0" customHeight="1">
      <c r="A74" s="2" t="str">
        <f>IFERROR(__xludf.DUMMYFUNCTION("""COMPUTED_VALUE"""),"Argentina")</f>
        <v>Argentina</v>
      </c>
      <c r="B74" s="2" t="str">
        <f>IFERROR(__xludf.DUMMYFUNCTION("""COMPUTED_VALUE"""),"RA CORDOBA01")</f>
        <v>RA CORDOBA01</v>
      </c>
      <c r="C74" s="3" t="str">
        <f>IFERROR(__xludf.DUMMYFUNCTION("""COMPUTED_VALUE"""),"Universidad Católica de Córdoba")</f>
        <v>Universidad Católica de Córdoba</v>
      </c>
      <c r="D74" s="2" t="str">
        <f>IFERROR(__xludf.DUMMYFUNCTION("""COMPUTED_VALUE"""),"Ac. Bilaterales (no Erasmus)")</f>
        <v>Ac. Bilaterales (no Erasmus)</v>
      </c>
      <c r="E74" s="2" t="str">
        <f>IFERROR(__xludf.DUMMYFUNCTION("""COMPUTED_VALUE"""),"Convenio Marco")</f>
        <v>Convenio Marco</v>
      </c>
      <c r="F74" s="2" t="str">
        <f>IFERROR(__xludf.DUMMYFUNCTION("""COMPUTED_VALUE"""),"Semestre")</f>
        <v>Semestre</v>
      </c>
      <c r="G74" s="2" t="str">
        <f>IFERROR(__xludf.DUMMYFUNCTION("""COMPUTED_VALUE"""),"Bilbao")</f>
        <v>Bilbao</v>
      </c>
      <c r="H74" s="2" t="str">
        <f>IFERROR(__xludf.DUMMYFUNCTION("""COMPUTED_VALUE"""),"Educación y Deporte")</f>
        <v>Educación y Deporte</v>
      </c>
      <c r="I74" s="2" t="str">
        <f>IFERROR(__xludf.DUMMYFUNCTION("""COMPUTED_VALUE"""),"Educación Social")</f>
        <v>Educación Social</v>
      </c>
      <c r="J74" s="2" t="str">
        <f>IFERROR(__xludf.DUMMYFUNCTION("""COMPUTED_VALUE"""),"Grado")</f>
        <v>Grado</v>
      </c>
      <c r="K74" s="2" t="str">
        <f>IFERROR(__xludf.DUMMYFUNCTION("""COMPUTED_VALUE"""),"Español")</f>
        <v>Español</v>
      </c>
      <c r="L74" s="2" t="str">
        <f>IFERROR(__xludf.DUMMYFUNCTION("""COMPUTED_VALUE"""),"n/a")</f>
        <v>n/a</v>
      </c>
      <c r="M74" s="2" t="str">
        <f>IFERROR(__xludf.DUMMYFUNCTION("""COMPUTED_VALUE"""),"No")</f>
        <v>No</v>
      </c>
      <c r="N74" s="3" t="str">
        <f>IFERROR(__xludf.DUMMYFUNCTION("""COMPUTED_VALUE"""),"https://www.ucc.edu.ar/intercambio/intercambio-guia")</f>
        <v>https://www.ucc.edu.ar/intercambio/intercambio-guia</v>
      </c>
      <c r="O74" s="2" t="str">
        <f>IFERROR(__xludf.DUMMYFUNCTION("""COMPUTED_VALUE"""),"n/a")</f>
        <v>n/a</v>
      </c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30.0" customHeight="1">
      <c r="A75" s="2" t="str">
        <f>IFERROR(__xludf.DUMMYFUNCTION("""COMPUTED_VALUE"""),"Argentina")</f>
        <v>Argentina</v>
      </c>
      <c r="B75" s="2" t="str">
        <f>IFERROR(__xludf.DUMMYFUNCTION("""COMPUTED_VALUE"""),"RA CORDOBA01")</f>
        <v>RA CORDOBA01</v>
      </c>
      <c r="C75" s="3" t="str">
        <f>IFERROR(__xludf.DUMMYFUNCTION("""COMPUTED_VALUE"""),"Universidad Católica de Córdoba")</f>
        <v>Universidad Católica de Córdoba</v>
      </c>
      <c r="D75" s="2" t="str">
        <f>IFERROR(__xludf.DUMMYFUNCTION("""COMPUTED_VALUE"""),"Ac. Bilaterales (no Erasmus)")</f>
        <v>Ac. Bilaterales (no Erasmus)</v>
      </c>
      <c r="E75" s="2">
        <f>IFERROR(__xludf.DUMMYFUNCTION("""COMPUTED_VALUE"""),3.0)</f>
        <v>3</v>
      </c>
      <c r="F75" s="2" t="str">
        <f>IFERROR(__xludf.DUMMYFUNCTION("""COMPUTED_VALUE"""),"Anual ")</f>
        <v>Anual </v>
      </c>
      <c r="G75" s="2" t="str">
        <f>IFERROR(__xludf.DUMMYFUNCTION("""COMPUTED_VALUE"""),"Bilbao")</f>
        <v>Bilbao</v>
      </c>
      <c r="H75" s="2" t="str">
        <f>IFERROR(__xludf.DUMMYFUNCTION("""COMPUTED_VALUE"""),"Ciencias Sociales y Humanas")</f>
        <v>Ciencias Sociales y Humanas</v>
      </c>
      <c r="I75" s="2" t="str">
        <f>IFERROR(__xludf.DUMMYFUNCTION("""COMPUTED_VALUE"""),"Relaciones Internacionales, Relaciones Internacionales + Derecho")</f>
        <v>Relaciones Internacionales, Relaciones Internacionales + Derecho</v>
      </c>
      <c r="J75" s="2" t="str">
        <f>IFERROR(__xludf.DUMMYFUNCTION("""COMPUTED_VALUE"""),"Grado")</f>
        <v>Grado</v>
      </c>
      <c r="K75" s="2" t="str">
        <f>IFERROR(__xludf.DUMMYFUNCTION("""COMPUTED_VALUE"""),"Español")</f>
        <v>Español</v>
      </c>
      <c r="L75" s="2" t="str">
        <f>IFERROR(__xludf.DUMMYFUNCTION("""COMPUTED_VALUE"""),"n/a")</f>
        <v>n/a</v>
      </c>
      <c r="M75" s="2" t="str">
        <f>IFERROR(__xludf.DUMMYFUNCTION("""COMPUTED_VALUE"""),"No")</f>
        <v>No</v>
      </c>
      <c r="N75" s="3" t="str">
        <f>IFERROR(__xludf.DUMMYFUNCTION("""COMPUTED_VALUE"""),"https://www.ucc.edu.ar/intercambio/intercambio-guia")</f>
        <v>https://www.ucc.edu.ar/intercambio/intercambio-guia</v>
      </c>
      <c r="O75" s="2" t="str">
        <f>IFERROR(__xludf.DUMMYFUNCTION("""COMPUTED_VALUE"""),"n/a")</f>
        <v>n/a</v>
      </c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30.0" customHeight="1">
      <c r="A76" s="2" t="str">
        <f>IFERROR(__xludf.DUMMYFUNCTION("""COMPUTED_VALUE"""),"Argentina")</f>
        <v>Argentina</v>
      </c>
      <c r="B76" s="2" t="str">
        <f>IFERROR(__xludf.DUMMYFUNCTION("""COMPUTED_VALUE"""),"RA CORDOBA01")</f>
        <v>RA CORDOBA01</v>
      </c>
      <c r="C76" s="3" t="str">
        <f>IFERROR(__xludf.DUMMYFUNCTION("""COMPUTED_VALUE"""),"Universidad Católica de Córdoba")</f>
        <v>Universidad Católica de Córdoba</v>
      </c>
      <c r="D76" s="2" t="str">
        <f>IFERROR(__xludf.DUMMYFUNCTION("""COMPUTED_VALUE"""),"Ac. Bilaterales (no Erasmus)")</f>
        <v>Ac. Bilaterales (no Erasmus)</v>
      </c>
      <c r="E76" s="2">
        <f>IFERROR(__xludf.DUMMYFUNCTION("""COMPUTED_VALUE"""),2.0)</f>
        <v>2</v>
      </c>
      <c r="F76" s="2" t="str">
        <f>IFERROR(__xludf.DUMMYFUNCTION("""COMPUTED_VALUE"""),"Semestre")</f>
        <v>Semestre</v>
      </c>
      <c r="G76" s="2" t="str">
        <f>IFERROR(__xludf.DUMMYFUNCTION("""COMPUTED_VALUE"""),"Ambos")</f>
        <v>Ambos</v>
      </c>
      <c r="H76" s="2" t="str">
        <f>IFERROR(__xludf.DUMMYFUNCTION("""COMPUTED_VALUE"""),"Ciencias de la Salud")</f>
        <v>Ciencias de la Salud</v>
      </c>
      <c r="I76" s="2" t="str">
        <f>IFERROR(__xludf.DUMMYFUNCTION("""COMPUTED_VALUE"""),"Enfermería ")</f>
        <v>Enfermería </v>
      </c>
      <c r="J76" s="2" t="str">
        <f>IFERROR(__xludf.DUMMYFUNCTION("""COMPUTED_VALUE"""),"Grado")</f>
        <v>Grado</v>
      </c>
      <c r="K76" s="2" t="str">
        <f>IFERROR(__xludf.DUMMYFUNCTION("""COMPUTED_VALUE"""),"Español")</f>
        <v>Español</v>
      </c>
      <c r="L76" s="2" t="str">
        <f>IFERROR(__xludf.DUMMYFUNCTION("""COMPUTED_VALUE"""),"n/a")</f>
        <v>n/a</v>
      </c>
      <c r="M76" s="2" t="str">
        <f>IFERROR(__xludf.DUMMYFUNCTION("""COMPUTED_VALUE"""),"No")</f>
        <v>No</v>
      </c>
      <c r="N76" s="3" t="str">
        <f>IFERROR(__xludf.DUMMYFUNCTION("""COMPUTED_VALUE"""),"https://www.ucc.edu.ar/intercambio/intercambio-guia")</f>
        <v>https://www.ucc.edu.ar/intercambio/intercambio-guia</v>
      </c>
      <c r="O76" s="2" t="str">
        <f>IFERROR(__xludf.DUMMYFUNCTION("""COMPUTED_VALUE"""),"n/a")</f>
        <v>n/a</v>
      </c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30.0" customHeight="1">
      <c r="A77" s="2" t="str">
        <f>IFERROR(__xludf.DUMMYFUNCTION("""COMPUTED_VALUE"""),"Argentina")</f>
        <v>Argentina</v>
      </c>
      <c r="B77" s="2" t="str">
        <f>IFERROR(__xludf.DUMMYFUNCTION("""COMPUTED_VALUE"""),"RA BUENOSA04")</f>
        <v>RA BUENOSA04</v>
      </c>
      <c r="C77" s="3" t="str">
        <f>IFERROR(__xludf.DUMMYFUNCTION("""COMPUTED_VALUE"""),"Universidad de Ciencias Empresariales y Sociales - UCES")</f>
        <v>Universidad de Ciencias Empresariales y Sociales - UCES</v>
      </c>
      <c r="D77" s="2" t="str">
        <f>IFERROR(__xludf.DUMMYFUNCTION("""COMPUTED_VALUE"""),"Ac. Bilaterales (no Erasmus)")</f>
        <v>Ac. Bilaterales (no Erasmus)</v>
      </c>
      <c r="E77" s="2">
        <f>IFERROR(__xludf.DUMMYFUNCTION("""COMPUTED_VALUE"""),2.0)</f>
        <v>2</v>
      </c>
      <c r="F77" s="2" t="str">
        <f>IFERROR(__xludf.DUMMYFUNCTION("""COMPUTED_VALUE"""),"Semestre")</f>
        <v>Semestre</v>
      </c>
      <c r="G77" s="2" t="str">
        <f>IFERROR(__xludf.DUMMYFUNCTION("""COMPUTED_VALUE"""),"Bilbao")</f>
        <v>Bilbao</v>
      </c>
      <c r="H77" s="2" t="str">
        <f>IFERROR(__xludf.DUMMYFUNCTION("""COMPUTED_VALUE"""),"Derecho")</f>
        <v>Derecho</v>
      </c>
      <c r="I77" s="2" t="str">
        <f>IFERROR(__xludf.DUMMYFUNCTION("""COMPUTED_VALUE"""),"Derecho, Derecho + Relaciones Laborales")</f>
        <v>Derecho, Derecho + Relaciones Laborales</v>
      </c>
      <c r="J77" s="2" t="str">
        <f>IFERROR(__xludf.DUMMYFUNCTION("""COMPUTED_VALUE"""),"Grado")</f>
        <v>Grado</v>
      </c>
      <c r="K77" s="2" t="str">
        <f>IFERROR(__xludf.DUMMYFUNCTION("""COMPUTED_VALUE"""),"Español")</f>
        <v>Español</v>
      </c>
      <c r="L77" s="2" t="str">
        <f>IFERROR(__xludf.DUMMYFUNCTION("""COMPUTED_VALUE"""),"n/a")</f>
        <v>n/a</v>
      </c>
      <c r="M77" s="2" t="str">
        <f>IFERROR(__xludf.DUMMYFUNCTION("""COMPUTED_VALUE"""),"No")</f>
        <v>No</v>
      </c>
      <c r="N77" s="3" t="str">
        <f>IFERROR(__xludf.DUMMYFUNCTION("""COMPUTED_VALUE"""),"https://www.uces.edu.ar/carreras-universitarias/facultad-ciencias-salud/kinesiologia-fisiatria")</f>
        <v>https://www.uces.edu.ar/carreras-universitarias/facultad-ciencias-salud/kinesiologia-fisiatria</v>
      </c>
      <c r="O77" s="2" t="str">
        <f>IFERROR(__xludf.DUMMYFUNCTION("""COMPUTED_VALUE"""),"n/a")</f>
        <v>n/a</v>
      </c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30.0" customHeight="1">
      <c r="A78" s="2" t="str">
        <f>IFERROR(__xludf.DUMMYFUNCTION("""COMPUTED_VALUE"""),"Argentina")</f>
        <v>Argentina</v>
      </c>
      <c r="B78" s="2" t="str">
        <f>IFERROR(__xludf.DUMMYFUNCTION("""COMPUTED_VALUE"""),"RA BUENOSA04")</f>
        <v>RA BUENOSA04</v>
      </c>
      <c r="C78" s="3" t="str">
        <f>IFERROR(__xludf.DUMMYFUNCTION("""COMPUTED_VALUE"""),"Universidad de Ciencias Empresariales y Sociales - UCES")</f>
        <v>Universidad de Ciencias Empresariales y Sociales - UCES</v>
      </c>
      <c r="D78" s="2" t="str">
        <f>IFERROR(__xludf.DUMMYFUNCTION("""COMPUTED_VALUE"""),"Ac. Bilaterales (no Erasmus)")</f>
        <v>Ac. Bilaterales (no Erasmus)</v>
      </c>
      <c r="E78" s="2">
        <f>IFERROR(__xludf.DUMMYFUNCTION("""COMPUTED_VALUE"""),2.0)</f>
        <v>2</v>
      </c>
      <c r="F78" s="2" t="str">
        <f>IFERROR(__xludf.DUMMYFUNCTION("""COMPUTED_VALUE"""),"Semestre")</f>
        <v>Semestre</v>
      </c>
      <c r="G78" s="2" t="str">
        <f>IFERROR(__xludf.DUMMYFUNCTION("""COMPUTED_VALUE"""),"Bilbao")</f>
        <v>Bilbao</v>
      </c>
      <c r="H78" s="2" t="str">
        <f>IFERROR(__xludf.DUMMYFUNCTION("""COMPUTED_VALUE"""),"Begoñako Andramari, BAM")</f>
        <v>Begoñako Andramari, BAM</v>
      </c>
      <c r="I78" s="2" t="str">
        <f>IFERROR(__xludf.DUMMYFUNCTION("""COMPUTED_VALUE"""),"Educación Infantil")</f>
        <v>Educación Infantil</v>
      </c>
      <c r="J78" s="2" t="str">
        <f>IFERROR(__xludf.DUMMYFUNCTION("""COMPUTED_VALUE"""),"Grado")</f>
        <v>Grado</v>
      </c>
      <c r="K78" s="2" t="str">
        <f>IFERROR(__xludf.DUMMYFUNCTION("""COMPUTED_VALUE"""),"Español")</f>
        <v>Español</v>
      </c>
      <c r="L78" s="2" t="str">
        <f>IFERROR(__xludf.DUMMYFUNCTION("""COMPUTED_VALUE"""),"n/a")</f>
        <v>n/a</v>
      </c>
      <c r="M78" s="2" t="str">
        <f>IFERROR(__xludf.DUMMYFUNCTION("""COMPUTED_VALUE"""),"No")</f>
        <v>No</v>
      </c>
      <c r="N78" s="3" t="str">
        <f>IFERROR(__xludf.DUMMYFUNCTION("""COMPUTED_VALUE"""),"https://www.uces.edu.ar/carreras-universitarias/facultad-ciencias-salud/kinesiologia-fisiatria")</f>
        <v>https://www.uces.edu.ar/carreras-universitarias/facultad-ciencias-salud/kinesiologia-fisiatria</v>
      </c>
      <c r="O78" s="2" t="str">
        <f>IFERROR(__xludf.DUMMYFUNCTION("""COMPUTED_VALUE"""),"n/a")</f>
        <v>n/a</v>
      </c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30.0" customHeight="1">
      <c r="A79" s="2" t="str">
        <f>IFERROR(__xludf.DUMMYFUNCTION("""COMPUTED_VALUE"""),"Argentina")</f>
        <v>Argentina</v>
      </c>
      <c r="B79" s="2" t="str">
        <f>IFERROR(__xludf.DUMMYFUNCTION("""COMPUTED_VALUE"""),"RA BUENOSA04")</f>
        <v>RA BUENOSA04</v>
      </c>
      <c r="C79" s="3" t="str">
        <f>IFERROR(__xludf.DUMMYFUNCTION("""COMPUTED_VALUE"""),"Universidad de Ciencias Empresariales y Sociales - UCES")</f>
        <v>Universidad de Ciencias Empresariales y Sociales - UCES</v>
      </c>
      <c r="D79" s="2" t="str">
        <f>IFERROR(__xludf.DUMMYFUNCTION("""COMPUTED_VALUE"""),"Ac. Bilaterales (no Erasmus)")</f>
        <v>Ac. Bilaterales (no Erasmus)</v>
      </c>
      <c r="E79" s="2">
        <f>IFERROR(__xludf.DUMMYFUNCTION("""COMPUTED_VALUE"""),4.0)</f>
        <v>4</v>
      </c>
      <c r="F79" s="2" t="str">
        <f>IFERROR(__xludf.DUMMYFUNCTION("""COMPUTED_VALUE"""),"Semestre")</f>
        <v>Semestre</v>
      </c>
      <c r="G79" s="2" t="str">
        <f>IFERROR(__xludf.DUMMYFUNCTION("""COMPUTED_VALUE"""),"Ambos")</f>
        <v>Ambos</v>
      </c>
      <c r="H79" s="2" t="str">
        <f>IFERROR(__xludf.DUMMYFUNCTION("""COMPUTED_VALUE"""),"Educación y Deporte")</f>
        <v>Educación y Deporte</v>
      </c>
      <c r="I79" s="2" t="str">
        <f>IFERROR(__xludf.DUMMYFUNCTION("""COMPUTED_VALUE"""),"Educación Primaria")</f>
        <v>Educación Primaria</v>
      </c>
      <c r="J79" s="2" t="str">
        <f>IFERROR(__xludf.DUMMYFUNCTION("""COMPUTED_VALUE"""),"Grado")</f>
        <v>Grado</v>
      </c>
      <c r="K79" s="2" t="str">
        <f>IFERROR(__xludf.DUMMYFUNCTION("""COMPUTED_VALUE"""),"Español")</f>
        <v>Español</v>
      </c>
      <c r="L79" s="2" t="str">
        <f>IFERROR(__xludf.DUMMYFUNCTION("""COMPUTED_VALUE"""),"n/a")</f>
        <v>n/a</v>
      </c>
      <c r="M79" s="2" t="str">
        <f>IFERROR(__xludf.DUMMYFUNCTION("""COMPUTED_VALUE"""),"No")</f>
        <v>No</v>
      </c>
      <c r="N79" s="3" t="str">
        <f>IFERROR(__xludf.DUMMYFUNCTION("""COMPUTED_VALUE"""),"https://www.uces.edu.ar/carreras-universitarias/facultad-ciencias-salud/kinesiologia-fisiatria")</f>
        <v>https://www.uces.edu.ar/carreras-universitarias/facultad-ciencias-salud/kinesiologia-fisiatria</v>
      </c>
      <c r="O79" s="2" t="str">
        <f>IFERROR(__xludf.DUMMYFUNCTION("""COMPUTED_VALUE"""),"n/a")</f>
        <v>n/a</v>
      </c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30.0" customHeight="1">
      <c r="A80" s="2" t="str">
        <f>IFERROR(__xludf.DUMMYFUNCTION("""COMPUTED_VALUE"""),"Argentina")</f>
        <v>Argentina</v>
      </c>
      <c r="B80" s="2" t="str">
        <f>IFERROR(__xludf.DUMMYFUNCTION("""COMPUTED_VALUE"""),"RA BUENOSA04")</f>
        <v>RA BUENOSA04</v>
      </c>
      <c r="C80" s="3" t="str">
        <f>IFERROR(__xludf.DUMMYFUNCTION("""COMPUTED_VALUE"""),"Universidad de Ciencias Empresariales y Sociales - UCES")</f>
        <v>Universidad de Ciencias Empresariales y Sociales - UCES</v>
      </c>
      <c r="D80" s="2" t="str">
        <f>IFERROR(__xludf.DUMMYFUNCTION("""COMPUTED_VALUE"""),"Ac. Bilaterales (no Erasmus)")</f>
        <v>Ac. Bilaterales (no Erasmus)</v>
      </c>
      <c r="E80" s="2">
        <f>IFERROR(__xludf.DUMMYFUNCTION("""COMPUTED_VALUE"""),2.0)</f>
        <v>2</v>
      </c>
      <c r="F80" s="2" t="str">
        <f>IFERROR(__xludf.DUMMYFUNCTION("""COMPUTED_VALUE"""),"Semestre")</f>
        <v>Semestre</v>
      </c>
      <c r="G80" s="2" t="str">
        <f>IFERROR(__xludf.DUMMYFUNCTION("""COMPUTED_VALUE"""),"San Sebastián")</f>
        <v>San Sebastián</v>
      </c>
      <c r="H80" s="2" t="str">
        <f>IFERROR(__xludf.DUMMYFUNCTION("""COMPUTED_VALUE"""),"Ciencias de la Salud")</f>
        <v>Ciencias de la Salud</v>
      </c>
      <c r="I80" s="2" t="str">
        <f>IFERROR(__xludf.DUMMYFUNCTION("""COMPUTED_VALUE"""),"Fisioterapia")</f>
        <v>Fisioterapia</v>
      </c>
      <c r="J80" s="2" t="str">
        <f>IFERROR(__xludf.DUMMYFUNCTION("""COMPUTED_VALUE"""),"Grado")</f>
        <v>Grado</v>
      </c>
      <c r="K80" s="2" t="str">
        <f>IFERROR(__xludf.DUMMYFUNCTION("""COMPUTED_VALUE"""),"Español")</f>
        <v>Español</v>
      </c>
      <c r="L80" s="2" t="str">
        <f>IFERROR(__xludf.DUMMYFUNCTION("""COMPUTED_VALUE"""),"n/a")</f>
        <v>n/a</v>
      </c>
      <c r="M80" s="2" t="str">
        <f>IFERROR(__xludf.DUMMYFUNCTION("""COMPUTED_VALUE"""),"No")</f>
        <v>No</v>
      </c>
      <c r="N80" s="3" t="str">
        <f>IFERROR(__xludf.DUMMYFUNCTION("""COMPUTED_VALUE"""),"https://www.uces.edu.ar/carreras-universitarias/facultad-ciencias-salud/kinesiologia-fisiatria")</f>
        <v>https://www.uces.edu.ar/carreras-universitarias/facultad-ciencias-salud/kinesiologia-fisiatria</v>
      </c>
      <c r="O80" s="2" t="str">
        <f>IFERROR(__xludf.DUMMYFUNCTION("""COMPUTED_VALUE"""),"n/a")</f>
        <v>n/a</v>
      </c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30.0" customHeight="1">
      <c r="A81" s="2" t="str">
        <f>IFERROR(__xludf.DUMMYFUNCTION("""COMPUTED_VALUE"""),"Argentina")</f>
        <v>Argentina</v>
      </c>
      <c r="B81" s="2" t="str">
        <f>IFERROR(__xludf.DUMMYFUNCTION("""COMPUTED_VALUE"""),"RA BUENOSA04")</f>
        <v>RA BUENOSA04</v>
      </c>
      <c r="C81" s="3" t="str">
        <f>IFERROR(__xludf.DUMMYFUNCTION("""COMPUTED_VALUE"""),"Universidad de Ciencias Empresariales y Sociales - UCES")</f>
        <v>Universidad de Ciencias Empresariales y Sociales - UCES</v>
      </c>
      <c r="D81" s="2" t="str">
        <f>IFERROR(__xludf.DUMMYFUNCTION("""COMPUTED_VALUE"""),"Ac. Bilaterales (no Erasmus)")</f>
        <v>Ac. Bilaterales (no Erasmus)</v>
      </c>
      <c r="E81" s="2">
        <f>IFERROR(__xludf.DUMMYFUNCTION("""COMPUTED_VALUE"""),2.0)</f>
        <v>2</v>
      </c>
      <c r="F81" s="2" t="str">
        <f>IFERROR(__xludf.DUMMYFUNCTION("""COMPUTED_VALUE"""),"Anual")</f>
        <v>Anual</v>
      </c>
      <c r="G81" s="2" t="str">
        <f>IFERROR(__xludf.DUMMYFUNCTION("""COMPUTED_VALUE"""),"Bilbao")</f>
        <v>Bilbao</v>
      </c>
      <c r="H81" s="2" t="str">
        <f>IFERROR(__xludf.DUMMYFUNCTION("""COMPUTED_VALUE"""),"Ciencias de la Salud")</f>
        <v>Ciencias de la Salud</v>
      </c>
      <c r="I81" s="2" t="str">
        <f>IFERROR(__xludf.DUMMYFUNCTION("""COMPUTED_VALUE"""),"Psicología")</f>
        <v>Psicología</v>
      </c>
      <c r="J81" s="2" t="str">
        <f>IFERROR(__xludf.DUMMYFUNCTION("""COMPUTED_VALUE"""),"Grado")</f>
        <v>Grado</v>
      </c>
      <c r="K81" s="2" t="str">
        <f>IFERROR(__xludf.DUMMYFUNCTION("""COMPUTED_VALUE"""),"Español")</f>
        <v>Español</v>
      </c>
      <c r="L81" s="2" t="str">
        <f>IFERROR(__xludf.DUMMYFUNCTION("""COMPUTED_VALUE"""),"n/a")</f>
        <v>n/a</v>
      </c>
      <c r="M81" s="2" t="str">
        <f>IFERROR(__xludf.DUMMYFUNCTION("""COMPUTED_VALUE"""),"No")</f>
        <v>No</v>
      </c>
      <c r="N81" s="3" t="str">
        <f>IFERROR(__xludf.DUMMYFUNCTION("""COMPUTED_VALUE"""),"https://www.uces.edu.ar/carreras-universitarias/facultad-ciencias-salud/kinesiologia-fisiatria")</f>
        <v>https://www.uces.edu.ar/carreras-universitarias/facultad-ciencias-salud/kinesiologia-fisiatria</v>
      </c>
      <c r="O81" s="2" t="str">
        <f>IFERROR(__xludf.DUMMYFUNCTION("""COMPUTED_VALUE"""),"n/a")</f>
        <v>n/a</v>
      </c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30.0" customHeight="1">
      <c r="A82" s="2" t="str">
        <f>IFERROR(__xludf.DUMMYFUNCTION("""COMPUTED_VALUE"""),"Argentina")</f>
        <v>Argentina</v>
      </c>
      <c r="B82" s="2" t="str">
        <f>IFERROR(__xludf.DUMMYFUNCTION("""COMPUTED_VALUE"""),"RA BUENOSA04")</f>
        <v>RA BUENOSA04</v>
      </c>
      <c r="C82" s="3" t="str">
        <f>IFERROR(__xludf.DUMMYFUNCTION("""COMPUTED_VALUE"""),"Universidad de Ciencias Empresariales y Sociales - UCES")</f>
        <v>Universidad de Ciencias Empresariales y Sociales - UCES</v>
      </c>
      <c r="D82" s="2" t="str">
        <f>IFERROR(__xludf.DUMMYFUNCTION("""COMPUTED_VALUE"""),"Ac. Bilaterales (no Erasmus)")</f>
        <v>Ac. Bilaterales (no Erasmus)</v>
      </c>
      <c r="E82" s="2">
        <f>IFERROR(__xludf.DUMMYFUNCTION("""COMPUTED_VALUE"""),2.0)</f>
        <v>2</v>
      </c>
      <c r="F82" s="2" t="str">
        <f>IFERROR(__xludf.DUMMYFUNCTION("""COMPUTED_VALUE"""),"Anual")</f>
        <v>Anual</v>
      </c>
      <c r="G82" s="2" t="str">
        <f>IFERROR(__xludf.DUMMYFUNCTION("""COMPUTED_VALUE"""),"Bilbao")</f>
        <v>Bilbao</v>
      </c>
      <c r="H82" s="2" t="str">
        <f>IFERROR(__xludf.DUMMYFUNCTION("""COMPUTED_VALUE"""),"Ciencias Sociales y Humanas")</f>
        <v>Ciencias Sociales y Humanas</v>
      </c>
      <c r="I82" s="2" t="str">
        <f>IFERROR(__xludf.DUMMYFUNCTION("""COMPUTED_VALUE"""),"Relaciones Internacionales")</f>
        <v>Relaciones Internacionales</v>
      </c>
      <c r="J82" s="2" t="str">
        <f>IFERROR(__xludf.DUMMYFUNCTION("""COMPUTED_VALUE"""),"Grado")</f>
        <v>Grado</v>
      </c>
      <c r="K82" s="2" t="str">
        <f>IFERROR(__xludf.DUMMYFUNCTION("""COMPUTED_VALUE"""),"Español")</f>
        <v>Español</v>
      </c>
      <c r="L82" s="2" t="str">
        <f>IFERROR(__xludf.DUMMYFUNCTION("""COMPUTED_VALUE"""),"n/a")</f>
        <v>n/a</v>
      </c>
      <c r="M82" s="2" t="str">
        <f>IFERROR(__xludf.DUMMYFUNCTION("""COMPUTED_VALUE"""),"No")</f>
        <v>No</v>
      </c>
      <c r="N82" s="3" t="str">
        <f>IFERROR(__xludf.DUMMYFUNCTION("""COMPUTED_VALUE"""),"https://www.uces.edu.ar/carreras-universitarias/facultad-ciencias-salud/kinesiologia-fisiatria")</f>
        <v>https://www.uces.edu.ar/carreras-universitarias/facultad-ciencias-salud/kinesiologia-fisiatria</v>
      </c>
      <c r="O82" s="2" t="str">
        <f>IFERROR(__xludf.DUMMYFUNCTION("""COMPUTED_VALUE"""),"n/a")</f>
        <v>n/a</v>
      </c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30.0" customHeight="1">
      <c r="A83" s="2" t="str">
        <f>IFERROR(__xludf.DUMMYFUNCTION("""COMPUTED_VALUE"""),"Argentina")</f>
        <v>Argentina</v>
      </c>
      <c r="B83" s="2" t="str">
        <f>IFERROR(__xludf.DUMMYFUNCTION("""COMPUTED_VALUE"""),"RA BUENOSA04")</f>
        <v>RA BUENOSA04</v>
      </c>
      <c r="C83" s="3" t="str">
        <f>IFERROR(__xludf.DUMMYFUNCTION("""COMPUTED_VALUE"""),"Universidad de Ciencias Empresariales y Sociales - UCES")</f>
        <v>Universidad de Ciencias Empresariales y Sociales - UCES</v>
      </c>
      <c r="D83" s="2" t="str">
        <f>IFERROR(__xludf.DUMMYFUNCTION("""COMPUTED_VALUE"""),"Ac. Bilaterales (no Erasmus)")</f>
        <v>Ac. Bilaterales (no Erasmus)</v>
      </c>
      <c r="E83" s="2">
        <f>IFERROR(__xludf.DUMMYFUNCTION("""COMPUTED_VALUE"""),2.0)</f>
        <v>2</v>
      </c>
      <c r="F83" s="2" t="str">
        <f>IFERROR(__xludf.DUMMYFUNCTION("""COMPUTED_VALUE"""),"Semestre")</f>
        <v>Semestre</v>
      </c>
      <c r="G83" s="2" t="str">
        <f>IFERROR(__xludf.DUMMYFUNCTION("""COMPUTED_VALUE"""),"Bilbao")</f>
        <v>Bilbao</v>
      </c>
      <c r="H83" s="2" t="str">
        <f>IFERROR(__xludf.DUMMYFUNCTION("""COMPUTED_VALUE"""),"Ciencias Sociales y Humanas")</f>
        <v>Ciencias Sociales y Humanas</v>
      </c>
      <c r="I83" s="2" t="str">
        <f>IFERROR(__xludf.DUMMYFUNCTION("""COMPUTED_VALUE"""),"Relaciones Internacionales + Derecho")</f>
        <v>Relaciones Internacionales + Derecho</v>
      </c>
      <c r="J83" s="2" t="str">
        <f>IFERROR(__xludf.DUMMYFUNCTION("""COMPUTED_VALUE"""),"Grado")</f>
        <v>Grado</v>
      </c>
      <c r="K83" s="2" t="str">
        <f>IFERROR(__xludf.DUMMYFUNCTION("""COMPUTED_VALUE"""),"Español")</f>
        <v>Español</v>
      </c>
      <c r="L83" s="2" t="str">
        <f>IFERROR(__xludf.DUMMYFUNCTION("""COMPUTED_VALUE"""),"n/a")</f>
        <v>n/a</v>
      </c>
      <c r="M83" s="2" t="str">
        <f>IFERROR(__xludf.DUMMYFUNCTION("""COMPUTED_VALUE"""),"No")</f>
        <v>No</v>
      </c>
      <c r="N83" s="3" t="str">
        <f>IFERROR(__xludf.DUMMYFUNCTION("""COMPUTED_VALUE"""),"https://www.uces.edu.ar/carreras-universitarias/facultad-ciencias-salud/kinesiologia-fisiatria")</f>
        <v>https://www.uces.edu.ar/carreras-universitarias/facultad-ciencias-salud/kinesiologia-fisiatria</v>
      </c>
      <c r="O83" s="2" t="str">
        <f>IFERROR(__xludf.DUMMYFUNCTION("""COMPUTED_VALUE"""),"n/a")</f>
        <v>n/a</v>
      </c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30.0" customHeight="1">
      <c r="A84" s="2" t="str">
        <f>IFERROR(__xludf.DUMMYFUNCTION("""COMPUTED_VALUE"""),"Argentina")</f>
        <v>Argentina</v>
      </c>
      <c r="B84" s="2" t="str">
        <f>IFERROR(__xludf.DUMMYFUNCTION("""COMPUTED_VALUE"""),"RA BUENOSA04")</f>
        <v>RA BUENOSA04</v>
      </c>
      <c r="C84" s="3" t="str">
        <f>IFERROR(__xludf.DUMMYFUNCTION("""COMPUTED_VALUE"""),"Universidad de Ciencias Empresariales y Sociales - UCES")</f>
        <v>Universidad de Ciencias Empresariales y Sociales - UCES</v>
      </c>
      <c r="D84" s="2" t="str">
        <f>IFERROR(__xludf.DUMMYFUNCTION("""COMPUTED_VALUE"""),"Ac. Bilaterales (no Erasmus)")</f>
        <v>Ac. Bilaterales (no Erasmus)</v>
      </c>
      <c r="E84" s="2">
        <f>IFERROR(__xludf.DUMMYFUNCTION("""COMPUTED_VALUE"""),4.0)</f>
        <v>4</v>
      </c>
      <c r="F84" s="2" t="str">
        <f>IFERROR(__xludf.DUMMYFUNCTION("""COMPUTED_VALUE"""),"Semestre")</f>
        <v>Semestre</v>
      </c>
      <c r="G84" s="2" t="str">
        <f>IFERROR(__xludf.DUMMYFUNCTION("""COMPUTED_VALUE"""),"Bilbao")</f>
        <v>Bilbao</v>
      </c>
      <c r="H84" s="2" t="str">
        <f>IFERROR(__xludf.DUMMYFUNCTION("""COMPUTED_VALUE"""),"Ciencias Sociales y Humanas")</f>
        <v>Ciencias Sociales y Humanas</v>
      </c>
      <c r="I84" s="2" t="str">
        <f>IFERROR(__xludf.DUMMYFUNCTION("""COMPUTED_VALUE"""),"Turismo")</f>
        <v>Turismo</v>
      </c>
      <c r="J84" s="2" t="str">
        <f>IFERROR(__xludf.DUMMYFUNCTION("""COMPUTED_VALUE"""),"Grado")</f>
        <v>Grado</v>
      </c>
      <c r="K84" s="2" t="str">
        <f>IFERROR(__xludf.DUMMYFUNCTION("""COMPUTED_VALUE"""),"Español")</f>
        <v>Español</v>
      </c>
      <c r="L84" s="2" t="str">
        <f>IFERROR(__xludf.DUMMYFUNCTION("""COMPUTED_VALUE"""),"n/a")</f>
        <v>n/a</v>
      </c>
      <c r="M84" s="2" t="str">
        <f>IFERROR(__xludf.DUMMYFUNCTION("""COMPUTED_VALUE"""),"No")</f>
        <v>No</v>
      </c>
      <c r="N84" s="3" t="str">
        <f>IFERROR(__xludf.DUMMYFUNCTION("""COMPUTED_VALUE"""),"https://www.uces.edu.ar/carreras-universitarias/facultad-ciencias-salud/kinesiologia-fisiatria")</f>
        <v>https://www.uces.edu.ar/carreras-universitarias/facultad-ciencias-salud/kinesiologia-fisiatria</v>
      </c>
      <c r="O84" s="2" t="str">
        <f>IFERROR(__xludf.DUMMYFUNCTION("""COMPUTED_VALUE"""),"n/a")</f>
        <v>n/a</v>
      </c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30.0" customHeight="1">
      <c r="A85" s="2" t="str">
        <f>IFERROR(__xludf.DUMMYFUNCTION("""COMPUTED_VALUE"""),"Argentina")</f>
        <v>Argentina</v>
      </c>
      <c r="B85" s="2" t="str">
        <f>IFERROR(__xludf.DUMMYFUNCTION("""COMPUTED_VALUE"""),"RA BUENOSA03")</f>
        <v>RA BUENOSA03</v>
      </c>
      <c r="C85" s="3" t="str">
        <f>IFERROR(__xludf.DUMMYFUNCTION("""COMPUTED_VALUE"""),"Universidad del Salvador")</f>
        <v>Universidad del Salvador</v>
      </c>
      <c r="D85" s="2" t="str">
        <f>IFERROR(__xludf.DUMMYFUNCTION("""COMPUTED_VALUE"""),"Ac. Bilaterales (no Erasmus)")</f>
        <v>Ac. Bilaterales (no Erasmus)</v>
      </c>
      <c r="E85" s="2">
        <f>IFERROR(__xludf.DUMMYFUNCTION("""COMPUTED_VALUE"""),2.0)</f>
        <v>2</v>
      </c>
      <c r="F85" s="2" t="str">
        <f>IFERROR(__xludf.DUMMYFUNCTION("""COMPUTED_VALUE"""),"Semestre")</f>
        <v>Semestre</v>
      </c>
      <c r="G85" s="2" t="str">
        <f>IFERROR(__xludf.DUMMYFUNCTION("""COMPUTED_VALUE"""),"San Sebastián")</f>
        <v>San Sebastián</v>
      </c>
      <c r="H85" s="2" t="str">
        <f>IFERROR(__xludf.DUMMYFUNCTION("""COMPUTED_VALUE"""),"Ciencias Sociales y Humanas")</f>
        <v>Ciencias Sociales y Humanas</v>
      </c>
      <c r="I85" s="2" t="str">
        <f>IFERROR(__xludf.DUMMYFUNCTION("""COMPUTED_VALUE"""),"Comunicación")</f>
        <v>Comunicación</v>
      </c>
      <c r="J85" s="2" t="str">
        <f>IFERROR(__xludf.DUMMYFUNCTION("""COMPUTED_VALUE"""),"Grado")</f>
        <v>Grado</v>
      </c>
      <c r="K85" s="2" t="str">
        <f>IFERROR(__xludf.DUMMYFUNCTION("""COMPUTED_VALUE"""),"Español")</f>
        <v>Español</v>
      </c>
      <c r="L85" s="2" t="str">
        <f>IFERROR(__xludf.DUMMYFUNCTION("""COMPUTED_VALUE"""),"n/a")</f>
        <v>n/a</v>
      </c>
      <c r="M85" s="2" t="str">
        <f>IFERROR(__xludf.DUMMYFUNCTION("""COMPUTED_VALUE"""),"No")</f>
        <v>No</v>
      </c>
      <c r="N85" s="3" t="str">
        <f>IFERROR(__xludf.DUMMYFUNCTION("""COMPUTED_VALUE"""),"https://www.usal.edu.ar/internacional/estudiantes-internacionales/")</f>
        <v>https://www.usal.edu.ar/internacional/estudiantes-internacionales/</v>
      </c>
      <c r="O85" s="2" t="str">
        <f>IFERROR(__xludf.DUMMYFUNCTION("""COMPUTED_VALUE"""),"n/a")</f>
        <v>n/a</v>
      </c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30.0" customHeight="1">
      <c r="A86" s="2" t="str">
        <f>IFERROR(__xludf.DUMMYFUNCTION("""COMPUTED_VALUE"""),"Argentina")</f>
        <v>Argentina</v>
      </c>
      <c r="B86" s="2" t="str">
        <f>IFERROR(__xludf.DUMMYFUNCTION("""COMPUTED_VALUE"""),"RA BUENOSA03")</f>
        <v>RA BUENOSA03</v>
      </c>
      <c r="C86" s="3" t="str">
        <f>IFERROR(__xludf.DUMMYFUNCTION("""COMPUTED_VALUE"""),"Universidad del Salvador")</f>
        <v>Universidad del Salvador</v>
      </c>
      <c r="D86" s="2" t="str">
        <f>IFERROR(__xludf.DUMMYFUNCTION("""COMPUTED_VALUE"""),"Ac. Bilaterales (no Erasmus)")</f>
        <v>Ac. Bilaterales (no Erasmus)</v>
      </c>
      <c r="E86" s="2">
        <f>IFERROR(__xludf.DUMMYFUNCTION("""COMPUTED_VALUE"""),2.0)</f>
        <v>2</v>
      </c>
      <c r="F86" s="2" t="str">
        <f>IFERROR(__xludf.DUMMYFUNCTION("""COMPUTED_VALUE"""),"Semestre")</f>
        <v>Semestre</v>
      </c>
      <c r="G86" s="2" t="str">
        <f>IFERROR(__xludf.DUMMYFUNCTION("""COMPUTED_VALUE"""),"Bilbao")</f>
        <v>Bilbao</v>
      </c>
      <c r="H86" s="2" t="str">
        <f>IFERROR(__xludf.DUMMYFUNCTION("""COMPUTED_VALUE"""),"Educación y Deporte")</f>
        <v>Educación y Deporte</v>
      </c>
      <c r="I86" s="2" t="str">
        <f>IFERROR(__xludf.DUMMYFUNCTION("""COMPUTED_VALUE"""),"CAFyD")</f>
        <v>CAFyD</v>
      </c>
      <c r="J86" s="2" t="str">
        <f>IFERROR(__xludf.DUMMYFUNCTION("""COMPUTED_VALUE"""),"Grado")</f>
        <v>Grado</v>
      </c>
      <c r="K86" s="2" t="str">
        <f>IFERROR(__xludf.DUMMYFUNCTION("""COMPUTED_VALUE"""),"Español")</f>
        <v>Español</v>
      </c>
      <c r="L86" s="2" t="str">
        <f>IFERROR(__xludf.DUMMYFUNCTION("""COMPUTED_VALUE"""),"n/a")</f>
        <v>n/a</v>
      </c>
      <c r="M86" s="2" t="str">
        <f>IFERROR(__xludf.DUMMYFUNCTION("""COMPUTED_VALUE"""),"No")</f>
        <v>No</v>
      </c>
      <c r="N86" s="3" t="str">
        <f>IFERROR(__xludf.DUMMYFUNCTION("""COMPUTED_VALUE"""),"https://www.usal.edu.ar/internacional/estudiantes-internacionales/")</f>
        <v>https://www.usal.edu.ar/internacional/estudiantes-internacionales/</v>
      </c>
      <c r="O86" s="2" t="str">
        <f>IFERROR(__xludf.DUMMYFUNCTION("""COMPUTED_VALUE"""),"n/a")</f>
        <v>n/a</v>
      </c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30.0" customHeight="1">
      <c r="A87" s="2" t="str">
        <f>IFERROR(__xludf.DUMMYFUNCTION("""COMPUTED_VALUE"""),"Argentina")</f>
        <v>Argentina</v>
      </c>
      <c r="B87" s="2" t="str">
        <f>IFERROR(__xludf.DUMMYFUNCTION("""COMPUTED_VALUE"""),"RA BUENOSA03")</f>
        <v>RA BUENOSA03</v>
      </c>
      <c r="C87" s="3" t="str">
        <f>IFERROR(__xludf.DUMMYFUNCTION("""COMPUTED_VALUE"""),"Universidad del Salvador")</f>
        <v>Universidad del Salvador</v>
      </c>
      <c r="D87" s="2" t="str">
        <f>IFERROR(__xludf.DUMMYFUNCTION("""COMPUTED_VALUE"""),"Ac. Bilaterales (no Erasmus)")</f>
        <v>Ac. Bilaterales (no Erasmus)</v>
      </c>
      <c r="E87" s="2">
        <f>IFERROR(__xludf.DUMMYFUNCTION("""COMPUTED_VALUE"""),2.0)</f>
        <v>2</v>
      </c>
      <c r="F87" s="2" t="str">
        <f>IFERROR(__xludf.DUMMYFUNCTION("""COMPUTED_VALUE"""),"Anual")</f>
        <v>Anual</v>
      </c>
      <c r="G87" s="2" t="str">
        <f>IFERROR(__xludf.DUMMYFUNCTION("""COMPUTED_VALUE"""),"Bilbao")</f>
        <v>Bilbao</v>
      </c>
      <c r="H87" s="2" t="str">
        <f>IFERROR(__xludf.DUMMYFUNCTION("""COMPUTED_VALUE"""),"Ciencias de la Salud")</f>
        <v>Ciencias de la Salud</v>
      </c>
      <c r="I87" s="2" t="str">
        <f>IFERROR(__xludf.DUMMYFUNCTION("""COMPUTED_VALUE"""),"Psicología")</f>
        <v>Psicología</v>
      </c>
      <c r="J87" s="2" t="str">
        <f>IFERROR(__xludf.DUMMYFUNCTION("""COMPUTED_VALUE"""),"Grado")</f>
        <v>Grado</v>
      </c>
      <c r="K87" s="2" t="str">
        <f>IFERROR(__xludf.DUMMYFUNCTION("""COMPUTED_VALUE"""),"Español")</f>
        <v>Español</v>
      </c>
      <c r="L87" s="2" t="str">
        <f>IFERROR(__xludf.DUMMYFUNCTION("""COMPUTED_VALUE"""),"n/a")</f>
        <v>n/a</v>
      </c>
      <c r="M87" s="2" t="str">
        <f>IFERROR(__xludf.DUMMYFUNCTION("""COMPUTED_VALUE"""),"No")</f>
        <v>No</v>
      </c>
      <c r="N87" s="3" t="str">
        <f>IFERROR(__xludf.DUMMYFUNCTION("""COMPUTED_VALUE"""),"https://www.usal.edu.ar/internacional/estudiantes-internacionales/")</f>
        <v>https://www.usal.edu.ar/internacional/estudiantes-internacionales/</v>
      </c>
      <c r="O87" s="2" t="str">
        <f>IFERROR(__xludf.DUMMYFUNCTION("""COMPUTED_VALUE"""),"n/a")</f>
        <v>n/a</v>
      </c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30.0" customHeight="1">
      <c r="A88" s="2" t="str">
        <f>IFERROR(__xludf.DUMMYFUNCTION("""COMPUTED_VALUE"""),"Argentina")</f>
        <v>Argentina</v>
      </c>
      <c r="B88" s="2" t="str">
        <f>IFERROR(__xludf.DUMMYFUNCTION("""COMPUTED_VALUE"""),"RA BUENOSA03")</f>
        <v>RA BUENOSA03</v>
      </c>
      <c r="C88" s="3" t="str">
        <f>IFERROR(__xludf.DUMMYFUNCTION("""COMPUTED_VALUE"""),"Universidad del Salvador")</f>
        <v>Universidad del Salvador</v>
      </c>
      <c r="D88" s="2" t="str">
        <f>IFERROR(__xludf.DUMMYFUNCTION("""COMPUTED_VALUE"""),"Ac. Bilaterales (no Erasmus)")</f>
        <v>Ac. Bilaterales (no Erasmus)</v>
      </c>
      <c r="E88" s="2">
        <f>IFERROR(__xludf.DUMMYFUNCTION("""COMPUTED_VALUE"""),2.0)</f>
        <v>2</v>
      </c>
      <c r="F88" s="2" t="str">
        <f>IFERROR(__xludf.DUMMYFUNCTION("""COMPUTED_VALUE"""),"Semestre")</f>
        <v>Semestre</v>
      </c>
      <c r="G88" s="2" t="str">
        <f>IFERROR(__xludf.DUMMYFUNCTION("""COMPUTED_VALUE"""),"Ambos")</f>
        <v>Ambos</v>
      </c>
      <c r="H88" s="2" t="str">
        <f>IFERROR(__xludf.DUMMYFUNCTION("""COMPUTED_VALUE"""),"Ciencias Sociales y Humanas")</f>
        <v>Ciencias Sociales y Humanas</v>
      </c>
      <c r="I88" s="2" t="str">
        <f>IFERROR(__xludf.DUMMYFUNCTION("""COMPUTED_VALUE"""),"Trabajo Social")</f>
        <v>Trabajo Social</v>
      </c>
      <c r="J88" s="2" t="str">
        <f>IFERROR(__xludf.DUMMYFUNCTION("""COMPUTED_VALUE"""),"Grado")</f>
        <v>Grado</v>
      </c>
      <c r="K88" s="2" t="str">
        <f>IFERROR(__xludf.DUMMYFUNCTION("""COMPUTED_VALUE"""),"Español")</f>
        <v>Español</v>
      </c>
      <c r="L88" s="2" t="str">
        <f>IFERROR(__xludf.DUMMYFUNCTION("""COMPUTED_VALUE"""),"n/a")</f>
        <v>n/a</v>
      </c>
      <c r="M88" s="2" t="str">
        <f>IFERROR(__xludf.DUMMYFUNCTION("""COMPUTED_VALUE"""),"No")</f>
        <v>No</v>
      </c>
      <c r="N88" s="3" t="str">
        <f>IFERROR(__xludf.DUMMYFUNCTION("""COMPUTED_VALUE"""),"https://www.usal.edu.ar/internacional/estudiantes-internacionales/")</f>
        <v>https://www.usal.edu.ar/internacional/estudiantes-internacionales/</v>
      </c>
      <c r="O88" s="2" t="str">
        <f>IFERROR(__xludf.DUMMYFUNCTION("""COMPUTED_VALUE"""),"n/a")</f>
        <v>n/a</v>
      </c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30.0" customHeight="1">
      <c r="A89" s="2" t="str">
        <f>IFERROR(__xludf.DUMMYFUNCTION("""COMPUTED_VALUE"""),"Argentina")</f>
        <v>Argentina</v>
      </c>
      <c r="B89" s="2" t="str">
        <f>IFERROR(__xludf.DUMMYFUNCTION("""COMPUTED_VALUE"""),"RA BUENOSA03")</f>
        <v>RA BUENOSA03</v>
      </c>
      <c r="C89" s="3" t="str">
        <f>IFERROR(__xludf.DUMMYFUNCTION("""COMPUTED_VALUE"""),"Universidad del Salvador")</f>
        <v>Universidad del Salvador</v>
      </c>
      <c r="D89" s="2" t="str">
        <f>IFERROR(__xludf.DUMMYFUNCTION("""COMPUTED_VALUE"""),"Ac. Bilaterales (no Erasmus)")</f>
        <v>Ac. Bilaterales (no Erasmus)</v>
      </c>
      <c r="E89" s="2">
        <f>IFERROR(__xludf.DUMMYFUNCTION("""COMPUTED_VALUE"""),2.0)</f>
        <v>2</v>
      </c>
      <c r="F89" s="2" t="str">
        <f>IFERROR(__xludf.DUMMYFUNCTION("""COMPUTED_VALUE"""),"Semestre")</f>
        <v>Semestre</v>
      </c>
      <c r="G89" s="2" t="str">
        <f>IFERROR(__xludf.DUMMYFUNCTION("""COMPUTED_VALUE"""),"Bilbao")</f>
        <v>Bilbao</v>
      </c>
      <c r="H89" s="2" t="str">
        <f>IFERROR(__xludf.DUMMYFUNCTION("""COMPUTED_VALUE"""),"Ciencias Sociales y Humanas")</f>
        <v>Ciencias Sociales y Humanas</v>
      </c>
      <c r="I89" s="2" t="str">
        <f>IFERROR(__xludf.DUMMYFUNCTION("""COMPUTED_VALUE"""),"Turismo")</f>
        <v>Turismo</v>
      </c>
      <c r="J89" s="2" t="str">
        <f>IFERROR(__xludf.DUMMYFUNCTION("""COMPUTED_VALUE"""),"Grado")</f>
        <v>Grado</v>
      </c>
      <c r="K89" s="2" t="str">
        <f>IFERROR(__xludf.DUMMYFUNCTION("""COMPUTED_VALUE"""),"Español")</f>
        <v>Español</v>
      </c>
      <c r="L89" s="2" t="str">
        <f>IFERROR(__xludf.DUMMYFUNCTION("""COMPUTED_VALUE"""),"n/a")</f>
        <v>n/a</v>
      </c>
      <c r="M89" s="2" t="str">
        <f>IFERROR(__xludf.DUMMYFUNCTION("""COMPUTED_VALUE"""),"No")</f>
        <v>No</v>
      </c>
      <c r="N89" s="3" t="str">
        <f>IFERROR(__xludf.DUMMYFUNCTION("""COMPUTED_VALUE"""),"https://www.usal.edu.ar/internacional/estudiantes-internacionales/")</f>
        <v>https://www.usal.edu.ar/internacional/estudiantes-internacionales/</v>
      </c>
      <c r="O89" s="2" t="str">
        <f>IFERROR(__xludf.DUMMYFUNCTION("""COMPUTED_VALUE"""),"n/a")</f>
        <v>n/a</v>
      </c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30.0" customHeight="1">
      <c r="A90" s="2" t="str">
        <f>IFERROR(__xludf.DUMMYFUNCTION("""COMPUTED_VALUE"""),"Argentina")</f>
        <v>Argentina</v>
      </c>
      <c r="B90" s="2" t="str">
        <f>IFERROR(__xludf.DUMMYFUNCTION("""COMPUTED_VALUE"""),"RA LAPLAT01")</f>
        <v>RA LAPLAT01</v>
      </c>
      <c r="C90" s="3" t="str">
        <f>IFERROR(__xludf.DUMMYFUNCTION("""COMPUTED_VALUE"""),"Universidad Nacional de La Plata")</f>
        <v>Universidad Nacional de La Plata</v>
      </c>
      <c r="D90" s="2" t="str">
        <f>IFERROR(__xludf.DUMMYFUNCTION("""COMPUTED_VALUE"""),"Ac. Bilaterales (no Erasmus)")</f>
        <v>Ac. Bilaterales (no Erasmus)</v>
      </c>
      <c r="E90" s="2">
        <f>IFERROR(__xludf.DUMMYFUNCTION("""COMPUTED_VALUE"""),3.0)</f>
        <v>3</v>
      </c>
      <c r="F90" s="2" t="str">
        <f>IFERROR(__xludf.DUMMYFUNCTION("""COMPUTED_VALUE"""),"Semestre")</f>
        <v>Semestre</v>
      </c>
      <c r="G90" s="2" t="str">
        <f>IFERROR(__xludf.DUMMYFUNCTION("""COMPUTED_VALUE"""),"Ambos")</f>
        <v>Ambos</v>
      </c>
      <c r="H90" s="2" t="str">
        <f>IFERROR(__xludf.DUMMYFUNCTION("""COMPUTED_VALUE"""),"Educación y Deporte")</f>
        <v>Educación y Deporte</v>
      </c>
      <c r="I90" s="2" t="str">
        <f>IFERROR(__xludf.DUMMYFUNCTION("""COMPUTED_VALUE"""),"Educación Primaria")</f>
        <v>Educación Primaria</v>
      </c>
      <c r="J90" s="2" t="str">
        <f>IFERROR(__xludf.DUMMYFUNCTION("""COMPUTED_VALUE"""),"Grado")</f>
        <v>Grado</v>
      </c>
      <c r="K90" s="2" t="str">
        <f>IFERROR(__xludf.DUMMYFUNCTION("""COMPUTED_VALUE"""),"Español")</f>
        <v>Español</v>
      </c>
      <c r="L90" s="2" t="str">
        <f>IFERROR(__xludf.DUMMYFUNCTION("""COMPUTED_VALUE"""),"n/a")</f>
        <v>n/a</v>
      </c>
      <c r="M90" s="2" t="str">
        <f>IFERROR(__xludf.DUMMYFUNCTION("""COMPUTED_VALUE"""),"No")</f>
        <v>No</v>
      </c>
      <c r="N90" s="3" t="str">
        <f>IFERROR(__xludf.DUMMYFUNCTION("""COMPUTED_VALUE"""),"https://unlp.edu.ar/relaciones-internacionales/")</f>
        <v>https://unlp.edu.ar/relaciones-internacionales/</v>
      </c>
      <c r="O90" s="2" t="str">
        <f>IFERROR(__xludf.DUMMYFUNCTION("""COMPUTED_VALUE"""),"n/a")</f>
        <v>n/a</v>
      </c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30.0" customHeight="1">
      <c r="A91" s="2" t="str">
        <f>IFERROR(__xludf.DUMMYFUNCTION("""COMPUTED_VALUE"""),"Argentina")</f>
        <v>Argentina</v>
      </c>
      <c r="B91" s="2" t="str">
        <f>IFERROR(__xludf.DUMMYFUNCTION("""COMPUTED_VALUE"""),"RA LAPLAT01")</f>
        <v>RA LAPLAT01</v>
      </c>
      <c r="C91" s="3" t="str">
        <f>IFERROR(__xludf.DUMMYFUNCTION("""COMPUTED_VALUE"""),"Universidad Nacional de La Plata")</f>
        <v>Universidad Nacional de La Plata</v>
      </c>
      <c r="D91" s="2" t="str">
        <f>IFERROR(__xludf.DUMMYFUNCTION("""COMPUTED_VALUE"""),"Ac. Bilaterales (no Erasmus)")</f>
        <v>Ac. Bilaterales (no Erasmus)</v>
      </c>
      <c r="E91" s="2">
        <f>IFERROR(__xludf.DUMMYFUNCTION("""COMPUTED_VALUE"""),3.0)</f>
        <v>3</v>
      </c>
      <c r="F91" s="2" t="str">
        <f>IFERROR(__xludf.DUMMYFUNCTION("""COMPUTED_VALUE"""),"Semestre")</f>
        <v>Semestre</v>
      </c>
      <c r="G91" s="2" t="str">
        <f>IFERROR(__xludf.DUMMYFUNCTION("""COMPUTED_VALUE"""),"Ambos")</f>
        <v>Ambos</v>
      </c>
      <c r="H91" s="2" t="str">
        <f>IFERROR(__xludf.DUMMYFUNCTION("""COMPUTED_VALUE"""),"Ciencias Sociales y Humanas")</f>
        <v>Ciencias Sociales y Humanas</v>
      </c>
      <c r="I91" s="2" t="str">
        <f>IFERROR(__xludf.DUMMYFUNCTION("""COMPUTED_VALUE"""),"Trabajo Social")</f>
        <v>Trabajo Social</v>
      </c>
      <c r="J91" s="2" t="str">
        <f>IFERROR(__xludf.DUMMYFUNCTION("""COMPUTED_VALUE"""),"Grado")</f>
        <v>Grado</v>
      </c>
      <c r="K91" s="2" t="str">
        <f>IFERROR(__xludf.DUMMYFUNCTION("""COMPUTED_VALUE"""),"Español")</f>
        <v>Español</v>
      </c>
      <c r="L91" s="2" t="str">
        <f>IFERROR(__xludf.DUMMYFUNCTION("""COMPUTED_VALUE"""),"n/a")</f>
        <v>n/a</v>
      </c>
      <c r="M91" s="2" t="str">
        <f>IFERROR(__xludf.DUMMYFUNCTION("""COMPUTED_VALUE"""),"No")</f>
        <v>No</v>
      </c>
      <c r="N91" s="3" t="str">
        <f>IFERROR(__xludf.DUMMYFUNCTION("""COMPUTED_VALUE"""),"https://unlp.edu.ar/relaciones-internacionales/")</f>
        <v>https://unlp.edu.ar/relaciones-internacionales/</v>
      </c>
      <c r="O91" s="2" t="str">
        <f>IFERROR(__xludf.DUMMYFUNCTION("""COMPUTED_VALUE"""),"n/a")</f>
        <v>n/a</v>
      </c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30.0" customHeight="1">
      <c r="A92" s="2" t="str">
        <f>IFERROR(__xludf.DUMMYFUNCTION("""COMPUTED_VALUE"""),"Argentina")</f>
        <v>Argentina</v>
      </c>
      <c r="B92" s="2" t="str">
        <f>IFERROR(__xludf.DUMMYFUNCTION("""COMPUTED_VALUE"""),"RA LANUS01")</f>
        <v>RA LANUS01</v>
      </c>
      <c r="C92" s="3" t="str">
        <f>IFERROR(__xludf.DUMMYFUNCTION("""COMPUTED_VALUE"""),"Universidad Nacional de Lanús")</f>
        <v>Universidad Nacional de Lanús</v>
      </c>
      <c r="D92" s="2" t="str">
        <f>IFERROR(__xludf.DUMMYFUNCTION("""COMPUTED_VALUE"""),"Ac. Bilaterales (no Erasmus)")</f>
        <v>Ac. Bilaterales (no Erasmus)</v>
      </c>
      <c r="E92" s="2">
        <f>IFERROR(__xludf.DUMMYFUNCTION("""COMPUTED_VALUE"""),5.0)</f>
        <v>5</v>
      </c>
      <c r="F92" s="2" t="str">
        <f>IFERROR(__xludf.DUMMYFUNCTION("""COMPUTED_VALUE"""),"Anual")</f>
        <v>Anual</v>
      </c>
      <c r="G92" s="2" t="str">
        <f>IFERROR(__xludf.DUMMYFUNCTION("""COMPUTED_VALUE"""),"Bilbao")</f>
        <v>Bilbao</v>
      </c>
      <c r="H92" s="2" t="str">
        <f>IFERROR(__xludf.DUMMYFUNCTION("""COMPUTED_VALUE"""),"Ciencias Sociales y Humanas")</f>
        <v>Ciencias Sociales y Humanas</v>
      </c>
      <c r="I92" s="2" t="str">
        <f>IFERROR(__xludf.DUMMYFUNCTION("""COMPUTED_VALUE"""),"Relaciones Internacionales, Relaciones Internacionales + Derecho")</f>
        <v>Relaciones Internacionales, Relaciones Internacionales + Derecho</v>
      </c>
      <c r="J92" s="2" t="str">
        <f>IFERROR(__xludf.DUMMYFUNCTION("""COMPUTED_VALUE"""),"Grado")</f>
        <v>Grado</v>
      </c>
      <c r="K92" s="2" t="str">
        <f>IFERROR(__xludf.DUMMYFUNCTION("""COMPUTED_VALUE"""),"Español")</f>
        <v>Español</v>
      </c>
      <c r="L92" s="2" t="str">
        <f>IFERROR(__xludf.DUMMYFUNCTION("""COMPUTED_VALUE"""),"n/a")</f>
        <v>n/a</v>
      </c>
      <c r="M92" s="2" t="str">
        <f>IFERROR(__xludf.DUMMYFUNCTION("""COMPUTED_VALUE"""),"No")</f>
        <v>No</v>
      </c>
      <c r="N92" s="3" t="str">
        <f>IFERROR(__xludf.DUMMYFUNCTION("""COMPUTED_VALUE"""),"https://www.unla.edu.ar/secretarias/cooperacion-bienestar-y-deporte/direccion-de-cooperacion-internacional")</f>
        <v>https://www.unla.edu.ar/secretarias/cooperacion-bienestar-y-deporte/direccion-de-cooperacion-internacional</v>
      </c>
      <c r="O92" s="2" t="str">
        <f>IFERROR(__xludf.DUMMYFUNCTION("""COMPUTED_VALUE"""),"n/a")</f>
        <v>n/a</v>
      </c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30.0" customHeight="1">
      <c r="A93" s="2" t="str">
        <f>IFERROR(__xludf.DUMMYFUNCTION("""COMPUTED_VALUE"""),"Argentina")</f>
        <v>Argentina</v>
      </c>
      <c r="B93" s="2" t="str">
        <f>IFERROR(__xludf.DUMMYFUNCTION("""COMPUTED_VALUE"""),"RA ROSARIO01")</f>
        <v>RA ROSARIO01</v>
      </c>
      <c r="C93" s="3" t="str">
        <f>IFERROR(__xludf.DUMMYFUNCTION("""COMPUTED_VALUE"""),"Universidad Nacional de Rosario")</f>
        <v>Universidad Nacional de Rosario</v>
      </c>
      <c r="D93" s="2" t="str">
        <f>IFERROR(__xludf.DUMMYFUNCTION("""COMPUTED_VALUE"""),"Ac. Bilaterales (no Erasmus)")</f>
        <v>Ac. Bilaterales (no Erasmus)</v>
      </c>
      <c r="E93" s="2">
        <f>IFERROR(__xludf.DUMMYFUNCTION("""COMPUTED_VALUE"""),4.0)</f>
        <v>4</v>
      </c>
      <c r="F93" s="2" t="str">
        <f>IFERROR(__xludf.DUMMYFUNCTION("""COMPUTED_VALUE"""),"Semestre")</f>
        <v>Semestre</v>
      </c>
      <c r="G93" s="2" t="str">
        <f>IFERROR(__xludf.DUMMYFUNCTION("""COMPUTED_VALUE"""),"Bilbao")</f>
        <v>Bilbao</v>
      </c>
      <c r="H93" s="2" t="str">
        <f>IFERROR(__xludf.DUMMYFUNCTION("""COMPUTED_VALUE"""),"Ingeniería")</f>
        <v>Ingeniería</v>
      </c>
      <c r="I93" s="2" t="str">
        <f>IFERROR(__xludf.DUMMYFUNCTION("""COMPUTED_VALUE"""),"Diseño Industrial, Diseño Industrial + Ingeniería Mecánica")</f>
        <v>Diseño Industrial, Diseño Industrial + Ingeniería Mecánica</v>
      </c>
      <c r="J93" s="2" t="str">
        <f>IFERROR(__xludf.DUMMYFUNCTION("""COMPUTED_VALUE"""),"Grado")</f>
        <v>Grado</v>
      </c>
      <c r="K93" s="2" t="str">
        <f>IFERROR(__xludf.DUMMYFUNCTION("""COMPUTED_VALUE"""),"Español")</f>
        <v>Español</v>
      </c>
      <c r="L93" s="2" t="str">
        <f>IFERROR(__xludf.DUMMYFUNCTION("""COMPUTED_VALUE"""),"n/a")</f>
        <v>n/a</v>
      </c>
      <c r="M93" s="2" t="str">
        <f>IFERROR(__xludf.DUMMYFUNCTION("""COMPUTED_VALUE"""),"No")</f>
        <v>No</v>
      </c>
      <c r="N93" s="3" t="str">
        <f>IFERROR(__xludf.DUMMYFUNCTION("""COMPUTED_VALUE"""),"https://unr.edu.ar/internacionalizacion/")</f>
        <v>https://unr.edu.ar/internacionalizacion/</v>
      </c>
      <c r="O93" s="2" t="str">
        <f>IFERROR(__xludf.DUMMYFUNCTION("""COMPUTED_VALUE"""),"n/a")</f>
        <v>n/a</v>
      </c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30.0" customHeight="1">
      <c r="A94" s="2" t="str">
        <f>IFERROR(__xludf.DUMMYFUNCTION("""COMPUTED_VALUE"""),"Argentina")</f>
        <v>Argentina</v>
      </c>
      <c r="B94" s="2"/>
      <c r="C94" s="3" t="str">
        <f>IFERROR(__xludf.DUMMYFUNCTION("""COMPUTED_VALUE"""),"Universidad Nacional de Villa María")</f>
        <v>Universidad Nacional de Villa María</v>
      </c>
      <c r="D94" s="2" t="str">
        <f>IFERROR(__xludf.DUMMYFUNCTION("""COMPUTED_VALUE"""),"Ac. Bilaterales (no Erasmus)")</f>
        <v>Ac. Bilaterales (no Erasmus)</v>
      </c>
      <c r="E94" s="2">
        <f>IFERROR(__xludf.DUMMYFUNCTION("""COMPUTED_VALUE"""),6.0)</f>
        <v>6</v>
      </c>
      <c r="F94" s="2" t="str">
        <f>IFERROR(__xludf.DUMMYFUNCTION("""COMPUTED_VALUE"""),"Semestre")</f>
        <v>Semestre</v>
      </c>
      <c r="G94" s="2" t="str">
        <f>IFERROR(__xludf.DUMMYFUNCTION("""COMPUTED_VALUE"""),"Bilbao")</f>
        <v>Bilbao</v>
      </c>
      <c r="H94" s="2" t="str">
        <f>IFERROR(__xludf.DUMMYFUNCTION("""COMPUTED_VALUE"""),"Educación y Deporte")</f>
        <v>Educación y Deporte</v>
      </c>
      <c r="I94" s="2" t="str">
        <f>IFERROR(__xludf.DUMMYFUNCTION("""COMPUTED_VALUE"""),"CAFyD")</f>
        <v>CAFyD</v>
      </c>
      <c r="J94" s="2" t="str">
        <f>IFERROR(__xludf.DUMMYFUNCTION("""COMPUTED_VALUE"""),"Grado")</f>
        <v>Grado</v>
      </c>
      <c r="K94" s="2" t="str">
        <f>IFERROR(__xludf.DUMMYFUNCTION("""COMPUTED_VALUE"""),"Español")</f>
        <v>Español</v>
      </c>
      <c r="L94" s="2" t="str">
        <f>IFERROR(__xludf.DUMMYFUNCTION("""COMPUTED_VALUE"""),"n/a")</f>
        <v>n/a</v>
      </c>
      <c r="M94" s="2" t="str">
        <f>IFERROR(__xludf.DUMMYFUNCTION("""COMPUTED_VALUE"""),"No")</f>
        <v>No</v>
      </c>
      <c r="N94" s="3" t="str">
        <f>IFERROR(__xludf.DUMMYFUNCTION("""COMPUTED_VALUE"""),"https://www.unvm.edu.ar/")</f>
        <v>https://www.unvm.edu.ar/</v>
      </c>
      <c r="O94" s="2" t="str">
        <f>IFERROR(__xludf.DUMMYFUNCTION("""COMPUTED_VALUE"""),"n/a")</f>
        <v>n/a</v>
      </c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30.0" customHeight="1">
      <c r="A95" s="2" t="str">
        <f>IFERROR(__xludf.DUMMYFUNCTION("""COMPUTED_VALUE"""),"Argentina")</f>
        <v>Argentina</v>
      </c>
      <c r="B95" s="2"/>
      <c r="C95" s="3" t="str">
        <f>IFERROR(__xludf.DUMMYFUNCTION("""COMPUTED_VALUE"""),"Universidad Nacional de Villa María")</f>
        <v>Universidad Nacional de Villa María</v>
      </c>
      <c r="D95" s="2" t="str">
        <f>IFERROR(__xludf.DUMMYFUNCTION("""COMPUTED_VALUE"""),"Ac. Bilaterales (no Erasmus)")</f>
        <v>Ac. Bilaterales (no Erasmus)</v>
      </c>
      <c r="E95" s="2">
        <f>IFERROR(__xludf.DUMMYFUNCTION("""COMPUTED_VALUE"""),6.0)</f>
        <v>6</v>
      </c>
      <c r="F95" s="2" t="str">
        <f>IFERROR(__xludf.DUMMYFUNCTION("""COMPUTED_VALUE"""),"Semestre")</f>
        <v>Semestre</v>
      </c>
      <c r="G95" s="2" t="str">
        <f>IFERROR(__xludf.DUMMYFUNCTION("""COMPUTED_VALUE"""),"Bilbao")</f>
        <v>Bilbao</v>
      </c>
      <c r="H95" s="2" t="str">
        <f>IFERROR(__xludf.DUMMYFUNCTION("""COMPUTED_VALUE"""),"Educación y Deporte")</f>
        <v>Educación y Deporte</v>
      </c>
      <c r="I95" s="2" t="str">
        <f>IFERROR(__xludf.DUMMYFUNCTION("""COMPUTED_VALUE"""),"Educación Social")</f>
        <v>Educación Social</v>
      </c>
      <c r="J95" s="2" t="str">
        <f>IFERROR(__xludf.DUMMYFUNCTION("""COMPUTED_VALUE"""),"Grado")</f>
        <v>Grado</v>
      </c>
      <c r="K95" s="2" t="str">
        <f>IFERROR(__xludf.DUMMYFUNCTION("""COMPUTED_VALUE"""),"Español")</f>
        <v>Español</v>
      </c>
      <c r="L95" s="2" t="str">
        <f>IFERROR(__xludf.DUMMYFUNCTION("""COMPUTED_VALUE"""),"n/a")</f>
        <v>n/a</v>
      </c>
      <c r="M95" s="2" t="str">
        <f>IFERROR(__xludf.DUMMYFUNCTION("""COMPUTED_VALUE"""),"No")</f>
        <v>No</v>
      </c>
      <c r="N95" s="3" t="str">
        <f>IFERROR(__xludf.DUMMYFUNCTION("""COMPUTED_VALUE"""),"https://www.unvm.edu.ar/")</f>
        <v>https://www.unvm.edu.ar/</v>
      </c>
      <c r="O95" s="2" t="str">
        <f>IFERROR(__xludf.DUMMYFUNCTION("""COMPUTED_VALUE"""),"n/a")</f>
        <v>n/a</v>
      </c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30.0" customHeight="1">
      <c r="A96" s="2" t="str">
        <f>IFERROR(__xludf.DUMMYFUNCTION("""COMPUTED_VALUE"""),"Argentina")</f>
        <v>Argentina</v>
      </c>
      <c r="B96" s="2"/>
      <c r="C96" s="3" t="str">
        <f>IFERROR(__xludf.DUMMYFUNCTION("""COMPUTED_VALUE"""),"Universidad Nacional de Villa María")</f>
        <v>Universidad Nacional de Villa María</v>
      </c>
      <c r="D96" s="2" t="str">
        <f>IFERROR(__xludf.DUMMYFUNCTION("""COMPUTED_VALUE"""),"Ac. Bilaterales (no Erasmus)")</f>
        <v>Ac. Bilaterales (no Erasmus)</v>
      </c>
      <c r="E96" s="2">
        <f>IFERROR(__xludf.DUMMYFUNCTION("""COMPUTED_VALUE"""),6.0)</f>
        <v>6</v>
      </c>
      <c r="F96" s="2" t="str">
        <f>IFERROR(__xludf.DUMMYFUNCTION("""COMPUTED_VALUE"""),"Semestre")</f>
        <v>Semestre</v>
      </c>
      <c r="G96" s="2" t="str">
        <f>IFERROR(__xludf.DUMMYFUNCTION("""COMPUTED_VALUE"""),"Ambos")</f>
        <v>Ambos</v>
      </c>
      <c r="H96" s="2" t="str">
        <f>IFERROR(__xludf.DUMMYFUNCTION("""COMPUTED_VALUE"""),"Ciencias Sociales y Humanas")</f>
        <v>Ciencias Sociales y Humanas</v>
      </c>
      <c r="I96" s="2" t="str">
        <f>IFERROR(__xludf.DUMMYFUNCTION("""COMPUTED_VALUE"""),"Trabajo Social")</f>
        <v>Trabajo Social</v>
      </c>
      <c r="J96" s="2" t="str">
        <f>IFERROR(__xludf.DUMMYFUNCTION("""COMPUTED_VALUE"""),"Grado")</f>
        <v>Grado</v>
      </c>
      <c r="K96" s="2" t="str">
        <f>IFERROR(__xludf.DUMMYFUNCTION("""COMPUTED_VALUE"""),"Español")</f>
        <v>Español</v>
      </c>
      <c r="L96" s="2" t="str">
        <f>IFERROR(__xludf.DUMMYFUNCTION("""COMPUTED_VALUE"""),"n/a")</f>
        <v>n/a</v>
      </c>
      <c r="M96" s="2" t="str">
        <f>IFERROR(__xludf.DUMMYFUNCTION("""COMPUTED_VALUE"""),"No")</f>
        <v>No</v>
      </c>
      <c r="N96" s="3" t="str">
        <f>IFERROR(__xludf.DUMMYFUNCTION("""COMPUTED_VALUE"""),"https://www.unvm.edu.ar/")</f>
        <v>https://www.unvm.edu.ar/</v>
      </c>
      <c r="O96" s="3" t="str">
        <f>IFERROR(__xludf.DUMMYFUNCTION("""COMPUTED_VALUE"""),"Más información / Informazio gehigarria")</f>
        <v>Más información / Informazio gehigarria</v>
      </c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30.0" customHeight="1">
      <c r="A97" s="2" t="str">
        <f>IFERROR(__xludf.DUMMYFUNCTION("""COMPUTED_VALUE"""),"Argentina")</f>
        <v>Argentina</v>
      </c>
      <c r="B97" s="2"/>
      <c r="C97" s="3" t="str">
        <f>IFERROR(__xludf.DUMMYFUNCTION("""COMPUTED_VALUE"""),"Universidad Provincial del Sudoeste")</f>
        <v>Universidad Provincial del Sudoeste</v>
      </c>
      <c r="D97" s="2" t="str">
        <f>IFERROR(__xludf.DUMMYFUNCTION("""COMPUTED_VALUE"""),"Ac. Bilaterales (no Erasmus)")</f>
        <v>Ac. Bilaterales (no Erasmus)</v>
      </c>
      <c r="E97" s="2" t="str">
        <f>IFERROR(__xludf.DUMMYFUNCTION("""COMPUTED_VALUE"""),"Convenio Marco")</f>
        <v>Convenio Marco</v>
      </c>
      <c r="F97" s="2" t="str">
        <f>IFERROR(__xludf.DUMMYFUNCTION("""COMPUTED_VALUE"""),"Semestre")</f>
        <v>Semestre</v>
      </c>
      <c r="G97" s="2" t="str">
        <f>IFERROR(__xludf.DUMMYFUNCTION("""COMPUTED_VALUE"""),"Bilbao")</f>
        <v>Bilbao</v>
      </c>
      <c r="H97" s="2" t="str">
        <f>IFERROR(__xludf.DUMMYFUNCTION("""COMPUTED_VALUE"""),"Educación y Deporte")</f>
        <v>Educación y Deporte</v>
      </c>
      <c r="I97" s="2" t="str">
        <f>IFERROR(__xludf.DUMMYFUNCTION("""COMPUTED_VALUE"""),"CAFyD")</f>
        <v>CAFyD</v>
      </c>
      <c r="J97" s="2" t="str">
        <f>IFERROR(__xludf.DUMMYFUNCTION("""COMPUTED_VALUE"""),"Grado")</f>
        <v>Grado</v>
      </c>
      <c r="K97" s="2" t="str">
        <f>IFERROR(__xludf.DUMMYFUNCTION("""COMPUTED_VALUE"""),"Español")</f>
        <v>Español</v>
      </c>
      <c r="L97" s="2" t="str">
        <f>IFERROR(__xludf.DUMMYFUNCTION("""COMPUTED_VALUE"""),"n/a")</f>
        <v>n/a</v>
      </c>
      <c r="M97" s="2" t="str">
        <f>IFERROR(__xludf.DUMMYFUNCTION("""COMPUTED_VALUE"""),"No")</f>
        <v>No</v>
      </c>
      <c r="N97" s="3" t="str">
        <f>IFERROR(__xludf.DUMMYFUNCTION("""COMPUTED_VALUE"""),"https://www.upso.edu.ar/internacionales/")</f>
        <v>https://www.upso.edu.ar/internacionales/</v>
      </c>
      <c r="O97" s="3" t="str">
        <f>IFERROR(__xludf.DUMMYFUNCTION("""COMPUTED_VALUE"""),"Más información / Informazio gehigarria")</f>
        <v>Más información / Informazio gehigarria</v>
      </c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30.0" customHeight="1">
      <c r="A98" s="2" t="str">
        <f>IFERROR(__xludf.DUMMYFUNCTION("""COMPUTED_VALUE"""),"Australia")</f>
        <v>Australia</v>
      </c>
      <c r="B98" s="2" t="str">
        <f>IFERROR(__xludf.DUMMYFUNCTION("""COMPUTED_VALUE"""),"AUSWOLLON01")</f>
        <v>AUSWOLLON01</v>
      </c>
      <c r="C98" s="3" t="str">
        <f>IFERROR(__xludf.DUMMYFUNCTION("""COMPUTED_VALUE"""),"University of Wollongong")</f>
        <v>University of Wollongong</v>
      </c>
      <c r="D98" s="2" t="str">
        <f>IFERROR(__xludf.DUMMYFUNCTION("""COMPUTED_VALUE"""),"Ac. Bilaterales (no Erasmus)")</f>
        <v>Ac. Bilaterales (no Erasmus)</v>
      </c>
      <c r="E98" s="2">
        <f>IFERROR(__xludf.DUMMYFUNCTION("""COMPUTED_VALUE"""),2.0)</f>
        <v>2</v>
      </c>
      <c r="F98" s="2" t="str">
        <f>IFERROR(__xludf.DUMMYFUNCTION("""COMPUTED_VALUE"""),"Semestre")</f>
        <v>Semestre</v>
      </c>
      <c r="G98" s="2" t="str">
        <f>IFERROR(__xludf.DUMMYFUNCTION("""COMPUTED_VALUE"""),"San Sebastián")</f>
        <v>San Sebastián</v>
      </c>
      <c r="H98" s="2" t="str">
        <f>IFERROR(__xludf.DUMMYFUNCTION("""COMPUTED_VALUE"""),"Deusto Business School")</f>
        <v>Deusto Business School</v>
      </c>
      <c r="I98" s="2" t="str">
        <f>IFERROR(__xludf.DUMMYFUNCTION("""COMPUTED_VALUE"""),"Administración y Dirección de Empresas")</f>
        <v>Administración y Dirección de Empresas</v>
      </c>
      <c r="J98" s="2" t="str">
        <f>IFERROR(__xludf.DUMMYFUNCTION("""COMPUTED_VALUE"""),"Grado")</f>
        <v>Grado</v>
      </c>
      <c r="K98" s="2" t="str">
        <f>IFERROR(__xludf.DUMMYFUNCTION("""COMPUTED_VALUE"""),"Inglés")</f>
        <v>Inglés</v>
      </c>
      <c r="L98" s="2" t="str">
        <f>IFERROR(__xludf.DUMMYFUNCTION("""COMPUTED_VALUE"""),"C1")</f>
        <v>C1</v>
      </c>
      <c r="M98" s="2" t="str">
        <f>IFERROR(__xludf.DUMMYFUNCTION("""COMPUTED_VALUE"""),"Sí")</f>
        <v>Sí</v>
      </c>
      <c r="N98" s="3" t="str">
        <f>IFERROR(__xludf.DUMMYFUNCTION("""COMPUTED_VALUE"""),"https://www.uow.edu.au/study/international/")</f>
        <v>https://www.uow.edu.au/study/international/</v>
      </c>
      <c r="O98" s="3" t="str">
        <f>IFERROR(__xludf.DUMMYFUNCTION("""COMPUTED_VALUE"""),"Más información / Informazio gehigarria")</f>
        <v>Más información / Informazio gehigarria</v>
      </c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30.0" customHeight="1">
      <c r="A99" s="2" t="str">
        <f>IFERROR(__xludf.DUMMYFUNCTION("""COMPUTED_VALUE"""),"Austria")</f>
        <v>Austria</v>
      </c>
      <c r="B99" s="2" t="str">
        <f>IFERROR(__xludf.DUMMYFUNCTION("""COMPUTED_VALUE"""),"A KLAGENF01")</f>
        <v>A KLAGENF01</v>
      </c>
      <c r="C99" s="3" t="str">
        <f>IFERROR(__xludf.DUMMYFUNCTION("""COMPUTED_VALUE"""),"Alpen-Adria-Universität")</f>
        <v>Alpen-Adria-Universität</v>
      </c>
      <c r="D99" s="2" t="str">
        <f>IFERROR(__xludf.DUMMYFUNCTION("""COMPUTED_VALUE"""),"Erasmus+")</f>
        <v>Erasmus+</v>
      </c>
      <c r="E99" s="2">
        <f>IFERROR(__xludf.DUMMYFUNCTION("""COMPUTED_VALUE"""),2.0)</f>
        <v>2</v>
      </c>
      <c r="F99" s="2" t="str">
        <f>IFERROR(__xludf.DUMMYFUNCTION("""COMPUTED_VALUE"""),"Semestre")</f>
        <v>Semestre</v>
      </c>
      <c r="G99" s="2" t="str">
        <f>IFERROR(__xludf.DUMMYFUNCTION("""COMPUTED_VALUE"""),"Ambos")</f>
        <v>Ambos</v>
      </c>
      <c r="H99" s="2" t="str">
        <f>IFERROR(__xludf.DUMMYFUNCTION("""COMPUTED_VALUE"""),"Ingeniería")</f>
        <v>Ingeniería</v>
      </c>
      <c r="I99" s="2" t="str">
        <f>IFERROR(__xludf.DUMMYFUNCTION("""COMPUTED_VALUE"""),"Ingeniería Informática, Ingeniería Informática + Videojuegos")</f>
        <v>Ingeniería Informática, Ingeniería Informática + Videojuegos</v>
      </c>
      <c r="J99" s="2" t="str">
        <f>IFERROR(__xludf.DUMMYFUNCTION("""COMPUTED_VALUE"""),"Grado")</f>
        <v>Grado</v>
      </c>
      <c r="K99" s="2" t="str">
        <f>IFERROR(__xludf.DUMMYFUNCTION("""COMPUTED_VALUE"""),"Alemán / Inglés")</f>
        <v>Alemán / Inglés</v>
      </c>
      <c r="L99" s="2" t="str">
        <f>IFERROR(__xludf.DUMMYFUNCTION("""COMPUTED_VALUE"""),"B2")</f>
        <v>B2</v>
      </c>
      <c r="M99" s="2" t="str">
        <f>IFERROR(__xludf.DUMMYFUNCTION("""COMPUTED_VALUE"""),"No")</f>
        <v>No</v>
      </c>
      <c r="N99" s="3" t="str">
        <f>IFERROR(__xludf.DUMMYFUNCTION("""COMPUTED_VALUE"""),"https://www.aau.at/en/study/support/faqs/#toggle-id-24")</f>
        <v>https://www.aau.at/en/study/support/faqs/#toggle-id-24</v>
      </c>
      <c r="O99" s="3" t="str">
        <f>IFERROR(__xludf.DUMMYFUNCTION("""COMPUTED_VALUE"""),"Más información / Informazio gehigarria")</f>
        <v>Más información / Informazio gehigarria</v>
      </c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30.0" customHeight="1">
      <c r="A100" s="2" t="str">
        <f>IFERROR(__xludf.DUMMYFUNCTION("""COMPUTED_VALUE"""),"Austria")</f>
        <v>Austria</v>
      </c>
      <c r="B100" s="2" t="str">
        <f>IFERROR(__xludf.DUMMYFUNCTION("""COMPUTED_VALUE"""),"A WIEN63")</f>
        <v>A WIEN63</v>
      </c>
      <c r="C100" s="3" t="str">
        <f>IFERROR(__xludf.DUMMYFUNCTION("""COMPUTED_VALUE"""),"FH Campus Wien")</f>
        <v>FH Campus Wien</v>
      </c>
      <c r="D100" s="2" t="str">
        <f>IFERROR(__xludf.DUMMYFUNCTION("""COMPUTED_VALUE"""),"Erasmus+")</f>
        <v>Erasmus+</v>
      </c>
      <c r="E100" s="2">
        <f>IFERROR(__xludf.DUMMYFUNCTION("""COMPUTED_VALUE"""),2.0)</f>
        <v>2</v>
      </c>
      <c r="F100" s="2" t="str">
        <f>IFERROR(__xludf.DUMMYFUNCTION("""COMPUTED_VALUE"""),"Semestre")</f>
        <v>Semestre</v>
      </c>
      <c r="G100" s="2" t="str">
        <f>IFERROR(__xludf.DUMMYFUNCTION("""COMPUTED_VALUE"""),"Ambos")</f>
        <v>Ambos</v>
      </c>
      <c r="H100" s="2" t="str">
        <f>IFERROR(__xludf.DUMMYFUNCTION("""COMPUTED_VALUE"""),"Ingeniería")</f>
        <v>Ingeniería</v>
      </c>
      <c r="I100" s="2" t="str">
        <f>IFERROR(__xludf.DUMMYFUNCTION("""COMPUTED_VALUE"""),"Ingeniería Informática, Ciencia de Datos e IA + Ingeniería Informática, Ingeniería Informática + Videojuegos")</f>
        <v>Ingeniería Informática, Ciencia de Datos e IA + Ingeniería Informática, Ingeniería Informática + Videojuegos</v>
      </c>
      <c r="J100" s="2" t="str">
        <f>IFERROR(__xludf.DUMMYFUNCTION("""COMPUTED_VALUE"""),"Grado")</f>
        <v>Grado</v>
      </c>
      <c r="K100" s="2" t="str">
        <f>IFERROR(__xludf.DUMMYFUNCTION("""COMPUTED_VALUE"""),"Alemán")</f>
        <v>Alemán</v>
      </c>
      <c r="L100" s="2" t="str">
        <f>IFERROR(__xludf.DUMMYFUNCTION("""COMPUTED_VALUE"""),"B2")</f>
        <v>B2</v>
      </c>
      <c r="M100" s="2" t="str">
        <f>IFERROR(__xludf.DUMMYFUNCTION("""COMPUTED_VALUE"""),"Sí")</f>
        <v>Sí</v>
      </c>
      <c r="N100" s="3" t="str">
        <f>IFERROR(__xludf.DUMMYFUNCTION("""COMPUTED_VALUE"""),"https://www.fh-campuswien.ac.at/en/international/incomings.html")</f>
        <v>https://www.fh-campuswien.ac.at/en/international/incomings.html</v>
      </c>
      <c r="O100" s="3" t="str">
        <f>IFERROR(__xludf.DUMMYFUNCTION("""COMPUTED_VALUE"""),"Más información / Informazio gehigarria")</f>
        <v>Más información / Informazio gehigarria</v>
      </c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30.0" customHeight="1">
      <c r="A101" s="2" t="str">
        <f>IFERROR(__xludf.DUMMYFUNCTION("""COMPUTED_VALUE"""),"Austria")</f>
        <v>Austria</v>
      </c>
      <c r="B101" s="2" t="str">
        <f>IFERROR(__xludf.DUMMYFUNCTION("""COMPUTED_VALUE"""),"A WIEN21")</f>
        <v>A WIEN21</v>
      </c>
      <c r="C101" s="3" t="str">
        <f>IFERROR(__xludf.DUMMYFUNCTION("""COMPUTED_VALUE"""),"FhWien University of Applied Sciences")</f>
        <v>FhWien University of Applied Sciences</v>
      </c>
      <c r="D101" s="2" t="str">
        <f>IFERROR(__xludf.DUMMYFUNCTION("""COMPUTED_VALUE"""),"Erasmus+")</f>
        <v>Erasmus+</v>
      </c>
      <c r="E101" s="2">
        <f>IFERROR(__xludf.DUMMYFUNCTION("""COMPUTED_VALUE"""),4.0)</f>
        <v>4</v>
      </c>
      <c r="F101" s="2" t="str">
        <f>IFERROR(__xludf.DUMMYFUNCTION("""COMPUTED_VALUE"""),"Semestre")</f>
        <v>Semestre</v>
      </c>
      <c r="G101" s="2" t="str">
        <f>IFERROR(__xludf.DUMMYFUNCTION("""COMPUTED_VALUE"""),"Bilbao")</f>
        <v>Bilbao</v>
      </c>
      <c r="H101" s="2" t="str">
        <f>IFERROR(__xludf.DUMMYFUNCTION("""COMPUTED_VALUE"""),"Ciencias Sociales y Humanas")</f>
        <v>Ciencias Sociales y Humanas</v>
      </c>
      <c r="I101" s="2" t="str">
        <f>IFERROR(__xludf.DUMMYFUNCTION("""COMPUTED_VALUE"""),"Turismo")</f>
        <v>Turismo</v>
      </c>
      <c r="J101" s="2" t="str">
        <f>IFERROR(__xludf.DUMMYFUNCTION("""COMPUTED_VALUE"""),"Grado")</f>
        <v>Grado</v>
      </c>
      <c r="K101" s="2" t="str">
        <f>IFERROR(__xludf.DUMMYFUNCTION("""COMPUTED_VALUE"""),"Alemán / Inglés")</f>
        <v>Alemán / Inglés</v>
      </c>
      <c r="L101" s="2" t="str">
        <f>IFERROR(__xludf.DUMMYFUNCTION("""COMPUTED_VALUE"""),"C1 / B2")</f>
        <v>C1 / B2</v>
      </c>
      <c r="M101" s="2" t="str">
        <f>IFERROR(__xludf.DUMMYFUNCTION("""COMPUTED_VALUE"""),"Sí")</f>
        <v>Sí</v>
      </c>
      <c r="N101" s="3" t="str">
        <f>IFERROR(__xludf.DUMMYFUNCTION("""COMPUTED_VALUE"""),"https://www.fh-vie.ac.at/en/pages/studies/international-students/applications-acceptance-1#:~:text=Required%20language%20level,require%20English%20competence%20level%20C1.")</f>
        <v>https://www.fh-vie.ac.at/en/pages/studies/international-students/applications-acceptance-1#:~:text=Required%20language%20level,require%20English%20competence%20level%20C1.</v>
      </c>
      <c r="O101" s="3" t="str">
        <f>IFERROR(__xludf.DUMMYFUNCTION("""COMPUTED_VALUE"""),"Más información / Informazio gehigarria")</f>
        <v>Más información / Informazio gehigarria</v>
      </c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30.0" customHeight="1">
      <c r="A102" s="2" t="str">
        <f>IFERROR(__xludf.DUMMYFUNCTION("""COMPUTED_VALUE"""),"Austria")</f>
        <v>Austria</v>
      </c>
      <c r="B102" s="2" t="str">
        <f>IFERROR(__xludf.DUMMYFUNCTION("""COMPUTED_VALUE"""),"A WIEN21")</f>
        <v>A WIEN21</v>
      </c>
      <c r="C102" s="3" t="str">
        <f>IFERROR(__xludf.DUMMYFUNCTION("""COMPUTED_VALUE"""),"FhWien University of Applied Sciences")</f>
        <v>FhWien University of Applied Sciences</v>
      </c>
      <c r="D102" s="2" t="str">
        <f>IFERROR(__xludf.DUMMYFUNCTION("""COMPUTED_VALUE"""),"Erasmus+")</f>
        <v>Erasmus+</v>
      </c>
      <c r="E102" s="2">
        <f>IFERROR(__xludf.DUMMYFUNCTION("""COMPUTED_VALUE"""),2.0)</f>
        <v>2</v>
      </c>
      <c r="F102" s="2" t="str">
        <f>IFERROR(__xludf.DUMMYFUNCTION("""COMPUTED_VALUE"""),"Semestre")</f>
        <v>Semestre</v>
      </c>
      <c r="G102" s="2" t="str">
        <f>IFERROR(__xludf.DUMMYFUNCTION("""COMPUTED_VALUE"""),"San Sebastián")</f>
        <v>San Sebastián</v>
      </c>
      <c r="H102" s="2" t="str">
        <f>IFERROR(__xludf.DUMMYFUNCTION("""COMPUTED_VALUE"""),"Ciencias Sociales y Humanas")</f>
        <v>Ciencias Sociales y Humanas</v>
      </c>
      <c r="I102" s="2" t="str">
        <f>IFERROR(__xludf.DUMMYFUNCTION("""COMPUTED_VALUE"""),"Comunicación")</f>
        <v>Comunicación</v>
      </c>
      <c r="J102" s="2" t="str">
        <f>IFERROR(__xludf.DUMMYFUNCTION("""COMPUTED_VALUE"""),"Grado")</f>
        <v>Grado</v>
      </c>
      <c r="K102" s="2" t="str">
        <f>IFERROR(__xludf.DUMMYFUNCTION("""COMPUTED_VALUE"""),"Alemán / Inglés")</f>
        <v>Alemán / Inglés</v>
      </c>
      <c r="L102" s="2" t="str">
        <f>IFERROR(__xludf.DUMMYFUNCTION("""COMPUTED_VALUE"""),"C1 / B2")</f>
        <v>C1 / B2</v>
      </c>
      <c r="M102" s="2" t="str">
        <f>IFERROR(__xludf.DUMMYFUNCTION("""COMPUTED_VALUE"""),"Sí")</f>
        <v>Sí</v>
      </c>
      <c r="N102" s="3" t="str">
        <f>IFERROR(__xludf.DUMMYFUNCTION("""COMPUTED_VALUE"""),"https://www.fh-wien.ac.at/en/study/international/incoming-students/")</f>
        <v>https://www.fh-wien.ac.at/en/study/international/incoming-students/</v>
      </c>
      <c r="O102" s="3" t="str">
        <f>IFERROR(__xludf.DUMMYFUNCTION("""COMPUTED_VALUE"""),"Más información / Informazio gehigarria")</f>
        <v>Más información / Informazio gehigarria</v>
      </c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30.0" customHeight="1">
      <c r="A103" s="2" t="str">
        <f>IFERROR(__xludf.DUMMYFUNCTION("""COMPUTED_VALUE"""),"Austria")</f>
        <v>Austria</v>
      </c>
      <c r="B103" s="2" t="str">
        <f>IFERROR(__xludf.DUMMYFUNCTION("""COMPUTED_VALUE"""),"A KREMS03")</f>
        <v>A KREMS03</v>
      </c>
      <c r="C103" s="3" t="str">
        <f>IFERROR(__xludf.DUMMYFUNCTION("""COMPUTED_VALUE"""),"Internationales Management Centre (IMC) Krems")</f>
        <v>Internationales Management Centre (IMC) Krems</v>
      </c>
      <c r="D103" s="2" t="str">
        <f>IFERROR(__xludf.DUMMYFUNCTION("""COMPUTED_VALUE"""),"Erasmus+")</f>
        <v>Erasmus+</v>
      </c>
      <c r="E103" s="2">
        <f>IFERROR(__xludf.DUMMYFUNCTION("""COMPUTED_VALUE"""),2.0)</f>
        <v>2</v>
      </c>
      <c r="F103" s="2" t="str">
        <f>IFERROR(__xludf.DUMMYFUNCTION("""COMPUTED_VALUE"""),"Semestre")</f>
        <v>Semestre</v>
      </c>
      <c r="G103" s="2" t="str">
        <f>IFERROR(__xludf.DUMMYFUNCTION("""COMPUTED_VALUE"""),"Bilbao")</f>
        <v>Bilbao</v>
      </c>
      <c r="H103" s="2" t="str">
        <f>IFERROR(__xludf.DUMMYFUNCTION("""COMPUTED_VALUE"""),"Ciencias Sociales y Humanas")</f>
        <v>Ciencias Sociales y Humanas</v>
      </c>
      <c r="I103" s="2" t="str">
        <f>IFERROR(__xludf.DUMMYFUNCTION("""COMPUTED_VALUE"""),"Turismo")</f>
        <v>Turismo</v>
      </c>
      <c r="J103" s="2" t="str">
        <f>IFERROR(__xludf.DUMMYFUNCTION("""COMPUTED_VALUE"""),"Grado")</f>
        <v>Grado</v>
      </c>
      <c r="K103" s="2" t="str">
        <f>IFERROR(__xludf.DUMMYFUNCTION("""COMPUTED_VALUE"""),"Inglés")</f>
        <v>Inglés</v>
      </c>
      <c r="L103" s="2" t="str">
        <f>IFERROR(__xludf.DUMMYFUNCTION("""COMPUTED_VALUE"""),"B2")</f>
        <v>B2</v>
      </c>
      <c r="M103" s="2" t="str">
        <f>IFERROR(__xludf.DUMMYFUNCTION("""COMPUTED_VALUE"""),"No")</f>
        <v>No</v>
      </c>
      <c r="N103" s="3" t="str">
        <f>IFERROR(__xludf.DUMMYFUNCTION("""COMPUTED_VALUE"""),"https://www.fh-krems.ac.at/en/international-focus/exchange-semesters-at-imc-krems/#course-selection")</f>
        <v>https://www.fh-krems.ac.at/en/international-focus/exchange-semesters-at-imc-krems/#course-selection</v>
      </c>
      <c r="O103" s="3" t="str">
        <f>IFERROR(__xludf.DUMMYFUNCTION("""COMPUTED_VALUE"""),"Más información / Informazio gehigarria")</f>
        <v>Más información / Informazio gehigarria</v>
      </c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30.0" customHeight="1">
      <c r="A104" s="2" t="str">
        <f>IFERROR(__xludf.DUMMYFUNCTION("""COMPUTED_VALUE"""),"Austria")</f>
        <v>Austria</v>
      </c>
      <c r="B104" s="2" t="str">
        <f>IFERROR(__xludf.DUMMYFUNCTION("""COMPUTED_VALUE"""),"A LINZ01")</f>
        <v>A LINZ01</v>
      </c>
      <c r="C104" s="3" t="str">
        <f>IFERROR(__xludf.DUMMYFUNCTION("""COMPUTED_VALUE"""),"Johannes Kepler Universität Linz")</f>
        <v>Johannes Kepler Universität Linz</v>
      </c>
      <c r="D104" s="2" t="str">
        <f>IFERROR(__xludf.DUMMYFUNCTION("""COMPUTED_VALUE"""),"Erasmus+")</f>
        <v>Erasmus+</v>
      </c>
      <c r="E104" s="2">
        <f>IFERROR(__xludf.DUMMYFUNCTION("""COMPUTED_VALUE"""),2.0)</f>
        <v>2</v>
      </c>
      <c r="F104" s="2" t="str">
        <f>IFERROR(__xludf.DUMMYFUNCTION("""COMPUTED_VALUE"""),"Ambos semestres")</f>
        <v>Ambos semestres</v>
      </c>
      <c r="G104" s="2" t="str">
        <f>IFERROR(__xludf.DUMMYFUNCTION("""COMPUTED_VALUE"""),"Bilbao")</f>
        <v>Bilbao</v>
      </c>
      <c r="H104" s="2" t="str">
        <f>IFERROR(__xludf.DUMMYFUNCTION("""COMPUTED_VALUE"""),"Deusto Business School")</f>
        <v>Deusto Business School</v>
      </c>
      <c r="I104" s="2" t="str">
        <f>IFERROR(__xludf.DUMMYFUNCTION("""COMPUTED_VALUE"""),"Administración y Dirección de Empresas")</f>
        <v>Administración y Dirección de Empresas</v>
      </c>
      <c r="J104" s="2" t="str">
        <f>IFERROR(__xludf.DUMMYFUNCTION("""COMPUTED_VALUE"""),"Grado")</f>
        <v>Grado</v>
      </c>
      <c r="K104" s="2" t="str">
        <f>IFERROR(__xludf.DUMMYFUNCTION("""COMPUTED_VALUE"""),"Alemán")</f>
        <v>Alemán</v>
      </c>
      <c r="L104" s="2" t="str">
        <f>IFERROR(__xludf.DUMMYFUNCTION("""COMPUTED_VALUE"""),"B2")</f>
        <v>B2</v>
      </c>
      <c r="M104" s="2" t="str">
        <f>IFERROR(__xludf.DUMMYFUNCTION("""COMPUTED_VALUE"""),"Sí")</f>
        <v>Sí</v>
      </c>
      <c r="N104" s="3" t="str">
        <f>IFERROR(__xludf.DUMMYFUNCTION("""COMPUTED_VALUE"""),"https://www.jku.at/en/degree-programs/international-students/exchange-students/")</f>
        <v>https://www.jku.at/en/degree-programs/international-students/exchange-students/</v>
      </c>
      <c r="O104" s="3" t="str">
        <f>IFERROR(__xludf.DUMMYFUNCTION("""COMPUTED_VALUE"""),"Más información / Informazio gehigarria")</f>
        <v>Más información / Informazio gehigarria</v>
      </c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30.0" customHeight="1">
      <c r="A105" s="2" t="str">
        <f>IFERROR(__xludf.DUMMYFUNCTION("""COMPUTED_VALUE"""),"Austria")</f>
        <v>Austria</v>
      </c>
      <c r="B105" s="2" t="str">
        <f>IFERROR(__xludf.DUMMYFUNCTION("""COMPUTED_VALUE"""),"A LINZ01")</f>
        <v>A LINZ01</v>
      </c>
      <c r="C105" s="3" t="str">
        <f>IFERROR(__xludf.DUMMYFUNCTION("""COMPUTED_VALUE"""),"Johannes-Kepler-Universität Linz")</f>
        <v>Johannes-Kepler-Universität Linz</v>
      </c>
      <c r="D105" s="2" t="str">
        <f>IFERROR(__xludf.DUMMYFUNCTION("""COMPUTED_VALUE"""),"Erasmus+")</f>
        <v>Erasmus+</v>
      </c>
      <c r="E105" s="2">
        <f>IFERROR(__xludf.DUMMYFUNCTION("""COMPUTED_VALUE"""),2.0)</f>
        <v>2</v>
      </c>
      <c r="F105" s="2" t="str">
        <f>IFERROR(__xludf.DUMMYFUNCTION("""COMPUTED_VALUE"""),"Semestre")</f>
        <v>Semestre</v>
      </c>
      <c r="G105" s="2" t="str">
        <f>IFERROR(__xludf.DUMMYFUNCTION("""COMPUTED_VALUE"""),"Ambos")</f>
        <v>Ambos</v>
      </c>
      <c r="H105" s="2" t="str">
        <f>IFERROR(__xludf.DUMMYFUNCTION("""COMPUTED_VALUE"""),"Ingeniería")</f>
        <v>Ingeniería</v>
      </c>
      <c r="I105" s="2" t="str">
        <f>IFERROR(__xludf.DUMMYFUNCTION("""COMPUTED_VALUE"""),"Organización Industrial, Ingeniería Informática, Ingeniería Informática + Videojuegos")</f>
        <v>Organización Industrial, Ingeniería Informática, Ingeniería Informática + Videojuegos</v>
      </c>
      <c r="J105" s="2" t="str">
        <f>IFERROR(__xludf.DUMMYFUNCTION("""COMPUTED_VALUE"""),"Grado")</f>
        <v>Grado</v>
      </c>
      <c r="K105" s="2" t="str">
        <f>IFERROR(__xludf.DUMMYFUNCTION("""COMPUTED_VALUE"""),"Alemán / Inglés")</f>
        <v>Alemán / Inglés</v>
      </c>
      <c r="L105" s="2" t="str">
        <f>IFERROR(__xludf.DUMMYFUNCTION("""COMPUTED_VALUE"""),"B2")</f>
        <v>B2</v>
      </c>
      <c r="M105" s="2" t="str">
        <f>IFERROR(__xludf.DUMMYFUNCTION("""COMPUTED_VALUE"""),"Sí")</f>
        <v>Sí</v>
      </c>
      <c r="N105" s="3" t="str">
        <f>IFERROR(__xludf.DUMMYFUNCTION("""COMPUTED_VALUE"""),"https://www.jku.at/en/degree-programs/international-students/exchange-students/")</f>
        <v>https://www.jku.at/en/degree-programs/international-students/exchange-students/</v>
      </c>
      <c r="O105" s="3" t="str">
        <f>IFERROR(__xludf.DUMMYFUNCTION("""COMPUTED_VALUE"""),"Más información / Informazio gehigarria")</f>
        <v>Más información / Informazio gehigarria</v>
      </c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30.0" customHeight="1">
      <c r="A106" s="2" t="str">
        <f>IFERROR(__xludf.DUMMYFUNCTION("""COMPUTED_VALUE"""),"Austria")</f>
        <v>Austria</v>
      </c>
      <c r="B106" s="2" t="str">
        <f>IFERROR(__xludf.DUMMYFUNCTION("""COMPUTED_VALUE"""),"A INNSBRU09")</f>
        <v>A INNSBRU09</v>
      </c>
      <c r="C106" s="3" t="str">
        <f>IFERROR(__xludf.DUMMYFUNCTION("""COMPUTED_VALUE"""),"Kirchliche Padagogische Hochschule - Edith Stein")</f>
        <v>Kirchliche Padagogische Hochschule - Edith Stein</v>
      </c>
      <c r="D106" s="2" t="str">
        <f>IFERROR(__xludf.DUMMYFUNCTION("""COMPUTED_VALUE"""),"Erasmus+")</f>
        <v>Erasmus+</v>
      </c>
      <c r="E106" s="2">
        <f>IFERROR(__xludf.DUMMYFUNCTION("""COMPUTED_VALUE"""),5.0)</f>
        <v>5</v>
      </c>
      <c r="F106" s="2" t="str">
        <f>IFERROR(__xludf.DUMMYFUNCTION("""COMPUTED_VALUE"""),"Semestre")</f>
        <v>Semestre</v>
      </c>
      <c r="G106" s="2" t="str">
        <f>IFERROR(__xludf.DUMMYFUNCTION("""COMPUTED_VALUE"""),"Bilbao")</f>
        <v>Bilbao</v>
      </c>
      <c r="H106" s="2" t="str">
        <f>IFERROR(__xludf.DUMMYFUNCTION("""COMPUTED_VALUE"""),"Begoñako Andramari, BAM")</f>
        <v>Begoñako Andramari, BAM</v>
      </c>
      <c r="I106" s="2" t="str">
        <f>IFERROR(__xludf.DUMMYFUNCTION("""COMPUTED_VALUE"""),"Educación Primaria, Educación Infantil")</f>
        <v>Educación Primaria, Educación Infantil</v>
      </c>
      <c r="J106" s="2" t="str">
        <f>IFERROR(__xludf.DUMMYFUNCTION("""COMPUTED_VALUE"""),"Grado")</f>
        <v>Grado</v>
      </c>
      <c r="K106" s="2" t="str">
        <f>IFERROR(__xludf.DUMMYFUNCTION("""COMPUTED_VALUE"""),"Alemán")</f>
        <v>Alemán</v>
      </c>
      <c r="L106" s="2" t="str">
        <f>IFERROR(__xludf.DUMMYFUNCTION("""COMPUTED_VALUE"""),"B2")</f>
        <v>B2</v>
      </c>
      <c r="M106" s="2" t="str">
        <f>IFERROR(__xludf.DUMMYFUNCTION("""COMPUTED_VALUE"""),"No")</f>
        <v>No</v>
      </c>
      <c r="N106" s="3" t="str">
        <f>IFERROR(__xludf.DUMMYFUNCTION("""COMPUTED_VALUE"""),"https://www.kph-es.at/internationales/incoming-students/language-policy")</f>
        <v>https://www.kph-es.at/internationales/incoming-students/language-policy</v>
      </c>
      <c r="O106" s="3" t="str">
        <f>IFERROR(__xludf.DUMMYFUNCTION("""COMPUTED_VALUE"""),"Más información / Informazio gehigarria")</f>
        <v>Más información / Informazio gehigarria</v>
      </c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30.0" customHeight="1">
      <c r="A107" s="2" t="str">
        <f>IFERROR(__xludf.DUMMYFUNCTION("""COMPUTED_VALUE"""),"Austria")</f>
        <v>Austria</v>
      </c>
      <c r="B107" s="2" t="str">
        <f>IFERROR(__xludf.DUMMYFUNCTION("""COMPUTED_VALUE"""),"A INNSBRU08")</f>
        <v>A INNSBRU08</v>
      </c>
      <c r="C107" s="3" t="str">
        <f>IFERROR(__xludf.DUMMYFUNCTION("""COMPUTED_VALUE"""),"Management Center Innsbruck")</f>
        <v>Management Center Innsbruck</v>
      </c>
      <c r="D107" s="2" t="str">
        <f>IFERROR(__xludf.DUMMYFUNCTION("""COMPUTED_VALUE"""),"Erasmus+")</f>
        <v>Erasmus+</v>
      </c>
      <c r="E107" s="2">
        <f>IFERROR(__xludf.DUMMYFUNCTION("""COMPUTED_VALUE"""),2.0)</f>
        <v>2</v>
      </c>
      <c r="F107" s="2" t="str">
        <f>IFERROR(__xludf.DUMMYFUNCTION("""COMPUTED_VALUE"""),"Ambos semestres")</f>
        <v>Ambos semestres</v>
      </c>
      <c r="G107" s="2" t="str">
        <f>IFERROR(__xludf.DUMMYFUNCTION("""COMPUTED_VALUE"""),"Bilbao")</f>
        <v>Bilbao</v>
      </c>
      <c r="H107" s="2" t="str">
        <f>IFERROR(__xludf.DUMMYFUNCTION("""COMPUTED_VALUE"""),"Deusto Business School")</f>
        <v>Deusto Business School</v>
      </c>
      <c r="I107" s="2" t="str">
        <f>IFERROR(__xludf.DUMMYFUNCTION("""COMPUTED_VALUE"""),"Administración y Dirección de Empresas")</f>
        <v>Administración y Dirección de Empresas</v>
      </c>
      <c r="J107" s="2" t="str">
        <f>IFERROR(__xludf.DUMMYFUNCTION("""COMPUTED_VALUE"""),"Grado")</f>
        <v>Grado</v>
      </c>
      <c r="K107" s="2" t="str">
        <f>IFERROR(__xludf.DUMMYFUNCTION("""COMPUTED_VALUE"""),"Alemán / Inglés")</f>
        <v>Alemán / Inglés</v>
      </c>
      <c r="L107" s="2" t="str">
        <f>IFERROR(__xludf.DUMMYFUNCTION("""COMPUTED_VALUE"""),"Ger B2 / Eng C1")</f>
        <v>Ger B2 / Eng C1</v>
      </c>
      <c r="M107" s="2" t="str">
        <f>IFERROR(__xludf.DUMMYFUNCTION("""COMPUTED_VALUE"""),"Sí")</f>
        <v>Sí</v>
      </c>
      <c r="N107" s="3" t="str">
        <f>IFERROR(__xludf.DUMMYFUNCTION("""COMPUTED_VALUE"""),"https://www.mci4me.at/en/international/study-internationally/exchange-students")</f>
        <v>https://www.mci4me.at/en/international/study-internationally/exchange-students</v>
      </c>
      <c r="O107" s="3" t="str">
        <f>IFERROR(__xludf.DUMMYFUNCTION("""COMPUTED_VALUE"""),"Más información / Informazio gehigarria")</f>
        <v>Más información / Informazio gehigarria</v>
      </c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30.0" customHeight="1">
      <c r="A108" s="2" t="str">
        <f>IFERROR(__xludf.DUMMYFUNCTION("""COMPUTED_VALUE"""),"Austria")</f>
        <v>Austria</v>
      </c>
      <c r="B108" s="2" t="str">
        <f>IFERROR(__xludf.DUMMYFUNCTION("""COMPUTED_VALUE"""),"A INNSBRU08")</f>
        <v>A INNSBRU08</v>
      </c>
      <c r="C108" s="3" t="str">
        <f>IFERROR(__xludf.DUMMYFUNCTION("""COMPUTED_VALUE"""),"Management Center Innsbruck")</f>
        <v>Management Center Innsbruck</v>
      </c>
      <c r="D108" s="2" t="str">
        <f>IFERROR(__xludf.DUMMYFUNCTION("""COMPUTED_VALUE"""),"Erasmus+")</f>
        <v>Erasmus+</v>
      </c>
      <c r="E108" s="2">
        <f>IFERROR(__xludf.DUMMYFUNCTION("""COMPUTED_VALUE"""),2.0)</f>
        <v>2</v>
      </c>
      <c r="F108" s="2" t="str">
        <f>IFERROR(__xludf.DUMMYFUNCTION("""COMPUTED_VALUE"""),"Ambos semestres")</f>
        <v>Ambos semestres</v>
      </c>
      <c r="G108" s="2" t="str">
        <f>IFERROR(__xludf.DUMMYFUNCTION("""COMPUTED_VALUE"""),"San Sebastián")</f>
        <v>San Sebastián</v>
      </c>
      <c r="H108" s="2" t="str">
        <f>IFERROR(__xludf.DUMMYFUNCTION("""COMPUTED_VALUE"""),"Deusto Business School")</f>
        <v>Deusto Business School</v>
      </c>
      <c r="I108" s="2" t="str">
        <f>IFERROR(__xludf.DUMMYFUNCTION("""COMPUTED_VALUE"""),"Administración y Dirección de Empresas")</f>
        <v>Administración y Dirección de Empresas</v>
      </c>
      <c r="J108" s="2" t="str">
        <f>IFERROR(__xludf.DUMMYFUNCTION("""COMPUTED_VALUE"""),"Grado")</f>
        <v>Grado</v>
      </c>
      <c r="K108" s="2" t="str">
        <f>IFERROR(__xludf.DUMMYFUNCTION("""COMPUTED_VALUE"""),"Inglés")</f>
        <v>Inglés</v>
      </c>
      <c r="L108" s="2" t="str">
        <f>IFERROR(__xludf.DUMMYFUNCTION("""COMPUTED_VALUE"""),"B2")</f>
        <v>B2</v>
      </c>
      <c r="M108" s="2" t="str">
        <f>IFERROR(__xludf.DUMMYFUNCTION("""COMPUTED_VALUE"""),"Sí")</f>
        <v>Sí</v>
      </c>
      <c r="N108" s="3" t="str">
        <f>IFERROR(__xludf.DUMMYFUNCTION("""COMPUTED_VALUE"""),"https://www.mci4me.at/en/international/study-internationally/exchange-students")</f>
        <v>https://www.mci4me.at/en/international/study-internationally/exchange-students</v>
      </c>
      <c r="O108" s="3" t="str">
        <f>IFERROR(__xludf.DUMMYFUNCTION("""COMPUTED_VALUE"""),"Más información / Informazio gehigarria")</f>
        <v>Más información / Informazio gehigarria</v>
      </c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30.0" customHeight="1">
      <c r="A109" s="2" t="str">
        <f>IFERROR(__xludf.DUMMYFUNCTION("""COMPUTED_VALUE"""),"Austria")</f>
        <v>Austria</v>
      </c>
      <c r="B109" s="2" t="str">
        <f>IFERROR(__xludf.DUMMYFUNCTION("""COMPUTED_VALUE"""),"A INNSBRU08")</f>
        <v>A INNSBRU08</v>
      </c>
      <c r="C109" s="3" t="str">
        <f>IFERROR(__xludf.DUMMYFUNCTION("""COMPUTED_VALUE"""),"Management Center Innsbruck")</f>
        <v>Management Center Innsbruck</v>
      </c>
      <c r="D109" s="2" t="str">
        <f>IFERROR(__xludf.DUMMYFUNCTION("""COMPUTED_VALUE"""),"Erasmus+")</f>
        <v>Erasmus+</v>
      </c>
      <c r="E109" s="2">
        <f>IFERROR(__xludf.DUMMYFUNCTION("""COMPUTED_VALUE"""),6.0)</f>
        <v>6</v>
      </c>
      <c r="F109" s="2" t="str">
        <f>IFERROR(__xludf.DUMMYFUNCTION("""COMPUTED_VALUE"""),"Semestre")</f>
        <v>Semestre</v>
      </c>
      <c r="G109" s="2" t="str">
        <f>IFERROR(__xludf.DUMMYFUNCTION("""COMPUTED_VALUE"""),"Ambos")</f>
        <v>Ambos</v>
      </c>
      <c r="H109" s="2" t="str">
        <f>IFERROR(__xludf.DUMMYFUNCTION("""COMPUTED_VALUE"""),"Ingeniería")</f>
        <v>Ingeniería</v>
      </c>
      <c r="I109" s="2" t="str">
        <f>IFERROR(__xludf.DUMMYFUNCTION("""COMPUTED_VALUE"""),"Ingeniería Informática, Tecnologías Industriales, Electrónica y Automática, Ingeniería Mecánica, Organización Industrial, Ingeniería Robótica, Ciencia de Datos e IA + Ingeniería Informática, Diseño Industrial + Ingeniería Mecánica, Ingeniería Informática "&amp;"+ Videojuegos, Ingeniería Biomédica")</f>
        <v>Ingeniería Informática, Tecnologías Industriales, Electrónica y Automática, Ingeniería Mecánica, Organización Industrial, Ingeniería Robótica, Ciencia de Datos e IA + Ingeniería Informática, Diseño Industrial + Ingeniería Mecánica, Ingeniería Informática + Videojuegos, Ingeniería Biomédica</v>
      </c>
      <c r="J109" s="2" t="str">
        <f>IFERROR(__xludf.DUMMYFUNCTION("""COMPUTED_VALUE"""),"Grado")</f>
        <v>Grado</v>
      </c>
      <c r="K109" s="2" t="str">
        <f>IFERROR(__xludf.DUMMYFUNCTION("""COMPUTED_VALUE"""),"Alemán / Inglés")</f>
        <v>Alemán / Inglés</v>
      </c>
      <c r="L109" s="2" t="str">
        <f>IFERROR(__xludf.DUMMYFUNCTION("""COMPUTED_VALUE"""),"B2")</f>
        <v>B2</v>
      </c>
      <c r="M109" s="2" t="str">
        <f>IFERROR(__xludf.DUMMYFUNCTION("""COMPUTED_VALUE"""),"Sí")</f>
        <v>Sí</v>
      </c>
      <c r="N109" s="3" t="str">
        <f>IFERROR(__xludf.DUMMYFUNCTION("""COMPUTED_VALUE"""),"https://www.mci4me.at/en/international/study-internationally/exchange-students")</f>
        <v>https://www.mci4me.at/en/international/study-internationally/exchange-students</v>
      </c>
      <c r="O109" s="3" t="str">
        <f>IFERROR(__xludf.DUMMYFUNCTION("""COMPUTED_VALUE"""),"Más información / Informazio gehigarria")</f>
        <v>Más información / Informazio gehigarria</v>
      </c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30.0" customHeight="1">
      <c r="A110" s="2" t="str">
        <f>IFERROR(__xludf.DUMMYFUNCTION("""COMPUTED_VALUE"""),"Austria")</f>
        <v>Austria</v>
      </c>
      <c r="B110" s="2" t="str">
        <f>IFERROR(__xludf.DUMMYFUNCTION("""COMPUTED_VALUE"""),"A WIEN01")</f>
        <v>A WIEN01</v>
      </c>
      <c r="C110" s="3" t="str">
        <f>IFERROR(__xludf.DUMMYFUNCTION("""COMPUTED_VALUE"""),"Universität Wien")</f>
        <v>Universität Wien</v>
      </c>
      <c r="D110" s="2" t="str">
        <f>IFERROR(__xludf.DUMMYFUNCTION("""COMPUTED_VALUE"""),"Erasmus+")</f>
        <v>Erasmus+</v>
      </c>
      <c r="E110" s="2">
        <f>IFERROR(__xludf.DUMMYFUNCTION("""COMPUTED_VALUE"""),1.0)</f>
        <v>1</v>
      </c>
      <c r="F110" s="2" t="str">
        <f>IFERROR(__xludf.DUMMYFUNCTION("""COMPUTED_VALUE"""),"Semestre")</f>
        <v>Semestre</v>
      </c>
      <c r="G110" s="2" t="str">
        <f>IFERROR(__xludf.DUMMYFUNCTION("""COMPUTED_VALUE"""),"San Sebastián")</f>
        <v>San Sebastián</v>
      </c>
      <c r="H110" s="2" t="str">
        <f>IFERROR(__xludf.DUMMYFUNCTION("""COMPUTED_VALUE"""),"Ciencias Sociales y Humanas")</f>
        <v>Ciencias Sociales y Humanas</v>
      </c>
      <c r="I110" s="2" t="str">
        <f>IFERROR(__xludf.DUMMYFUNCTION("""COMPUTED_VALUE"""),"Comunicación")</f>
        <v>Comunicación</v>
      </c>
      <c r="J110" s="2" t="str">
        <f>IFERROR(__xludf.DUMMYFUNCTION("""COMPUTED_VALUE"""),"Grado")</f>
        <v>Grado</v>
      </c>
      <c r="K110" s="2" t="str">
        <f>IFERROR(__xludf.DUMMYFUNCTION("""COMPUTED_VALUE"""),"Alemán")</f>
        <v>Alemán</v>
      </c>
      <c r="L110" s="2" t="str">
        <f>IFERROR(__xludf.DUMMYFUNCTION("""COMPUTED_VALUE"""),"B2")</f>
        <v>B2</v>
      </c>
      <c r="M110" s="2" t="str">
        <f>IFERROR(__xludf.DUMMYFUNCTION("""COMPUTED_VALUE"""),"Sí")</f>
        <v>Sí</v>
      </c>
      <c r="N110" s="3" t="str">
        <f>IFERROR(__xludf.DUMMYFUNCTION("""COMPUTED_VALUE"""),"https://international.univie.ac.at/en/student-mobility/incoming-students/non-eu-student-exchange-program/requirements/#:~:text=Language%20Requirements,-Adequate%20knowledge%20of&amp;text=Exchange%20students%20who%20wish%20to,need%20an%20official%20language%20"&amp;"certificate.&amp;text=The%20Faculty%20of%20Business%2C%20Economics,IELTS%20(minimum%206)%20exam.")</f>
        <v>https://international.univie.ac.at/en/student-mobility/incoming-students/non-eu-student-exchange-program/requirements/#:~:text=Language%20Requirements,-Adequate%20knowledge%20of&amp;text=Exchange%20students%20who%20wish%20to,need%20an%20official%20language%20certificate.&amp;text=The%20Faculty%20of%20Business%2C%20Economics,IELTS%20(minimum%206)%20exam.</v>
      </c>
      <c r="O110" s="3" t="str">
        <f>IFERROR(__xludf.DUMMYFUNCTION("""COMPUTED_VALUE"""),"Más información / Informazio gehigarria")</f>
        <v>Más información / Informazio gehigarria</v>
      </c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30.0" customHeight="1">
      <c r="A111" s="2" t="str">
        <f>IFERROR(__xludf.DUMMYFUNCTION("""COMPUTED_VALUE"""),"Bélgica")</f>
        <v>Bélgica</v>
      </c>
      <c r="B111" s="2" t="str">
        <f>IFERROR(__xludf.DUMMYFUNCTION("""COMPUTED_VALUE"""),"B NAMUR01")</f>
        <v>B NAMUR01</v>
      </c>
      <c r="C111" s="3" t="str">
        <f>IFERROR(__xludf.DUMMYFUNCTION("""COMPUTED_VALUE"""),"Université de Namur")</f>
        <v>Université de Namur</v>
      </c>
      <c r="D111" s="2" t="str">
        <f>IFERROR(__xludf.DUMMYFUNCTION("""COMPUTED_VALUE"""),"Erasmus+")</f>
        <v>Erasmus+</v>
      </c>
      <c r="E111" s="2">
        <f>IFERROR(__xludf.DUMMYFUNCTION("""COMPUTED_VALUE"""),2.0)</f>
        <v>2</v>
      </c>
      <c r="F111" s="2" t="str">
        <f>IFERROR(__xludf.DUMMYFUNCTION("""COMPUTED_VALUE"""),"Semestre")</f>
        <v>Semestre</v>
      </c>
      <c r="G111" s="2" t="str">
        <f>IFERROR(__xludf.DUMMYFUNCTION("""COMPUTED_VALUE"""),"Ambos")</f>
        <v>Ambos</v>
      </c>
      <c r="H111" s="2" t="str">
        <f>IFERROR(__xludf.DUMMYFUNCTION("""COMPUTED_VALUE"""),"Ingeniería")</f>
        <v>Ingeniería</v>
      </c>
      <c r="I111" s="2" t="str">
        <f>IFERROR(__xludf.DUMMYFUNCTION("""COMPUTED_VALUE"""),"Organización Industrial, Ingeniería Informática, Ciencia de Datos e IA + Ingeniería Informática, Ingeniería Informática + Videojuegos")</f>
        <v>Organización Industrial, Ingeniería Informática, Ciencia de Datos e IA + Ingeniería Informática, Ingeniería Informática + Videojuegos</v>
      </c>
      <c r="J111" s="2" t="str">
        <f>IFERROR(__xludf.DUMMYFUNCTION("""COMPUTED_VALUE"""),"Grado")</f>
        <v>Grado</v>
      </c>
      <c r="K111" s="2" t="str">
        <f>IFERROR(__xludf.DUMMYFUNCTION("""COMPUTED_VALUE"""),"Francés")</f>
        <v>Francés</v>
      </c>
      <c r="L111" s="2" t="str">
        <f>IFERROR(__xludf.DUMMYFUNCTION("""COMPUTED_VALUE"""),"B2")</f>
        <v>B2</v>
      </c>
      <c r="M111" s="2" t="str">
        <f>IFERROR(__xludf.DUMMYFUNCTION("""COMPUTED_VALUE"""),"No")</f>
        <v>No</v>
      </c>
      <c r="N111" s="3" t="str">
        <f>IFERROR(__xludf.DUMMYFUNCTION("""COMPUTED_VALUE"""),"https://www.unamur.be/en/international/mobility")</f>
        <v>https://www.unamur.be/en/international/mobility</v>
      </c>
      <c r="O111" s="3" t="str">
        <f>IFERROR(__xludf.DUMMYFUNCTION("""COMPUTED_VALUE"""),"Más información / Informazio gehigarria")</f>
        <v>Más información / Informazio gehigarria</v>
      </c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30.0" customHeight="1">
      <c r="A112" s="2" t="str">
        <f>IFERROR(__xludf.DUMMYFUNCTION("""COMPUTED_VALUE"""),"Bélgica")</f>
        <v>Bélgica</v>
      </c>
      <c r="B112" s="2" t="str">
        <f>IFERROR(__xludf.DUMMYFUNCTION("""COMPUTED_VALUE"""),"B NAMUR01")</f>
        <v>B NAMUR01</v>
      </c>
      <c r="C112" s="3" t="str">
        <f>IFERROR(__xludf.DUMMYFUNCTION("""COMPUTED_VALUE"""),"Université de Namur")</f>
        <v>Université de Namur</v>
      </c>
      <c r="D112" s="2" t="str">
        <f>IFERROR(__xludf.DUMMYFUNCTION("""COMPUTED_VALUE"""),"Erasmus+")</f>
        <v>Erasmus+</v>
      </c>
      <c r="E112" s="2">
        <f>IFERROR(__xludf.DUMMYFUNCTION("""COMPUTED_VALUE"""),1.0)</f>
        <v>1</v>
      </c>
      <c r="F112" s="2" t="str">
        <f>IFERROR(__xludf.DUMMYFUNCTION("""COMPUTED_VALUE"""),"1er Semestre")</f>
        <v>1er Semestre</v>
      </c>
      <c r="G112" s="2" t="str">
        <f>IFERROR(__xludf.DUMMYFUNCTION("""COMPUTED_VALUE"""),"Bilbao")</f>
        <v>Bilbao</v>
      </c>
      <c r="H112" s="2" t="str">
        <f>IFERROR(__xludf.DUMMYFUNCTION("""COMPUTED_VALUE"""),"Deusto Business School")</f>
        <v>Deusto Business School</v>
      </c>
      <c r="I112" s="2" t="str">
        <f>IFERROR(__xludf.DUMMYFUNCTION("""COMPUTED_VALUE"""),"Administración y Dirección de Empresas")</f>
        <v>Administración y Dirección de Empresas</v>
      </c>
      <c r="J112" s="2" t="str">
        <f>IFERROR(__xludf.DUMMYFUNCTION("""COMPUTED_VALUE"""),"Grado")</f>
        <v>Grado</v>
      </c>
      <c r="K112" s="2" t="str">
        <f>IFERROR(__xludf.DUMMYFUNCTION("""COMPUTED_VALUE"""),"Francés")</f>
        <v>Francés</v>
      </c>
      <c r="L112" s="2" t="str">
        <f>IFERROR(__xludf.DUMMYFUNCTION("""COMPUTED_VALUE"""),"B2")</f>
        <v>B2</v>
      </c>
      <c r="M112" s="2" t="str">
        <f>IFERROR(__xludf.DUMMYFUNCTION("""COMPUTED_VALUE"""),"No")</f>
        <v>No</v>
      </c>
      <c r="N112" s="3" t="str">
        <f>IFERROR(__xludf.DUMMYFUNCTION("""COMPUTED_VALUE"""),"https://www.unamur.be/en/international/exchange/FactSheetUNamur20222023.pdf")</f>
        <v>https://www.unamur.be/en/international/exchange/FactSheetUNamur20222023.pdf</v>
      </c>
      <c r="O112" s="3" t="str">
        <f>IFERROR(__xludf.DUMMYFUNCTION("""COMPUTED_VALUE"""),"Más información / Informazio gehigarria")</f>
        <v>Más información / Informazio gehigarria</v>
      </c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30.0" customHeight="1">
      <c r="A113" s="2" t="str">
        <f>IFERROR(__xludf.DUMMYFUNCTION("""COMPUTED_VALUE"""),"Bélgica")</f>
        <v>Bélgica</v>
      </c>
      <c r="B113" s="2" t="str">
        <f>IFERROR(__xludf.DUMMYFUNCTION("""COMPUTED_VALUE"""),"B NAMUR01")</f>
        <v>B NAMUR01</v>
      </c>
      <c r="C113" s="3" t="str">
        <f>IFERROR(__xludf.DUMMYFUNCTION("""COMPUTED_VALUE"""),"Université de Namur")</f>
        <v>Université de Namur</v>
      </c>
      <c r="D113" s="2" t="str">
        <f>IFERROR(__xludf.DUMMYFUNCTION("""COMPUTED_VALUE"""),"Erasmus+")</f>
        <v>Erasmus+</v>
      </c>
      <c r="E113" s="2">
        <f>IFERROR(__xludf.DUMMYFUNCTION("""COMPUTED_VALUE"""),2.0)</f>
        <v>2</v>
      </c>
      <c r="F113" s="2" t="str">
        <f>IFERROR(__xludf.DUMMYFUNCTION("""COMPUTED_VALUE"""),"Anual ")</f>
        <v>Anual </v>
      </c>
      <c r="G113" s="2" t="str">
        <f>IFERROR(__xludf.DUMMYFUNCTION("""COMPUTED_VALUE"""),"Ambos")</f>
        <v>Ambos</v>
      </c>
      <c r="H113" s="2" t="str">
        <f>IFERROR(__xludf.DUMMYFUNCTION("""COMPUTED_VALUE"""),"Ciencias Sociales y Humanas")</f>
        <v>Ciencias Sociales y Humanas</v>
      </c>
      <c r="I113" s="2" t="str">
        <f>IFERROR(__xludf.DUMMYFUNCTION("""COMPUTED_VALUE"""),"Relaciones Internacionales")</f>
        <v>Relaciones Internacionales</v>
      </c>
      <c r="J113" s="2" t="str">
        <f>IFERROR(__xludf.DUMMYFUNCTION("""COMPUTED_VALUE"""),"Grado")</f>
        <v>Grado</v>
      </c>
      <c r="K113" s="2"/>
      <c r="L113" s="2"/>
      <c r="M113" s="2"/>
      <c r="N113" s="3" t="str">
        <f>IFERROR(__xludf.DUMMYFUNCTION("""COMPUTED_VALUE"""),"https://www.unamur.be/en")</f>
        <v>https://www.unamur.be/en</v>
      </c>
      <c r="O113" s="3" t="str">
        <f>IFERROR(__xludf.DUMMYFUNCTION("""COMPUTED_VALUE"""),"Más información / Informazio gehigarria")</f>
        <v>Más información / Informazio gehigarria</v>
      </c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30.0" customHeight="1">
      <c r="A114" s="2" t="str">
        <f>IFERROR(__xludf.DUMMYFUNCTION("""COMPUTED_VALUE"""),"Bélgica")</f>
        <v>Bélgica</v>
      </c>
      <c r="B114" s="2" t="str">
        <f>IFERROR(__xludf.DUMMYFUNCTION("""COMPUTED_VALUE"""),"B NAMUR01")</f>
        <v>B NAMUR01</v>
      </c>
      <c r="C114" s="3" t="str">
        <f>IFERROR(__xludf.DUMMYFUNCTION("""COMPUTED_VALUE"""),"Université de Namur")</f>
        <v>Université de Namur</v>
      </c>
      <c r="D114" s="2" t="str">
        <f>IFERROR(__xludf.DUMMYFUNCTION("""COMPUTED_VALUE"""),"Erasmus+")</f>
        <v>Erasmus+</v>
      </c>
      <c r="E114" s="2">
        <f>IFERROR(__xludf.DUMMYFUNCTION("""COMPUTED_VALUE"""),2.0)</f>
        <v>2</v>
      </c>
      <c r="F114" s="2" t="str">
        <f>IFERROR(__xludf.DUMMYFUNCTION("""COMPUTED_VALUE"""),"Semestre")</f>
        <v>Semestre</v>
      </c>
      <c r="G114" s="2" t="str">
        <f>IFERROR(__xludf.DUMMYFUNCTION("""COMPUTED_VALUE"""),"Bilbao")</f>
        <v>Bilbao</v>
      </c>
      <c r="H114" s="2" t="str">
        <f>IFERROR(__xludf.DUMMYFUNCTION("""COMPUTED_VALUE"""),"Derecho")</f>
        <v>Derecho</v>
      </c>
      <c r="I114" s="2" t="str">
        <f>IFERROR(__xludf.DUMMYFUNCTION("""COMPUTED_VALUE"""),"Derecho")</f>
        <v>Derecho</v>
      </c>
      <c r="J114" s="2" t="str">
        <f>IFERROR(__xludf.DUMMYFUNCTION("""COMPUTED_VALUE"""),"Grado")</f>
        <v>Grado</v>
      </c>
      <c r="K114" s="2"/>
      <c r="L114" s="2"/>
      <c r="M114" s="2"/>
      <c r="N114" s="3" t="str">
        <f>IFERROR(__xludf.DUMMYFUNCTION("""COMPUTED_VALUE"""),"https://www.unamur.be/en")</f>
        <v>https://www.unamur.be/en</v>
      </c>
      <c r="O114" s="3" t="str">
        <f>IFERROR(__xludf.DUMMYFUNCTION("""COMPUTED_VALUE"""),"Más información / Informazio gehigarria")</f>
        <v>Más información / Informazio gehigarria</v>
      </c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30.0" customHeight="1">
      <c r="A115" s="2" t="str">
        <f>IFERROR(__xludf.DUMMYFUNCTION("""COMPUTED_VALUE"""),"Bélgica")</f>
        <v>Bélgica</v>
      </c>
      <c r="B115" s="2" t="str">
        <f>IFERROR(__xludf.DUMMYFUNCTION("""COMPUTED_VALUE"""),"B NAMUR14")</f>
        <v>B NAMUR14</v>
      </c>
      <c r="C115" s="3" t="str">
        <f>IFERROR(__xludf.DUMMYFUNCTION("""COMPUTED_VALUE"""),"HEPN Namur")</f>
        <v>HEPN Namur</v>
      </c>
      <c r="D115" s="2" t="str">
        <f>IFERROR(__xludf.DUMMYFUNCTION("""COMPUTED_VALUE"""),"Erasmus+")</f>
        <v>Erasmus+</v>
      </c>
      <c r="E115" s="2">
        <f>IFERROR(__xludf.DUMMYFUNCTION("""COMPUTED_VALUE"""),2.0)</f>
        <v>2</v>
      </c>
      <c r="F115" s="2" t="str">
        <f>IFERROR(__xludf.DUMMYFUNCTION("""COMPUTED_VALUE"""),"Semestre")</f>
        <v>Semestre</v>
      </c>
      <c r="G115" s="2" t="str">
        <f>IFERROR(__xludf.DUMMYFUNCTION("""COMPUTED_VALUE"""),"Bilbao")</f>
        <v>Bilbao</v>
      </c>
      <c r="H115" s="2" t="str">
        <f>IFERROR(__xludf.DUMMYFUNCTION("""COMPUTED_VALUE"""),"Ciencias Sociales y Humanas")</f>
        <v>Ciencias Sociales y Humanas</v>
      </c>
      <c r="I115" s="2" t="str">
        <f>IFERROR(__xludf.DUMMYFUNCTION("""COMPUTED_VALUE"""),"Relaciones Internacionales, Relaciones Internacionales + Derecho")</f>
        <v>Relaciones Internacionales, Relaciones Internacionales + Derecho</v>
      </c>
      <c r="J115" s="2" t="str">
        <f>IFERROR(__xludf.DUMMYFUNCTION("""COMPUTED_VALUE"""),"Grado")</f>
        <v>Grado</v>
      </c>
      <c r="K115" s="2"/>
      <c r="L115" s="2"/>
      <c r="M115" s="2"/>
      <c r="N115" s="3" t="str">
        <f>IFERROR(__xludf.DUMMYFUNCTION("""COMPUTED_VALUE"""),"https://hepn.be/international")</f>
        <v>https://hepn.be/international</v>
      </c>
      <c r="O115" s="3" t="str">
        <f>IFERROR(__xludf.DUMMYFUNCTION("""COMPUTED_VALUE"""),"Más información / Informazio gehigarria")</f>
        <v>Más información / Informazio gehigarria</v>
      </c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30.0" customHeight="1">
      <c r="A116" s="2" t="str">
        <f>IFERROR(__xludf.DUMMYFUNCTION("""COMPUTED_VALUE"""),"Bélgica")</f>
        <v>Bélgica</v>
      </c>
      <c r="B116" s="2" t="str">
        <f>IFERROR(__xludf.DUMMYFUNCTION("""COMPUTED_VALUE"""),"B GENT01")</f>
        <v>B GENT01</v>
      </c>
      <c r="C116" s="3" t="str">
        <f>IFERROR(__xludf.DUMMYFUNCTION("""COMPUTED_VALUE"""),"Ghent University")</f>
        <v>Ghent University</v>
      </c>
      <c r="D116" s="2" t="str">
        <f>IFERROR(__xludf.DUMMYFUNCTION("""COMPUTED_VALUE"""),"Erasmus+")</f>
        <v>Erasmus+</v>
      </c>
      <c r="E116" s="2">
        <f>IFERROR(__xludf.DUMMYFUNCTION("""COMPUTED_VALUE"""),2.0)</f>
        <v>2</v>
      </c>
      <c r="F116" s="2" t="str">
        <f>IFERROR(__xludf.DUMMYFUNCTION("""COMPUTED_VALUE"""),"Semestre")</f>
        <v>Semestre</v>
      </c>
      <c r="G116" s="2" t="str">
        <f>IFERROR(__xludf.DUMMYFUNCTION("""COMPUTED_VALUE"""),"Ambos")</f>
        <v>Ambos</v>
      </c>
      <c r="H116" s="2" t="str">
        <f>IFERROR(__xludf.DUMMYFUNCTION("""COMPUTED_VALUE"""),"Educación y Deporte")</f>
        <v>Educación y Deporte</v>
      </c>
      <c r="I116" s="2" t="str">
        <f>IFERROR(__xludf.DUMMYFUNCTION("""COMPUTED_VALUE"""),"Educación Primaria")</f>
        <v>Educación Primaria</v>
      </c>
      <c r="J116" s="2" t="str">
        <f>IFERROR(__xludf.DUMMYFUNCTION("""COMPUTED_VALUE"""),"Grado")</f>
        <v>Grado</v>
      </c>
      <c r="K116" s="2" t="str">
        <f>IFERROR(__xludf.DUMMYFUNCTION("""COMPUTED_VALUE"""),"Inglés")</f>
        <v>Inglés</v>
      </c>
      <c r="L116" s="2" t="str">
        <f>IFERROR(__xludf.DUMMYFUNCTION("""COMPUTED_VALUE"""),"B2")</f>
        <v>B2</v>
      </c>
      <c r="M116" s="2" t="str">
        <f>IFERROR(__xludf.DUMMYFUNCTION("""COMPUTED_VALUE"""),"Sí")</f>
        <v>Sí</v>
      </c>
      <c r="N116" s="3" t="str">
        <f>IFERROR(__xludf.DUMMYFUNCTION("""COMPUTED_VALUE"""),"https://www.ugent.be/prospect/en/administration/application/languagerequirements.htm#:~:text=Therefore%20all%20incoming%20exchange%20students,IELTS%20certificate%3A%20minimum%20score%206.0")</f>
        <v>https://www.ugent.be/prospect/en/administration/application/languagerequirements.htm#:~:text=Therefore%20all%20incoming%20exchange%20students,IELTS%20certificate%3A%20minimum%20score%206.0</v>
      </c>
      <c r="O116" s="3" t="str">
        <f>IFERROR(__xludf.DUMMYFUNCTION("""COMPUTED_VALUE"""),"Más información / Informazio gehigarria")</f>
        <v>Más información / Informazio gehigarria</v>
      </c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30.0" customHeight="1">
      <c r="A117" s="2" t="str">
        <f>IFERROR(__xludf.DUMMYFUNCTION("""COMPUTED_VALUE"""),"Bélgica")</f>
        <v>Bélgica</v>
      </c>
      <c r="B117" s="2" t="str">
        <f>IFERROR(__xludf.DUMMYFUNCTION("""COMPUTED_VALUE"""),"B GENT01")</f>
        <v>B GENT01</v>
      </c>
      <c r="C117" s="3" t="str">
        <f>IFERROR(__xludf.DUMMYFUNCTION("""COMPUTED_VALUE"""),"Ghent University")</f>
        <v>Ghent University</v>
      </c>
      <c r="D117" s="2" t="str">
        <f>IFERROR(__xludf.DUMMYFUNCTION("""COMPUTED_VALUE"""),"Erasmus+")</f>
        <v>Erasmus+</v>
      </c>
      <c r="E117" s="2">
        <f>IFERROR(__xludf.DUMMYFUNCTION("""COMPUTED_VALUE"""),1.0)</f>
        <v>1</v>
      </c>
      <c r="F117" s="2" t="str">
        <f>IFERROR(__xludf.DUMMYFUNCTION("""COMPUTED_VALUE"""),"Anual")</f>
        <v>Anual</v>
      </c>
      <c r="G117" s="2" t="str">
        <f>IFERROR(__xludf.DUMMYFUNCTION("""COMPUTED_VALUE"""),"Bilbao")</f>
        <v>Bilbao</v>
      </c>
      <c r="H117" s="2" t="str">
        <f>IFERROR(__xludf.DUMMYFUNCTION("""COMPUTED_VALUE"""),"Ciencias Sociales y Humanas")</f>
        <v>Ciencias Sociales y Humanas</v>
      </c>
      <c r="I117" s="2" t="str">
        <f>IFERROR(__xludf.DUMMYFUNCTION("""COMPUTED_VALUE"""),"Relaciones Internacionales, Relaciones Internacionales + Derecho")</f>
        <v>Relaciones Internacionales, Relaciones Internacionales + Derecho</v>
      </c>
      <c r="J117" s="2" t="str">
        <f>IFERROR(__xludf.DUMMYFUNCTION("""COMPUTED_VALUE"""),"Grado")</f>
        <v>Grado</v>
      </c>
      <c r="K117" s="2" t="str">
        <f>IFERROR(__xludf.DUMMYFUNCTION("""COMPUTED_VALUE"""),"Inglés")</f>
        <v>Inglés</v>
      </c>
      <c r="L117" s="2" t="str">
        <f>IFERROR(__xludf.DUMMYFUNCTION("""COMPUTED_VALUE"""),"B2")</f>
        <v>B2</v>
      </c>
      <c r="M117" s="2" t="str">
        <f>IFERROR(__xludf.DUMMYFUNCTION("""COMPUTED_VALUE"""),"Sí")</f>
        <v>Sí</v>
      </c>
      <c r="N117" s="3" t="str">
        <f>IFERROR(__xludf.DUMMYFUNCTION("""COMPUTED_VALUE"""),"https://www.ugent.be/prospect/en/administration/application/languagerequirements.htm#:~:text=Therefore%20all%20incoming%20exchange%20students,IELTS%20certificate%3A%20minimum%20score%206.0")</f>
        <v>https://www.ugent.be/prospect/en/administration/application/languagerequirements.htm#:~:text=Therefore%20all%20incoming%20exchange%20students,IELTS%20certificate%3A%20minimum%20score%206.0</v>
      </c>
      <c r="O117" s="3" t="str">
        <f>IFERROR(__xludf.DUMMYFUNCTION("""COMPUTED_VALUE"""),"Más información / Informazio gehigarria")</f>
        <v>Más información / Informazio gehigarria</v>
      </c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30.0" customHeight="1">
      <c r="A118" s="2" t="str">
        <f>IFERROR(__xludf.DUMMYFUNCTION("""COMPUTED_VALUE"""),"Bélgica")</f>
        <v>Bélgica</v>
      </c>
      <c r="B118" s="2" t="str">
        <f>IFERROR(__xludf.DUMMYFUNCTION("""COMPUTED_VALUE"""),"B GENT01")</f>
        <v>B GENT01</v>
      </c>
      <c r="C118" s="3" t="str">
        <f>IFERROR(__xludf.DUMMYFUNCTION("""COMPUTED_VALUE"""),"Ghent University")</f>
        <v>Ghent University</v>
      </c>
      <c r="D118" s="2" t="str">
        <f>IFERROR(__xludf.DUMMYFUNCTION("""COMPUTED_VALUE"""),"Erasmus+")</f>
        <v>Erasmus+</v>
      </c>
      <c r="E118" s="2">
        <f>IFERROR(__xludf.DUMMYFUNCTION("""COMPUTED_VALUE"""),2.0)</f>
        <v>2</v>
      </c>
      <c r="F118" s="2" t="str">
        <f>IFERROR(__xludf.DUMMYFUNCTION("""COMPUTED_VALUE"""),"Anual")</f>
        <v>Anual</v>
      </c>
      <c r="G118" s="2" t="str">
        <f>IFERROR(__xludf.DUMMYFUNCTION("""COMPUTED_VALUE"""),"Bilbao")</f>
        <v>Bilbao</v>
      </c>
      <c r="H118" s="2" t="str">
        <f>IFERROR(__xludf.DUMMYFUNCTION("""COMPUTED_VALUE"""),"Derecho")</f>
        <v>Derecho</v>
      </c>
      <c r="I118" s="2" t="str">
        <f>IFERROR(__xludf.DUMMYFUNCTION("""COMPUTED_VALUE"""),"Derecho  ")</f>
        <v>Derecho  </v>
      </c>
      <c r="J118" s="2" t="str">
        <f>IFERROR(__xludf.DUMMYFUNCTION("""COMPUTED_VALUE"""),"Grado")</f>
        <v>Grado</v>
      </c>
      <c r="K118" s="2" t="str">
        <f>IFERROR(__xludf.DUMMYFUNCTION("""COMPUTED_VALUE"""),"Inglés")</f>
        <v>Inglés</v>
      </c>
      <c r="L118" s="2" t="str">
        <f>IFERROR(__xludf.DUMMYFUNCTION("""COMPUTED_VALUE"""),"B2")</f>
        <v>B2</v>
      </c>
      <c r="M118" s="2" t="str">
        <f>IFERROR(__xludf.DUMMYFUNCTION("""COMPUTED_VALUE"""),"Sí")</f>
        <v>Sí</v>
      </c>
      <c r="N118" s="3" t="str">
        <f>IFERROR(__xludf.DUMMYFUNCTION("""COMPUTED_VALUE"""),"https://www.ugent.be/prospect/en/administration/application/languagerequirements.htm#:~:text=Therefore%20all%20incoming%20exchange%20students,IELTS%20certificate%3A%20minimum%20score%206.0")</f>
        <v>https://www.ugent.be/prospect/en/administration/application/languagerequirements.htm#:~:text=Therefore%20all%20incoming%20exchange%20students,IELTS%20certificate%3A%20minimum%20score%206.0</v>
      </c>
      <c r="O118" s="3" t="str">
        <f>IFERROR(__xludf.DUMMYFUNCTION("""COMPUTED_VALUE"""),"Más información / Informazio gehigarria")</f>
        <v>Más información / Informazio gehigarria</v>
      </c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30.0" customHeight="1">
      <c r="A119" s="2" t="str">
        <f>IFERROR(__xludf.DUMMYFUNCTION("""COMPUTED_VALUE"""),"Bélgica")</f>
        <v>Bélgica</v>
      </c>
      <c r="B119" s="2" t="str">
        <f>IFERROR(__xludf.DUMMYFUNCTION("""COMPUTED_VALUE"""),"B LIEGE42")</f>
        <v>B LIEGE42</v>
      </c>
      <c r="C119" s="3" t="str">
        <f>IFERROR(__xludf.DUMMYFUNCTION("""COMPUTED_VALUE"""),"Haute Ècole de la Ville de Liège")</f>
        <v>Haute Ècole de la Ville de Liège</v>
      </c>
      <c r="D119" s="2" t="str">
        <f>IFERROR(__xludf.DUMMYFUNCTION("""COMPUTED_VALUE"""),"Erasmus+")</f>
        <v>Erasmus+</v>
      </c>
      <c r="E119" s="2">
        <f>IFERROR(__xludf.DUMMYFUNCTION("""COMPUTED_VALUE"""),2.0)</f>
        <v>2</v>
      </c>
      <c r="F119" s="2" t="str">
        <f>IFERROR(__xludf.DUMMYFUNCTION("""COMPUTED_VALUE"""),"Semestre")</f>
        <v>Semestre</v>
      </c>
      <c r="G119" s="2" t="str">
        <f>IFERROR(__xludf.DUMMYFUNCTION("""COMPUTED_VALUE"""),"Bilbao")</f>
        <v>Bilbao</v>
      </c>
      <c r="H119" s="2" t="str">
        <f>IFERROR(__xludf.DUMMYFUNCTION("""COMPUTED_VALUE"""),"Ciencias Sociales y Humanas")</f>
        <v>Ciencias Sociales y Humanas</v>
      </c>
      <c r="I119" s="2" t="str">
        <f>IFERROR(__xludf.DUMMYFUNCTION("""COMPUTED_VALUE"""),"Turismo")</f>
        <v>Turismo</v>
      </c>
      <c r="J119" s="2" t="str">
        <f>IFERROR(__xludf.DUMMYFUNCTION("""COMPUTED_VALUE"""),"Grado")</f>
        <v>Grado</v>
      </c>
      <c r="K119" s="2" t="str">
        <f>IFERROR(__xludf.DUMMYFUNCTION("""COMPUTED_VALUE"""),"Francés")</f>
        <v>Francés</v>
      </c>
      <c r="L119" s="2" t="str">
        <f>IFERROR(__xludf.DUMMYFUNCTION("""COMPUTED_VALUE"""),"B2")</f>
        <v>B2</v>
      </c>
      <c r="M119" s="2" t="str">
        <f>IFERROR(__xludf.DUMMYFUNCTION("""COMPUTED_VALUE"""),"Sí")</f>
        <v>Sí</v>
      </c>
      <c r="N119" s="3" t="str">
        <f>IFERROR(__xludf.DUMMYFUNCTION("""COMPUTED_VALUE"""),"https://www.hel.be/international/")</f>
        <v>https://www.hel.be/international/</v>
      </c>
      <c r="O119" s="3" t="str">
        <f>IFERROR(__xludf.DUMMYFUNCTION("""COMPUTED_VALUE"""),"Más información / Informazio gehigarria")</f>
        <v>Más información / Informazio gehigarria</v>
      </c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30.0" customHeight="1">
      <c r="A120" s="2" t="str">
        <f>IFERROR(__xludf.DUMMYFUNCTION("""COMPUTED_VALUE"""),"Bélgica")</f>
        <v>Bélgica</v>
      </c>
      <c r="B120" s="2" t="str">
        <f>IFERROR(__xludf.DUMMYFUNCTION("""COMPUTED_VALUE"""),"B ANTWERP59")</f>
        <v>B ANTWERP59</v>
      </c>
      <c r="C120" s="3" t="str">
        <f>IFERROR(__xludf.DUMMYFUNCTION("""COMPUTED_VALUE"""),"Karel de Grote Univ. College")</f>
        <v>Karel de Grote Univ. College</v>
      </c>
      <c r="D120" s="2" t="str">
        <f>IFERROR(__xludf.DUMMYFUNCTION("""COMPUTED_VALUE"""),"Erasmus+")</f>
        <v>Erasmus+</v>
      </c>
      <c r="E120" s="2">
        <f>IFERROR(__xludf.DUMMYFUNCTION("""COMPUTED_VALUE"""),2.0)</f>
        <v>2</v>
      </c>
      <c r="F120" s="2" t="str">
        <f>IFERROR(__xludf.DUMMYFUNCTION("""COMPUTED_VALUE"""),"Semestre")</f>
        <v>Semestre</v>
      </c>
      <c r="G120" s="2" t="str">
        <f>IFERROR(__xludf.DUMMYFUNCTION("""COMPUTED_VALUE"""),"Bilbao")</f>
        <v>Bilbao</v>
      </c>
      <c r="H120" s="2" t="str">
        <f>IFERROR(__xludf.DUMMYFUNCTION("""COMPUTED_VALUE"""),"Ingeniería")</f>
        <v>Ingeniería</v>
      </c>
      <c r="I120" s="2" t="str">
        <f>IFERROR(__xludf.DUMMYFUNCTION("""COMPUTED_VALUE"""),"Diseño Industrial, Diseño Industrial + Ingeniería Mecánica")</f>
        <v>Diseño Industrial, Diseño Industrial + Ingeniería Mecánica</v>
      </c>
      <c r="J120" s="2" t="str">
        <f>IFERROR(__xludf.DUMMYFUNCTION("""COMPUTED_VALUE"""),"Grado")</f>
        <v>Grado</v>
      </c>
      <c r="K120" s="2" t="str">
        <f>IFERROR(__xludf.DUMMYFUNCTION("""COMPUTED_VALUE"""),"Inglés")</f>
        <v>Inglés</v>
      </c>
      <c r="L120" s="2" t="str">
        <f>IFERROR(__xludf.DUMMYFUNCTION("""COMPUTED_VALUE"""),"B2")</f>
        <v>B2</v>
      </c>
      <c r="M120" s="2" t="str">
        <f>IFERROR(__xludf.DUMMYFUNCTION("""COMPUTED_VALUE"""),"Sí")</f>
        <v>Sí</v>
      </c>
      <c r="N120" s="3" t="str">
        <f>IFERROR(__xludf.DUMMYFUNCTION("""COMPUTED_VALUE"""),"https://www.kdg.be/en/apply/apply-english-taught-bachelors-degree#language-certificate")</f>
        <v>https://www.kdg.be/en/apply/apply-english-taught-bachelors-degree#language-certificate</v>
      </c>
      <c r="O120" s="3" t="str">
        <f>IFERROR(__xludf.DUMMYFUNCTION("""COMPUTED_VALUE"""),"Más información / Informazio gehigarria")</f>
        <v>Más información / Informazio gehigarria</v>
      </c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30.0" customHeight="1">
      <c r="A121" s="2" t="str">
        <f>IFERROR(__xludf.DUMMYFUNCTION("""COMPUTED_VALUE"""),"Bélgica")</f>
        <v>Bélgica</v>
      </c>
      <c r="B121" s="2" t="str">
        <f>IFERROR(__xludf.DUMMYFUNCTION("""COMPUTED_VALUE"""),"B ANTWERP62")</f>
        <v>B ANTWERP62</v>
      </c>
      <c r="C121" s="3" t="str">
        <f>IFERROR(__xludf.DUMMYFUNCTION("""COMPUTED_VALUE"""),"University of Applied Sciences and Arts (AP)")</f>
        <v>University of Applied Sciences and Arts (AP)</v>
      </c>
      <c r="D121" s="2" t="str">
        <f>IFERROR(__xludf.DUMMYFUNCTION("""COMPUTED_VALUE"""),"Erasmus+")</f>
        <v>Erasmus+</v>
      </c>
      <c r="E121" s="2">
        <f>IFERROR(__xludf.DUMMYFUNCTION("""COMPUTED_VALUE"""),2.0)</f>
        <v>2</v>
      </c>
      <c r="F121" s="2" t="str">
        <f>IFERROR(__xludf.DUMMYFUNCTION("""COMPUTED_VALUE"""),"Semestre")</f>
        <v>Semestre</v>
      </c>
      <c r="G121" s="2" t="str">
        <f>IFERROR(__xludf.DUMMYFUNCTION("""COMPUTED_VALUE"""),"Ambos")</f>
        <v>Ambos</v>
      </c>
      <c r="H121" s="2" t="str">
        <f>IFERROR(__xludf.DUMMYFUNCTION("""COMPUTED_VALUE"""),"Educación y Deporte")</f>
        <v>Educación y Deporte</v>
      </c>
      <c r="I121" s="2" t="str">
        <f>IFERROR(__xludf.DUMMYFUNCTION("""COMPUTED_VALUE"""),"Educación Primaria")</f>
        <v>Educación Primaria</v>
      </c>
      <c r="J121" s="2" t="str">
        <f>IFERROR(__xludf.DUMMYFUNCTION("""COMPUTED_VALUE"""),"Grado")</f>
        <v>Grado</v>
      </c>
      <c r="K121" s="2"/>
      <c r="L121" s="2"/>
      <c r="M121" s="2"/>
      <c r="N121" s="2"/>
      <c r="O121" s="2" t="str">
        <f>IFERROR(__xludf.DUMMYFUNCTION("""COMPUTED_VALUE"""),"Más información / Informazio gehigarria")</f>
        <v>Más información / Informazio gehigarria</v>
      </c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30.0" customHeight="1">
      <c r="A122" s="2" t="str">
        <f>IFERROR(__xludf.DUMMYFUNCTION("""COMPUTED_VALUE"""),"Bélgica")</f>
        <v>Bélgica</v>
      </c>
      <c r="B122" s="2" t="str">
        <f>IFERROR(__xludf.DUMMYFUNCTION("""COMPUTED_VALUE"""),"B LEUVEN01")</f>
        <v>B LEUVEN01</v>
      </c>
      <c r="C122" s="3" t="str">
        <f>IFERROR(__xludf.DUMMYFUNCTION("""COMPUTED_VALUE"""),"Katholieke Universiteit Leuven")</f>
        <v>Katholieke Universiteit Leuven</v>
      </c>
      <c r="D122" s="2" t="str">
        <f>IFERROR(__xludf.DUMMYFUNCTION("""COMPUTED_VALUE"""),"Erasmus+")</f>
        <v>Erasmus+</v>
      </c>
      <c r="E122" s="2">
        <f>IFERROR(__xludf.DUMMYFUNCTION("""COMPUTED_VALUE"""),8.0)</f>
        <v>8</v>
      </c>
      <c r="F122" s="2" t="str">
        <f>IFERROR(__xludf.DUMMYFUNCTION("""COMPUTED_VALUE"""),"Semestre")</f>
        <v>Semestre</v>
      </c>
      <c r="G122" s="2" t="str">
        <f>IFERROR(__xludf.DUMMYFUNCTION("""COMPUTED_VALUE"""),"Bilbao")</f>
        <v>Bilbao</v>
      </c>
      <c r="H122" s="2" t="str">
        <f>IFERROR(__xludf.DUMMYFUNCTION("""COMPUTED_VALUE"""),"Derecho")</f>
        <v>Derecho</v>
      </c>
      <c r="I122" s="2" t="str">
        <f>IFERROR(__xludf.DUMMYFUNCTION("""COMPUTED_VALUE"""),"Derecho, Derecho + Relaciones Laborales")</f>
        <v>Derecho, Derecho + Relaciones Laborales</v>
      </c>
      <c r="J122" s="2" t="str">
        <f>IFERROR(__xludf.DUMMYFUNCTION("""COMPUTED_VALUE"""),"Grado")</f>
        <v>Grado</v>
      </c>
      <c r="K122" s="2" t="str">
        <f>IFERROR(__xludf.DUMMYFUNCTION("""COMPUTED_VALUE"""),"Inglés")</f>
        <v>Inglés</v>
      </c>
      <c r="L122" s="2" t="str">
        <f>IFERROR(__xludf.DUMMYFUNCTION("""COMPUTED_VALUE"""),"B2")</f>
        <v>B2</v>
      </c>
      <c r="M122" s="2" t="str">
        <f>IFERROR(__xludf.DUMMYFUNCTION("""COMPUTED_VALUE"""),"No")</f>
        <v>No</v>
      </c>
      <c r="N122" s="3" t="str">
        <f>IFERROR(__xludf.DUMMYFUNCTION("""COMPUTED_VALUE"""),"https://eng.kuleuven.be/en/study/prospective-students/non-degree-seeking-students/exchange-procedure/prerequisites-for-exchange-students")</f>
        <v>https://eng.kuleuven.be/en/study/prospective-students/non-degree-seeking-students/exchange-procedure/prerequisites-for-exchange-students</v>
      </c>
      <c r="O122" s="3" t="str">
        <f>IFERROR(__xludf.DUMMYFUNCTION("""COMPUTED_VALUE"""),"Más información / Informazio gehigarria")</f>
        <v>Más información / Informazio gehigarria</v>
      </c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30.0" customHeight="1">
      <c r="A123" s="2" t="str">
        <f>IFERROR(__xludf.DUMMYFUNCTION("""COMPUTED_VALUE"""),"Bélgica")</f>
        <v>Bélgica</v>
      </c>
      <c r="B123" s="2" t="str">
        <f>IFERROR(__xludf.DUMMYFUNCTION("""COMPUTED_VALUE"""),"B LEUVEN01")</f>
        <v>B LEUVEN01</v>
      </c>
      <c r="C123" s="3" t="str">
        <f>IFERROR(__xludf.DUMMYFUNCTION("""COMPUTED_VALUE"""),"Katholieke Universiteit Leuven")</f>
        <v>Katholieke Universiteit Leuven</v>
      </c>
      <c r="D123" s="2" t="str">
        <f>IFERROR(__xludf.DUMMYFUNCTION("""COMPUTED_VALUE"""),"Erasmus+")</f>
        <v>Erasmus+</v>
      </c>
      <c r="E123" s="2">
        <f>IFERROR(__xludf.DUMMYFUNCTION("""COMPUTED_VALUE"""),2.0)</f>
        <v>2</v>
      </c>
      <c r="F123" s="2" t="str">
        <f>IFERROR(__xludf.DUMMYFUNCTION("""COMPUTED_VALUE"""),"Anual")</f>
        <v>Anual</v>
      </c>
      <c r="G123" s="2" t="str">
        <f>IFERROR(__xludf.DUMMYFUNCTION("""COMPUTED_VALUE"""),"Bilbao")</f>
        <v>Bilbao</v>
      </c>
      <c r="H123" s="2" t="str">
        <f>IFERROR(__xludf.DUMMYFUNCTION("""COMPUTED_VALUE"""),"Ciencias de la Salud")</f>
        <v>Ciencias de la Salud</v>
      </c>
      <c r="I123" s="2" t="str">
        <f>IFERROR(__xludf.DUMMYFUNCTION("""COMPUTED_VALUE"""),"Psicología")</f>
        <v>Psicología</v>
      </c>
      <c r="J123" s="2" t="str">
        <f>IFERROR(__xludf.DUMMYFUNCTION("""COMPUTED_VALUE"""),"Grado")</f>
        <v>Grado</v>
      </c>
      <c r="K123" s="2" t="str">
        <f>IFERROR(__xludf.DUMMYFUNCTION("""COMPUTED_VALUE"""),"Inglés")</f>
        <v>Inglés</v>
      </c>
      <c r="L123" s="2" t="str">
        <f>IFERROR(__xludf.DUMMYFUNCTION("""COMPUTED_VALUE"""),"B2")</f>
        <v>B2</v>
      </c>
      <c r="M123" s="2" t="str">
        <f>IFERROR(__xludf.DUMMYFUNCTION("""COMPUTED_VALUE"""),"No")</f>
        <v>No</v>
      </c>
      <c r="N123" s="3" t="str">
        <f>IFERROR(__xludf.DUMMYFUNCTION("""COMPUTED_VALUE"""),"https://eng.kuleuven.be/en/study/prospective-students/non-degree-seeking-students/exchange-procedure/prerequisites-for-exchange-students")</f>
        <v>https://eng.kuleuven.be/en/study/prospective-students/non-degree-seeking-students/exchange-procedure/prerequisites-for-exchange-students</v>
      </c>
      <c r="O123" s="3" t="str">
        <f>IFERROR(__xludf.DUMMYFUNCTION("""COMPUTED_VALUE"""),"Más información / Informazio gehigarria")</f>
        <v>Más información / Informazio gehigarria</v>
      </c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30.0" customHeight="1">
      <c r="A124" s="2" t="str">
        <f>IFERROR(__xludf.DUMMYFUNCTION("""COMPUTED_VALUE"""),"Bélgica")</f>
        <v>Bélgica</v>
      </c>
      <c r="B124" s="2" t="str">
        <f>IFERROR(__xludf.DUMMYFUNCTION("""COMPUTED_VALUE"""),"B LOUVAIN01")</f>
        <v>B LOUVAIN01</v>
      </c>
      <c r="C124" s="3" t="str">
        <f>IFERROR(__xludf.DUMMYFUNCTION("""COMPUTED_VALUE"""),"Université Catholique de Louvain")</f>
        <v>Université Catholique de Louvain</v>
      </c>
      <c r="D124" s="2" t="str">
        <f>IFERROR(__xludf.DUMMYFUNCTION("""COMPUTED_VALUE"""),"Erasmus+")</f>
        <v>Erasmus+</v>
      </c>
      <c r="E124" s="2">
        <f>IFERROR(__xludf.DUMMYFUNCTION("""COMPUTED_VALUE"""),3.0)</f>
        <v>3</v>
      </c>
      <c r="F124" s="2" t="str">
        <f>IFERROR(__xludf.DUMMYFUNCTION("""COMPUTED_VALUE"""),"Semestre")</f>
        <v>Semestre</v>
      </c>
      <c r="G124" s="2" t="str">
        <f>IFERROR(__xludf.DUMMYFUNCTION("""COMPUTED_VALUE"""),"San Sebastián")</f>
        <v>San Sebastián</v>
      </c>
      <c r="H124" s="2" t="str">
        <f>IFERROR(__xludf.DUMMYFUNCTION("""COMPUTED_VALUE"""),"Ciencias Sociales y Humanas")</f>
        <v>Ciencias Sociales y Humanas</v>
      </c>
      <c r="I124" s="2" t="str">
        <f>IFERROR(__xludf.DUMMYFUNCTION("""COMPUTED_VALUE"""),"Comunicación")</f>
        <v>Comunicación</v>
      </c>
      <c r="J124" s="2" t="str">
        <f>IFERROR(__xludf.DUMMYFUNCTION("""COMPUTED_VALUE"""),"Grado")</f>
        <v>Grado</v>
      </c>
      <c r="K124" s="2" t="str">
        <f>IFERROR(__xludf.DUMMYFUNCTION("""COMPUTED_VALUE"""),"Inglés / Francés")</f>
        <v>Inglés / Francés</v>
      </c>
      <c r="L124" s="2" t="str">
        <f>IFERROR(__xludf.DUMMYFUNCTION("""COMPUTED_VALUE"""),"B2")</f>
        <v>B2</v>
      </c>
      <c r="M124" s="2" t="str">
        <f>IFERROR(__xludf.DUMMYFUNCTION("""COMPUTED_VALUE"""),"No")</f>
        <v>No</v>
      </c>
      <c r="N124" s="3" t="str">
        <f>IFERROR(__xludf.DUMMYFUNCTION("""COMPUTED_VALUE"""),"https://www.uc3m.es/secretaria-virtual/media/secretaria-virtual/doc/archivo/doc_e_fs_b_louvain01/b-louvain01_fs_2223.pdf")</f>
        <v>https://www.uc3m.es/secretaria-virtual/media/secretaria-virtual/doc/archivo/doc_e_fs_b_louvain01/b-louvain01_fs_2223.pdf</v>
      </c>
      <c r="O124" s="3" t="str">
        <f>IFERROR(__xludf.DUMMYFUNCTION("""COMPUTED_VALUE"""),"Más información / Informazio gehigarria")</f>
        <v>Más información / Informazio gehigarria</v>
      </c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30.0" customHeight="1">
      <c r="A125" s="2" t="str">
        <f>IFERROR(__xludf.DUMMYFUNCTION("""COMPUTED_VALUE"""),"Bélgica")</f>
        <v>Bélgica</v>
      </c>
      <c r="B125" s="2" t="str">
        <f>IFERROR(__xludf.DUMMYFUNCTION("""COMPUTED_VALUE"""),"B LOUVAIN01")</f>
        <v>B LOUVAIN01</v>
      </c>
      <c r="C125" s="3" t="str">
        <f>IFERROR(__xludf.DUMMYFUNCTION("""COMPUTED_VALUE"""),"Université Catholique de Louvain")</f>
        <v>Université Catholique de Louvain</v>
      </c>
      <c r="D125" s="2" t="str">
        <f>IFERROR(__xludf.DUMMYFUNCTION("""COMPUTED_VALUE"""),"Erasmus+")</f>
        <v>Erasmus+</v>
      </c>
      <c r="E125" s="2">
        <f>IFERROR(__xludf.DUMMYFUNCTION("""COMPUTED_VALUE"""),4.0)</f>
        <v>4</v>
      </c>
      <c r="F125" s="2" t="str">
        <f>IFERROR(__xludf.DUMMYFUNCTION("""COMPUTED_VALUE"""),"Semestre")</f>
        <v>Semestre</v>
      </c>
      <c r="G125" s="2" t="str">
        <f>IFERROR(__xludf.DUMMYFUNCTION("""COMPUTED_VALUE"""),"San Sebastián")</f>
        <v>San Sebastián</v>
      </c>
      <c r="H125" s="2" t="str">
        <f>IFERROR(__xludf.DUMMYFUNCTION("""COMPUTED_VALUE"""),"Deusto Business School")</f>
        <v>Deusto Business School</v>
      </c>
      <c r="I125" s="2" t="str">
        <f>IFERROR(__xludf.DUMMYFUNCTION("""COMPUTED_VALUE"""),"Administración y Dirección de Empresas")</f>
        <v>Administración y Dirección de Empresas</v>
      </c>
      <c r="J125" s="2" t="str">
        <f>IFERROR(__xludf.DUMMYFUNCTION("""COMPUTED_VALUE"""),"Grado")</f>
        <v>Grado</v>
      </c>
      <c r="K125" s="2" t="str">
        <f>IFERROR(__xludf.DUMMYFUNCTION("""COMPUTED_VALUE"""),"Inglés")</f>
        <v>Inglés</v>
      </c>
      <c r="L125" s="2" t="str">
        <f>IFERROR(__xludf.DUMMYFUNCTION("""COMPUTED_VALUE"""),"C1")</f>
        <v>C1</v>
      </c>
      <c r="M125" s="2" t="str">
        <f>IFERROR(__xludf.DUMMYFUNCTION("""COMPUTED_VALUE"""),"Sí")</f>
        <v>Sí</v>
      </c>
      <c r="N125" s="3" t="str">
        <f>IFERROR(__xludf.DUMMYFUNCTION("""COMPUTED_VALUE"""),"https://www.uc3m.es/secretaria-virtual/media/secretaria-virtual/doc/archivo/doc_e_fs_b_louvain01/b-louvain01_fs_2223.pdf")</f>
        <v>https://www.uc3m.es/secretaria-virtual/media/secretaria-virtual/doc/archivo/doc_e_fs_b_louvain01/b-louvain01_fs_2223.pdf</v>
      </c>
      <c r="O125" s="3" t="str">
        <f>IFERROR(__xludf.DUMMYFUNCTION("""COMPUTED_VALUE"""),"Más información / Informazio gehigarria")</f>
        <v>Más información / Informazio gehigarria</v>
      </c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30.0" customHeight="1">
      <c r="A126" s="2" t="str">
        <f>IFERROR(__xludf.DUMMYFUNCTION("""COMPUTED_VALUE"""),"Bélgica")</f>
        <v>Bélgica</v>
      </c>
      <c r="B126" s="2" t="str">
        <f>IFERROR(__xludf.DUMMYFUNCTION("""COMPUTED_VALUE"""),"B LOUVAIN01")</f>
        <v>B LOUVAIN01</v>
      </c>
      <c r="C126" s="3" t="str">
        <f>IFERROR(__xludf.DUMMYFUNCTION("""COMPUTED_VALUE"""),"Université Catholique de Louvain")</f>
        <v>Université Catholique de Louvain</v>
      </c>
      <c r="D126" s="2" t="str">
        <f>IFERROR(__xludf.DUMMYFUNCTION("""COMPUTED_VALUE"""),"Erasmus+")</f>
        <v>Erasmus+</v>
      </c>
      <c r="E126" s="2">
        <f>IFERROR(__xludf.DUMMYFUNCTION("""COMPUTED_VALUE"""),2.0)</f>
        <v>2</v>
      </c>
      <c r="F126" s="2" t="str">
        <f>IFERROR(__xludf.DUMMYFUNCTION("""COMPUTED_VALUE"""),"Ambos semestres")</f>
        <v>Ambos semestres</v>
      </c>
      <c r="G126" s="2" t="str">
        <f>IFERROR(__xludf.DUMMYFUNCTION("""COMPUTED_VALUE"""),"Bilbao")</f>
        <v>Bilbao</v>
      </c>
      <c r="H126" s="2" t="str">
        <f>IFERROR(__xludf.DUMMYFUNCTION("""COMPUTED_VALUE"""),"Deusto Business School")</f>
        <v>Deusto Business School</v>
      </c>
      <c r="I126" s="2" t="str">
        <f>IFERROR(__xludf.DUMMYFUNCTION("""COMPUTED_VALUE"""),"Administración y Dirección de Empresas")</f>
        <v>Administración y Dirección de Empresas</v>
      </c>
      <c r="J126" s="2" t="str">
        <f>IFERROR(__xludf.DUMMYFUNCTION("""COMPUTED_VALUE"""),"Grado")</f>
        <v>Grado</v>
      </c>
      <c r="K126" s="2" t="str">
        <f>IFERROR(__xludf.DUMMYFUNCTION("""COMPUTED_VALUE"""),"Inglés")</f>
        <v>Inglés</v>
      </c>
      <c r="L126" s="2" t="str">
        <f>IFERROR(__xludf.DUMMYFUNCTION("""COMPUTED_VALUE"""),"C1")</f>
        <v>C1</v>
      </c>
      <c r="M126" s="2" t="str">
        <f>IFERROR(__xludf.DUMMYFUNCTION("""COMPUTED_VALUE"""),"No")</f>
        <v>No</v>
      </c>
      <c r="N126" s="3" t="str">
        <f>IFERROR(__xludf.DUMMYFUNCTION("""COMPUTED_VALUE"""),"https://www.uc3m.es/secretaria-virtual/media/secretaria-virtual/doc/archivo/doc_e_fs_b_louvain01/b-louvain01_fs_2223.pdf")</f>
        <v>https://www.uc3m.es/secretaria-virtual/media/secretaria-virtual/doc/archivo/doc_e_fs_b_louvain01/b-louvain01_fs_2223.pdf</v>
      </c>
      <c r="O126" s="3" t="str">
        <f>IFERROR(__xludf.DUMMYFUNCTION("""COMPUTED_VALUE"""),"Más información / Informazio gehigarria")</f>
        <v>Más información / Informazio gehigarria</v>
      </c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30.0" customHeight="1">
      <c r="A127" s="2" t="str">
        <f>IFERROR(__xludf.DUMMYFUNCTION("""COMPUTED_VALUE"""),"Bélgica")</f>
        <v>Bélgica</v>
      </c>
      <c r="B127" s="2" t="str">
        <f>IFERROR(__xludf.DUMMYFUNCTION("""COMPUTED_VALUE"""),"B LIEGE01")</f>
        <v>B LIEGE01</v>
      </c>
      <c r="C127" s="3" t="str">
        <f>IFERROR(__xludf.DUMMYFUNCTION("""COMPUTED_VALUE"""),"Université de Liège")</f>
        <v>Université de Liège</v>
      </c>
      <c r="D127" s="2" t="str">
        <f>IFERROR(__xludf.DUMMYFUNCTION("""COMPUTED_VALUE"""),"Erasmus+")</f>
        <v>Erasmus+</v>
      </c>
      <c r="E127" s="2">
        <f>IFERROR(__xludf.DUMMYFUNCTION("""COMPUTED_VALUE"""),1.0)</f>
        <v>1</v>
      </c>
      <c r="F127" s="2" t="str">
        <f>IFERROR(__xludf.DUMMYFUNCTION("""COMPUTED_VALUE"""),"Semestre")</f>
        <v>Semestre</v>
      </c>
      <c r="G127" s="2" t="str">
        <f>IFERROR(__xludf.DUMMYFUNCTION("""COMPUTED_VALUE"""),"San Sebastián")</f>
        <v>San Sebastián</v>
      </c>
      <c r="H127" s="2" t="str">
        <f>IFERROR(__xludf.DUMMYFUNCTION("""COMPUTED_VALUE"""),"Ciencias de la Salud")</f>
        <v>Ciencias de la Salud</v>
      </c>
      <c r="I127" s="2" t="str">
        <f>IFERROR(__xludf.DUMMYFUNCTION("""COMPUTED_VALUE"""),"Fisioterapia")</f>
        <v>Fisioterapia</v>
      </c>
      <c r="J127" s="2" t="str">
        <f>IFERROR(__xludf.DUMMYFUNCTION("""COMPUTED_VALUE"""),"Grado")</f>
        <v>Grado</v>
      </c>
      <c r="K127" s="2" t="str">
        <f>IFERROR(__xludf.DUMMYFUNCTION("""COMPUTED_VALUE"""),"Francés")</f>
        <v>Francés</v>
      </c>
      <c r="L127" s="2" t="str">
        <f>IFERROR(__xludf.DUMMYFUNCTION("""COMPUTED_VALUE"""),"B2")</f>
        <v>B2</v>
      </c>
      <c r="M127" s="2" t="str">
        <f>IFERROR(__xludf.DUMMYFUNCTION("""COMPUTED_VALUE"""),"Sí")</f>
        <v>Sí</v>
      </c>
      <c r="N127" s="3" t="str">
        <f>IFERROR(__xludf.DUMMYFUNCTION("""COMPUTED_VALUE"""),"https://www.international.uliege.be/cms/c_9116292/en/language-requirements-/incoming-exchange-students")</f>
        <v>https://www.international.uliege.be/cms/c_9116292/en/language-requirements-/incoming-exchange-students</v>
      </c>
      <c r="O127" s="3" t="str">
        <f>IFERROR(__xludf.DUMMYFUNCTION("""COMPUTED_VALUE"""),"Más información / Informazio gehigarria")</f>
        <v>Más información / Informazio gehigarria</v>
      </c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30.0" customHeight="1">
      <c r="A128" s="2" t="str">
        <f>IFERROR(__xludf.DUMMYFUNCTION("""COMPUTED_VALUE"""),"Bélgica")</f>
        <v>Bélgica</v>
      </c>
      <c r="B128" s="2" t="str">
        <f>IFERROR(__xludf.DUMMYFUNCTION("""COMPUTED_VALUE"""),"B LIEGE01")</f>
        <v>B LIEGE01</v>
      </c>
      <c r="C128" s="3" t="str">
        <f>IFERROR(__xludf.DUMMYFUNCTION("""COMPUTED_VALUE"""),"Université de Liège")</f>
        <v>Université de Liège</v>
      </c>
      <c r="D128" s="2" t="str">
        <f>IFERROR(__xludf.DUMMYFUNCTION("""COMPUTED_VALUE"""),"Erasmus+")</f>
        <v>Erasmus+</v>
      </c>
      <c r="E128" s="2">
        <f>IFERROR(__xludf.DUMMYFUNCTION("""COMPUTED_VALUE"""),2.0)</f>
        <v>2</v>
      </c>
      <c r="F128" s="2" t="str">
        <f>IFERROR(__xludf.DUMMYFUNCTION("""COMPUTED_VALUE"""),"Semestre")</f>
        <v>Semestre</v>
      </c>
      <c r="G128" s="2" t="str">
        <f>IFERROR(__xludf.DUMMYFUNCTION("""COMPUTED_VALUE"""),"Bilbao")</f>
        <v>Bilbao</v>
      </c>
      <c r="H128" s="2" t="str">
        <f>IFERROR(__xludf.DUMMYFUNCTION("""COMPUTED_VALUE"""),"Derecho")</f>
        <v>Derecho</v>
      </c>
      <c r="I128" s="2" t="str">
        <f>IFERROR(__xludf.DUMMYFUNCTION("""COMPUTED_VALUE"""),"Derecho, Derecho + Relaciones Laborales")</f>
        <v>Derecho, Derecho + Relaciones Laborales</v>
      </c>
      <c r="J128" s="2" t="str">
        <f>IFERROR(__xludf.DUMMYFUNCTION("""COMPUTED_VALUE"""),"Grado")</f>
        <v>Grado</v>
      </c>
      <c r="K128" s="2" t="str">
        <f>IFERROR(__xludf.DUMMYFUNCTION("""COMPUTED_VALUE"""),"Francés")</f>
        <v>Francés</v>
      </c>
      <c r="L128" s="2" t="str">
        <f>IFERROR(__xludf.DUMMYFUNCTION("""COMPUTED_VALUE"""),"B2")</f>
        <v>B2</v>
      </c>
      <c r="M128" s="2" t="str">
        <f>IFERROR(__xludf.DUMMYFUNCTION("""COMPUTED_VALUE"""),"Sí")</f>
        <v>Sí</v>
      </c>
      <c r="N128" s="3" t="str">
        <f>IFERROR(__xludf.DUMMYFUNCTION("""COMPUTED_VALUE"""),"https://www.international.uliege.be/cms/c_9116292/en/language-requirements-/incoming-exchange-students")</f>
        <v>https://www.international.uliege.be/cms/c_9116292/en/language-requirements-/incoming-exchange-students</v>
      </c>
      <c r="O128" s="3" t="str">
        <f>IFERROR(__xludf.DUMMYFUNCTION("""COMPUTED_VALUE"""),"Más información / Informazio gehigarria")</f>
        <v>Más información / Informazio gehigarria</v>
      </c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30.0" customHeight="1">
      <c r="A129" s="2" t="str">
        <f>IFERROR(__xludf.DUMMYFUNCTION("""COMPUTED_VALUE"""),"Bélgica")</f>
        <v>Bélgica</v>
      </c>
      <c r="B129" s="2" t="str">
        <f>IFERROR(__xludf.DUMMYFUNCTION("""COMPUTED_VALUE"""),"B LIEGE01")</f>
        <v>B LIEGE01</v>
      </c>
      <c r="C129" s="3" t="str">
        <f>IFERROR(__xludf.DUMMYFUNCTION("""COMPUTED_VALUE"""),"Université de Liège")</f>
        <v>Université de Liège</v>
      </c>
      <c r="D129" s="2" t="str">
        <f>IFERROR(__xludf.DUMMYFUNCTION("""COMPUTED_VALUE"""),"Erasmus+")</f>
        <v>Erasmus+</v>
      </c>
      <c r="E129" s="2">
        <f>IFERROR(__xludf.DUMMYFUNCTION("""COMPUTED_VALUE"""),2.0)</f>
        <v>2</v>
      </c>
      <c r="F129" s="2" t="str">
        <f>IFERROR(__xludf.DUMMYFUNCTION("""COMPUTED_VALUE"""),"Semestre")</f>
        <v>Semestre</v>
      </c>
      <c r="G129" s="2" t="str">
        <f>IFERROR(__xludf.DUMMYFUNCTION("""COMPUTED_VALUE"""),"Bilbao")</f>
        <v>Bilbao</v>
      </c>
      <c r="H129" s="2" t="str">
        <f>IFERROR(__xludf.DUMMYFUNCTION("""COMPUTED_VALUE"""),"Ingeniería")</f>
        <v>Ingeniería</v>
      </c>
      <c r="I129" s="2" t="str">
        <f>IFERROR(__xludf.DUMMYFUNCTION("""COMPUTED_VALUE"""),"Ingeniería Biomédica")</f>
        <v>Ingeniería Biomédica</v>
      </c>
      <c r="J129" s="2" t="str">
        <f>IFERROR(__xludf.DUMMYFUNCTION("""COMPUTED_VALUE"""),"Grado")</f>
        <v>Grado</v>
      </c>
      <c r="K129" s="2" t="str">
        <f>IFERROR(__xludf.DUMMYFUNCTION("""COMPUTED_VALUE"""),"Francés")</f>
        <v>Francés</v>
      </c>
      <c r="L129" s="2" t="str">
        <f>IFERROR(__xludf.DUMMYFUNCTION("""COMPUTED_VALUE"""),"B2")</f>
        <v>B2</v>
      </c>
      <c r="M129" s="2" t="str">
        <f>IFERROR(__xludf.DUMMYFUNCTION("""COMPUTED_VALUE"""),"Sí")</f>
        <v>Sí</v>
      </c>
      <c r="N129" s="3" t="str">
        <f>IFERROR(__xludf.DUMMYFUNCTION("""COMPUTED_VALUE"""),"https://www.international.uliege.be/cms/c_9116292/en/language-requirements-/incoming-exchange-students")</f>
        <v>https://www.international.uliege.be/cms/c_9116292/en/language-requirements-/incoming-exchange-students</v>
      </c>
      <c r="O129" s="3" t="str">
        <f>IFERROR(__xludf.DUMMYFUNCTION("""COMPUTED_VALUE"""),"Más información / Informazio gehigarria")</f>
        <v>Más información / Informazio gehigarria</v>
      </c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30.0" customHeight="1">
      <c r="A130" s="2" t="str">
        <f>IFERROR(__xludf.DUMMYFUNCTION("""COMPUTED_VALUE"""),"Bélgica")</f>
        <v>Bélgica</v>
      </c>
      <c r="B130" s="2" t="str">
        <f>IFERROR(__xludf.DUMMYFUNCTION("""COMPUTED_VALUE"""),"B BRUXEL04")</f>
        <v>B BRUXEL04</v>
      </c>
      <c r="C130" s="3" t="str">
        <f>IFERROR(__xludf.DUMMYFUNCTION("""COMPUTED_VALUE"""),"Universite Libre de Bruxelles")</f>
        <v>Universite Libre de Bruxelles</v>
      </c>
      <c r="D130" s="2" t="str">
        <f>IFERROR(__xludf.DUMMYFUNCTION("""COMPUTED_VALUE"""),"Erasmus+")</f>
        <v>Erasmus+</v>
      </c>
      <c r="E130" s="2">
        <f>IFERROR(__xludf.DUMMYFUNCTION("""COMPUTED_VALUE"""),1.0)</f>
        <v>1</v>
      </c>
      <c r="F130" s="2" t="str">
        <f>IFERROR(__xludf.DUMMYFUNCTION("""COMPUTED_VALUE"""),"Anual")</f>
        <v>Anual</v>
      </c>
      <c r="G130" s="2" t="str">
        <f>IFERROR(__xludf.DUMMYFUNCTION("""COMPUTED_VALUE"""),"Bilbao")</f>
        <v>Bilbao</v>
      </c>
      <c r="H130" s="2" t="str">
        <f>IFERROR(__xludf.DUMMYFUNCTION("""COMPUTED_VALUE"""),"Ciencias de la Salud")</f>
        <v>Ciencias de la Salud</v>
      </c>
      <c r="I130" s="2" t="str">
        <f>IFERROR(__xludf.DUMMYFUNCTION("""COMPUTED_VALUE"""),"Psicología")</f>
        <v>Psicología</v>
      </c>
      <c r="J130" s="2" t="str">
        <f>IFERROR(__xludf.DUMMYFUNCTION("""COMPUTED_VALUE"""),"Grado")</f>
        <v>Grado</v>
      </c>
      <c r="K130" s="2" t="str">
        <f>IFERROR(__xludf.DUMMYFUNCTION("""COMPUTED_VALUE"""),"Francés / Inglés")</f>
        <v>Francés / Inglés</v>
      </c>
      <c r="L130" s="2" t="str">
        <f>IFERROR(__xludf.DUMMYFUNCTION("""COMPUTED_VALUE"""),"B2")</f>
        <v>B2</v>
      </c>
      <c r="M130" s="2" t="str">
        <f>IFERROR(__xludf.DUMMYFUNCTION("""COMPUTED_VALUE"""),"No")</f>
        <v>No</v>
      </c>
      <c r="N130" s="3" t="str">
        <f>IFERROR(__xludf.DUMMYFUNCTION("""COMPUTED_VALUE"""),"https://www.ulb.be/en/incoming-mobility/practical-information-for-incoming-students")</f>
        <v>https://www.ulb.be/en/incoming-mobility/practical-information-for-incoming-students</v>
      </c>
      <c r="O130" s="3" t="str">
        <f>IFERROR(__xludf.DUMMYFUNCTION("""COMPUTED_VALUE"""),"Más información / Informazio gehigarria")</f>
        <v>Más información / Informazio gehigarria</v>
      </c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30.0" customHeight="1">
      <c r="A131" s="2" t="str">
        <f>IFERROR(__xludf.DUMMYFUNCTION("""COMPUTED_VALUE"""),"Bélgica")</f>
        <v>Bélgica</v>
      </c>
      <c r="B131" s="2" t="str">
        <f>IFERROR(__xludf.DUMMYFUNCTION("""COMPUTED_VALUE"""),"B BRUXEL04")</f>
        <v>B BRUXEL04</v>
      </c>
      <c r="C131" s="3" t="str">
        <f>IFERROR(__xludf.DUMMYFUNCTION("""COMPUTED_VALUE"""),"Universite Libre de Bruxelles")</f>
        <v>Universite Libre de Bruxelles</v>
      </c>
      <c r="D131" s="2" t="str">
        <f>IFERROR(__xludf.DUMMYFUNCTION("""COMPUTED_VALUE"""),"Erasmus+")</f>
        <v>Erasmus+</v>
      </c>
      <c r="E131" s="2">
        <f>IFERROR(__xludf.DUMMYFUNCTION("""COMPUTED_VALUE"""),1.0)</f>
        <v>1</v>
      </c>
      <c r="F131" s="2" t="str">
        <f>IFERROR(__xludf.DUMMYFUNCTION("""COMPUTED_VALUE"""),"Anual")</f>
        <v>Anual</v>
      </c>
      <c r="G131" s="2" t="str">
        <f>IFERROR(__xludf.DUMMYFUNCTION("""COMPUTED_VALUE"""),"Bilbao")</f>
        <v>Bilbao</v>
      </c>
      <c r="H131" s="2" t="str">
        <f>IFERROR(__xludf.DUMMYFUNCTION("""COMPUTED_VALUE"""),"Ciencias Sociales y Humanas")</f>
        <v>Ciencias Sociales y Humanas</v>
      </c>
      <c r="I131" s="2" t="str">
        <f>IFERROR(__xludf.DUMMYFUNCTION("""COMPUTED_VALUE"""),"Relaciones Internacionales")</f>
        <v>Relaciones Internacionales</v>
      </c>
      <c r="J131" s="2" t="str">
        <f>IFERROR(__xludf.DUMMYFUNCTION("""COMPUTED_VALUE"""),"Grado")</f>
        <v>Grado</v>
      </c>
      <c r="K131" s="2" t="str">
        <f>IFERROR(__xludf.DUMMYFUNCTION("""COMPUTED_VALUE"""),"Francés / Inglés")</f>
        <v>Francés / Inglés</v>
      </c>
      <c r="L131" s="2" t="str">
        <f>IFERROR(__xludf.DUMMYFUNCTION("""COMPUTED_VALUE"""),"B2")</f>
        <v>B2</v>
      </c>
      <c r="M131" s="2" t="str">
        <f>IFERROR(__xludf.DUMMYFUNCTION("""COMPUTED_VALUE"""),"No")</f>
        <v>No</v>
      </c>
      <c r="N131" s="3" t="str">
        <f>IFERROR(__xludf.DUMMYFUNCTION("""COMPUTED_VALUE"""),"https://www.ulb.be/en/incoming-mobility/practical-information-for-incoming-students")</f>
        <v>https://www.ulb.be/en/incoming-mobility/practical-information-for-incoming-students</v>
      </c>
      <c r="O131" s="3" t="str">
        <f>IFERROR(__xludf.DUMMYFUNCTION("""COMPUTED_VALUE"""),"Más información / Informazio gehigarria")</f>
        <v>Más información / Informazio gehigarria</v>
      </c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30.0" customHeight="1">
      <c r="A132" s="2" t="str">
        <f>IFERROR(__xludf.DUMMYFUNCTION("""COMPUTED_VALUE"""),"Bélgica")</f>
        <v>Bélgica</v>
      </c>
      <c r="B132" s="2" t="str">
        <f>IFERROR(__xludf.DUMMYFUNCTION("""COMPUTED_VALUE"""),"B BRUXEL04")</f>
        <v>B BRUXEL04</v>
      </c>
      <c r="C132" s="3" t="str">
        <f>IFERROR(__xludf.DUMMYFUNCTION("""COMPUTED_VALUE"""),"Universite Libre de Bruxelles")</f>
        <v>Universite Libre de Bruxelles</v>
      </c>
      <c r="D132" s="2" t="str">
        <f>IFERROR(__xludf.DUMMYFUNCTION("""COMPUTED_VALUE"""),"Erasmus+")</f>
        <v>Erasmus+</v>
      </c>
      <c r="E132" s="2">
        <f>IFERROR(__xludf.DUMMYFUNCTION("""COMPUTED_VALUE"""),2.0)</f>
        <v>2</v>
      </c>
      <c r="F132" s="2" t="str">
        <f>IFERROR(__xludf.DUMMYFUNCTION("""COMPUTED_VALUE"""),"Semestre")</f>
        <v>Semestre</v>
      </c>
      <c r="G132" s="2" t="str">
        <f>IFERROR(__xludf.DUMMYFUNCTION("""COMPUTED_VALUE"""),"Bilbao")</f>
        <v>Bilbao</v>
      </c>
      <c r="H132" s="2" t="str">
        <f>IFERROR(__xludf.DUMMYFUNCTION("""COMPUTED_VALUE"""),"Ciencias Sociales y Humanas")</f>
        <v>Ciencias Sociales y Humanas</v>
      </c>
      <c r="I132" s="2" t="str">
        <f>IFERROR(__xludf.DUMMYFUNCTION("""COMPUTED_VALUE"""),"Filosofía, Política y Economía")</f>
        <v>Filosofía, Política y Economía</v>
      </c>
      <c r="J132" s="2" t="str">
        <f>IFERROR(__xludf.DUMMYFUNCTION("""COMPUTED_VALUE"""),"Grado")</f>
        <v>Grado</v>
      </c>
      <c r="K132" s="2" t="str">
        <f>IFERROR(__xludf.DUMMYFUNCTION("""COMPUTED_VALUE"""),"Francés / Inglés")</f>
        <v>Francés / Inglés</v>
      </c>
      <c r="L132" s="2" t="str">
        <f>IFERROR(__xludf.DUMMYFUNCTION("""COMPUTED_VALUE"""),"B2")</f>
        <v>B2</v>
      </c>
      <c r="M132" s="2" t="str">
        <f>IFERROR(__xludf.DUMMYFUNCTION("""COMPUTED_VALUE"""),"No")</f>
        <v>No</v>
      </c>
      <c r="N132" s="3" t="str">
        <f>IFERROR(__xludf.DUMMYFUNCTION("""COMPUTED_VALUE"""),"https://www.ulb.be/en/incoming-mobility/practical-information-for-incoming-students")</f>
        <v>https://www.ulb.be/en/incoming-mobility/practical-information-for-incoming-students</v>
      </c>
      <c r="O132" s="3" t="str">
        <f>IFERROR(__xludf.DUMMYFUNCTION("""COMPUTED_VALUE"""),"Más información / Informazio gehigarria")</f>
        <v>Más información / Informazio gehigarria</v>
      </c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30.0" customHeight="1">
      <c r="A133" s="2" t="str">
        <f>IFERROR(__xludf.DUMMYFUNCTION("""COMPUTED_VALUE"""),"Bélgica")</f>
        <v>Bélgica</v>
      </c>
      <c r="B133" s="2" t="str">
        <f>IFERROR(__xludf.DUMMYFUNCTION("""COMPUTED_VALUE"""),"B BRUXEL04")</f>
        <v>B BRUXEL04</v>
      </c>
      <c r="C133" s="3" t="str">
        <f>IFERROR(__xludf.DUMMYFUNCTION("""COMPUTED_VALUE"""),"Université Llibre de Bruxelles - Solvay Business School")</f>
        <v>Université Llibre de Bruxelles - Solvay Business School</v>
      </c>
      <c r="D133" s="2" t="str">
        <f>IFERROR(__xludf.DUMMYFUNCTION("""COMPUTED_VALUE"""),"Erasmus+")</f>
        <v>Erasmus+</v>
      </c>
      <c r="E133" s="2">
        <f>IFERROR(__xludf.DUMMYFUNCTION("""COMPUTED_VALUE"""),2.0)</f>
        <v>2</v>
      </c>
      <c r="F133" s="2" t="str">
        <f>IFERROR(__xludf.DUMMYFUNCTION("""COMPUTED_VALUE"""),"Ambos semestres")</f>
        <v>Ambos semestres</v>
      </c>
      <c r="G133" s="2" t="str">
        <f>IFERROR(__xludf.DUMMYFUNCTION("""COMPUTED_VALUE"""),"Bilbao")</f>
        <v>Bilbao</v>
      </c>
      <c r="H133" s="2" t="str">
        <f>IFERROR(__xludf.DUMMYFUNCTION("""COMPUTED_VALUE"""),"Deusto Business School")</f>
        <v>Deusto Business School</v>
      </c>
      <c r="I133" s="2" t="str">
        <f>IFERROR(__xludf.DUMMYFUNCTION("""COMPUTED_VALUE"""),"Administración y Dirección de Empresas")</f>
        <v>Administración y Dirección de Empresas</v>
      </c>
      <c r="J133" s="2" t="str">
        <f>IFERROR(__xludf.DUMMYFUNCTION("""COMPUTED_VALUE"""),"Grado")</f>
        <v>Grado</v>
      </c>
      <c r="K133" s="2" t="str">
        <f>IFERROR(__xludf.DUMMYFUNCTION("""COMPUTED_VALUE"""),"Inglés")</f>
        <v>Inglés</v>
      </c>
      <c r="L133" s="2" t="str">
        <f>IFERROR(__xludf.DUMMYFUNCTION("""COMPUTED_VALUE"""),"C1")</f>
        <v>C1</v>
      </c>
      <c r="M133" s="2" t="str">
        <f>IFERROR(__xludf.DUMMYFUNCTION("""COMPUTED_VALUE"""),"No")</f>
        <v>No</v>
      </c>
      <c r="N133" s="3" t="str">
        <f>IFERROR(__xludf.DUMMYFUNCTION("""COMPUTED_VALUE"""),"https://www.ul.ie/media/23544/download?inline")</f>
        <v>https://www.ul.ie/media/23544/download?inline</v>
      </c>
      <c r="O133" s="3" t="str">
        <f>IFERROR(__xludf.DUMMYFUNCTION("""COMPUTED_VALUE"""),"Más información / Informazio gehigarria")</f>
        <v>Más información / Informazio gehigarria</v>
      </c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30.0" customHeight="1">
      <c r="A134" s="2" t="str">
        <f>IFERROR(__xludf.DUMMYFUNCTION("""COMPUTED_VALUE"""),"Bélgica")</f>
        <v>Bélgica</v>
      </c>
      <c r="B134" s="2" t="str">
        <f>IFERROR(__xludf.DUMMYFUNCTION("""COMPUTED_VALUE"""),"B GENT25")</f>
        <v>B GENT25</v>
      </c>
      <c r="C134" s="3" t="str">
        <f>IFERROR(__xludf.DUMMYFUNCTION("""COMPUTED_VALUE"""),"University College Ghent")</f>
        <v>University College Ghent</v>
      </c>
      <c r="D134" s="2" t="str">
        <f>IFERROR(__xludf.DUMMYFUNCTION("""COMPUTED_VALUE"""),"Erasmus+")</f>
        <v>Erasmus+</v>
      </c>
      <c r="E134" s="2">
        <f>IFERROR(__xludf.DUMMYFUNCTION("""COMPUTED_VALUE"""),3.0)</f>
        <v>3</v>
      </c>
      <c r="F134" s="2" t="str">
        <f>IFERROR(__xludf.DUMMYFUNCTION("""COMPUTED_VALUE"""),"Semestre")</f>
        <v>Semestre</v>
      </c>
      <c r="G134" s="2" t="str">
        <f>IFERROR(__xludf.DUMMYFUNCTION("""COMPUTED_VALUE"""),"San Sebastián")</f>
        <v>San Sebastián</v>
      </c>
      <c r="H134" s="2" t="str">
        <f>IFERROR(__xludf.DUMMYFUNCTION("""COMPUTED_VALUE"""),"Deusto Business School")</f>
        <v>Deusto Business School</v>
      </c>
      <c r="I134" s="2" t="str">
        <f>IFERROR(__xludf.DUMMYFUNCTION("""COMPUTED_VALUE"""),"Administración y Dirección de Empresas")</f>
        <v>Administración y Dirección de Empresas</v>
      </c>
      <c r="J134" s="2" t="str">
        <f>IFERROR(__xludf.DUMMYFUNCTION("""COMPUTED_VALUE"""),"Grado")</f>
        <v>Grado</v>
      </c>
      <c r="K134" s="2" t="str">
        <f>IFERROR(__xludf.DUMMYFUNCTION("""COMPUTED_VALUE"""),"Inglés")</f>
        <v>Inglés</v>
      </c>
      <c r="L134" s="2" t="str">
        <f>IFERROR(__xludf.DUMMYFUNCTION("""COMPUTED_VALUE"""),"B2")</f>
        <v>B2</v>
      </c>
      <c r="M134" s="2" t="str">
        <f>IFERROR(__xludf.DUMMYFUNCTION("""COMPUTED_VALUE"""),"Sí")</f>
        <v>Sí</v>
      </c>
      <c r="N134" s="3" t="str">
        <f>IFERROR(__xludf.DUMMYFUNCTION("""COMPUTED_VALUE"""),"https://www.hogent.be/en/future-student/exchange-programmes/what-is-an-exchange-student/#:~:text=Language%20requirements&amp;text=We%20advise%20students%20to%20have%20a%20B2.")</f>
        <v>https://www.hogent.be/en/future-student/exchange-programmes/what-is-an-exchange-student/#:~:text=Language%20requirements&amp;text=We%20advise%20students%20to%20have%20a%20B2.</v>
      </c>
      <c r="O134" s="3" t="str">
        <f>IFERROR(__xludf.DUMMYFUNCTION("""COMPUTED_VALUE"""),"Más información / Informazio gehigarria")</f>
        <v>Más información / Informazio gehigarria</v>
      </c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30.0" customHeight="1">
      <c r="A135" s="2" t="str">
        <f>IFERROR(__xludf.DUMMYFUNCTION("""COMPUTED_VALUE"""),"Bélgica")</f>
        <v>Bélgica</v>
      </c>
      <c r="B135" s="2" t="str">
        <f>IFERROR(__xludf.DUMMYFUNCTION("""COMPUTED_VALUE"""),"B GENT25")</f>
        <v>B GENT25</v>
      </c>
      <c r="C135" s="3" t="str">
        <f>IFERROR(__xludf.DUMMYFUNCTION("""COMPUTED_VALUE"""),"University College Ghent")</f>
        <v>University College Ghent</v>
      </c>
      <c r="D135" s="2" t="str">
        <f>IFERROR(__xludf.DUMMYFUNCTION("""COMPUTED_VALUE"""),"Erasmus+")</f>
        <v>Erasmus+</v>
      </c>
      <c r="E135" s="2">
        <f>IFERROR(__xludf.DUMMYFUNCTION("""COMPUTED_VALUE"""),2.0)</f>
        <v>2</v>
      </c>
      <c r="F135" s="2" t="str">
        <f>IFERROR(__xludf.DUMMYFUNCTION("""COMPUTED_VALUE"""),"Semestre")</f>
        <v>Semestre</v>
      </c>
      <c r="G135" s="2" t="str">
        <f>IFERROR(__xludf.DUMMYFUNCTION("""COMPUTED_VALUE"""),"Ambos")</f>
        <v>Ambos</v>
      </c>
      <c r="H135" s="2" t="str">
        <f>IFERROR(__xludf.DUMMYFUNCTION("""COMPUTED_VALUE"""),"Educación y Deporte")</f>
        <v>Educación y Deporte</v>
      </c>
      <c r="I135" s="2" t="str">
        <f>IFERROR(__xludf.DUMMYFUNCTION("""COMPUTED_VALUE"""),"Educación Primaria")</f>
        <v>Educación Primaria</v>
      </c>
      <c r="J135" s="2" t="str">
        <f>IFERROR(__xludf.DUMMYFUNCTION("""COMPUTED_VALUE"""),"Grado")</f>
        <v>Grado</v>
      </c>
      <c r="K135" s="2" t="str">
        <f>IFERROR(__xludf.DUMMYFUNCTION("""COMPUTED_VALUE"""),"Inglés")</f>
        <v>Inglés</v>
      </c>
      <c r="L135" s="2" t="str">
        <f>IFERROR(__xludf.DUMMYFUNCTION("""COMPUTED_VALUE"""),"B2")</f>
        <v>B2</v>
      </c>
      <c r="M135" s="2" t="str">
        <f>IFERROR(__xludf.DUMMYFUNCTION("""COMPUTED_VALUE"""),"No")</f>
        <v>No</v>
      </c>
      <c r="N135" s="3" t="str">
        <f>IFERROR(__xludf.DUMMYFUNCTION("""COMPUTED_VALUE"""),"https://www.hogent.be/en/future-student/exchange-programmes/what-is-an-exchange-student/#:~:text=Language%20requirements&amp;text=We%20advise%20students%20to%20have%20a%20B2.")</f>
        <v>https://www.hogent.be/en/future-student/exchange-programmes/what-is-an-exchange-student/#:~:text=Language%20requirements&amp;text=We%20advise%20students%20to%20have%20a%20B2.</v>
      </c>
      <c r="O135" s="3" t="str">
        <f>IFERROR(__xludf.DUMMYFUNCTION("""COMPUTED_VALUE"""),"Más información / Informazio gehigarria")</f>
        <v>Más información / Informazio gehigarria</v>
      </c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30.0" customHeight="1">
      <c r="A136" s="2" t="str">
        <f>IFERROR(__xludf.DUMMYFUNCTION("""COMPUTED_VALUE"""),"Bélgica")</f>
        <v>Bélgica</v>
      </c>
      <c r="B136" s="2" t="str">
        <f>IFERROR(__xludf.DUMMYFUNCTION("""COMPUTED_VALUE"""),"B ANTWERP01")</f>
        <v>B ANTWERP01</v>
      </c>
      <c r="C136" s="3" t="str">
        <f>IFERROR(__xludf.DUMMYFUNCTION("""COMPUTED_VALUE"""),"University of Antwerpen")</f>
        <v>University of Antwerpen</v>
      </c>
      <c r="D136" s="2" t="str">
        <f>IFERROR(__xludf.DUMMYFUNCTION("""COMPUTED_VALUE"""),"Erasmus+")</f>
        <v>Erasmus+</v>
      </c>
      <c r="E136" s="2">
        <f>IFERROR(__xludf.DUMMYFUNCTION("""COMPUTED_VALUE"""),2.0)</f>
        <v>2</v>
      </c>
      <c r="F136" s="2" t="str">
        <f>IFERROR(__xludf.DUMMYFUNCTION("""COMPUTED_VALUE"""),"Ambos semestres")</f>
        <v>Ambos semestres</v>
      </c>
      <c r="G136" s="2" t="str">
        <f>IFERROR(__xludf.DUMMYFUNCTION("""COMPUTED_VALUE"""),"Bilbao")</f>
        <v>Bilbao</v>
      </c>
      <c r="H136" s="2" t="str">
        <f>IFERROR(__xludf.DUMMYFUNCTION("""COMPUTED_VALUE"""),"Deusto Business School")</f>
        <v>Deusto Business School</v>
      </c>
      <c r="I136" s="2" t="str">
        <f>IFERROR(__xludf.DUMMYFUNCTION("""COMPUTED_VALUE"""),"Administración y Dirección de Empresas")</f>
        <v>Administración y Dirección de Empresas</v>
      </c>
      <c r="J136" s="2" t="str">
        <f>IFERROR(__xludf.DUMMYFUNCTION("""COMPUTED_VALUE"""),"Grado")</f>
        <v>Grado</v>
      </c>
      <c r="K136" s="2" t="str">
        <f>IFERROR(__xludf.DUMMYFUNCTION("""COMPUTED_VALUE"""),"Inglés")</f>
        <v>Inglés</v>
      </c>
      <c r="L136" s="2" t="str">
        <f>IFERROR(__xludf.DUMMYFUNCTION("""COMPUTED_VALUE"""),"C1")</f>
        <v>C1</v>
      </c>
      <c r="M136" s="2" t="str">
        <f>IFERROR(__xludf.DUMMYFUNCTION("""COMPUTED_VALUE"""),"Sí")</f>
        <v>Sí</v>
      </c>
      <c r="N136" s="3" t="str">
        <f>IFERROR(__xludf.DUMMYFUNCTION("""COMPUTED_VALUE"""),"https://www.uantwerpen.be/en/study/erasmus-and-exchange-students/admission/language-requirements/")</f>
        <v>https://www.uantwerpen.be/en/study/erasmus-and-exchange-students/admission/language-requirements/</v>
      </c>
      <c r="O136" s="3" t="str">
        <f>IFERROR(__xludf.DUMMYFUNCTION("""COMPUTED_VALUE"""),"Más información / Informazio gehigarria")</f>
        <v>Más información / Informazio gehigarria</v>
      </c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30.0" customHeight="1">
      <c r="A137" s="2" t="str">
        <f>IFERROR(__xludf.DUMMYFUNCTION("""COMPUTED_VALUE"""),"Brasil")</f>
        <v>Brasil</v>
      </c>
      <c r="B137" s="2"/>
      <c r="C137" s="3" t="str">
        <f>IFERROR(__xludf.DUMMYFUNCTION("""COMPUTED_VALUE"""),"Centro Universitário Álvares Penteado - FECAP")</f>
        <v>Centro Universitário Álvares Penteado - FECAP</v>
      </c>
      <c r="D137" s="2" t="str">
        <f>IFERROR(__xludf.DUMMYFUNCTION("""COMPUTED_VALUE"""),"Ac. Bilaterales (no Erasmus)")</f>
        <v>Ac. Bilaterales (no Erasmus)</v>
      </c>
      <c r="E137" s="2">
        <f>IFERROR(__xludf.DUMMYFUNCTION("""COMPUTED_VALUE"""),1.0)</f>
        <v>1</v>
      </c>
      <c r="F137" s="2" t="str">
        <f>IFERROR(__xludf.DUMMYFUNCTION("""COMPUTED_VALUE"""),"Anual ")</f>
        <v>Anual </v>
      </c>
      <c r="G137" s="2" t="str">
        <f>IFERROR(__xludf.DUMMYFUNCTION("""COMPUTED_VALUE"""),"Ambos")</f>
        <v>Ambos</v>
      </c>
      <c r="H137" s="2" t="str">
        <f>IFERROR(__xludf.DUMMYFUNCTION("""COMPUTED_VALUE"""),"Ciencias Sociales y Humanas")</f>
        <v>Ciencias Sociales y Humanas</v>
      </c>
      <c r="I137" s="2" t="str">
        <f>IFERROR(__xludf.DUMMYFUNCTION("""COMPUTED_VALUE"""),"Relaciones Internacionales")</f>
        <v>Relaciones Internacionales</v>
      </c>
      <c r="J137" s="2" t="str">
        <f>IFERROR(__xludf.DUMMYFUNCTION("""COMPUTED_VALUE"""),"Grado")</f>
        <v>Grado</v>
      </c>
      <c r="K137" s="2"/>
      <c r="L137" s="2"/>
      <c r="M137" s="2"/>
      <c r="N137" s="3" t="str">
        <f>IFERROR(__xludf.DUMMYFUNCTION("""COMPUTED_VALUE"""),"https://www.fecap.br/")</f>
        <v>https://www.fecap.br/</v>
      </c>
      <c r="O137" s="3" t="str">
        <f>IFERROR(__xludf.DUMMYFUNCTION("""COMPUTED_VALUE"""),"Más información / Informazio gehigarria")</f>
        <v>Más información / Informazio gehigarria</v>
      </c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30.0" customHeight="1">
      <c r="A138" s="2" t="str">
        <f>IFERROR(__xludf.DUMMYFUNCTION("""COMPUTED_VALUE"""),"Brasil")</f>
        <v>Brasil</v>
      </c>
      <c r="B138" s="2"/>
      <c r="C138" s="3" t="str">
        <f>IFERROR(__xludf.DUMMYFUNCTION("""COMPUTED_VALUE"""),"Centro Universitario Christus")</f>
        <v>Centro Universitario Christus</v>
      </c>
      <c r="D138" s="2" t="str">
        <f>IFERROR(__xludf.DUMMYFUNCTION("""COMPUTED_VALUE"""),"Ac. Bilaterales (no Erasmus)")</f>
        <v>Ac. Bilaterales (no Erasmus)</v>
      </c>
      <c r="E138" s="2">
        <f>IFERROR(__xludf.DUMMYFUNCTION("""COMPUTED_VALUE"""),2.0)</f>
        <v>2</v>
      </c>
      <c r="F138" s="2" t="str">
        <f>IFERROR(__xludf.DUMMYFUNCTION("""COMPUTED_VALUE"""),"Semestre")</f>
        <v>Semestre</v>
      </c>
      <c r="G138" s="2" t="str">
        <f>IFERROR(__xludf.DUMMYFUNCTION("""COMPUTED_VALUE"""),"San Sebastián")</f>
        <v>San Sebastián</v>
      </c>
      <c r="H138" s="2" t="str">
        <f>IFERROR(__xludf.DUMMYFUNCTION("""COMPUTED_VALUE"""),"Ciencias de la Salud")</f>
        <v>Ciencias de la Salud</v>
      </c>
      <c r="I138" s="2" t="str">
        <f>IFERROR(__xludf.DUMMYFUNCTION("""COMPUTED_VALUE"""),"Fisioterapia")</f>
        <v>Fisioterapia</v>
      </c>
      <c r="J138" s="2" t="str">
        <f>IFERROR(__xludf.DUMMYFUNCTION("""COMPUTED_VALUE"""),"Grado")</f>
        <v>Grado</v>
      </c>
      <c r="K138" s="2" t="str">
        <f>IFERROR(__xludf.DUMMYFUNCTION("""COMPUTED_VALUE"""),"Portugués")</f>
        <v>Portugués</v>
      </c>
      <c r="L138" s="2" t="str">
        <f>IFERROR(__xludf.DUMMYFUNCTION("""COMPUTED_VALUE"""),"B1")</f>
        <v>B1</v>
      </c>
      <c r="M138" s="2" t="str">
        <f>IFERROR(__xludf.DUMMYFUNCTION("""COMPUTED_VALUE"""),"No")</f>
        <v>No</v>
      </c>
      <c r="N138" s="3" t="str">
        <f>IFERROR(__xludf.DUMMYFUNCTION("""COMPUTED_VALUE"""),"https://www.unichristus.edu.br/internacional/")</f>
        <v>https://www.unichristus.edu.br/internacional/</v>
      </c>
      <c r="O138" s="3" t="str">
        <f>IFERROR(__xludf.DUMMYFUNCTION("""COMPUTED_VALUE"""),"Más información / Informazio gehigarria")</f>
        <v>Más información / Informazio gehigarria</v>
      </c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30.0" customHeight="1">
      <c r="A139" s="2" t="str">
        <f>IFERROR(__xludf.DUMMYFUNCTION("""COMPUTED_VALUE"""),"Brasil")</f>
        <v>Brasil</v>
      </c>
      <c r="B139" s="2"/>
      <c r="C139" s="3" t="str">
        <f>IFERROR(__xludf.DUMMYFUNCTION("""COMPUTED_VALUE"""),"Centro Universitario Christus")</f>
        <v>Centro Universitario Christus</v>
      </c>
      <c r="D139" s="2" t="str">
        <f>IFERROR(__xludf.DUMMYFUNCTION("""COMPUTED_VALUE"""),"Ac. Bilaterales (no Erasmus)")</f>
        <v>Ac. Bilaterales (no Erasmus)</v>
      </c>
      <c r="E139" s="2">
        <f>IFERROR(__xludf.DUMMYFUNCTION("""COMPUTED_VALUE"""),1.0)</f>
        <v>1</v>
      </c>
      <c r="F139" s="2" t="str">
        <f>IFERROR(__xludf.DUMMYFUNCTION("""COMPUTED_VALUE"""),"Semestre")</f>
        <v>Semestre</v>
      </c>
      <c r="G139" s="2" t="str">
        <f>IFERROR(__xludf.DUMMYFUNCTION("""COMPUTED_VALUE"""),"Ambos")</f>
        <v>Ambos</v>
      </c>
      <c r="H139" s="2" t="str">
        <f>IFERROR(__xludf.DUMMYFUNCTION("""COMPUTED_VALUE"""),"Derecho")</f>
        <v>Derecho</v>
      </c>
      <c r="I139" s="2" t="str">
        <f>IFERROR(__xludf.DUMMYFUNCTION("""COMPUTED_VALUE"""),"Derecho, Derecho + Relaciones Laborales")</f>
        <v>Derecho, Derecho + Relaciones Laborales</v>
      </c>
      <c r="J139" s="2" t="str">
        <f>IFERROR(__xludf.DUMMYFUNCTION("""COMPUTED_VALUE"""),"Grado")</f>
        <v>Grado</v>
      </c>
      <c r="K139" s="2" t="str">
        <f>IFERROR(__xludf.DUMMYFUNCTION("""COMPUTED_VALUE"""),"Portugués")</f>
        <v>Portugués</v>
      </c>
      <c r="L139" s="2" t="str">
        <f>IFERROR(__xludf.DUMMYFUNCTION("""COMPUTED_VALUE"""),"B1")</f>
        <v>B1</v>
      </c>
      <c r="M139" s="2" t="str">
        <f>IFERROR(__xludf.DUMMYFUNCTION("""COMPUTED_VALUE"""),"No")</f>
        <v>No</v>
      </c>
      <c r="N139" s="3" t="str">
        <f>IFERROR(__xludf.DUMMYFUNCTION("""COMPUTED_VALUE"""),"https://www.unichristus.edu.br/internacional/")</f>
        <v>https://www.unichristus.edu.br/internacional/</v>
      </c>
      <c r="O139" s="3" t="str">
        <f>IFERROR(__xludf.DUMMYFUNCTION("""COMPUTED_VALUE"""),"Más información / Informazio gehigarria")</f>
        <v>Más información / Informazio gehigarria</v>
      </c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30.0" customHeight="1">
      <c r="A140" s="2" t="str">
        <f>IFERROR(__xludf.DUMMYFUNCTION("""COMPUTED_VALUE"""),"Brasil")</f>
        <v>Brasil</v>
      </c>
      <c r="B140" s="2"/>
      <c r="C140" s="3" t="str">
        <f>IFERROR(__xludf.DUMMYFUNCTION("""COMPUTED_VALUE"""),"Faculdade de Direito de Sorocaba")</f>
        <v>Faculdade de Direito de Sorocaba</v>
      </c>
      <c r="D140" s="2" t="str">
        <f>IFERROR(__xludf.DUMMYFUNCTION("""COMPUTED_VALUE"""),"Ac. Bilaterales (no Erasmus)")</f>
        <v>Ac. Bilaterales (no Erasmus)</v>
      </c>
      <c r="E140" s="2">
        <f>IFERROR(__xludf.DUMMYFUNCTION("""COMPUTED_VALUE"""),2.0)</f>
        <v>2</v>
      </c>
      <c r="F140" s="2" t="str">
        <f>IFERROR(__xludf.DUMMYFUNCTION("""COMPUTED_VALUE"""),"Semestre")</f>
        <v>Semestre</v>
      </c>
      <c r="G140" s="2" t="str">
        <f>IFERROR(__xludf.DUMMYFUNCTION("""COMPUTED_VALUE"""),"Bilbao")</f>
        <v>Bilbao</v>
      </c>
      <c r="H140" s="2" t="str">
        <f>IFERROR(__xludf.DUMMYFUNCTION("""COMPUTED_VALUE"""),"Derecho")</f>
        <v>Derecho</v>
      </c>
      <c r="I140" s="2" t="str">
        <f>IFERROR(__xludf.DUMMYFUNCTION("""COMPUTED_VALUE"""),"Derecho, Derecho + Relaciones Laborales")</f>
        <v>Derecho, Derecho + Relaciones Laborales</v>
      </c>
      <c r="J140" s="2" t="str">
        <f>IFERROR(__xludf.DUMMYFUNCTION("""COMPUTED_VALUE"""),"Grado")</f>
        <v>Grado</v>
      </c>
      <c r="K140" s="2" t="str">
        <f>IFERROR(__xludf.DUMMYFUNCTION("""COMPUTED_VALUE"""),"Portugués")</f>
        <v>Portugués</v>
      </c>
      <c r="L140" s="2" t="str">
        <f>IFERROR(__xludf.DUMMYFUNCTION("""COMPUTED_VALUE"""),"B1")</f>
        <v>B1</v>
      </c>
      <c r="M140" s="2" t="str">
        <f>IFERROR(__xludf.DUMMYFUNCTION("""COMPUTED_VALUE"""),"No")</f>
        <v>No</v>
      </c>
      <c r="N140" s="3" t="str">
        <f>IFERROR(__xludf.DUMMYFUNCTION("""COMPUTED_VALUE"""),"https://site.fadi.br/convenios/")</f>
        <v>https://site.fadi.br/convenios/</v>
      </c>
      <c r="O140" s="3" t="str">
        <f>IFERROR(__xludf.DUMMYFUNCTION("""COMPUTED_VALUE"""),"Más información / Informazio gehigarria")</f>
        <v>Más información / Informazio gehigarria</v>
      </c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30.0" customHeight="1">
      <c r="A141" s="2" t="str">
        <f>IFERROR(__xludf.DUMMYFUNCTION("""COMPUTED_VALUE"""),"Brasil")</f>
        <v>Brasil</v>
      </c>
      <c r="B141" s="2"/>
      <c r="C141" s="3" t="str">
        <f>IFERROR(__xludf.DUMMYFUNCTION("""COMPUTED_VALUE"""),"Facultad das Américas")</f>
        <v>Facultad das Américas</v>
      </c>
      <c r="D141" s="2" t="str">
        <f>IFERROR(__xludf.DUMMYFUNCTION("""COMPUTED_VALUE"""),"Ac. Bilaterales (no Erasmus)")</f>
        <v>Ac. Bilaterales (no Erasmus)</v>
      </c>
      <c r="E141" s="2">
        <f>IFERROR(__xludf.DUMMYFUNCTION("""COMPUTED_VALUE"""),4.0)</f>
        <v>4</v>
      </c>
      <c r="F141" s="2" t="str">
        <f>IFERROR(__xludf.DUMMYFUNCTION("""COMPUTED_VALUE"""),"Semestre")</f>
        <v>Semestre</v>
      </c>
      <c r="G141" s="2" t="str">
        <f>IFERROR(__xludf.DUMMYFUNCTION("""COMPUTED_VALUE"""),"Bilbao")</f>
        <v>Bilbao</v>
      </c>
      <c r="H141" s="2" t="str">
        <f>IFERROR(__xludf.DUMMYFUNCTION("""COMPUTED_VALUE"""),"Educación y Deporte")</f>
        <v>Educación y Deporte</v>
      </c>
      <c r="I141" s="2" t="str">
        <f>IFERROR(__xludf.DUMMYFUNCTION("""COMPUTED_VALUE"""),"CAFyD")</f>
        <v>CAFyD</v>
      </c>
      <c r="J141" s="2" t="str">
        <f>IFERROR(__xludf.DUMMYFUNCTION("""COMPUTED_VALUE"""),"Grado")</f>
        <v>Grado</v>
      </c>
      <c r="K141" s="2" t="str">
        <f>IFERROR(__xludf.DUMMYFUNCTION("""COMPUTED_VALUE"""),"Inglés")</f>
        <v>Inglés</v>
      </c>
      <c r="L141" s="2" t="str">
        <f>IFERROR(__xludf.DUMMYFUNCTION("""COMPUTED_VALUE"""),"B2 Engl/ B1 Port")</f>
        <v>B2 Engl/ B1 Port</v>
      </c>
      <c r="M141" s="2" t="str">
        <f>IFERROR(__xludf.DUMMYFUNCTION("""COMPUTED_VALUE"""),"No")</f>
        <v>No</v>
      </c>
      <c r="N141" s="3" t="str">
        <f>IFERROR(__xludf.DUMMYFUNCTION("""COMPUTED_VALUE"""),"https://www.licenciaturaspregrados.com/institutions/faculdade-das-am%C3%A9ricas-(fam)")</f>
        <v>https://www.licenciaturaspregrados.com/institutions/faculdade-das-am%C3%A9ricas-(fam)</v>
      </c>
      <c r="O141" s="3" t="str">
        <f>IFERROR(__xludf.DUMMYFUNCTION("""COMPUTED_VALUE"""),"Más información / Informazio gehigarria")</f>
        <v>Más información / Informazio gehigarria</v>
      </c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30.0" customHeight="1">
      <c r="A142" s="2" t="str">
        <f>IFERROR(__xludf.DUMMYFUNCTION("""COMPUTED_VALUE"""),"Brasil")</f>
        <v>Brasil</v>
      </c>
      <c r="B142" s="2" t="str">
        <f>IFERROR(__xludf.DUMMYFUNCTION("""COMPUTED_VALUE"""),"BR STACATA02")</f>
        <v>BR STACATA02</v>
      </c>
      <c r="C142" s="3" t="str">
        <f>IFERROR(__xludf.DUMMYFUNCTION("""COMPUTED_VALUE"""),"Florianopolis - IFSC - Instituto Federal de Santa Catarina")</f>
        <v>Florianopolis - IFSC - Instituto Federal de Santa Catarina</v>
      </c>
      <c r="D142" s="2" t="str">
        <f>IFERROR(__xludf.DUMMYFUNCTION("""COMPUTED_VALUE"""),"Ac. Bilaterales (no Erasmus)")</f>
        <v>Ac. Bilaterales (no Erasmus)</v>
      </c>
      <c r="E142" s="2">
        <f>IFERROR(__xludf.DUMMYFUNCTION("""COMPUTED_VALUE"""),4.0)</f>
        <v>4</v>
      </c>
      <c r="F142" s="2" t="str">
        <f>IFERROR(__xludf.DUMMYFUNCTION("""COMPUTED_VALUE"""),"Semestre")</f>
        <v>Semestre</v>
      </c>
      <c r="G142" s="2" t="str">
        <f>IFERROR(__xludf.DUMMYFUNCTION("""COMPUTED_VALUE"""),"Ambos")</f>
        <v>Ambos</v>
      </c>
      <c r="H142" s="2" t="str">
        <f>IFERROR(__xludf.DUMMYFUNCTION("""COMPUTED_VALUE"""),"Ingeniería")</f>
        <v>Ingeniería</v>
      </c>
      <c r="I142" s="2" t="str">
        <f>IFERROR(__xludf.DUMMYFUNCTION("""COMPUTED_VALUE"""),"Ingeniería Informática, Electrónica y Automática, Ciencia de Datos e IA + Ingeniería Informática, Ingeniería Informática + Videojuegos")</f>
        <v>Ingeniería Informática, Electrónica y Automática, Ciencia de Datos e IA + Ingeniería Informática, Ingeniería Informática + Videojuegos</v>
      </c>
      <c r="J142" s="2" t="str">
        <f>IFERROR(__xludf.DUMMYFUNCTION("""COMPUTED_VALUE"""),"Grado")</f>
        <v>Grado</v>
      </c>
      <c r="K142" s="2" t="str">
        <f>IFERROR(__xludf.DUMMYFUNCTION("""COMPUTED_VALUE"""),"Portugués")</f>
        <v>Portugués</v>
      </c>
      <c r="L142" s="2" t="str">
        <f>IFERROR(__xludf.DUMMYFUNCTION("""COMPUTED_VALUE"""),"B1")</f>
        <v>B1</v>
      </c>
      <c r="M142" s="2" t="str">
        <f>IFERROR(__xludf.DUMMYFUNCTION("""COMPUTED_VALUE"""),"No")</f>
        <v>No</v>
      </c>
      <c r="N142" s="3" t="str">
        <f>IFERROR(__xludf.DUMMYFUNCTION("""COMPUTED_VALUE"""),"https://www.ifsc.edu.br/documents/1035121/2084586/ES_guia+do+estudante+intercambista.pdf/e9673a23-ebcf-4b1e-8d44-3c8dcf8fb771")</f>
        <v>https://www.ifsc.edu.br/documents/1035121/2084586/ES_guia+do+estudante+intercambista.pdf/e9673a23-ebcf-4b1e-8d44-3c8dcf8fb771</v>
      </c>
      <c r="O142" s="3" t="str">
        <f>IFERROR(__xludf.DUMMYFUNCTION("""COMPUTED_VALUE"""),"Más información / Informazio gehigarria")</f>
        <v>Más información / Informazio gehigarria</v>
      </c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30.0" customHeight="1">
      <c r="A143" s="2" t="str">
        <f>IFERROR(__xludf.DUMMYFUNCTION("""COMPUTED_VALUE"""),"Brasil")</f>
        <v>Brasil</v>
      </c>
      <c r="B143" s="2" t="str">
        <f>IFERROR(__xludf.DUMMYFUNCTION("""COMPUTED_VALUE"""),"BR SAOPAULO04")</f>
        <v>BR SAOPAULO04</v>
      </c>
      <c r="C143" s="3" t="str">
        <f>IFERROR(__xludf.DUMMYFUNCTION("""COMPUTED_VALUE"""),"Pontificia Universidad Católica de Sao Paulo")</f>
        <v>Pontificia Universidad Católica de Sao Paulo</v>
      </c>
      <c r="D143" s="2" t="str">
        <f>IFERROR(__xludf.DUMMYFUNCTION("""COMPUTED_VALUE"""),"Ac. Bilaterales (no Erasmus)")</f>
        <v>Ac. Bilaterales (no Erasmus)</v>
      </c>
      <c r="E143" s="2">
        <f>IFERROR(__xludf.DUMMYFUNCTION("""COMPUTED_VALUE"""),1.0)</f>
        <v>1</v>
      </c>
      <c r="F143" s="2" t="str">
        <f>IFERROR(__xludf.DUMMYFUNCTION("""COMPUTED_VALUE"""),"Anual")</f>
        <v>Anual</v>
      </c>
      <c r="G143" s="2" t="str">
        <f>IFERROR(__xludf.DUMMYFUNCTION("""COMPUTED_VALUE"""),"Bilbao")</f>
        <v>Bilbao</v>
      </c>
      <c r="H143" s="2" t="str">
        <f>IFERROR(__xludf.DUMMYFUNCTION("""COMPUTED_VALUE"""),"Ciencias Sociales y Humanas")</f>
        <v>Ciencias Sociales y Humanas</v>
      </c>
      <c r="I143" s="2" t="str">
        <f>IFERROR(__xludf.DUMMYFUNCTION("""COMPUTED_VALUE"""),"Relaciones Internacionales, Relaciones Internacionales + Derecho")</f>
        <v>Relaciones Internacionales, Relaciones Internacionales + Derecho</v>
      </c>
      <c r="J143" s="2" t="str">
        <f>IFERROR(__xludf.DUMMYFUNCTION("""COMPUTED_VALUE"""),"Grado")</f>
        <v>Grado</v>
      </c>
      <c r="K143" s="2" t="str">
        <f>IFERROR(__xludf.DUMMYFUNCTION("""COMPUTED_VALUE"""),"Portugués")</f>
        <v>Portugués</v>
      </c>
      <c r="L143" s="2" t="str">
        <f>IFERROR(__xludf.DUMMYFUNCTION("""COMPUTED_VALUE"""),"B1 / B2")</f>
        <v>B1 / B2</v>
      </c>
      <c r="M143" s="2" t="str">
        <f>IFERROR(__xludf.DUMMYFUNCTION("""COMPUTED_VALUE"""),"No")</f>
        <v>No</v>
      </c>
      <c r="N143" s="3" t="str">
        <f>IFERROR(__xludf.DUMMYFUNCTION("""COMPUTED_VALUE"""),"https://www.pucsp.br/pos-graduacao/especializacao-e-mba/portugues-brasileiro-online-sincrono")</f>
        <v>https://www.pucsp.br/pos-graduacao/especializacao-e-mba/portugues-brasileiro-online-sincrono</v>
      </c>
      <c r="O143" s="3" t="str">
        <f>IFERROR(__xludf.DUMMYFUNCTION("""COMPUTED_VALUE"""),"Más información / Informazio gehigarria")</f>
        <v>Más información / Informazio gehigarria</v>
      </c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30.0" customHeight="1">
      <c r="A144" s="2" t="str">
        <f>IFERROR(__xludf.DUMMYFUNCTION("""COMPUTED_VALUE"""),"Brasil")</f>
        <v>Brasil</v>
      </c>
      <c r="B144" s="2" t="str">
        <f>IFERROR(__xludf.DUMMYFUNCTION("""COMPUTED_VALUE"""),"BR BELOHOR01")</f>
        <v>BR BELOHOR01</v>
      </c>
      <c r="C144" s="3" t="str">
        <f>IFERROR(__xludf.DUMMYFUNCTION("""COMPUTED_VALUE"""),"Pontificia Universidade Catolica de Minas Gerais")</f>
        <v>Pontificia Universidade Catolica de Minas Gerais</v>
      </c>
      <c r="D144" s="2" t="str">
        <f>IFERROR(__xludf.DUMMYFUNCTION("""COMPUTED_VALUE"""),"Ac. Bilaterales (no Erasmus)")</f>
        <v>Ac. Bilaterales (no Erasmus)</v>
      </c>
      <c r="E144" s="2">
        <f>IFERROR(__xludf.DUMMYFUNCTION("""COMPUTED_VALUE"""),3.0)</f>
        <v>3</v>
      </c>
      <c r="F144" s="2" t="str">
        <f>IFERROR(__xludf.DUMMYFUNCTION("""COMPUTED_VALUE"""),"Semestre")</f>
        <v>Semestre</v>
      </c>
      <c r="G144" s="2" t="str">
        <f>IFERROR(__xludf.DUMMYFUNCTION("""COMPUTED_VALUE"""),"San Sebastián")</f>
        <v>San Sebastián</v>
      </c>
      <c r="H144" s="2" t="str">
        <f>IFERROR(__xludf.DUMMYFUNCTION("""COMPUTED_VALUE"""),"Ciencias de la Salud")</f>
        <v>Ciencias de la Salud</v>
      </c>
      <c r="I144" s="2" t="str">
        <f>IFERROR(__xludf.DUMMYFUNCTION("""COMPUTED_VALUE"""),"Fisioterapia")</f>
        <v>Fisioterapia</v>
      </c>
      <c r="J144" s="2" t="str">
        <f>IFERROR(__xludf.DUMMYFUNCTION("""COMPUTED_VALUE"""),"Grado")</f>
        <v>Grado</v>
      </c>
      <c r="K144" s="2" t="str">
        <f>IFERROR(__xludf.DUMMYFUNCTION("""COMPUTED_VALUE"""),"Portugués")</f>
        <v>Portugués</v>
      </c>
      <c r="L144" s="2" t="str">
        <f>IFERROR(__xludf.DUMMYFUNCTION("""COMPUTED_VALUE"""),"B1")</f>
        <v>B1</v>
      </c>
      <c r="M144" s="2" t="str">
        <f>IFERROR(__xludf.DUMMYFUNCTION("""COMPUTED_VALUE"""),"No")</f>
        <v>No</v>
      </c>
      <c r="N144" s="3" t="str">
        <f>IFERROR(__xludf.DUMMYFUNCTION("""COMPUTED_VALUE"""),"https://portal.pucminas.br/imagedb/documento/DOC_DSC_NOME_ARQUI20200605120813.pdf")</f>
        <v>https://portal.pucminas.br/imagedb/documento/DOC_DSC_NOME_ARQUI20200605120813.pdf</v>
      </c>
      <c r="O144" s="3" t="str">
        <f>IFERROR(__xludf.DUMMYFUNCTION("""COMPUTED_VALUE"""),"Más información / Informazio gehigarria")</f>
        <v>Más información / Informazio gehigarria</v>
      </c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30.0" customHeight="1">
      <c r="A145" s="2" t="str">
        <f>IFERROR(__xludf.DUMMYFUNCTION("""COMPUTED_VALUE"""),"Brasil")</f>
        <v>Brasil</v>
      </c>
      <c r="B145" s="2" t="str">
        <f>IFERROR(__xludf.DUMMYFUNCTION("""COMPUTED_VALUE"""),"BR BELOHOR01")</f>
        <v>BR BELOHOR01</v>
      </c>
      <c r="C145" s="3" t="str">
        <f>IFERROR(__xludf.DUMMYFUNCTION("""COMPUTED_VALUE"""),"Pontificia Universidade Catolica de Minas Gerais")</f>
        <v>Pontificia Universidade Catolica de Minas Gerais</v>
      </c>
      <c r="D145" s="2" t="str">
        <f>IFERROR(__xludf.DUMMYFUNCTION("""COMPUTED_VALUE"""),"Ac. Bilaterales (no Erasmus)")</f>
        <v>Ac. Bilaterales (no Erasmus)</v>
      </c>
      <c r="E145" s="2">
        <f>IFERROR(__xludf.DUMMYFUNCTION("""COMPUTED_VALUE"""),5.0)</f>
        <v>5</v>
      </c>
      <c r="F145" s="2" t="str">
        <f>IFERROR(__xludf.DUMMYFUNCTION("""COMPUTED_VALUE"""),"Anual")</f>
        <v>Anual</v>
      </c>
      <c r="G145" s="2" t="str">
        <f>IFERROR(__xludf.DUMMYFUNCTION("""COMPUTED_VALUE"""),"Bilbao")</f>
        <v>Bilbao</v>
      </c>
      <c r="H145" s="2" t="str">
        <f>IFERROR(__xludf.DUMMYFUNCTION("""COMPUTED_VALUE"""),"Ciencias Sociales y Humanas")</f>
        <v>Ciencias Sociales y Humanas</v>
      </c>
      <c r="I145" s="2" t="str">
        <f>IFERROR(__xludf.DUMMYFUNCTION("""COMPUTED_VALUE"""),"Relaciones Internacionales, Relaciones Internacionales + Derecho")</f>
        <v>Relaciones Internacionales, Relaciones Internacionales + Derecho</v>
      </c>
      <c r="J145" s="2" t="str">
        <f>IFERROR(__xludf.DUMMYFUNCTION("""COMPUTED_VALUE"""),"Grado")</f>
        <v>Grado</v>
      </c>
      <c r="K145" s="2" t="str">
        <f>IFERROR(__xludf.DUMMYFUNCTION("""COMPUTED_VALUE"""),"Portugués")</f>
        <v>Portugués</v>
      </c>
      <c r="L145" s="2" t="str">
        <f>IFERROR(__xludf.DUMMYFUNCTION("""COMPUTED_VALUE"""),"B1")</f>
        <v>B1</v>
      </c>
      <c r="M145" s="2" t="str">
        <f>IFERROR(__xludf.DUMMYFUNCTION("""COMPUTED_VALUE"""),"No")</f>
        <v>No</v>
      </c>
      <c r="N145" s="3" t="str">
        <f>IFERROR(__xludf.DUMMYFUNCTION("""COMPUTED_VALUE"""),"https://portal.pucminas.br/imagedb/documento/DOC_DSC_NOME_ARQUI20200605120813.pdf")</f>
        <v>https://portal.pucminas.br/imagedb/documento/DOC_DSC_NOME_ARQUI20200605120813.pdf</v>
      </c>
      <c r="O145" s="3" t="str">
        <f>IFERROR(__xludf.DUMMYFUNCTION("""COMPUTED_VALUE"""),"Más información / Informazio gehigarria")</f>
        <v>Más información / Informazio gehigarria</v>
      </c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30.0" customHeight="1">
      <c r="A146" s="2" t="str">
        <f>IFERROR(__xludf.DUMMYFUNCTION("""COMPUTED_VALUE"""),"Brasil")</f>
        <v>Brasil</v>
      </c>
      <c r="B146" s="2" t="str">
        <f>IFERROR(__xludf.DUMMYFUNCTION("""COMPUTED_VALUE"""),"BR BELOHOR01")</f>
        <v>BR BELOHOR01</v>
      </c>
      <c r="C146" s="3" t="str">
        <f>IFERROR(__xludf.DUMMYFUNCTION("""COMPUTED_VALUE"""),"Pontificia Universidade Catolica de Minas Gerais")</f>
        <v>Pontificia Universidade Catolica de Minas Gerais</v>
      </c>
      <c r="D146" s="2" t="str">
        <f>IFERROR(__xludf.DUMMYFUNCTION("""COMPUTED_VALUE"""),"Ac. Bilaterales (no Erasmus)")</f>
        <v>Ac. Bilaterales (no Erasmus)</v>
      </c>
      <c r="E146" s="2" t="str">
        <f>IFERROR(__xludf.DUMMYFUNCTION("""COMPUTED_VALUE"""),"Convenio Marco")</f>
        <v>Convenio Marco</v>
      </c>
      <c r="F146" s="2" t="str">
        <f>IFERROR(__xludf.DUMMYFUNCTION("""COMPUTED_VALUE"""),"Semestre")</f>
        <v>Semestre</v>
      </c>
      <c r="G146" s="2" t="str">
        <f>IFERROR(__xludf.DUMMYFUNCTION("""COMPUTED_VALUE"""),"Bilbao")</f>
        <v>Bilbao</v>
      </c>
      <c r="H146" s="2" t="str">
        <f>IFERROR(__xludf.DUMMYFUNCTION("""COMPUTED_VALUE"""),"Ciencias Sociales y Humanas")</f>
        <v>Ciencias Sociales y Humanas</v>
      </c>
      <c r="I146" s="2" t="str">
        <f>IFERROR(__xludf.DUMMYFUNCTION("""COMPUTED_VALUE"""),"Turismo")</f>
        <v>Turismo</v>
      </c>
      <c r="J146" s="2" t="str">
        <f>IFERROR(__xludf.DUMMYFUNCTION("""COMPUTED_VALUE"""),"Grado")</f>
        <v>Grado</v>
      </c>
      <c r="K146" s="2" t="str">
        <f>IFERROR(__xludf.DUMMYFUNCTION("""COMPUTED_VALUE"""),"Portugués")</f>
        <v>Portugués</v>
      </c>
      <c r="L146" s="2" t="str">
        <f>IFERROR(__xludf.DUMMYFUNCTION("""COMPUTED_VALUE"""),"B1")</f>
        <v>B1</v>
      </c>
      <c r="M146" s="2" t="str">
        <f>IFERROR(__xludf.DUMMYFUNCTION("""COMPUTED_VALUE"""),"No")</f>
        <v>No</v>
      </c>
      <c r="N146" s="3" t="str">
        <f>IFERROR(__xludf.DUMMYFUNCTION("""COMPUTED_VALUE"""),"https://portal.pucminas.br/imagedb/documento/DOC_DSC_NOME_ARQUI20200605120813.pdf")</f>
        <v>https://portal.pucminas.br/imagedb/documento/DOC_DSC_NOME_ARQUI20200605120813.pdf</v>
      </c>
      <c r="O146" s="3" t="str">
        <f>IFERROR(__xludf.DUMMYFUNCTION("""COMPUTED_VALUE"""),"Más información / Informazio gehigarria")</f>
        <v>Más información / Informazio gehigarria</v>
      </c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30.0" customHeight="1">
      <c r="A147" s="2" t="str">
        <f>IFERROR(__xludf.DUMMYFUNCTION("""COMPUTED_VALUE"""),"Brasil")</f>
        <v>Brasil</v>
      </c>
      <c r="B147" s="2" t="str">
        <f>IFERROR(__xludf.DUMMYFUNCTION("""COMPUTED_VALUE"""),"BR ARCAJU01")</f>
        <v>BR ARCAJU01</v>
      </c>
      <c r="C147" s="2" t="str">
        <f>IFERROR(__xludf.DUMMYFUNCTION("""COMPUTED_VALUE"""),"Sociedade de Educaçao Tiradentes")</f>
        <v>Sociedade de Educaçao Tiradentes</v>
      </c>
      <c r="D147" s="2" t="str">
        <f>IFERROR(__xludf.DUMMYFUNCTION("""COMPUTED_VALUE"""),"Ac. Bilaterales (no Erasmus)")</f>
        <v>Ac. Bilaterales (no Erasmus)</v>
      </c>
      <c r="E147" s="2" t="str">
        <f>IFERROR(__xludf.DUMMYFUNCTION("""COMPUTED_VALUE"""),"Convenio Marco")</f>
        <v>Convenio Marco</v>
      </c>
      <c r="F147" s="2" t="str">
        <f>IFERROR(__xludf.DUMMYFUNCTION("""COMPUTED_VALUE"""),"Semestre")</f>
        <v>Semestre</v>
      </c>
      <c r="G147" s="2" t="str">
        <f>IFERROR(__xludf.DUMMYFUNCTION("""COMPUTED_VALUE"""),"Bilbao")</f>
        <v>Bilbao</v>
      </c>
      <c r="H147" s="2" t="str">
        <f>IFERROR(__xludf.DUMMYFUNCTION("""COMPUTED_VALUE"""),"Derecho")</f>
        <v>Derecho</v>
      </c>
      <c r="I147" s="2" t="str">
        <f>IFERROR(__xludf.DUMMYFUNCTION("""COMPUTED_VALUE"""),"Derecho, Derecho + Relaciones Laborales")</f>
        <v>Derecho, Derecho + Relaciones Laborales</v>
      </c>
      <c r="J147" s="2" t="str">
        <f>IFERROR(__xludf.DUMMYFUNCTION("""COMPUTED_VALUE"""),"Grado")</f>
        <v>Grado</v>
      </c>
      <c r="K147" s="2" t="str">
        <f>IFERROR(__xludf.DUMMYFUNCTION("""COMPUTED_VALUE"""),"Portugués")</f>
        <v>Portugués</v>
      </c>
      <c r="L147" s="2" t="str">
        <f>IFERROR(__xludf.DUMMYFUNCTION("""COMPUTED_VALUE"""),"B1")</f>
        <v>B1</v>
      </c>
      <c r="M147" s="2" t="str">
        <f>IFERROR(__xludf.DUMMYFUNCTION("""COMPUTED_VALUE"""),"No")</f>
        <v>No</v>
      </c>
      <c r="N147" s="3" t="str">
        <f>IFERROR(__xludf.DUMMYFUNCTION("""COMPUTED_VALUE"""),"https://www.grupotiradentes.com/international/")</f>
        <v>https://www.grupotiradentes.com/international/</v>
      </c>
      <c r="O147" s="3" t="str">
        <f>IFERROR(__xludf.DUMMYFUNCTION("""COMPUTED_VALUE"""),"Más información / Informazio gehigarria")</f>
        <v>Más información / Informazio gehigarria</v>
      </c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30.0" customHeight="1">
      <c r="A148" s="2" t="str">
        <f>IFERROR(__xludf.DUMMYFUNCTION("""COMPUTED_VALUE"""),"Brasil")</f>
        <v>Brasil</v>
      </c>
      <c r="B148" s="2" t="str">
        <f>IFERROR(__xludf.DUMMYFUNCTION("""COMPUTED_VALUE"""),"BR SAOLEOP01")</f>
        <v>BR SAOLEOP01</v>
      </c>
      <c r="C148" s="3" t="str">
        <f>IFERROR(__xludf.DUMMYFUNCTION("""COMPUTED_VALUE"""),"UNISINOS - Universidade do Vale do Rio dos Sinos")</f>
        <v>UNISINOS - Universidade do Vale do Rio dos Sinos</v>
      </c>
      <c r="D148" s="2" t="str">
        <f>IFERROR(__xludf.DUMMYFUNCTION("""COMPUTED_VALUE"""),"Ac. Bilaterales (no Erasmus)")</f>
        <v>Ac. Bilaterales (no Erasmus)</v>
      </c>
      <c r="E148" s="2">
        <f>IFERROR(__xludf.DUMMYFUNCTION("""COMPUTED_VALUE"""),2.0)</f>
        <v>2</v>
      </c>
      <c r="F148" s="2" t="str">
        <f>IFERROR(__xludf.DUMMYFUNCTION("""COMPUTED_VALUE"""),"Ambos semestres")</f>
        <v>Ambos semestres</v>
      </c>
      <c r="G148" s="2" t="str">
        <f>IFERROR(__xludf.DUMMYFUNCTION("""COMPUTED_VALUE"""),"Bilbao")</f>
        <v>Bilbao</v>
      </c>
      <c r="H148" s="2" t="str">
        <f>IFERROR(__xludf.DUMMYFUNCTION("""COMPUTED_VALUE"""),"Deusto Business School")</f>
        <v>Deusto Business School</v>
      </c>
      <c r="I148" s="2" t="str">
        <f>IFERROR(__xludf.DUMMYFUNCTION("""COMPUTED_VALUE"""),"Administración y Dirección de Empresas")</f>
        <v>Administración y Dirección de Empresas</v>
      </c>
      <c r="J148" s="2" t="str">
        <f>IFERROR(__xludf.DUMMYFUNCTION("""COMPUTED_VALUE"""),"Grado")</f>
        <v>Grado</v>
      </c>
      <c r="K148" s="2" t="str">
        <f>IFERROR(__xludf.DUMMYFUNCTION("""COMPUTED_VALUE"""),"Inglés")</f>
        <v>Inglés</v>
      </c>
      <c r="L148" s="2" t="str">
        <f>IFERROR(__xludf.DUMMYFUNCTION("""COMPUTED_VALUE"""),"C1")</f>
        <v>C1</v>
      </c>
      <c r="M148" s="2" t="str">
        <f>IFERROR(__xludf.DUMMYFUNCTION("""COMPUTED_VALUE"""),"No")</f>
        <v>No</v>
      </c>
      <c r="N148" s="3" t="str">
        <f>IFERROR(__xludf.DUMMYFUNCTION("""COMPUTED_VALUE"""),"http://www.unisinos.br/global/images/parcerias/factsheet-Unisinos-University-2022.pdf")</f>
        <v>http://www.unisinos.br/global/images/parcerias/factsheet-Unisinos-University-2022.pdf</v>
      </c>
      <c r="O148" s="3" t="str">
        <f>IFERROR(__xludf.DUMMYFUNCTION("""COMPUTED_VALUE"""),"Más información / Informazio gehigarria")</f>
        <v>Más información / Informazio gehigarria</v>
      </c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30.0" customHeight="1">
      <c r="A149" s="2" t="str">
        <f>IFERROR(__xludf.DUMMYFUNCTION("""COMPUTED_VALUE"""),"Brasil")</f>
        <v>Brasil</v>
      </c>
      <c r="B149" s="2" t="str">
        <f>IFERROR(__xludf.DUMMYFUNCTION("""COMPUTED_VALUE"""),"BR SAOLEOP01")</f>
        <v>BR SAOLEOP01</v>
      </c>
      <c r="C149" s="3" t="str">
        <f>IFERROR(__xludf.DUMMYFUNCTION("""COMPUTED_VALUE"""),"UNISINOS - Universidade do Vale do Rio dos Sinos")</f>
        <v>UNISINOS - Universidade do Vale do Rio dos Sinos</v>
      </c>
      <c r="D149" s="2" t="str">
        <f>IFERROR(__xludf.DUMMYFUNCTION("""COMPUTED_VALUE"""),"Ac. Bilaterales (no Erasmus)")</f>
        <v>Ac. Bilaterales (no Erasmus)</v>
      </c>
      <c r="E149" s="2">
        <f>IFERROR(__xludf.DUMMYFUNCTION("""COMPUTED_VALUE"""),3.0)</f>
        <v>3</v>
      </c>
      <c r="F149" s="2" t="str">
        <f>IFERROR(__xludf.DUMMYFUNCTION("""COMPUTED_VALUE"""),"Semestre")</f>
        <v>Semestre</v>
      </c>
      <c r="G149" s="2" t="str">
        <f>IFERROR(__xludf.DUMMYFUNCTION("""COMPUTED_VALUE"""),"Bilbao")</f>
        <v>Bilbao</v>
      </c>
      <c r="H149" s="2" t="str">
        <f>IFERROR(__xludf.DUMMYFUNCTION("""COMPUTED_VALUE"""),"Derecho")</f>
        <v>Derecho</v>
      </c>
      <c r="I149" s="2" t="str">
        <f>IFERROR(__xludf.DUMMYFUNCTION("""COMPUTED_VALUE"""),"Derecho, Derecho + Relaciones Laborales")</f>
        <v>Derecho, Derecho + Relaciones Laborales</v>
      </c>
      <c r="J149" s="2" t="str">
        <f>IFERROR(__xludf.DUMMYFUNCTION("""COMPUTED_VALUE"""),"Grado")</f>
        <v>Grado</v>
      </c>
      <c r="K149" s="2" t="str">
        <f>IFERROR(__xludf.DUMMYFUNCTION("""COMPUTED_VALUE"""),"Portugués")</f>
        <v>Portugués</v>
      </c>
      <c r="L149" s="2" t="str">
        <f>IFERROR(__xludf.DUMMYFUNCTION("""COMPUTED_VALUE"""),"B2")</f>
        <v>B2</v>
      </c>
      <c r="M149" s="2" t="str">
        <f>IFERROR(__xludf.DUMMYFUNCTION("""COMPUTED_VALUE"""),"No")</f>
        <v>No</v>
      </c>
      <c r="N149" s="3" t="str">
        <f>IFERROR(__xludf.DUMMYFUNCTION("""COMPUTED_VALUE"""),"https://www.unisinos.br/")</f>
        <v>https://www.unisinos.br/</v>
      </c>
      <c r="O149" s="3" t="str">
        <f>IFERROR(__xludf.DUMMYFUNCTION("""COMPUTED_VALUE"""),"Más información / Informazio gehigarria")</f>
        <v>Más información / Informazio gehigarria</v>
      </c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30.0" customHeight="1">
      <c r="A150" s="2" t="str">
        <f>IFERROR(__xludf.DUMMYFUNCTION("""COMPUTED_VALUE"""),"Brasil")</f>
        <v>Brasil</v>
      </c>
      <c r="B150" s="2" t="str">
        <f>IFERROR(__xludf.DUMMYFUNCTION("""COMPUTED_VALUE"""),"BR SAOLEOP01")</f>
        <v>BR SAOLEOP01</v>
      </c>
      <c r="C150" s="3" t="str">
        <f>IFERROR(__xludf.DUMMYFUNCTION("""COMPUTED_VALUE"""),"UNISINOS - Universidade do Vale do Rio dos Sinos")</f>
        <v>UNISINOS - Universidade do Vale do Rio dos Sinos</v>
      </c>
      <c r="D150" s="2" t="str">
        <f>IFERROR(__xludf.DUMMYFUNCTION("""COMPUTED_VALUE"""),"Ac. Bilaterales (no Erasmus)")</f>
        <v>Ac. Bilaterales (no Erasmus)</v>
      </c>
      <c r="E150" s="2">
        <f>IFERROR(__xludf.DUMMYFUNCTION("""COMPUTED_VALUE"""),3.0)</f>
        <v>3</v>
      </c>
      <c r="F150" s="2" t="str">
        <f>IFERROR(__xludf.DUMMYFUNCTION("""COMPUTED_VALUE"""),"Semestre")</f>
        <v>Semestre</v>
      </c>
      <c r="G150" s="2" t="str">
        <f>IFERROR(__xludf.DUMMYFUNCTION("""COMPUTED_VALUE"""),"Ambos")</f>
        <v>Ambos</v>
      </c>
      <c r="H150" s="2" t="str">
        <f>IFERROR(__xludf.DUMMYFUNCTION("""COMPUTED_VALUE"""),"Ingeniería")</f>
        <v>Ingeniería</v>
      </c>
      <c r="I150" s="2" t="str">
        <f>IFERROR(__xludf.DUMMYFUNCTION("""COMPUTED_VALUE"""),"Tecnologías Industriales, Ingeniería Mecánica, Ingeniería Informática, Electrónica y Automática, Organización Industrial, Diseño Industrial, Ciencia de Datos e IA + Ingeniería Informática, Diseño Industrial + Ingeniería Mecánica, Ingeniería Informática + "&amp;"Videojuegos")</f>
        <v>Tecnologías Industriales, Ingeniería Mecánica, Ingeniería Informática, Electrónica y Automática, Organización Industrial, Diseño Industrial, Ciencia de Datos e IA + Ingeniería Informática, Diseño Industrial + Ingeniería Mecánica, Ingeniería Informática + Videojuegos</v>
      </c>
      <c r="J150" s="2" t="str">
        <f>IFERROR(__xludf.DUMMYFUNCTION("""COMPUTED_VALUE"""),"Grado")</f>
        <v>Grado</v>
      </c>
      <c r="K150" s="2" t="str">
        <f>IFERROR(__xludf.DUMMYFUNCTION("""COMPUTED_VALUE"""),"Portugués")</f>
        <v>Portugués</v>
      </c>
      <c r="L150" s="2" t="str">
        <f>IFERROR(__xludf.DUMMYFUNCTION("""COMPUTED_VALUE"""),"B2")</f>
        <v>B2</v>
      </c>
      <c r="M150" s="2" t="str">
        <f>IFERROR(__xludf.DUMMYFUNCTION("""COMPUTED_VALUE"""),"No")</f>
        <v>No</v>
      </c>
      <c r="N150" s="3" t="str">
        <f>IFERROR(__xludf.DUMMYFUNCTION("""COMPUTED_VALUE"""),"http://www.unisinos.br/global/images/parcerias/factsheet-Unisinos-University-2022.pdf")</f>
        <v>http://www.unisinos.br/global/images/parcerias/factsheet-Unisinos-University-2022.pdf</v>
      </c>
      <c r="O150" s="3" t="str">
        <f>IFERROR(__xludf.DUMMYFUNCTION("""COMPUTED_VALUE"""),"Más información / Informazio gehigarria")</f>
        <v>Más información / Informazio gehigarria</v>
      </c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30.0" customHeight="1">
      <c r="A151" s="2" t="str">
        <f>IFERROR(__xludf.DUMMYFUNCTION("""COMPUTED_VALUE"""),"Brasil")</f>
        <v>Brasil</v>
      </c>
      <c r="B151" s="2" t="str">
        <f>IFERROR(__xludf.DUMMYFUNCTION("""COMPUTED_VALUE"""),"BR SAOLEOP01")</f>
        <v>BR SAOLEOP01</v>
      </c>
      <c r="C151" s="3" t="str">
        <f>IFERROR(__xludf.DUMMYFUNCTION("""COMPUTED_VALUE"""),"UNISINOS - Universidade do Vale do Rio dos Sinos")</f>
        <v>UNISINOS - Universidade do Vale do Rio dos Sinos</v>
      </c>
      <c r="D151" s="2" t="str">
        <f>IFERROR(__xludf.DUMMYFUNCTION("""COMPUTED_VALUE"""),"Ac. Bilaterales (no Erasmus)")</f>
        <v>Ac. Bilaterales (no Erasmus)</v>
      </c>
      <c r="E151" s="2">
        <f>IFERROR(__xludf.DUMMYFUNCTION("""COMPUTED_VALUE"""),2.0)</f>
        <v>2</v>
      </c>
      <c r="F151" s="2" t="str">
        <f>IFERROR(__xludf.DUMMYFUNCTION("""COMPUTED_VALUE"""),"Semestre")</f>
        <v>Semestre</v>
      </c>
      <c r="G151" s="2" t="str">
        <f>IFERROR(__xludf.DUMMYFUNCTION("""COMPUTED_VALUE"""),"Bilbao")</f>
        <v>Bilbao</v>
      </c>
      <c r="H151" s="2" t="str">
        <f>IFERROR(__xludf.DUMMYFUNCTION("""COMPUTED_VALUE"""),"Ingeniería")</f>
        <v>Ingeniería</v>
      </c>
      <c r="I151" s="2" t="str">
        <f>IFERROR(__xludf.DUMMYFUNCTION("""COMPUTED_VALUE"""),"Ingeniería Biomédica")</f>
        <v>Ingeniería Biomédica</v>
      </c>
      <c r="J151" s="2" t="str">
        <f>IFERROR(__xludf.DUMMYFUNCTION("""COMPUTED_VALUE"""),"Grado")</f>
        <v>Grado</v>
      </c>
      <c r="K151" s="2" t="str">
        <f>IFERROR(__xludf.DUMMYFUNCTION("""COMPUTED_VALUE"""),"Portugués")</f>
        <v>Portugués</v>
      </c>
      <c r="L151" s="2" t="str">
        <f>IFERROR(__xludf.DUMMYFUNCTION("""COMPUTED_VALUE"""),"B2")</f>
        <v>B2</v>
      </c>
      <c r="M151" s="2" t="str">
        <f>IFERROR(__xludf.DUMMYFUNCTION("""COMPUTED_VALUE"""),"No")</f>
        <v>No</v>
      </c>
      <c r="N151" s="3" t="str">
        <f>IFERROR(__xludf.DUMMYFUNCTION("""COMPUTED_VALUE"""),"http://www.unisinos.br/global/images/parcerias/factsheet-Unisinos-University-2022.pdf")</f>
        <v>http://www.unisinos.br/global/images/parcerias/factsheet-Unisinos-University-2022.pdf</v>
      </c>
      <c r="O151" s="3" t="str">
        <f>IFERROR(__xludf.DUMMYFUNCTION("""COMPUTED_VALUE"""),"Más información / Informazio gehigarria")</f>
        <v>Más información / Informazio gehigarria</v>
      </c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30.0" customHeight="1">
      <c r="A152" s="2" t="str">
        <f>IFERROR(__xludf.DUMMYFUNCTION("""COMPUTED_VALUE"""),"Brasil")</f>
        <v>Brasil</v>
      </c>
      <c r="B152" s="2" t="str">
        <f>IFERROR(__xludf.DUMMYFUNCTION("""COMPUTED_VALUE"""),"BR SAOLEOP01")</f>
        <v>BR SAOLEOP01</v>
      </c>
      <c r="C152" s="3" t="str">
        <f>IFERROR(__xludf.DUMMYFUNCTION("""COMPUTED_VALUE"""),"UNISINOS - Universidade do Vale do Rio dos Sinos")</f>
        <v>UNISINOS - Universidade do Vale do Rio dos Sinos</v>
      </c>
      <c r="D152" s="2" t="str">
        <f>IFERROR(__xludf.DUMMYFUNCTION("""COMPUTED_VALUE"""),"Ac. Bilaterales (no Erasmus)")</f>
        <v>Ac. Bilaterales (no Erasmus)</v>
      </c>
      <c r="E152" s="2">
        <f>IFERROR(__xludf.DUMMYFUNCTION("""COMPUTED_VALUE"""),2.0)</f>
        <v>2</v>
      </c>
      <c r="F152" s="2" t="str">
        <f>IFERROR(__xludf.DUMMYFUNCTION("""COMPUTED_VALUE"""),"Anual")</f>
        <v>Anual</v>
      </c>
      <c r="G152" s="2" t="str">
        <f>IFERROR(__xludf.DUMMYFUNCTION("""COMPUTED_VALUE"""),"Bilbao")</f>
        <v>Bilbao</v>
      </c>
      <c r="H152" s="2" t="str">
        <f>IFERROR(__xludf.DUMMYFUNCTION("""COMPUTED_VALUE"""),"Ciencias de la Salud")</f>
        <v>Ciencias de la Salud</v>
      </c>
      <c r="I152" s="2" t="str">
        <f>IFERROR(__xludf.DUMMYFUNCTION("""COMPUTED_VALUE"""),"Psicología")</f>
        <v>Psicología</v>
      </c>
      <c r="J152" s="2" t="str">
        <f>IFERROR(__xludf.DUMMYFUNCTION("""COMPUTED_VALUE"""),"Grado")</f>
        <v>Grado</v>
      </c>
      <c r="K152" s="2" t="str">
        <f>IFERROR(__xludf.DUMMYFUNCTION("""COMPUTED_VALUE"""),"Portugués")</f>
        <v>Portugués</v>
      </c>
      <c r="L152" s="2" t="str">
        <f>IFERROR(__xludf.DUMMYFUNCTION("""COMPUTED_VALUE"""),"B2")</f>
        <v>B2</v>
      </c>
      <c r="M152" s="2" t="str">
        <f>IFERROR(__xludf.DUMMYFUNCTION("""COMPUTED_VALUE"""),"No")</f>
        <v>No</v>
      </c>
      <c r="N152" s="3" t="str">
        <f>IFERROR(__xludf.DUMMYFUNCTION("""COMPUTED_VALUE"""),"https://www.unisinos.br/")</f>
        <v>https://www.unisinos.br/</v>
      </c>
      <c r="O152" s="3" t="str">
        <f>IFERROR(__xludf.DUMMYFUNCTION("""COMPUTED_VALUE"""),"Más información / Informazio gehigarria")</f>
        <v>Más información / Informazio gehigarria</v>
      </c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30.0" customHeight="1">
      <c r="A153" s="2" t="str">
        <f>IFERROR(__xludf.DUMMYFUNCTION("""COMPUTED_VALUE"""),"Brasil")</f>
        <v>Brasil</v>
      </c>
      <c r="B153" s="2" t="str">
        <f>IFERROR(__xludf.DUMMYFUNCTION("""COMPUTED_VALUE"""),"BR CAXIAS01")</f>
        <v>BR CAXIAS01</v>
      </c>
      <c r="C153" s="3" t="str">
        <f>IFERROR(__xludf.DUMMYFUNCTION("""COMPUTED_VALUE"""),"Universidad de Caxias do Sul")</f>
        <v>Universidad de Caxias do Sul</v>
      </c>
      <c r="D153" s="2" t="str">
        <f>IFERROR(__xludf.DUMMYFUNCTION("""COMPUTED_VALUE"""),"Ac. Bilaterales (no Erasmus)")</f>
        <v>Ac. Bilaterales (no Erasmus)</v>
      </c>
      <c r="E153" s="2">
        <f>IFERROR(__xludf.DUMMYFUNCTION("""COMPUTED_VALUE"""),2.0)</f>
        <v>2</v>
      </c>
      <c r="F153" s="2" t="str">
        <f>IFERROR(__xludf.DUMMYFUNCTION("""COMPUTED_VALUE"""),"Semestre")</f>
        <v>Semestre</v>
      </c>
      <c r="G153" s="2" t="str">
        <f>IFERROR(__xludf.DUMMYFUNCTION("""COMPUTED_VALUE"""),"Bilbao")</f>
        <v>Bilbao</v>
      </c>
      <c r="H153" s="2" t="str">
        <f>IFERROR(__xludf.DUMMYFUNCTION("""COMPUTED_VALUE"""),"Ingeniería")</f>
        <v>Ingeniería</v>
      </c>
      <c r="I153" s="2" t="str">
        <f>IFERROR(__xludf.DUMMYFUNCTION("""COMPUTED_VALUE"""),"Tecnologías Industriales, Ingeniería Mecánica, Electrónica y Automática, Organización Industrial, Diseño Industrial, Diseño Industrial + Ingeniería Mecánica")</f>
        <v>Tecnologías Industriales, Ingeniería Mecánica, Electrónica y Automática, Organización Industrial, Diseño Industrial, Diseño Industrial + Ingeniería Mecánica</v>
      </c>
      <c r="J153" s="2" t="str">
        <f>IFERROR(__xludf.DUMMYFUNCTION("""COMPUTED_VALUE"""),"Grado")</f>
        <v>Grado</v>
      </c>
      <c r="K153" s="2" t="str">
        <f>IFERROR(__xludf.DUMMYFUNCTION("""COMPUTED_VALUE"""),"Portugués")</f>
        <v>Portugués</v>
      </c>
      <c r="L153" s="2" t="str">
        <f>IFERROR(__xludf.DUMMYFUNCTION("""COMPUTED_VALUE"""),"B1")</f>
        <v>B1</v>
      </c>
      <c r="M153" s="2" t="str">
        <f>IFERROR(__xludf.DUMMYFUNCTION("""COMPUTED_VALUE"""),"No")</f>
        <v>No</v>
      </c>
      <c r="N153" s="3" t="str">
        <f>IFERROR(__xludf.DUMMYFUNCTION("""COMPUTED_VALUE"""),"https://www.ucs.br/site/midia/arquivos/edital-001-2017-estrangeiros-esp.pdf")</f>
        <v>https://www.ucs.br/site/midia/arquivos/edital-001-2017-estrangeiros-esp.pdf</v>
      </c>
      <c r="O153" s="3" t="str">
        <f>IFERROR(__xludf.DUMMYFUNCTION("""COMPUTED_VALUE"""),"Más información / Informazio gehigarria")</f>
        <v>Más información / Informazio gehigarria</v>
      </c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30.0" customHeight="1">
      <c r="A154" s="2" t="str">
        <f>IFERROR(__xludf.DUMMYFUNCTION("""COMPUTED_VALUE"""),"Brasil")</f>
        <v>Brasil</v>
      </c>
      <c r="B154" s="2" t="str">
        <f>IFERROR(__xludf.DUMMYFUNCTION("""COMPUTED_VALUE"""),"BR SAOPAULO03")</f>
        <v>BR SAOPAULO03</v>
      </c>
      <c r="C154" s="3" t="str">
        <f>IFERROR(__xludf.DUMMYFUNCTION("""COMPUTED_VALUE"""),"Universidade Estadual Paulista de Sao Paulo")</f>
        <v>Universidade Estadual Paulista de Sao Paulo</v>
      </c>
      <c r="D154" s="2" t="str">
        <f>IFERROR(__xludf.DUMMYFUNCTION("""COMPUTED_VALUE"""),"Ac. Bilaterales (no Erasmus)")</f>
        <v>Ac. Bilaterales (no Erasmus)</v>
      </c>
      <c r="E154" s="2">
        <f>IFERROR(__xludf.DUMMYFUNCTION("""COMPUTED_VALUE"""),2.0)</f>
        <v>2</v>
      </c>
      <c r="F154" s="2" t="str">
        <f>IFERROR(__xludf.DUMMYFUNCTION("""COMPUTED_VALUE"""),"Anual")</f>
        <v>Anual</v>
      </c>
      <c r="G154" s="2" t="str">
        <f>IFERROR(__xludf.DUMMYFUNCTION("""COMPUTED_VALUE"""),"Bilbao")</f>
        <v>Bilbao</v>
      </c>
      <c r="H154" s="2" t="str">
        <f>IFERROR(__xludf.DUMMYFUNCTION("""COMPUTED_VALUE"""),"Ciencias Sociales y Humanas")</f>
        <v>Ciencias Sociales y Humanas</v>
      </c>
      <c r="I154" s="2" t="str">
        <f>IFERROR(__xludf.DUMMYFUNCTION("""COMPUTED_VALUE"""),"Relaciones Internacionales, Relaciones Internacionales + Derecho")</f>
        <v>Relaciones Internacionales, Relaciones Internacionales + Derecho</v>
      </c>
      <c r="J154" s="2" t="str">
        <f>IFERROR(__xludf.DUMMYFUNCTION("""COMPUTED_VALUE"""),"Grado")</f>
        <v>Grado</v>
      </c>
      <c r="K154" s="2" t="str">
        <f>IFERROR(__xludf.DUMMYFUNCTION("""COMPUTED_VALUE"""),"Portugués")</f>
        <v>Portugués</v>
      </c>
      <c r="L154" s="2" t="str">
        <f>IFERROR(__xludf.DUMMYFUNCTION("""COMPUTED_VALUE"""),"B1")</f>
        <v>B1</v>
      </c>
      <c r="M154" s="2" t="str">
        <f>IFERROR(__xludf.DUMMYFUNCTION("""COMPUTED_VALUE"""),"No")</f>
        <v>No</v>
      </c>
      <c r="N154" s="3" t="str">
        <f>IFERROR(__xludf.DUMMYFUNCTION("""COMPUTED_VALUE"""),"https://www2.unesp.br/portal#!/international/study/")</f>
        <v>https://www2.unesp.br/portal#!/international/study/</v>
      </c>
      <c r="O154" s="3" t="str">
        <f>IFERROR(__xludf.DUMMYFUNCTION("""COMPUTED_VALUE"""),"Más información / Informazio gehigarria")</f>
        <v>Más información / Informazio gehigarria</v>
      </c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30.0" customHeight="1">
      <c r="A155" s="2" t="str">
        <f>IFERROR(__xludf.DUMMYFUNCTION("""COMPUTED_VALUE"""),"Brasil")</f>
        <v>Brasil</v>
      </c>
      <c r="B155" s="2" t="str">
        <f>IFERROR(__xludf.DUMMYFUNCTION("""COMPUTED_VALUE"""),"BR RIOGRAN01")</f>
        <v>BR RIOGRAN01</v>
      </c>
      <c r="C155" s="3" t="str">
        <f>IFERROR(__xludf.DUMMYFUNCTION("""COMPUTED_VALUE"""),"Universidade Federal do Rio Grande do Sul")</f>
        <v>Universidade Federal do Rio Grande do Sul</v>
      </c>
      <c r="D155" s="2" t="str">
        <f>IFERROR(__xludf.DUMMYFUNCTION("""COMPUTED_VALUE"""),"Ac. Bilaterales (no Erasmus)")</f>
        <v>Ac. Bilaterales (no Erasmus)</v>
      </c>
      <c r="E155" s="2">
        <f>IFERROR(__xludf.DUMMYFUNCTION("""COMPUTED_VALUE"""),2.0)</f>
        <v>2</v>
      </c>
      <c r="F155" s="2" t="str">
        <f>IFERROR(__xludf.DUMMYFUNCTION("""COMPUTED_VALUE"""),"Semestre")</f>
        <v>Semestre</v>
      </c>
      <c r="G155" s="2" t="str">
        <f>IFERROR(__xludf.DUMMYFUNCTION("""COMPUTED_VALUE"""),"San Sebastián")</f>
        <v>San Sebastián</v>
      </c>
      <c r="H155" s="2" t="str">
        <f>IFERROR(__xludf.DUMMYFUNCTION("""COMPUTED_VALUE"""),"Ciencias Sociales y Humanas")</f>
        <v>Ciencias Sociales y Humanas</v>
      </c>
      <c r="I155" s="2" t="str">
        <f>IFERROR(__xludf.DUMMYFUNCTION("""COMPUTED_VALUE"""),"Comunicación")</f>
        <v>Comunicación</v>
      </c>
      <c r="J155" s="2" t="str">
        <f>IFERROR(__xludf.DUMMYFUNCTION("""COMPUTED_VALUE"""),"Grado")</f>
        <v>Grado</v>
      </c>
      <c r="K155" s="2" t="str">
        <f>IFERROR(__xludf.DUMMYFUNCTION("""COMPUTED_VALUE"""),"Portugués")</f>
        <v>Portugués</v>
      </c>
      <c r="L155" s="2" t="str">
        <f>IFERROR(__xludf.DUMMYFUNCTION("""COMPUTED_VALUE"""),"B1")</f>
        <v>B1</v>
      </c>
      <c r="M155" s="2" t="str">
        <f>IFERROR(__xludf.DUMMYFUNCTION("""COMPUTED_VALUE"""),"No")</f>
        <v>No</v>
      </c>
      <c r="N155" s="3" t="str">
        <f>IFERROR(__xludf.DUMMYFUNCTION("""COMPUTED_VALUE"""),"http://www.ufrgs.br/english/student-mobility/frequently-asked-questions")</f>
        <v>http://www.ufrgs.br/english/student-mobility/frequently-asked-questions</v>
      </c>
      <c r="O155" s="3" t="str">
        <f>IFERROR(__xludf.DUMMYFUNCTION("""COMPUTED_VALUE"""),"Más información / Informazio gehigarria")</f>
        <v>Más información / Informazio gehigarria</v>
      </c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30.0" customHeight="1">
      <c r="A156" s="2" t="str">
        <f>IFERROR(__xludf.DUMMYFUNCTION("""COMPUTED_VALUE"""),"Brasil")</f>
        <v>Brasil</v>
      </c>
      <c r="B156" s="2" t="str">
        <f>IFERROR(__xludf.DUMMYFUNCTION("""COMPUTED_VALUE"""),"BR RIOGRAN01")</f>
        <v>BR RIOGRAN01</v>
      </c>
      <c r="C156" s="3" t="str">
        <f>IFERROR(__xludf.DUMMYFUNCTION("""COMPUTED_VALUE"""),"Universidade Federal do Rio Grande do Sul")</f>
        <v>Universidade Federal do Rio Grande do Sul</v>
      </c>
      <c r="D156" s="2" t="str">
        <f>IFERROR(__xludf.DUMMYFUNCTION("""COMPUTED_VALUE"""),"Ac. Bilaterales (no Erasmus)")</f>
        <v>Ac. Bilaterales (no Erasmus)</v>
      </c>
      <c r="E156" s="2">
        <f>IFERROR(__xludf.DUMMYFUNCTION("""COMPUTED_VALUE"""),4.0)</f>
        <v>4</v>
      </c>
      <c r="F156" s="2" t="str">
        <f>IFERROR(__xludf.DUMMYFUNCTION("""COMPUTED_VALUE"""),"Anual")</f>
        <v>Anual</v>
      </c>
      <c r="G156" s="2" t="str">
        <f>IFERROR(__xludf.DUMMYFUNCTION("""COMPUTED_VALUE"""),"Bilbao")</f>
        <v>Bilbao</v>
      </c>
      <c r="H156" s="2" t="str">
        <f>IFERROR(__xludf.DUMMYFUNCTION("""COMPUTED_VALUE"""),"Ciencias de la Salud")</f>
        <v>Ciencias de la Salud</v>
      </c>
      <c r="I156" s="2" t="str">
        <f>IFERROR(__xludf.DUMMYFUNCTION("""COMPUTED_VALUE"""),"Psicología")</f>
        <v>Psicología</v>
      </c>
      <c r="J156" s="2" t="str">
        <f>IFERROR(__xludf.DUMMYFUNCTION("""COMPUTED_VALUE"""),"Grado")</f>
        <v>Grado</v>
      </c>
      <c r="K156" s="2" t="str">
        <f>IFERROR(__xludf.DUMMYFUNCTION("""COMPUTED_VALUE"""),"Portugués")</f>
        <v>Portugués</v>
      </c>
      <c r="L156" s="2" t="str">
        <f>IFERROR(__xludf.DUMMYFUNCTION("""COMPUTED_VALUE"""),"B1")</f>
        <v>B1</v>
      </c>
      <c r="M156" s="2" t="str">
        <f>IFERROR(__xludf.DUMMYFUNCTION("""COMPUTED_VALUE"""),"No")</f>
        <v>No</v>
      </c>
      <c r="N156" s="3" t="str">
        <f>IFERROR(__xludf.DUMMYFUNCTION("""COMPUTED_VALUE"""),"http://www.ufrgs.br/english/student-mobility/frequently-asked-questions")</f>
        <v>http://www.ufrgs.br/english/student-mobility/frequently-asked-questions</v>
      </c>
      <c r="O156" s="3" t="str">
        <f>IFERROR(__xludf.DUMMYFUNCTION("""COMPUTED_VALUE"""),"Más información / Informazio gehigarria")</f>
        <v>Más información / Informazio gehigarria</v>
      </c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30.0" customHeight="1">
      <c r="A157" s="2" t="str">
        <f>IFERROR(__xludf.DUMMYFUNCTION("""COMPUTED_VALUE"""),"Brasil")</f>
        <v>Brasil</v>
      </c>
      <c r="B157" s="2" t="str">
        <f>IFERROR(__xludf.DUMMYFUNCTION("""COMPUTED_VALUE"""),"BR SAOCAET01")</f>
        <v>BR SAOCAET01</v>
      </c>
      <c r="C157" s="3" t="str">
        <f>IFERROR(__xludf.DUMMYFUNCTION("""COMPUTED_VALUE"""),"Universidade Municipal de Sao Caetano do Sul")</f>
        <v>Universidade Municipal de Sao Caetano do Sul</v>
      </c>
      <c r="D157" s="2" t="str">
        <f>IFERROR(__xludf.DUMMYFUNCTION("""COMPUTED_VALUE"""),"Ac. Bilaterales (no Erasmus)")</f>
        <v>Ac. Bilaterales (no Erasmus)</v>
      </c>
      <c r="E157" s="2">
        <f>IFERROR(__xludf.DUMMYFUNCTION("""COMPUTED_VALUE"""),2.0)</f>
        <v>2</v>
      </c>
      <c r="F157" s="2" t="str">
        <f>IFERROR(__xludf.DUMMYFUNCTION("""COMPUTED_VALUE"""),"Semestre")</f>
        <v>Semestre</v>
      </c>
      <c r="G157" s="2" t="str">
        <f>IFERROR(__xludf.DUMMYFUNCTION("""COMPUTED_VALUE"""),"San Sebastián")</f>
        <v>San Sebastián</v>
      </c>
      <c r="H157" s="2" t="str">
        <f>IFERROR(__xludf.DUMMYFUNCTION("""COMPUTED_VALUE"""),"Ciencias Sociales y Humanas")</f>
        <v>Ciencias Sociales y Humanas</v>
      </c>
      <c r="I157" s="2" t="str">
        <f>IFERROR(__xludf.DUMMYFUNCTION("""COMPUTED_VALUE"""),"Comunicación")</f>
        <v>Comunicación</v>
      </c>
      <c r="J157" s="2" t="str">
        <f>IFERROR(__xludf.DUMMYFUNCTION("""COMPUTED_VALUE"""),"Grado")</f>
        <v>Grado</v>
      </c>
      <c r="K157" s="2" t="str">
        <f>IFERROR(__xludf.DUMMYFUNCTION("""COMPUTED_VALUE"""),"Portugués")</f>
        <v>Portugués</v>
      </c>
      <c r="L157" s="2" t="str">
        <f>IFERROR(__xludf.DUMMYFUNCTION("""COMPUTED_VALUE"""),"B1")</f>
        <v>B1</v>
      </c>
      <c r="M157" s="2" t="str">
        <f>IFERROR(__xludf.DUMMYFUNCTION("""COMPUTED_VALUE"""),"No")</f>
        <v>No</v>
      </c>
      <c r="N157" s="3" t="str">
        <f>IFERROR(__xludf.DUMMYFUNCTION("""COMPUTED_VALUE"""),"https://www.uscs.edu.br/relacoes-internacionais")</f>
        <v>https://www.uscs.edu.br/relacoes-internacionais</v>
      </c>
      <c r="O157" s="3" t="str">
        <f>IFERROR(__xludf.DUMMYFUNCTION("""COMPUTED_VALUE"""),"Más información / Informazio gehigarria")</f>
        <v>Más información / Informazio gehigarria</v>
      </c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30.0" customHeight="1">
      <c r="A158" s="2" t="str">
        <f>IFERROR(__xludf.DUMMYFUNCTION("""COMPUTED_VALUE"""),"Brasil")</f>
        <v>Brasil</v>
      </c>
      <c r="B158" s="2" t="str">
        <f>IFERROR(__xludf.DUMMYFUNCTION("""COMPUTED_VALUE"""),"BR SAOCAET01")</f>
        <v>BR SAOCAET01</v>
      </c>
      <c r="C158" s="3" t="str">
        <f>IFERROR(__xludf.DUMMYFUNCTION("""COMPUTED_VALUE"""),"Universidade Municipal de Sao Caetano do Sul")</f>
        <v>Universidade Municipal de Sao Caetano do Sul</v>
      </c>
      <c r="D158" s="2" t="str">
        <f>IFERROR(__xludf.DUMMYFUNCTION("""COMPUTED_VALUE"""),"Ac. Bilaterales (no Erasmus)")</f>
        <v>Ac. Bilaterales (no Erasmus)</v>
      </c>
      <c r="E158" s="2">
        <f>IFERROR(__xludf.DUMMYFUNCTION("""COMPUTED_VALUE"""),2.0)</f>
        <v>2</v>
      </c>
      <c r="F158" s="2" t="str">
        <f>IFERROR(__xludf.DUMMYFUNCTION("""COMPUTED_VALUE"""),"Semestre")</f>
        <v>Semestre</v>
      </c>
      <c r="G158" s="2" t="str">
        <f>IFERROR(__xludf.DUMMYFUNCTION("""COMPUTED_VALUE"""),"Ambos")</f>
        <v>Ambos</v>
      </c>
      <c r="H158" s="2" t="str">
        <f>IFERROR(__xludf.DUMMYFUNCTION("""COMPUTED_VALUE"""),"Educación y Deporte")</f>
        <v>Educación y Deporte</v>
      </c>
      <c r="I158" s="2" t="str">
        <f>IFERROR(__xludf.DUMMYFUNCTION("""COMPUTED_VALUE"""),"Educación Primaria")</f>
        <v>Educación Primaria</v>
      </c>
      <c r="J158" s="2" t="str">
        <f>IFERROR(__xludf.DUMMYFUNCTION("""COMPUTED_VALUE"""),"Grado")</f>
        <v>Grado</v>
      </c>
      <c r="K158" s="2" t="str">
        <f>IFERROR(__xludf.DUMMYFUNCTION("""COMPUTED_VALUE"""),"Portugués")</f>
        <v>Portugués</v>
      </c>
      <c r="L158" s="2" t="str">
        <f>IFERROR(__xludf.DUMMYFUNCTION("""COMPUTED_VALUE"""),"B1")</f>
        <v>B1</v>
      </c>
      <c r="M158" s="2" t="str">
        <f>IFERROR(__xludf.DUMMYFUNCTION("""COMPUTED_VALUE"""),"No")</f>
        <v>No</v>
      </c>
      <c r="N158" s="3" t="str">
        <f>IFERROR(__xludf.DUMMYFUNCTION("""COMPUTED_VALUE"""),"https://www.uscs.edu.br/relacoes-internacionais")</f>
        <v>https://www.uscs.edu.br/relacoes-internacionais</v>
      </c>
      <c r="O158" s="3" t="str">
        <f>IFERROR(__xludf.DUMMYFUNCTION("""COMPUTED_VALUE"""),"Más información / Informazio gehigarria")</f>
        <v>Más información / Informazio gehigarria</v>
      </c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30.0" customHeight="1">
      <c r="A159" s="2" t="str">
        <f>IFERROR(__xludf.DUMMYFUNCTION("""COMPUTED_VALUE"""),"Brasil")</f>
        <v>Brasil</v>
      </c>
      <c r="B159" s="2" t="str">
        <f>IFERROR(__xludf.DUMMYFUNCTION("""COMPUTED_VALUE"""),"BR SAOCAET01")</f>
        <v>BR SAOCAET01</v>
      </c>
      <c r="C159" s="3" t="str">
        <f>IFERROR(__xludf.DUMMYFUNCTION("""COMPUTED_VALUE"""),"Universidade Municipal de Sao Caetano do Sul")</f>
        <v>Universidade Municipal de Sao Caetano do Sul</v>
      </c>
      <c r="D159" s="2" t="str">
        <f>IFERROR(__xludf.DUMMYFUNCTION("""COMPUTED_VALUE"""),"Ac. Bilaterales (no Erasmus)")</f>
        <v>Ac. Bilaterales (no Erasmus)</v>
      </c>
      <c r="E159" s="2" t="str">
        <f>IFERROR(__xludf.DUMMYFUNCTION("""COMPUTED_VALUE"""),"Convenio Marco")</f>
        <v>Convenio Marco</v>
      </c>
      <c r="F159" s="2" t="str">
        <f>IFERROR(__xludf.DUMMYFUNCTION("""COMPUTED_VALUE"""),"Semestre")</f>
        <v>Semestre</v>
      </c>
      <c r="G159" s="2" t="str">
        <f>IFERROR(__xludf.DUMMYFUNCTION("""COMPUTED_VALUE"""),"Bilbao")</f>
        <v>Bilbao</v>
      </c>
      <c r="H159" s="2" t="str">
        <f>IFERROR(__xludf.DUMMYFUNCTION("""COMPUTED_VALUE"""),"Educación y Deporte")</f>
        <v>Educación y Deporte</v>
      </c>
      <c r="I159" s="2" t="str">
        <f>IFERROR(__xludf.DUMMYFUNCTION("""COMPUTED_VALUE"""),"Educación Social")</f>
        <v>Educación Social</v>
      </c>
      <c r="J159" s="2" t="str">
        <f>IFERROR(__xludf.DUMMYFUNCTION("""COMPUTED_VALUE"""),"Grado")</f>
        <v>Grado</v>
      </c>
      <c r="K159" s="2" t="str">
        <f>IFERROR(__xludf.DUMMYFUNCTION("""COMPUTED_VALUE"""),"Portugués / Inglés")</f>
        <v>Portugués / Inglés</v>
      </c>
      <c r="L159" s="2" t="str">
        <f>IFERROR(__xludf.DUMMYFUNCTION("""COMPUTED_VALUE"""),"B1 / B2")</f>
        <v>B1 / B2</v>
      </c>
      <c r="M159" s="2" t="str">
        <f>IFERROR(__xludf.DUMMYFUNCTION("""COMPUTED_VALUE"""),"Sí")</f>
        <v>Sí</v>
      </c>
      <c r="N159" s="3" t="str">
        <f>IFERROR(__xludf.DUMMYFUNCTION("""COMPUTED_VALUE"""),"https://www.uscs.edu.br/relacoes-internacionais")</f>
        <v>https://www.uscs.edu.br/relacoes-internacionais</v>
      </c>
      <c r="O159" s="3" t="str">
        <f>IFERROR(__xludf.DUMMYFUNCTION("""COMPUTED_VALUE"""),"Más información / Informazio gehigarria")</f>
        <v>Más información / Informazio gehigarria</v>
      </c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30.0" customHeight="1">
      <c r="A160" s="2" t="str">
        <f>IFERROR(__xludf.DUMMYFUNCTION("""COMPUTED_VALUE"""),"Bulgaria")</f>
        <v>Bulgaria</v>
      </c>
      <c r="B160" s="2" t="str">
        <f>IFERROR(__xludf.DUMMYFUNCTION("""COMPUTED_VALUE"""),"BG BLAGOEV02")</f>
        <v>BG BLAGOEV02</v>
      </c>
      <c r="C160" s="3" t="str">
        <f>IFERROR(__xludf.DUMMYFUNCTION("""COMPUTED_VALUE"""),"SOUTH WEST UNIVERSITY (N. RILSKI)")</f>
        <v>SOUTH WEST UNIVERSITY (N. RILSKI)</v>
      </c>
      <c r="D160" s="2" t="str">
        <f>IFERROR(__xludf.DUMMYFUNCTION("""COMPUTED_VALUE"""),"Erasmus+")</f>
        <v>Erasmus+</v>
      </c>
      <c r="E160" s="2">
        <f>IFERROR(__xludf.DUMMYFUNCTION("""COMPUTED_VALUE"""),2.0)</f>
        <v>2</v>
      </c>
      <c r="F160" s="2" t="str">
        <f>IFERROR(__xludf.DUMMYFUNCTION("""COMPUTED_VALUE"""),"Semestre")</f>
        <v>Semestre</v>
      </c>
      <c r="G160" s="2" t="str">
        <f>IFERROR(__xludf.DUMMYFUNCTION("""COMPUTED_VALUE"""),"Bilbao")</f>
        <v>Bilbao</v>
      </c>
      <c r="H160" s="2" t="str">
        <f>IFERROR(__xludf.DUMMYFUNCTION("""COMPUTED_VALUE"""),"Ciencias Sociales y Humanas")</f>
        <v>Ciencias Sociales y Humanas</v>
      </c>
      <c r="I160" s="2" t="str">
        <f>IFERROR(__xludf.DUMMYFUNCTION("""COMPUTED_VALUE"""),"Turismo")</f>
        <v>Turismo</v>
      </c>
      <c r="J160" s="2" t="str">
        <f>IFERROR(__xludf.DUMMYFUNCTION("""COMPUTED_VALUE"""),"Grado")</f>
        <v>Grado</v>
      </c>
      <c r="K160" s="2" t="str">
        <f>IFERROR(__xludf.DUMMYFUNCTION("""COMPUTED_VALUE"""),"Inglés")</f>
        <v>Inglés</v>
      </c>
      <c r="L160" s="2"/>
      <c r="M160" s="2"/>
      <c r="N160" s="2"/>
      <c r="O160" s="2" t="str">
        <f>IFERROR(__xludf.DUMMYFUNCTION("""COMPUTED_VALUE"""),"Más información / Informazio gehigarria")</f>
        <v>Más información / Informazio gehigarria</v>
      </c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30.0" customHeight="1">
      <c r="A161" s="2" t="str">
        <f>IFERROR(__xludf.DUMMYFUNCTION("""COMPUTED_VALUE"""),"Bulgaria")</f>
        <v>Bulgaria</v>
      </c>
      <c r="B161" s="2" t="str">
        <f>IFERROR(__xludf.DUMMYFUNCTION("""COMPUTED_VALUE"""),"BG PLOVDIV01")</f>
        <v>BG PLOVDIV01</v>
      </c>
      <c r="C161" s="3" t="str">
        <f>IFERROR(__xludf.DUMMYFUNCTION("""COMPUTED_VALUE"""),"Agricultural Univeristy Plovdiv")</f>
        <v>Agricultural Univeristy Plovdiv</v>
      </c>
      <c r="D161" s="2" t="str">
        <f>IFERROR(__xludf.DUMMYFUNCTION("""COMPUTED_VALUE"""),"Erasmus+")</f>
        <v>Erasmus+</v>
      </c>
      <c r="E161" s="2">
        <f>IFERROR(__xludf.DUMMYFUNCTION("""COMPUTED_VALUE"""),2.0)</f>
        <v>2</v>
      </c>
      <c r="F161" s="2" t="str">
        <f>IFERROR(__xludf.DUMMYFUNCTION("""COMPUTED_VALUE"""),"Semestre")</f>
        <v>Semestre</v>
      </c>
      <c r="G161" s="2" t="str">
        <f>IFERROR(__xludf.DUMMYFUNCTION("""COMPUTED_VALUE"""),"Bilbao")</f>
        <v>Bilbao</v>
      </c>
      <c r="H161" s="2" t="str">
        <f>IFERROR(__xludf.DUMMYFUNCTION("""COMPUTED_VALUE"""),"Ciencias Sociales y Humanas")</f>
        <v>Ciencias Sociales y Humanas</v>
      </c>
      <c r="I161" s="2" t="str">
        <f>IFERROR(__xludf.DUMMYFUNCTION("""COMPUTED_VALUE"""),"Turismo")</f>
        <v>Turismo</v>
      </c>
      <c r="J161" s="2" t="str">
        <f>IFERROR(__xludf.DUMMYFUNCTION("""COMPUTED_VALUE"""),"Grado")</f>
        <v>Grado</v>
      </c>
      <c r="K161" s="2" t="str">
        <f>IFERROR(__xludf.DUMMYFUNCTION("""COMPUTED_VALUE"""),"Inglés")</f>
        <v>Inglés</v>
      </c>
      <c r="L161" s="2" t="str">
        <f>IFERROR(__xludf.DUMMYFUNCTION("""COMPUTED_VALUE"""),"B2")</f>
        <v>B2</v>
      </c>
      <c r="M161" s="2" t="str">
        <f>IFERROR(__xludf.DUMMYFUNCTION("""COMPUTED_VALUE"""),"No")</f>
        <v>No</v>
      </c>
      <c r="N161" s="3" t="str">
        <f>IFERROR(__xludf.DUMMYFUNCTION("""COMPUTED_VALUE"""),"https://www.au-plovdiv.bg/en/erasmus/incoming-students")</f>
        <v>https://www.au-plovdiv.bg/en/erasmus/incoming-students</v>
      </c>
      <c r="O161" s="3" t="str">
        <f>IFERROR(__xludf.DUMMYFUNCTION("""COMPUTED_VALUE"""),"Más información / Informazio gehigarria")</f>
        <v>Más información / Informazio gehigarria</v>
      </c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30.0" customHeight="1">
      <c r="A162" s="2" t="str">
        <f>IFERROR(__xludf.DUMMYFUNCTION("""COMPUTED_VALUE"""),"Bulgaria")</f>
        <v>Bulgaria</v>
      </c>
      <c r="B162" s="2" t="str">
        <f>IFERROR(__xludf.DUMMYFUNCTION("""COMPUTED_VALUE"""),"BG SOFIA17")</f>
        <v>BG SOFIA17</v>
      </c>
      <c r="C162" s="3" t="str">
        <f>IFERROR(__xludf.DUMMYFUNCTION("""COMPUTED_VALUE"""),"National Sports Academy Vassil Levski")</f>
        <v>National Sports Academy Vassil Levski</v>
      </c>
      <c r="D162" s="2" t="str">
        <f>IFERROR(__xludf.DUMMYFUNCTION("""COMPUTED_VALUE"""),"Erasmus+")</f>
        <v>Erasmus+</v>
      </c>
      <c r="E162" s="2">
        <f>IFERROR(__xludf.DUMMYFUNCTION("""COMPUTED_VALUE"""),2.0)</f>
        <v>2</v>
      </c>
      <c r="F162" s="2" t="str">
        <f>IFERROR(__xludf.DUMMYFUNCTION("""COMPUTED_VALUE"""),"Semestre")</f>
        <v>Semestre</v>
      </c>
      <c r="G162" s="2" t="str">
        <f>IFERROR(__xludf.DUMMYFUNCTION("""COMPUTED_VALUE"""),"Bilbao")</f>
        <v>Bilbao</v>
      </c>
      <c r="H162" s="2" t="str">
        <f>IFERROR(__xludf.DUMMYFUNCTION("""COMPUTED_VALUE"""),"Educación y Deporte")</f>
        <v>Educación y Deporte</v>
      </c>
      <c r="I162" s="2" t="str">
        <f>IFERROR(__xludf.DUMMYFUNCTION("""COMPUTED_VALUE"""),"CAFyD")</f>
        <v>CAFyD</v>
      </c>
      <c r="J162" s="2" t="str">
        <f>IFERROR(__xludf.DUMMYFUNCTION("""COMPUTED_VALUE"""),"Grado")</f>
        <v>Grado</v>
      </c>
      <c r="K162" s="2" t="str">
        <f>IFERROR(__xludf.DUMMYFUNCTION("""COMPUTED_VALUE"""),"Inglés")</f>
        <v>Inglés</v>
      </c>
      <c r="L162" s="2" t="str">
        <f>IFERROR(__xludf.DUMMYFUNCTION("""COMPUTED_VALUE"""),"B2")</f>
        <v>B2</v>
      </c>
      <c r="M162" s="2" t="str">
        <f>IFERROR(__xludf.DUMMYFUNCTION("""COMPUTED_VALUE"""),"No")</f>
        <v>No</v>
      </c>
      <c r="N162" s="3" t="str">
        <f>IFERROR(__xludf.DUMMYFUNCTION("""COMPUTED_VALUE"""),"https://nsa-erasmus.com/")</f>
        <v>https://nsa-erasmus.com/</v>
      </c>
      <c r="O162" s="3" t="str">
        <f>IFERROR(__xludf.DUMMYFUNCTION("""COMPUTED_VALUE"""),"Más información / Informazio gehigarria")</f>
        <v>Más información / Informazio gehigarria</v>
      </c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30.0" customHeight="1">
      <c r="A163" s="2" t="str">
        <f>IFERROR(__xludf.DUMMYFUNCTION("""COMPUTED_VALUE"""),"Bulgaria")</f>
        <v>Bulgaria</v>
      </c>
      <c r="B163" s="2" t="str">
        <f>IFERROR(__xludf.DUMMYFUNCTION("""COMPUTED_VALUE"""),"BG VELIKO01")</f>
        <v>BG VELIKO01</v>
      </c>
      <c r="C163" s="3" t="str">
        <f>IFERROR(__xludf.DUMMYFUNCTION("""COMPUTED_VALUE"""),"St. Cyril and St. Methodius University of Veliko Turnovo")</f>
        <v>St. Cyril and St. Methodius University of Veliko Turnovo</v>
      </c>
      <c r="D163" s="2" t="str">
        <f>IFERROR(__xludf.DUMMYFUNCTION("""COMPUTED_VALUE"""),"Erasmus+")</f>
        <v>Erasmus+</v>
      </c>
      <c r="E163" s="2">
        <f>IFERROR(__xludf.DUMMYFUNCTION("""COMPUTED_VALUE"""),2.0)</f>
        <v>2</v>
      </c>
      <c r="F163" s="2" t="str">
        <f>IFERROR(__xludf.DUMMYFUNCTION("""COMPUTED_VALUE"""),"Semestre")</f>
        <v>Semestre</v>
      </c>
      <c r="G163" s="2" t="str">
        <f>IFERROR(__xludf.DUMMYFUNCTION("""COMPUTED_VALUE"""),"Ambos")</f>
        <v>Ambos</v>
      </c>
      <c r="H163" s="2" t="str">
        <f>IFERROR(__xludf.DUMMYFUNCTION("""COMPUTED_VALUE"""),"Educación y Deporte")</f>
        <v>Educación y Deporte</v>
      </c>
      <c r="I163" s="2" t="str">
        <f>IFERROR(__xludf.DUMMYFUNCTION("""COMPUTED_VALUE"""),"Educación Primaria")</f>
        <v>Educación Primaria</v>
      </c>
      <c r="J163" s="2" t="str">
        <f>IFERROR(__xludf.DUMMYFUNCTION("""COMPUTED_VALUE"""),"Grado")</f>
        <v>Grado</v>
      </c>
      <c r="K163" s="2" t="str">
        <f>IFERROR(__xludf.DUMMYFUNCTION("""COMPUTED_VALUE"""),"Inglés")</f>
        <v>Inglés</v>
      </c>
      <c r="L163" s="2" t="str">
        <f>IFERROR(__xludf.DUMMYFUNCTION("""COMPUTED_VALUE"""),"B2")</f>
        <v>B2</v>
      </c>
      <c r="M163" s="2" t="str">
        <f>IFERROR(__xludf.DUMMYFUNCTION("""COMPUTED_VALUE"""),"No")</f>
        <v>No</v>
      </c>
      <c r="N163" s="3" t="str">
        <f>IFERROR(__xludf.DUMMYFUNCTION("""COMPUTED_VALUE"""),"https://erasmus-vtu.bg/en/")</f>
        <v>https://erasmus-vtu.bg/en/</v>
      </c>
      <c r="O163" s="3" t="str">
        <f>IFERROR(__xludf.DUMMYFUNCTION("""COMPUTED_VALUE"""),"Más información / Informazio gehigarria")</f>
        <v>Más información / Informazio gehigarria</v>
      </c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30.0" customHeight="1">
      <c r="A164" s="2" t="str">
        <f>IFERROR(__xludf.DUMMYFUNCTION("""COMPUTED_VALUE"""),"Bulgaria")</f>
        <v>Bulgaria</v>
      </c>
      <c r="B164" s="2" t="str">
        <f>IFERROR(__xludf.DUMMYFUNCTION("""COMPUTED_VALUE"""),"BG VELIKO01")</f>
        <v>BG VELIKO01</v>
      </c>
      <c r="C164" s="3" t="str">
        <f>IFERROR(__xludf.DUMMYFUNCTION("""COMPUTED_VALUE"""),"St. Cyril and St. Methodius University of Veliko Turnovo")</f>
        <v>St. Cyril and St. Methodius University of Veliko Turnovo</v>
      </c>
      <c r="D164" s="2" t="str">
        <f>IFERROR(__xludf.DUMMYFUNCTION("""COMPUTED_VALUE"""),"Erasmus+")</f>
        <v>Erasmus+</v>
      </c>
      <c r="E164" s="2">
        <f>IFERROR(__xludf.DUMMYFUNCTION("""COMPUTED_VALUE"""),2.0)</f>
        <v>2</v>
      </c>
      <c r="F164" s="2" t="str">
        <f>IFERROR(__xludf.DUMMYFUNCTION("""COMPUTED_VALUE"""),"Semestre")</f>
        <v>Semestre</v>
      </c>
      <c r="G164" s="2" t="str">
        <f>IFERROR(__xludf.DUMMYFUNCTION("""COMPUTED_VALUE"""),"Bilbao")</f>
        <v>Bilbao</v>
      </c>
      <c r="H164" s="2" t="str">
        <f>IFERROR(__xludf.DUMMYFUNCTION("""COMPUTED_VALUE"""),"Educación y Deporte")</f>
        <v>Educación y Deporte</v>
      </c>
      <c r="I164" s="2" t="str">
        <f>IFERROR(__xludf.DUMMYFUNCTION("""COMPUTED_VALUE"""),"Educación Social")</f>
        <v>Educación Social</v>
      </c>
      <c r="J164" s="2" t="str">
        <f>IFERROR(__xludf.DUMMYFUNCTION("""COMPUTED_VALUE"""),"Grado")</f>
        <v>Grado</v>
      </c>
      <c r="K164" s="2" t="str">
        <f>IFERROR(__xludf.DUMMYFUNCTION("""COMPUTED_VALUE"""),"Inglés")</f>
        <v>Inglés</v>
      </c>
      <c r="L164" s="2" t="str">
        <f>IFERROR(__xludf.DUMMYFUNCTION("""COMPUTED_VALUE"""),"B2")</f>
        <v>B2</v>
      </c>
      <c r="M164" s="2" t="str">
        <f>IFERROR(__xludf.DUMMYFUNCTION("""COMPUTED_VALUE"""),"No")</f>
        <v>No</v>
      </c>
      <c r="N164" s="3" t="str">
        <f>IFERROR(__xludf.DUMMYFUNCTION("""COMPUTED_VALUE"""),"https://erasmus-vtu.bg/en/")</f>
        <v>https://erasmus-vtu.bg/en/</v>
      </c>
      <c r="O164" s="3" t="str">
        <f>IFERROR(__xludf.DUMMYFUNCTION("""COMPUTED_VALUE"""),"Más información / Informazio gehigarria")</f>
        <v>Más información / Informazio gehigarria</v>
      </c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30.0" customHeight="1">
      <c r="A165" s="2" t="str">
        <f>IFERROR(__xludf.DUMMYFUNCTION("""COMPUTED_VALUE"""),"Bulgaria")</f>
        <v>Bulgaria</v>
      </c>
      <c r="B165" s="2" t="str">
        <f>IFERROR(__xludf.DUMMYFUNCTION("""COMPUTED_VALUE"""),"BG VARNA04")</f>
        <v>BG VARNA04</v>
      </c>
      <c r="C165" s="3" t="str">
        <f>IFERROR(__xludf.DUMMYFUNCTION("""COMPUTED_VALUE"""),"University of Economics – Varna")</f>
        <v>University of Economics – Varna</v>
      </c>
      <c r="D165" s="2" t="str">
        <f>IFERROR(__xludf.DUMMYFUNCTION("""COMPUTED_VALUE"""),"Erasmus+")</f>
        <v>Erasmus+</v>
      </c>
      <c r="E165" s="2">
        <f>IFERROR(__xludf.DUMMYFUNCTION("""COMPUTED_VALUE"""),1.0)</f>
        <v>1</v>
      </c>
      <c r="F165" s="2" t="str">
        <f>IFERROR(__xludf.DUMMYFUNCTION("""COMPUTED_VALUE"""),"2do Semestre")</f>
        <v>2do Semestre</v>
      </c>
      <c r="G165" s="2" t="str">
        <f>IFERROR(__xludf.DUMMYFUNCTION("""COMPUTED_VALUE"""),"Bilbao")</f>
        <v>Bilbao</v>
      </c>
      <c r="H165" s="2" t="str">
        <f>IFERROR(__xludf.DUMMYFUNCTION("""COMPUTED_VALUE"""),"Deusto Business School")</f>
        <v>Deusto Business School</v>
      </c>
      <c r="I165" s="2" t="str">
        <f>IFERROR(__xludf.DUMMYFUNCTION("""COMPUTED_VALUE"""),"Administración y Dirección de Empresas")</f>
        <v>Administración y Dirección de Empresas</v>
      </c>
      <c r="J165" s="2" t="str">
        <f>IFERROR(__xludf.DUMMYFUNCTION("""COMPUTED_VALUE"""),"Grado")</f>
        <v>Grado</v>
      </c>
      <c r="K165" s="2" t="str">
        <f>IFERROR(__xludf.DUMMYFUNCTION("""COMPUTED_VALUE"""),"Inglés")</f>
        <v>Inglés</v>
      </c>
      <c r="L165" s="2" t="str">
        <f>IFERROR(__xludf.DUMMYFUNCTION("""COMPUTED_VALUE"""),"C1")</f>
        <v>C1</v>
      </c>
      <c r="M165" s="2" t="str">
        <f>IFERROR(__xludf.DUMMYFUNCTION("""COMPUTED_VALUE"""),"No")</f>
        <v>No</v>
      </c>
      <c r="N165" s="3" t="str">
        <f>IFERROR(__xludf.DUMMYFUNCTION("""COMPUTED_VALUE"""),"https://ue-varna.bg/en/p/8316/admission//faq")</f>
        <v>https://ue-varna.bg/en/p/8316/admission//faq</v>
      </c>
      <c r="O165" s="3" t="str">
        <f>IFERROR(__xludf.DUMMYFUNCTION("""COMPUTED_VALUE"""),"Más información / Informazio gehigarria")</f>
        <v>Más información / Informazio gehigarria</v>
      </c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30.0" customHeight="1">
      <c r="A166" s="2" t="str">
        <f>IFERROR(__xludf.DUMMYFUNCTION("""COMPUTED_VALUE"""),"Bulgaria")</f>
        <v>Bulgaria</v>
      </c>
      <c r="B166" s="2" t="str">
        <f>IFERROR(__xludf.DUMMYFUNCTION("""COMPUTED_VALUE"""),"BG VARNA04")</f>
        <v>BG VARNA04</v>
      </c>
      <c r="C166" s="3" t="str">
        <f>IFERROR(__xludf.DUMMYFUNCTION("""COMPUTED_VALUE"""),"University of Economics – Varna")</f>
        <v>University of Economics – Varna</v>
      </c>
      <c r="D166" s="2" t="str">
        <f>IFERROR(__xludf.DUMMYFUNCTION("""COMPUTED_VALUE"""),"Erasmus+")</f>
        <v>Erasmus+</v>
      </c>
      <c r="E166" s="2">
        <f>IFERROR(__xludf.DUMMYFUNCTION("""COMPUTED_VALUE"""),4.0)</f>
        <v>4</v>
      </c>
      <c r="F166" s="2" t="str">
        <f>IFERROR(__xludf.DUMMYFUNCTION("""COMPUTED_VALUE"""),"Semestre")</f>
        <v>Semestre</v>
      </c>
      <c r="G166" s="2" t="str">
        <f>IFERROR(__xludf.DUMMYFUNCTION("""COMPUTED_VALUE"""),"Bilbao")</f>
        <v>Bilbao</v>
      </c>
      <c r="H166" s="2" t="str">
        <f>IFERROR(__xludf.DUMMYFUNCTION("""COMPUTED_VALUE"""),"Ciencias Sociales y Humanas")</f>
        <v>Ciencias Sociales y Humanas</v>
      </c>
      <c r="I166" s="2" t="str">
        <f>IFERROR(__xludf.DUMMYFUNCTION("""COMPUTED_VALUE"""),"Turismo")</f>
        <v>Turismo</v>
      </c>
      <c r="J166" s="2" t="str">
        <f>IFERROR(__xludf.DUMMYFUNCTION("""COMPUTED_VALUE"""),"Grado")</f>
        <v>Grado</v>
      </c>
      <c r="K166" s="2" t="str">
        <f>IFERROR(__xludf.DUMMYFUNCTION("""COMPUTED_VALUE"""),"Inglés")</f>
        <v>Inglés</v>
      </c>
      <c r="L166" s="2" t="str">
        <f>IFERROR(__xludf.DUMMYFUNCTION("""COMPUTED_VALUE"""),"B2")</f>
        <v>B2</v>
      </c>
      <c r="M166" s="2" t="str">
        <f>IFERROR(__xludf.DUMMYFUNCTION("""COMPUTED_VALUE"""),"No")</f>
        <v>No</v>
      </c>
      <c r="N166" s="3" t="str">
        <f>IFERROR(__xludf.DUMMYFUNCTION("""COMPUTED_VALUE"""),"https://ue-varna.bg/en/p/8316/admission//faq")</f>
        <v>https://ue-varna.bg/en/p/8316/admission//faq</v>
      </c>
      <c r="O166" s="3" t="str">
        <f>IFERROR(__xludf.DUMMYFUNCTION("""COMPUTED_VALUE"""),"Más información / Informazio gehigarria")</f>
        <v>Más información / Informazio gehigarria</v>
      </c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30.0" customHeight="1">
      <c r="A167" s="2" t="str">
        <f>IFERROR(__xludf.DUMMYFUNCTION("""COMPUTED_VALUE"""),"Canadá")</f>
        <v>Canadá</v>
      </c>
      <c r="B167" s="2"/>
      <c r="C167" s="3" t="str">
        <f>IFERROR(__xludf.DUMMYFUNCTION("""COMPUTED_VALUE"""),"Centennial College")</f>
        <v>Centennial College</v>
      </c>
      <c r="D167" s="2" t="str">
        <f>IFERROR(__xludf.DUMMYFUNCTION("""COMPUTED_VALUE"""),"Ac. Bilaterales (no Erasmus)")</f>
        <v>Ac. Bilaterales (no Erasmus)</v>
      </c>
      <c r="E167" s="2">
        <f>IFERROR(__xludf.DUMMYFUNCTION("""COMPUTED_VALUE"""),2.0)</f>
        <v>2</v>
      </c>
      <c r="F167" s="2" t="str">
        <f>IFERROR(__xludf.DUMMYFUNCTION("""COMPUTED_VALUE"""),"Semestre")</f>
        <v>Semestre</v>
      </c>
      <c r="G167" s="2" t="str">
        <f>IFERROR(__xludf.DUMMYFUNCTION("""COMPUTED_VALUE"""),"Bilbao")</f>
        <v>Bilbao</v>
      </c>
      <c r="H167" s="2" t="str">
        <f>IFERROR(__xludf.DUMMYFUNCTION("""COMPUTED_VALUE"""),"Derecho")</f>
        <v>Derecho</v>
      </c>
      <c r="I167" s="2" t="str">
        <f>IFERROR(__xludf.DUMMYFUNCTION("""COMPUTED_VALUE"""),"Derecho, Derecho + Relaciones Laborales")</f>
        <v>Derecho, Derecho + Relaciones Laborales</v>
      </c>
      <c r="J167" s="2" t="str">
        <f>IFERROR(__xludf.DUMMYFUNCTION("""COMPUTED_VALUE"""),"Grado")</f>
        <v>Grado</v>
      </c>
      <c r="K167" s="2" t="str">
        <f>IFERROR(__xludf.DUMMYFUNCTION("""COMPUTED_VALUE"""),"Inglés")</f>
        <v>Inglés</v>
      </c>
      <c r="L167" s="2" t="str">
        <f>IFERROR(__xludf.DUMMYFUNCTION("""COMPUTED_VALUE"""),"B2")</f>
        <v>B2</v>
      </c>
      <c r="M167" s="2" t="str">
        <f>IFERROR(__xludf.DUMMYFUNCTION("""COMPUTED_VALUE"""),"Sí")</f>
        <v>Sí</v>
      </c>
      <c r="N167" s="3" t="str">
        <f>IFERROR(__xludf.DUMMYFUNCTION("""COMPUTED_VALUE"""),"https://sage.centennialcollege.ca/index.cfm?FuseAction=Abroad.ViewLink&amp;Parent_ID=FECCA595-F673-84E3-BC1F68113EB56716&amp;Link_ID=0D64980F-5056-BA1F-744BAB7C1C88B839")</f>
        <v>https://sage.centennialcollege.ca/index.cfm?FuseAction=Abroad.ViewLink&amp;Parent_ID=FECCA595-F673-84E3-BC1F68113EB56716&amp;Link_ID=0D64980F-5056-BA1F-744BAB7C1C88B839</v>
      </c>
      <c r="O167" s="3" t="str">
        <f>IFERROR(__xludf.DUMMYFUNCTION("""COMPUTED_VALUE"""),"Más información / Informazio gehigarria")</f>
        <v>Más información / Informazio gehigarria</v>
      </c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30.0" customHeight="1">
      <c r="A168" s="2" t="str">
        <f>IFERROR(__xludf.DUMMYFUNCTION("""COMPUTED_VALUE"""),"Canadá")</f>
        <v>Canadá</v>
      </c>
      <c r="B168" s="2"/>
      <c r="C168" s="3" t="str">
        <f>IFERROR(__xludf.DUMMYFUNCTION("""COMPUTED_VALUE"""),"Centennial College")</f>
        <v>Centennial College</v>
      </c>
      <c r="D168" s="2" t="str">
        <f>IFERROR(__xludf.DUMMYFUNCTION("""COMPUTED_VALUE"""),"Ac. Bilaterales (no Erasmus)")</f>
        <v>Ac. Bilaterales (no Erasmus)</v>
      </c>
      <c r="E168" s="2">
        <f>IFERROR(__xludf.DUMMYFUNCTION("""COMPUTED_VALUE"""),2.0)</f>
        <v>2</v>
      </c>
      <c r="F168" s="2" t="str">
        <f>IFERROR(__xludf.DUMMYFUNCTION("""COMPUTED_VALUE"""),"Semestre")</f>
        <v>Semestre</v>
      </c>
      <c r="G168" s="2" t="str">
        <f>IFERROR(__xludf.DUMMYFUNCTION("""COMPUTED_VALUE"""),"Ambos")</f>
        <v>Ambos</v>
      </c>
      <c r="H168" s="2" t="str">
        <f>IFERROR(__xludf.DUMMYFUNCTION("""COMPUTED_VALUE"""),"Educación y Deporte")</f>
        <v>Educación y Deporte</v>
      </c>
      <c r="I168" s="2" t="str">
        <f>IFERROR(__xludf.DUMMYFUNCTION("""COMPUTED_VALUE"""),"Educación Primaria")</f>
        <v>Educación Primaria</v>
      </c>
      <c r="J168" s="2" t="str">
        <f>IFERROR(__xludf.DUMMYFUNCTION("""COMPUTED_VALUE"""),"Grado")</f>
        <v>Grado</v>
      </c>
      <c r="K168" s="2" t="str">
        <f>IFERROR(__xludf.DUMMYFUNCTION("""COMPUTED_VALUE"""),"Inglés")</f>
        <v>Inglés</v>
      </c>
      <c r="L168" s="2" t="str">
        <f>IFERROR(__xludf.DUMMYFUNCTION("""COMPUTED_VALUE"""),"B2")</f>
        <v>B2</v>
      </c>
      <c r="M168" s="2" t="str">
        <f>IFERROR(__xludf.DUMMYFUNCTION("""COMPUTED_VALUE"""),"Sí")</f>
        <v>Sí</v>
      </c>
      <c r="N168" s="3" t="str">
        <f>IFERROR(__xludf.DUMMYFUNCTION("""COMPUTED_VALUE"""),"https://sage.centennialcollege.ca/index.cfm?FuseAction=Abroad.ViewLink&amp;Parent_ID=FECCA595-F673-84E3-BC1F68113EB56716&amp;Link_ID=0D64980F-5056-BA1F-744BAB7C1C88B840")</f>
        <v>https://sage.centennialcollege.ca/index.cfm?FuseAction=Abroad.ViewLink&amp;Parent_ID=FECCA595-F673-84E3-BC1F68113EB56716&amp;Link_ID=0D64980F-5056-BA1F-744BAB7C1C88B840</v>
      </c>
      <c r="O168" s="3" t="str">
        <f>IFERROR(__xludf.DUMMYFUNCTION("""COMPUTED_VALUE"""),"Más información / Informazio gehigarria")</f>
        <v>Más información / Informazio gehigarria</v>
      </c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30.0" customHeight="1">
      <c r="A169" s="2" t="str">
        <f>IFERROR(__xludf.DUMMYFUNCTION("""COMPUTED_VALUE"""),"Canadá")</f>
        <v>Canadá</v>
      </c>
      <c r="B169" s="2"/>
      <c r="C169" s="3" t="str">
        <f>IFERROR(__xludf.DUMMYFUNCTION("""COMPUTED_VALUE"""),"Centennial College")</f>
        <v>Centennial College</v>
      </c>
      <c r="D169" s="2" t="str">
        <f>IFERROR(__xludf.DUMMYFUNCTION("""COMPUTED_VALUE"""),"Ac. Bilaterales (no Erasmus)")</f>
        <v>Ac. Bilaterales (no Erasmus)</v>
      </c>
      <c r="E169" s="2">
        <f>IFERROR(__xludf.DUMMYFUNCTION("""COMPUTED_VALUE"""),2.0)</f>
        <v>2</v>
      </c>
      <c r="F169" s="2" t="str">
        <f>IFERROR(__xludf.DUMMYFUNCTION("""COMPUTED_VALUE"""),"Semestre")</f>
        <v>Semestre</v>
      </c>
      <c r="G169" s="2" t="str">
        <f>IFERROR(__xludf.DUMMYFUNCTION("""COMPUTED_VALUE"""),"Ambos")</f>
        <v>Ambos</v>
      </c>
      <c r="H169" s="2" t="str">
        <f>IFERROR(__xludf.DUMMYFUNCTION("""COMPUTED_VALUE"""),"Ingeniería")</f>
        <v>Ingeniería</v>
      </c>
      <c r="I169" s="2" t="str">
        <f>IFERROR(__xludf.DUMMYFUNCTION("""COMPUTED_VALUE"""),"Ingeniería Informática, Organización Industrial, Ciencia de Datos e IA + Ingeniería Informática, Ingeniería Informática + Videojuegos")</f>
        <v>Ingeniería Informática, Organización Industrial, Ciencia de Datos e IA + Ingeniería Informática, Ingeniería Informática + Videojuegos</v>
      </c>
      <c r="J169" s="2" t="str">
        <f>IFERROR(__xludf.DUMMYFUNCTION("""COMPUTED_VALUE"""),"Grado")</f>
        <v>Grado</v>
      </c>
      <c r="K169" s="2" t="str">
        <f>IFERROR(__xludf.DUMMYFUNCTION("""COMPUTED_VALUE"""),"Inglés")</f>
        <v>Inglés</v>
      </c>
      <c r="L169" s="2" t="str">
        <f>IFERROR(__xludf.DUMMYFUNCTION("""COMPUTED_VALUE"""),"B2")</f>
        <v>B2</v>
      </c>
      <c r="M169" s="2" t="str">
        <f>IFERROR(__xludf.DUMMYFUNCTION("""COMPUTED_VALUE"""),"Sí")</f>
        <v>Sí</v>
      </c>
      <c r="N169" s="3" t="str">
        <f>IFERROR(__xludf.DUMMYFUNCTION("""COMPUTED_VALUE"""),"https://sage.centennialcollege.ca/index.cfm?FuseAction=Abroad.ViewLink&amp;Parent_ID=FECCA595-F673-84E3-BC1F68113EB56716&amp;Link_ID=0D64980F-5056-BA1F-744BAB7C1C88B841")</f>
        <v>https://sage.centennialcollege.ca/index.cfm?FuseAction=Abroad.ViewLink&amp;Parent_ID=FECCA595-F673-84E3-BC1F68113EB56716&amp;Link_ID=0D64980F-5056-BA1F-744BAB7C1C88B841</v>
      </c>
      <c r="O169" s="3" t="str">
        <f>IFERROR(__xludf.DUMMYFUNCTION("""COMPUTED_VALUE"""),"Más información / Informazio gehigarria")</f>
        <v>Más información / Informazio gehigarria</v>
      </c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30.0" customHeight="1">
      <c r="A170" s="2" t="str">
        <f>IFERROR(__xludf.DUMMYFUNCTION("""COMPUTED_VALUE"""),"Canadá")</f>
        <v>Canadá</v>
      </c>
      <c r="B170" s="2"/>
      <c r="C170" s="3" t="str">
        <f>IFERROR(__xludf.DUMMYFUNCTION("""COMPUTED_VALUE"""),"Centennial College")</f>
        <v>Centennial College</v>
      </c>
      <c r="D170" s="2" t="str">
        <f>IFERROR(__xludf.DUMMYFUNCTION("""COMPUTED_VALUE"""),"Ac. Bilaterales (no Erasmus)")</f>
        <v>Ac. Bilaterales (no Erasmus)</v>
      </c>
      <c r="E170" s="2">
        <f>IFERROR(__xludf.DUMMYFUNCTION("""COMPUTED_VALUE"""),2.0)</f>
        <v>2</v>
      </c>
      <c r="F170" s="2" t="str">
        <f>IFERROR(__xludf.DUMMYFUNCTION("""COMPUTED_VALUE"""),"Semestre")</f>
        <v>Semestre</v>
      </c>
      <c r="G170" s="2" t="str">
        <f>IFERROR(__xludf.DUMMYFUNCTION("""COMPUTED_VALUE"""),"Bilbao")</f>
        <v>Bilbao</v>
      </c>
      <c r="H170" s="2" t="str">
        <f>IFERROR(__xludf.DUMMYFUNCTION("""COMPUTED_VALUE"""),"Ciencias Sociales y Humanas")</f>
        <v>Ciencias Sociales y Humanas</v>
      </c>
      <c r="I170" s="2" t="str">
        <f>IFERROR(__xludf.DUMMYFUNCTION("""COMPUTED_VALUE"""),"Turismo")</f>
        <v>Turismo</v>
      </c>
      <c r="J170" s="2" t="str">
        <f>IFERROR(__xludf.DUMMYFUNCTION("""COMPUTED_VALUE"""),"Grado")</f>
        <v>Grado</v>
      </c>
      <c r="K170" s="2" t="str">
        <f>IFERROR(__xludf.DUMMYFUNCTION("""COMPUTED_VALUE"""),"Inglés")</f>
        <v>Inglés</v>
      </c>
      <c r="L170" s="2" t="str">
        <f>IFERROR(__xludf.DUMMYFUNCTION("""COMPUTED_VALUE"""),"B2")</f>
        <v>B2</v>
      </c>
      <c r="M170" s="2" t="str">
        <f>IFERROR(__xludf.DUMMYFUNCTION("""COMPUTED_VALUE"""),"Sí")</f>
        <v>Sí</v>
      </c>
      <c r="N170" s="3" t="str">
        <f>IFERROR(__xludf.DUMMYFUNCTION("""COMPUTED_VALUE"""),"https://sage.centennialcollege.ca/index.cfm?FuseAction=Abroad.ViewLink&amp;Parent_ID=FECCA595-F673-84E3-BC1F68113EB56716&amp;Link_ID=0D64980F-5056-BA1F-744BAB7C1C88B842")</f>
        <v>https://sage.centennialcollege.ca/index.cfm?FuseAction=Abroad.ViewLink&amp;Parent_ID=FECCA595-F673-84E3-BC1F68113EB56716&amp;Link_ID=0D64980F-5056-BA1F-744BAB7C1C88B842</v>
      </c>
      <c r="O170" s="3" t="str">
        <f>IFERROR(__xludf.DUMMYFUNCTION("""COMPUTED_VALUE"""),"Más información / Informazio gehigarria")</f>
        <v>Más información / Informazio gehigarria</v>
      </c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30.0" customHeight="1">
      <c r="A171" s="2" t="str">
        <f>IFERROR(__xludf.DUMMYFUNCTION("""COMPUTED_VALUE"""),"Canadá")</f>
        <v>Canadá</v>
      </c>
      <c r="B171" s="2"/>
      <c r="C171" s="3" t="str">
        <f>IFERROR(__xludf.DUMMYFUNCTION("""COMPUTED_VALUE"""),"HEC Montreal-Ecole des Hautes Etudes Commerciales")</f>
        <v>HEC Montreal-Ecole des Hautes Etudes Commerciales</v>
      </c>
      <c r="D171" s="2" t="str">
        <f>IFERROR(__xludf.DUMMYFUNCTION("""COMPUTED_VALUE"""),"Ac. Bilaterales (no Erasmus)")</f>
        <v>Ac. Bilaterales (no Erasmus)</v>
      </c>
      <c r="E171" s="2">
        <f>IFERROR(__xludf.DUMMYFUNCTION("""COMPUTED_VALUE"""),4.0)</f>
        <v>4</v>
      </c>
      <c r="F171" s="2" t="str">
        <f>IFERROR(__xludf.DUMMYFUNCTION("""COMPUTED_VALUE"""),"Semestre")</f>
        <v>Semestre</v>
      </c>
      <c r="G171" s="2" t="str">
        <f>IFERROR(__xludf.DUMMYFUNCTION("""COMPUTED_VALUE"""),"San Sebastián")</f>
        <v>San Sebastián</v>
      </c>
      <c r="H171" s="2" t="str">
        <f>IFERROR(__xludf.DUMMYFUNCTION("""COMPUTED_VALUE"""),"Deusto Business School")</f>
        <v>Deusto Business School</v>
      </c>
      <c r="I171" s="2" t="str">
        <f>IFERROR(__xludf.DUMMYFUNCTION("""COMPUTED_VALUE"""),"Administración y Dirección de Empresas")</f>
        <v>Administración y Dirección de Empresas</v>
      </c>
      <c r="J171" s="2" t="str">
        <f>IFERROR(__xludf.DUMMYFUNCTION("""COMPUTED_VALUE"""),"Grado")</f>
        <v>Grado</v>
      </c>
      <c r="K171" s="2" t="str">
        <f>IFERROR(__xludf.DUMMYFUNCTION("""COMPUTED_VALUE"""),"Francés / Inglés")</f>
        <v>Francés / Inglés</v>
      </c>
      <c r="L171" s="2" t="str">
        <f>IFERROR(__xludf.DUMMYFUNCTION("""COMPUTED_VALUE"""),"C1")</f>
        <v>C1</v>
      </c>
      <c r="M171" s="2" t="str">
        <f>IFERROR(__xludf.DUMMYFUNCTION("""COMPUTED_VALUE"""),"Sí")</f>
        <v>Sí</v>
      </c>
      <c r="N171" s="3" t="str">
        <f>IFERROR(__xludf.DUMMYFUNCTION("""COMPUTED_VALUE"""),"https://www.hec.ca/en/students/international-students/")</f>
        <v>https://www.hec.ca/en/students/international-students/</v>
      </c>
      <c r="O171" s="3" t="str">
        <f>IFERROR(__xludf.DUMMYFUNCTION("""COMPUTED_VALUE"""),"Más información / Informazio gehigarria")</f>
        <v>Más información / Informazio gehigarria</v>
      </c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30.0" customHeight="1">
      <c r="A172" s="2" t="str">
        <f>IFERROR(__xludf.DUMMYFUNCTION("""COMPUTED_VALUE"""),"Canadá")</f>
        <v>Canadá</v>
      </c>
      <c r="B172" s="2" t="str">
        <f>IFERROR(__xludf.DUMMYFUNCTION("""COMPUTED_VALUE"""),"CDN MONTRE02")</f>
        <v>CDN MONTRE02</v>
      </c>
      <c r="C172" s="3" t="str">
        <f>IFERROR(__xludf.DUMMYFUNCTION("""COMPUTED_VALUE"""),"Université du Québec à Montréal (UQAM)")</f>
        <v>Université du Québec à Montréal (UQAM)</v>
      </c>
      <c r="D172" s="2" t="str">
        <f>IFERROR(__xludf.DUMMYFUNCTION("""COMPUTED_VALUE"""),"Ac. Bilaterales (no Erasmus)")</f>
        <v>Ac. Bilaterales (no Erasmus)</v>
      </c>
      <c r="E172" s="2">
        <f>IFERROR(__xludf.DUMMYFUNCTION("""COMPUTED_VALUE"""),3.0)</f>
        <v>3</v>
      </c>
      <c r="F172" s="2" t="str">
        <f>IFERROR(__xludf.DUMMYFUNCTION("""COMPUTED_VALUE"""),"Anual ")</f>
        <v>Anual </v>
      </c>
      <c r="G172" s="2" t="str">
        <f>IFERROR(__xludf.DUMMYFUNCTION("""COMPUTED_VALUE"""),"Bilbao")</f>
        <v>Bilbao</v>
      </c>
      <c r="H172" s="2" t="str">
        <f>IFERROR(__xludf.DUMMYFUNCTION("""COMPUTED_VALUE"""),"Ciencias Sociales y Humanas")</f>
        <v>Ciencias Sociales y Humanas</v>
      </c>
      <c r="I172" s="2" t="str">
        <f>IFERROR(__xludf.DUMMYFUNCTION("""COMPUTED_VALUE"""),"Relaciones Internacionales, Relaciones Internacionales + Derecho")</f>
        <v>Relaciones Internacionales, Relaciones Internacionales + Derecho</v>
      </c>
      <c r="J172" s="2" t="str">
        <f>IFERROR(__xludf.DUMMYFUNCTION("""COMPUTED_VALUE"""),"Grado")</f>
        <v>Grado</v>
      </c>
      <c r="K172" s="2" t="str">
        <f>IFERROR(__xludf.DUMMYFUNCTION("""COMPUTED_VALUE"""),"Francés")</f>
        <v>Francés</v>
      </c>
      <c r="L172" s="2" t="str">
        <f>IFERROR(__xludf.DUMMYFUNCTION("""COMPUTED_VALUE"""),"B2")</f>
        <v>B2</v>
      </c>
      <c r="M172" s="2" t="str">
        <f>IFERROR(__xludf.DUMMYFUNCTION("""COMPUTED_VALUE"""),"Sí")</f>
        <v>Sí</v>
      </c>
      <c r="N172" s="3" t="str">
        <f>IFERROR(__xludf.DUMMYFUNCTION("""COMPUTED_VALUE"""),"https://www.uc3m.es/secretaria-virtual/media/secretaria-virtual/doc/archivo/doc_mne_can_fact-sheet-uqam-21-22/uqam-general-factsheet.pdf")</f>
        <v>https://www.uc3m.es/secretaria-virtual/media/secretaria-virtual/doc/archivo/doc_mne_can_fact-sheet-uqam-21-22/uqam-general-factsheet.pdf</v>
      </c>
      <c r="O172" s="3" t="str">
        <f>IFERROR(__xludf.DUMMYFUNCTION("""COMPUTED_VALUE"""),"Más información / Informazio gehigarria")</f>
        <v>Más información / Informazio gehigarria</v>
      </c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30.0" customHeight="1">
      <c r="A173" s="2" t="str">
        <f>IFERROR(__xludf.DUMMYFUNCTION("""COMPUTED_VALUE"""),"Canadá")</f>
        <v>Canadá</v>
      </c>
      <c r="B173" s="2" t="str">
        <f>IFERROR(__xludf.DUMMYFUNCTION("""COMPUTED_VALUE"""),"CDNQUEBEC01")</f>
        <v>CDNQUEBEC01</v>
      </c>
      <c r="C173" s="3" t="str">
        <f>IFERROR(__xludf.DUMMYFUNCTION("""COMPUTED_VALUE"""),"Université Laval")</f>
        <v>Université Laval</v>
      </c>
      <c r="D173" s="2" t="str">
        <f>IFERROR(__xludf.DUMMYFUNCTION("""COMPUTED_VALUE"""),"Ac. Bilaterales (no Erasmus)")</f>
        <v>Ac. Bilaterales (no Erasmus)</v>
      </c>
      <c r="E173" s="2">
        <f>IFERROR(__xludf.DUMMYFUNCTION("""COMPUTED_VALUE"""),2.0)</f>
        <v>2</v>
      </c>
      <c r="F173" s="2" t="str">
        <f>IFERROR(__xludf.DUMMYFUNCTION("""COMPUTED_VALUE"""),"Semestre")</f>
        <v>Semestre</v>
      </c>
      <c r="G173" s="2" t="str">
        <f>IFERROR(__xludf.DUMMYFUNCTION("""COMPUTED_VALUE"""),"San Sebastián")</f>
        <v>San Sebastián</v>
      </c>
      <c r="H173" s="2" t="str">
        <f>IFERROR(__xludf.DUMMYFUNCTION("""COMPUTED_VALUE"""),"Ciencias Sociales y Humanas")</f>
        <v>Ciencias Sociales y Humanas</v>
      </c>
      <c r="I173" s="2" t="str">
        <f>IFERROR(__xludf.DUMMYFUNCTION("""COMPUTED_VALUE"""),"Comunicación")</f>
        <v>Comunicación</v>
      </c>
      <c r="J173" s="2" t="str">
        <f>IFERROR(__xludf.DUMMYFUNCTION("""COMPUTED_VALUE"""),"Grado")</f>
        <v>Grado</v>
      </c>
      <c r="K173" s="2" t="str">
        <f>IFERROR(__xludf.DUMMYFUNCTION("""COMPUTED_VALUE"""),"Francés")</f>
        <v>Francés</v>
      </c>
      <c r="L173" s="2" t="str">
        <f>IFERROR(__xludf.DUMMYFUNCTION("""COMPUTED_VALUE"""),"B2")</f>
        <v>B2</v>
      </c>
      <c r="M173" s="2" t="str">
        <f>IFERROR(__xludf.DUMMYFUNCTION("""COMPUTED_VALUE"""),"Sí")</f>
        <v>Sí</v>
      </c>
      <c r="N173" s="3" t="str">
        <f>IFERROR(__xludf.DUMMYFUNCTION("""COMPUTED_VALUE"""),"https://www.ulaval.ca/en/international/mobility/international-students/student-exchanges")</f>
        <v>https://www.ulaval.ca/en/international/mobility/international-students/student-exchanges</v>
      </c>
      <c r="O173" s="3" t="str">
        <f>IFERROR(__xludf.DUMMYFUNCTION("""COMPUTED_VALUE"""),"Más información / Informazio gehigarria")</f>
        <v>Más información / Informazio gehigarria</v>
      </c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30.0" customHeight="1">
      <c r="A174" s="2" t="str">
        <f>IFERROR(__xludf.DUMMYFUNCTION("""COMPUTED_VALUE"""),"Canadá")</f>
        <v>Canadá</v>
      </c>
      <c r="B174" s="2" t="str">
        <f>IFERROR(__xludf.DUMMYFUNCTION("""COMPUTED_VALUE"""),"CDNQUEBEC01")</f>
        <v>CDNQUEBEC01</v>
      </c>
      <c r="C174" s="3" t="str">
        <f>IFERROR(__xludf.DUMMYFUNCTION("""COMPUTED_VALUE"""),"Université Laval")</f>
        <v>Université Laval</v>
      </c>
      <c r="D174" s="2" t="str">
        <f>IFERROR(__xludf.DUMMYFUNCTION("""COMPUTED_VALUE"""),"Ac. Bilaterales (no Erasmus)")</f>
        <v>Ac. Bilaterales (no Erasmus)</v>
      </c>
      <c r="E174" s="2">
        <f>IFERROR(__xludf.DUMMYFUNCTION("""COMPUTED_VALUE"""),2.0)</f>
        <v>2</v>
      </c>
      <c r="F174" s="2" t="str">
        <f>IFERROR(__xludf.DUMMYFUNCTION("""COMPUTED_VALUE"""),"Ambos semestres")</f>
        <v>Ambos semestres</v>
      </c>
      <c r="G174" s="2" t="str">
        <f>IFERROR(__xludf.DUMMYFUNCTION("""COMPUTED_VALUE"""),"Bilbao")</f>
        <v>Bilbao</v>
      </c>
      <c r="H174" s="2" t="str">
        <f>IFERROR(__xludf.DUMMYFUNCTION("""COMPUTED_VALUE"""),"Deusto Business School")</f>
        <v>Deusto Business School</v>
      </c>
      <c r="I174" s="2" t="str">
        <f>IFERROR(__xludf.DUMMYFUNCTION("""COMPUTED_VALUE"""),"Administración y Dirección de Empresas")</f>
        <v>Administración y Dirección de Empresas</v>
      </c>
      <c r="J174" s="2" t="str">
        <f>IFERROR(__xludf.DUMMYFUNCTION("""COMPUTED_VALUE"""),"Grado")</f>
        <v>Grado</v>
      </c>
      <c r="K174" s="2" t="str">
        <f>IFERROR(__xludf.DUMMYFUNCTION("""COMPUTED_VALUE"""),"Francés")</f>
        <v>Francés</v>
      </c>
      <c r="L174" s="2" t="str">
        <f>IFERROR(__xludf.DUMMYFUNCTION("""COMPUTED_VALUE"""),"B2/C1")</f>
        <v>B2/C1</v>
      </c>
      <c r="M174" s="2" t="str">
        <f>IFERROR(__xludf.DUMMYFUNCTION("""COMPUTED_VALUE"""),"Sí")</f>
        <v>Sí</v>
      </c>
      <c r="N174" s="3" t="str">
        <f>IFERROR(__xludf.DUMMYFUNCTION("""COMPUTED_VALUE"""),"https://www.ulaval.ca/en/international/mobility/international-students/student-exchanges")</f>
        <v>https://www.ulaval.ca/en/international/mobility/international-students/student-exchanges</v>
      </c>
      <c r="O174" s="3" t="str">
        <f>IFERROR(__xludf.DUMMYFUNCTION("""COMPUTED_VALUE"""),"Más información / Informazio gehigarria")</f>
        <v>Más información / Informazio gehigarria</v>
      </c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30.0" customHeight="1">
      <c r="A175" s="2" t="str">
        <f>IFERROR(__xludf.DUMMYFUNCTION("""COMPUTED_VALUE"""),"Canadá")</f>
        <v>Canadá</v>
      </c>
      <c r="B175" s="2" t="str">
        <f>IFERROR(__xludf.DUMMYFUNCTION("""COMPUTED_VALUE"""),"CDNQUEBEC01")</f>
        <v>CDNQUEBEC01</v>
      </c>
      <c r="C175" s="3" t="str">
        <f>IFERROR(__xludf.DUMMYFUNCTION("""COMPUTED_VALUE"""),"Université Laval")</f>
        <v>Université Laval</v>
      </c>
      <c r="D175" s="2" t="str">
        <f>IFERROR(__xludf.DUMMYFUNCTION("""COMPUTED_VALUE"""),"Ac. Bilaterales (no Erasmus)")</f>
        <v>Ac. Bilaterales (no Erasmus)</v>
      </c>
      <c r="E175" s="2">
        <f>IFERROR(__xludf.DUMMYFUNCTION("""COMPUTED_VALUE"""),4.0)</f>
        <v>4</v>
      </c>
      <c r="F175" s="2" t="str">
        <f>IFERROR(__xludf.DUMMYFUNCTION("""COMPUTED_VALUE"""),"Anual")</f>
        <v>Anual</v>
      </c>
      <c r="G175" s="2" t="str">
        <f>IFERROR(__xludf.DUMMYFUNCTION("""COMPUTED_VALUE"""),"Bilbao")</f>
        <v>Bilbao</v>
      </c>
      <c r="H175" s="2" t="str">
        <f>IFERROR(__xludf.DUMMYFUNCTION("""COMPUTED_VALUE"""),"Ciencias Sociales y Humanas")</f>
        <v>Ciencias Sociales y Humanas</v>
      </c>
      <c r="I175" s="2" t="str">
        <f>IFERROR(__xludf.DUMMYFUNCTION("""COMPUTED_VALUE"""),"Lenguas Modernas, Lengua y Cultura Vasca + Lenguas Modernas, Lenguas Modernas y Gestión, Euskal Hizkuntza eta Kultura")</f>
        <v>Lenguas Modernas, Lengua y Cultura Vasca + Lenguas Modernas, Lenguas Modernas y Gestión, Euskal Hizkuntza eta Kultura</v>
      </c>
      <c r="J175" s="2" t="str">
        <f>IFERROR(__xludf.DUMMYFUNCTION("""COMPUTED_VALUE"""),"Grado")</f>
        <v>Grado</v>
      </c>
      <c r="K175" s="2" t="str">
        <f>IFERROR(__xludf.DUMMYFUNCTION("""COMPUTED_VALUE"""),"Francés / Inglés")</f>
        <v>Francés / Inglés</v>
      </c>
      <c r="L175" s="2" t="str">
        <f>IFERROR(__xludf.DUMMYFUNCTION("""COMPUTED_VALUE"""),"B2")</f>
        <v>B2</v>
      </c>
      <c r="M175" s="2" t="str">
        <f>IFERROR(__xludf.DUMMYFUNCTION("""COMPUTED_VALUE"""),"Sí")</f>
        <v>Sí</v>
      </c>
      <c r="N175" s="3" t="str">
        <f>IFERROR(__xludf.DUMMYFUNCTION("""COMPUTED_VALUE"""),"https://www.ulaval.ca/en/international/mobility/international-students/student-exchanges")</f>
        <v>https://www.ulaval.ca/en/international/mobility/international-students/student-exchanges</v>
      </c>
      <c r="O175" s="3" t="str">
        <f>IFERROR(__xludf.DUMMYFUNCTION("""COMPUTED_VALUE"""),"Más información / Informazio gehigarria")</f>
        <v>Más información / Informazio gehigarria</v>
      </c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30.0" customHeight="1">
      <c r="A176" s="2" t="str">
        <f>IFERROR(__xludf.DUMMYFUNCTION("""COMPUTED_VALUE"""),"Canadá")</f>
        <v>Canadá</v>
      </c>
      <c r="B176" s="2" t="str">
        <f>IFERROR(__xludf.DUMMYFUNCTION("""COMPUTED_VALUE"""),"CDNQUEBEC01")</f>
        <v>CDNQUEBEC01</v>
      </c>
      <c r="C176" s="3" t="str">
        <f>IFERROR(__xludf.DUMMYFUNCTION("""COMPUTED_VALUE"""),"Université Laval")</f>
        <v>Université Laval</v>
      </c>
      <c r="D176" s="2" t="str">
        <f>IFERROR(__xludf.DUMMYFUNCTION("""COMPUTED_VALUE"""),"Ac. Bilaterales (no Erasmus)")</f>
        <v>Ac. Bilaterales (no Erasmus)</v>
      </c>
      <c r="E176" s="2">
        <f>IFERROR(__xludf.DUMMYFUNCTION("""COMPUTED_VALUE"""),4.0)</f>
        <v>4</v>
      </c>
      <c r="F176" s="2" t="str">
        <f>IFERROR(__xludf.DUMMYFUNCTION("""COMPUTED_VALUE"""),"Anual")</f>
        <v>Anual</v>
      </c>
      <c r="G176" s="2" t="str">
        <f>IFERROR(__xludf.DUMMYFUNCTION("""COMPUTED_VALUE"""),"Bilbao")</f>
        <v>Bilbao</v>
      </c>
      <c r="H176" s="2" t="str">
        <f>IFERROR(__xludf.DUMMYFUNCTION("""COMPUTED_VALUE"""),"Ciencias Sociales y Humanas")</f>
        <v>Ciencias Sociales y Humanas</v>
      </c>
      <c r="I176" s="2" t="str">
        <f>IFERROR(__xludf.DUMMYFUNCTION("""COMPUTED_VALUE"""),"Relaciones Internacionales, Relaciones Internacionales + Derecho")</f>
        <v>Relaciones Internacionales, Relaciones Internacionales + Derecho</v>
      </c>
      <c r="J176" s="2" t="str">
        <f>IFERROR(__xludf.DUMMYFUNCTION("""COMPUTED_VALUE"""),"Grado")</f>
        <v>Grado</v>
      </c>
      <c r="K176" s="2" t="str">
        <f>IFERROR(__xludf.DUMMYFUNCTION("""COMPUTED_VALUE"""),"Francés / Inglés")</f>
        <v>Francés / Inglés</v>
      </c>
      <c r="L176" s="2" t="str">
        <f>IFERROR(__xludf.DUMMYFUNCTION("""COMPUTED_VALUE"""),"B2")</f>
        <v>B2</v>
      </c>
      <c r="M176" s="2" t="str">
        <f>IFERROR(__xludf.DUMMYFUNCTION("""COMPUTED_VALUE"""),"Sí")</f>
        <v>Sí</v>
      </c>
      <c r="N176" s="3" t="str">
        <f>IFERROR(__xludf.DUMMYFUNCTION("""COMPUTED_VALUE"""),"https://www.ulaval.ca/en/international/mobility/international-students/student-exchanges")</f>
        <v>https://www.ulaval.ca/en/international/mobility/international-students/student-exchanges</v>
      </c>
      <c r="O176" s="3" t="str">
        <f>IFERROR(__xludf.DUMMYFUNCTION("""COMPUTED_VALUE"""),"Más información / Informazio gehigarria")</f>
        <v>Más información / Informazio gehigarria</v>
      </c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30.0" customHeight="1">
      <c r="A177" s="2" t="str">
        <f>IFERROR(__xludf.DUMMYFUNCTION("""COMPUTED_VALUE"""),"Canadá")</f>
        <v>Canadá</v>
      </c>
      <c r="B177" s="2" t="str">
        <f>IFERROR(__xludf.DUMMYFUNCTION("""COMPUTED_VALUE"""),"CDNQUEBEC01")</f>
        <v>CDNQUEBEC01</v>
      </c>
      <c r="C177" s="2" t="str">
        <f>IFERROR(__xludf.DUMMYFUNCTION("""COMPUTED_VALUE"""),"Université Laval (**)")</f>
        <v>Université Laval (**)</v>
      </c>
      <c r="D177" s="2" t="str">
        <f>IFERROR(__xludf.DUMMYFUNCTION("""COMPUTED_VALUE"""),"Ac. Bilaterales (no Erasmus)")</f>
        <v>Ac. Bilaterales (no Erasmus)</v>
      </c>
      <c r="E177" s="2">
        <f>IFERROR(__xludf.DUMMYFUNCTION("""COMPUTED_VALUE"""),2.0)</f>
        <v>2</v>
      </c>
      <c r="F177" s="2" t="str">
        <f>IFERROR(__xludf.DUMMYFUNCTION("""COMPUTED_VALUE"""),"Semestre")</f>
        <v>Semestre</v>
      </c>
      <c r="G177" s="2" t="str">
        <f>IFERROR(__xludf.DUMMYFUNCTION("""COMPUTED_VALUE"""),"Bilbao")</f>
        <v>Bilbao</v>
      </c>
      <c r="H177" s="2" t="str">
        <f>IFERROR(__xludf.DUMMYFUNCTION("""COMPUTED_VALUE"""),"Ingeniería")</f>
        <v>Ingeniería</v>
      </c>
      <c r="I177" s="2" t="str">
        <f>IFERROR(__xludf.DUMMYFUNCTION("""COMPUTED_VALUE"""),"Ingeniería Biomédica")</f>
        <v>Ingeniería Biomédica</v>
      </c>
      <c r="J177" s="2" t="str">
        <f>IFERROR(__xludf.DUMMYFUNCTION("""COMPUTED_VALUE"""),"Grado")</f>
        <v>Grado</v>
      </c>
      <c r="K177" s="2"/>
      <c r="L177" s="2"/>
      <c r="M177" s="2"/>
      <c r="N177" s="2"/>
      <c r="O177" s="2" t="str">
        <f>IFERROR(__xludf.DUMMYFUNCTION("""COMPUTED_VALUE"""),"Más información / Informazio gehigarria")</f>
        <v>Más información / Informazio gehigarria</v>
      </c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30.0" customHeight="1">
      <c r="A178" s="2" t="str">
        <f>IFERROR(__xludf.DUMMYFUNCTION("""COMPUTED_VALUE"""),"Canadá")</f>
        <v>Canadá</v>
      </c>
      <c r="B178" s="2"/>
      <c r="C178" s="3" t="str">
        <f>IFERROR(__xludf.DUMMYFUNCTION("""COMPUTED_VALUE"""),"University of Regina")</f>
        <v>University of Regina</v>
      </c>
      <c r="D178" s="2" t="str">
        <f>IFERROR(__xludf.DUMMYFUNCTION("""COMPUTED_VALUE"""),"Ac. Bilaterales (no Erasmus)")</f>
        <v>Ac. Bilaterales (no Erasmus)</v>
      </c>
      <c r="E178" s="2">
        <f>IFERROR(__xludf.DUMMYFUNCTION("""COMPUTED_VALUE"""),3.0)</f>
        <v>3</v>
      </c>
      <c r="F178" s="2" t="str">
        <f>IFERROR(__xludf.DUMMYFUNCTION("""COMPUTED_VALUE"""),"Semestre")</f>
        <v>Semestre</v>
      </c>
      <c r="G178" s="2" t="str">
        <f>IFERROR(__xludf.DUMMYFUNCTION("""COMPUTED_VALUE"""),"Bilbao")</f>
        <v>Bilbao</v>
      </c>
      <c r="H178" s="2" t="str">
        <f>IFERROR(__xludf.DUMMYFUNCTION("""COMPUTED_VALUE"""),"Ciencias Sociales y Humanas")</f>
        <v>Ciencias Sociales y Humanas</v>
      </c>
      <c r="I178" s="2" t="str">
        <f>IFERROR(__xludf.DUMMYFUNCTION("""COMPUTED_VALUE"""),"Relaciones Internacionales, Relaciones Internacionales + Derecho")</f>
        <v>Relaciones Internacionales, Relaciones Internacionales + Derecho</v>
      </c>
      <c r="J178" s="2" t="str">
        <f>IFERROR(__xludf.DUMMYFUNCTION("""COMPUTED_VALUE"""),"Grado")</f>
        <v>Grado</v>
      </c>
      <c r="K178" s="2" t="str">
        <f>IFERROR(__xludf.DUMMYFUNCTION("""COMPUTED_VALUE"""),"Inglés")</f>
        <v>Inglés</v>
      </c>
      <c r="L178" s="2" t="str">
        <f>IFERROR(__xludf.DUMMYFUNCTION("""COMPUTED_VALUE"""),"B2")</f>
        <v>B2</v>
      </c>
      <c r="M178" s="2" t="str">
        <f>IFERROR(__xludf.DUMMYFUNCTION("""COMPUTED_VALUE"""),"Sí")</f>
        <v>Sí</v>
      </c>
      <c r="N178" s="3" t="str">
        <f>IFERROR(__xludf.DUMMYFUNCTION("""COMPUTED_VALUE"""),"https://www.uregina.ca/gradstudies/future-students/Eligibility/International/english-requirements.html")</f>
        <v>https://www.uregina.ca/gradstudies/future-students/Eligibility/International/english-requirements.html</v>
      </c>
      <c r="O178" s="3" t="str">
        <f>IFERROR(__xludf.DUMMYFUNCTION("""COMPUTED_VALUE"""),"Más información / Informazio gehigarria")</f>
        <v>Más información / Informazio gehigarria</v>
      </c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30.0" customHeight="1">
      <c r="A179" s="2" t="str">
        <f>IFERROR(__xludf.DUMMYFUNCTION("""COMPUTED_VALUE"""),"Canadá")</f>
        <v>Canadá</v>
      </c>
      <c r="B179" s="2" t="str">
        <f>IFERROR(__xludf.DUMMYFUNCTION("""COMPUTED_VALUE"""),"CDNONTARIO01")</f>
        <v>CDNONTARIO01</v>
      </c>
      <c r="C179" s="3" t="str">
        <f>IFERROR(__xludf.DUMMYFUNCTION("""COMPUTED_VALUE"""),"Wilfrid Laurier University")</f>
        <v>Wilfrid Laurier University</v>
      </c>
      <c r="D179" s="2" t="str">
        <f>IFERROR(__xludf.DUMMYFUNCTION("""COMPUTED_VALUE"""),"Ac. Bilaterales (no Erasmus)")</f>
        <v>Ac. Bilaterales (no Erasmus)</v>
      </c>
      <c r="E179" s="2">
        <f>IFERROR(__xludf.DUMMYFUNCTION("""COMPUTED_VALUE"""),2.0)</f>
        <v>2</v>
      </c>
      <c r="F179" s="2" t="str">
        <f>IFERROR(__xludf.DUMMYFUNCTION("""COMPUTED_VALUE"""),"Semestre")</f>
        <v>Semestre</v>
      </c>
      <c r="G179" s="2" t="str">
        <f>IFERROR(__xludf.DUMMYFUNCTION("""COMPUTED_VALUE"""),"San Sebastián")</f>
        <v>San Sebastián</v>
      </c>
      <c r="H179" s="2" t="str">
        <f>IFERROR(__xludf.DUMMYFUNCTION("""COMPUTED_VALUE"""),"Ciencias de la Salud")</f>
        <v>Ciencias de la Salud</v>
      </c>
      <c r="I179" s="2" t="str">
        <f>IFERROR(__xludf.DUMMYFUNCTION("""COMPUTED_VALUE"""),"Fisioterapia")</f>
        <v>Fisioterapia</v>
      </c>
      <c r="J179" s="2" t="str">
        <f>IFERROR(__xludf.DUMMYFUNCTION("""COMPUTED_VALUE"""),"Grado")</f>
        <v>Grado</v>
      </c>
      <c r="K179" s="2" t="str">
        <f>IFERROR(__xludf.DUMMYFUNCTION("""COMPUTED_VALUE"""),"Inglés")</f>
        <v>Inglés</v>
      </c>
      <c r="L179" s="2" t="str">
        <f>IFERROR(__xludf.DUMMYFUNCTION("""COMPUTED_VALUE"""),"C1")</f>
        <v>C1</v>
      </c>
      <c r="M179" s="2" t="str">
        <f>IFERROR(__xludf.DUMMYFUNCTION("""COMPUTED_VALUE"""),"Sí")</f>
        <v>Sí</v>
      </c>
      <c r="N179" s="3" t="str">
        <f>IFERROR(__xludf.DUMMYFUNCTION("""COMPUTED_VALUE"""),"https://www.wlu.ca/future-students/undergraduate/admissions/requirements/english-proficiency.html")</f>
        <v>https://www.wlu.ca/future-students/undergraduate/admissions/requirements/english-proficiency.html</v>
      </c>
      <c r="O179" s="3" t="str">
        <f>IFERROR(__xludf.DUMMYFUNCTION("""COMPUTED_VALUE"""),"Más información / Informazio gehigarria")</f>
        <v>Más información / Informazio gehigarria</v>
      </c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30.0" customHeight="1">
      <c r="A180" s="2" t="str">
        <f>IFERROR(__xludf.DUMMYFUNCTION("""COMPUTED_VALUE"""),"Canadá")</f>
        <v>Canadá</v>
      </c>
      <c r="B180" s="2" t="str">
        <f>IFERROR(__xludf.DUMMYFUNCTION("""COMPUTED_VALUE"""),"CDNONTARIO01")</f>
        <v>CDNONTARIO01</v>
      </c>
      <c r="C180" s="3" t="str">
        <f>IFERROR(__xludf.DUMMYFUNCTION("""COMPUTED_VALUE"""),"Wilfrid Laurier University")</f>
        <v>Wilfrid Laurier University</v>
      </c>
      <c r="D180" s="2" t="str">
        <f>IFERROR(__xludf.DUMMYFUNCTION("""COMPUTED_VALUE"""),"Ac. Bilaterales (no Erasmus)")</f>
        <v>Ac. Bilaterales (no Erasmus)</v>
      </c>
      <c r="E180" s="2">
        <f>IFERROR(__xludf.DUMMYFUNCTION("""COMPUTED_VALUE"""),2.0)</f>
        <v>2</v>
      </c>
      <c r="F180" s="2" t="str">
        <f>IFERROR(__xludf.DUMMYFUNCTION("""COMPUTED_VALUE"""),"Semestre")</f>
        <v>Semestre</v>
      </c>
      <c r="G180" s="2" t="str">
        <f>IFERROR(__xludf.DUMMYFUNCTION("""COMPUTED_VALUE"""),"San Sebastián")</f>
        <v>San Sebastián</v>
      </c>
      <c r="H180" s="2" t="str">
        <f>IFERROR(__xludf.DUMMYFUNCTION("""COMPUTED_VALUE"""),"Ciencias Sociales y Humanas")</f>
        <v>Ciencias Sociales y Humanas</v>
      </c>
      <c r="I180" s="2" t="str">
        <f>IFERROR(__xludf.DUMMYFUNCTION("""COMPUTED_VALUE"""),"Comunicación")</f>
        <v>Comunicación</v>
      </c>
      <c r="J180" s="2" t="str">
        <f>IFERROR(__xludf.DUMMYFUNCTION("""COMPUTED_VALUE"""),"Grado")</f>
        <v>Grado</v>
      </c>
      <c r="K180" s="2" t="str">
        <f>IFERROR(__xludf.DUMMYFUNCTION("""COMPUTED_VALUE"""),"Inglés")</f>
        <v>Inglés</v>
      </c>
      <c r="L180" s="2" t="str">
        <f>IFERROR(__xludf.DUMMYFUNCTION("""COMPUTED_VALUE"""),"C1")</f>
        <v>C1</v>
      </c>
      <c r="M180" s="2" t="str">
        <f>IFERROR(__xludf.DUMMYFUNCTION("""COMPUTED_VALUE"""),"Sí")</f>
        <v>Sí</v>
      </c>
      <c r="N180" s="3" t="str">
        <f>IFERROR(__xludf.DUMMYFUNCTION("""COMPUTED_VALUE"""),"https://www.wlu.ca/future-students/undergraduate/admissions/requirements/english-proficiency.html")</f>
        <v>https://www.wlu.ca/future-students/undergraduate/admissions/requirements/english-proficiency.html</v>
      </c>
      <c r="O180" s="3" t="str">
        <f>IFERROR(__xludf.DUMMYFUNCTION("""COMPUTED_VALUE"""),"Más información / Informazio gehigarria")</f>
        <v>Más información / Informazio gehigarria</v>
      </c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30.0" customHeight="1">
      <c r="A181" s="2" t="str">
        <f>IFERROR(__xludf.DUMMYFUNCTION("""COMPUTED_VALUE"""),"Canadá")</f>
        <v>Canadá</v>
      </c>
      <c r="B181" s="2" t="str">
        <f>IFERROR(__xludf.DUMMYFUNCTION("""COMPUTED_VALUE"""),"CDNONTARIO01")</f>
        <v>CDNONTARIO01</v>
      </c>
      <c r="C181" s="3" t="str">
        <f>IFERROR(__xludf.DUMMYFUNCTION("""COMPUTED_VALUE"""),"Wilfrid Laurier University")</f>
        <v>Wilfrid Laurier University</v>
      </c>
      <c r="D181" s="2" t="str">
        <f>IFERROR(__xludf.DUMMYFUNCTION("""COMPUTED_VALUE"""),"Ac. Bilaterales (no Erasmus)")</f>
        <v>Ac. Bilaterales (no Erasmus)</v>
      </c>
      <c r="E181" s="2">
        <f>IFERROR(__xludf.DUMMYFUNCTION("""COMPUTED_VALUE"""),2.0)</f>
        <v>2</v>
      </c>
      <c r="F181" s="2" t="str">
        <f>IFERROR(__xludf.DUMMYFUNCTION("""COMPUTED_VALUE"""),"Semestre")</f>
        <v>Semestre</v>
      </c>
      <c r="G181" s="2" t="str">
        <f>IFERROR(__xludf.DUMMYFUNCTION("""COMPUTED_VALUE"""),"San Sebastián")</f>
        <v>San Sebastián</v>
      </c>
      <c r="H181" s="2" t="str">
        <f>IFERROR(__xludf.DUMMYFUNCTION("""COMPUTED_VALUE"""),"Deusto Business School")</f>
        <v>Deusto Business School</v>
      </c>
      <c r="I181" s="2" t="str">
        <f>IFERROR(__xludf.DUMMYFUNCTION("""COMPUTED_VALUE"""),"Administración y Dirección de Empresas")</f>
        <v>Administración y Dirección de Empresas</v>
      </c>
      <c r="J181" s="2" t="str">
        <f>IFERROR(__xludf.DUMMYFUNCTION("""COMPUTED_VALUE"""),"Grado")</f>
        <v>Grado</v>
      </c>
      <c r="K181" s="2" t="str">
        <f>IFERROR(__xludf.DUMMYFUNCTION("""COMPUTED_VALUE"""),"Inglés")</f>
        <v>Inglés</v>
      </c>
      <c r="L181" s="2" t="str">
        <f>IFERROR(__xludf.DUMMYFUNCTION("""COMPUTED_VALUE"""),"C1")</f>
        <v>C1</v>
      </c>
      <c r="M181" s="2" t="str">
        <f>IFERROR(__xludf.DUMMYFUNCTION("""COMPUTED_VALUE"""),"Sí")</f>
        <v>Sí</v>
      </c>
      <c r="N181" s="3" t="str">
        <f>IFERROR(__xludf.DUMMYFUNCTION("""COMPUTED_VALUE"""),"https://www.wlu.ca/future-students/undergraduate/admissions/requirements/english-proficiency.html")</f>
        <v>https://www.wlu.ca/future-students/undergraduate/admissions/requirements/english-proficiency.html</v>
      </c>
      <c r="O181" s="2" t="str">
        <f>IFERROR(__xludf.DUMMYFUNCTION("""COMPUTED_VALUE"""),"n/a")</f>
        <v>n/a</v>
      </c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30.0" customHeight="1">
      <c r="A182" s="2" t="str">
        <f>IFERROR(__xludf.DUMMYFUNCTION("""COMPUTED_VALUE"""),"Canadá")</f>
        <v>Canadá</v>
      </c>
      <c r="B182" s="2" t="str">
        <f>IFERROR(__xludf.DUMMYFUNCTION("""COMPUTED_VALUE"""),"CDNONTARIO01")</f>
        <v>CDNONTARIO01</v>
      </c>
      <c r="C182" s="3" t="str">
        <f>IFERROR(__xludf.DUMMYFUNCTION("""COMPUTED_VALUE"""),"Wilfrid Laurier University")</f>
        <v>Wilfrid Laurier University</v>
      </c>
      <c r="D182" s="2" t="str">
        <f>IFERROR(__xludf.DUMMYFUNCTION("""COMPUTED_VALUE"""),"Ac. Bilaterales (no Erasmus)")</f>
        <v>Ac. Bilaterales (no Erasmus)</v>
      </c>
      <c r="E182" s="2">
        <f>IFERROR(__xludf.DUMMYFUNCTION("""COMPUTED_VALUE"""),2.0)</f>
        <v>2</v>
      </c>
      <c r="F182" s="2" t="str">
        <f>IFERROR(__xludf.DUMMYFUNCTION("""COMPUTED_VALUE"""),"Ambos semestres")</f>
        <v>Ambos semestres</v>
      </c>
      <c r="G182" s="2" t="str">
        <f>IFERROR(__xludf.DUMMYFUNCTION("""COMPUTED_VALUE"""),"Bilbao")</f>
        <v>Bilbao</v>
      </c>
      <c r="H182" s="2" t="str">
        <f>IFERROR(__xludf.DUMMYFUNCTION("""COMPUTED_VALUE"""),"Deusto Business School")</f>
        <v>Deusto Business School</v>
      </c>
      <c r="I182" s="2" t="str">
        <f>IFERROR(__xludf.DUMMYFUNCTION("""COMPUTED_VALUE"""),"Administración y Dirección de Empresas")</f>
        <v>Administración y Dirección de Empresas</v>
      </c>
      <c r="J182" s="2" t="str">
        <f>IFERROR(__xludf.DUMMYFUNCTION("""COMPUTED_VALUE"""),"Grado")</f>
        <v>Grado</v>
      </c>
      <c r="K182" s="2" t="str">
        <f>IFERROR(__xludf.DUMMYFUNCTION("""COMPUTED_VALUE"""),"Inglés")</f>
        <v>Inglés</v>
      </c>
      <c r="L182" s="2" t="str">
        <f>IFERROR(__xludf.DUMMYFUNCTION("""COMPUTED_VALUE"""),"C1")</f>
        <v>C1</v>
      </c>
      <c r="M182" s="2" t="str">
        <f>IFERROR(__xludf.DUMMYFUNCTION("""COMPUTED_VALUE"""),"Sí")</f>
        <v>Sí</v>
      </c>
      <c r="N182" s="3" t="str">
        <f>IFERROR(__xludf.DUMMYFUNCTION("""COMPUTED_VALUE"""),"https://www.wlu.ca/future-students/undergraduate/admissions/requirements/english-proficiency.html")</f>
        <v>https://www.wlu.ca/future-students/undergraduate/admissions/requirements/english-proficiency.html</v>
      </c>
      <c r="O182" s="2" t="str">
        <f>IFERROR(__xludf.DUMMYFUNCTION("""COMPUTED_VALUE"""),"n/a")</f>
        <v>n/a</v>
      </c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30.0" customHeight="1">
      <c r="A183" s="2" t="str">
        <f>IFERROR(__xludf.DUMMYFUNCTION("""COMPUTED_VALUE"""),"Canadá")</f>
        <v>Canadá</v>
      </c>
      <c r="B183" s="2" t="str">
        <f>IFERROR(__xludf.DUMMYFUNCTION("""COMPUTED_VALUE"""),"CDNONTARIO01")</f>
        <v>CDNONTARIO01</v>
      </c>
      <c r="C183" s="3" t="str">
        <f>IFERROR(__xludf.DUMMYFUNCTION("""COMPUTED_VALUE"""),"Wilfrid Laurier University")</f>
        <v>Wilfrid Laurier University</v>
      </c>
      <c r="D183" s="2" t="str">
        <f>IFERROR(__xludf.DUMMYFUNCTION("""COMPUTED_VALUE"""),"Ac. Bilaterales (no Erasmus)")</f>
        <v>Ac. Bilaterales (no Erasmus)</v>
      </c>
      <c r="E183" s="2">
        <f>IFERROR(__xludf.DUMMYFUNCTION("""COMPUTED_VALUE"""),2.0)</f>
        <v>2</v>
      </c>
      <c r="F183" s="2" t="str">
        <f>IFERROR(__xludf.DUMMYFUNCTION("""COMPUTED_VALUE"""),"Semestre")</f>
        <v>Semestre</v>
      </c>
      <c r="G183" s="2" t="str">
        <f>IFERROR(__xludf.DUMMYFUNCTION("""COMPUTED_VALUE"""),"Ambos")</f>
        <v>Ambos</v>
      </c>
      <c r="H183" s="2" t="str">
        <f>IFERROR(__xludf.DUMMYFUNCTION("""COMPUTED_VALUE"""),"Ingeniería")</f>
        <v>Ingeniería</v>
      </c>
      <c r="I183" s="2" t="str">
        <f>IFERROR(__xludf.DUMMYFUNCTION("""COMPUTED_VALUE"""),"Ingeniería Informática, Diseño Industrial, Ciencia de Datos e IA, Ciencia de Datos e IA + Ingeniería Informática, Diseño Industrial + Ingeniería Mecánica, Ingeniería Informática + Videojuegos")</f>
        <v>Ingeniería Informática, Diseño Industrial, Ciencia de Datos e IA, Ciencia de Datos e IA + Ingeniería Informática, Diseño Industrial + Ingeniería Mecánica, Ingeniería Informática + Videojuegos</v>
      </c>
      <c r="J183" s="2" t="str">
        <f>IFERROR(__xludf.DUMMYFUNCTION("""COMPUTED_VALUE"""),"Grado")</f>
        <v>Grado</v>
      </c>
      <c r="K183" s="2" t="str">
        <f>IFERROR(__xludf.DUMMYFUNCTION("""COMPUTED_VALUE"""),"Inglés")</f>
        <v>Inglés</v>
      </c>
      <c r="L183" s="2" t="str">
        <f>IFERROR(__xludf.DUMMYFUNCTION("""COMPUTED_VALUE"""),"C1")</f>
        <v>C1</v>
      </c>
      <c r="M183" s="2" t="str">
        <f>IFERROR(__xludf.DUMMYFUNCTION("""COMPUTED_VALUE"""),"Sí")</f>
        <v>Sí</v>
      </c>
      <c r="N183" s="3" t="str">
        <f>IFERROR(__xludf.DUMMYFUNCTION("""COMPUTED_VALUE"""),"https://www.wlu.ca/future-students/undergraduate/admissions/requirements/english-proficiency.html")</f>
        <v>https://www.wlu.ca/future-students/undergraduate/admissions/requirements/english-proficiency.html</v>
      </c>
      <c r="O183" s="2" t="str">
        <f>IFERROR(__xludf.DUMMYFUNCTION("""COMPUTED_VALUE"""),"n/a")</f>
        <v>n/a</v>
      </c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30.0" customHeight="1">
      <c r="A184" s="2" t="str">
        <f>IFERROR(__xludf.DUMMYFUNCTION("""COMPUTED_VALUE"""),"Canadá")</f>
        <v>Canadá</v>
      </c>
      <c r="B184" s="2" t="str">
        <f>IFERROR(__xludf.DUMMYFUNCTION("""COMPUTED_VALUE"""),"CDNONTARIO01")</f>
        <v>CDNONTARIO01</v>
      </c>
      <c r="C184" s="3" t="str">
        <f>IFERROR(__xludf.DUMMYFUNCTION("""COMPUTED_VALUE"""),"Wilfrid Laurier University")</f>
        <v>Wilfrid Laurier University</v>
      </c>
      <c r="D184" s="2" t="str">
        <f>IFERROR(__xludf.DUMMYFUNCTION("""COMPUTED_VALUE"""),"Ac. Bilaterales (no Erasmus)")</f>
        <v>Ac. Bilaterales (no Erasmus)</v>
      </c>
      <c r="E184" s="2">
        <f>IFERROR(__xludf.DUMMYFUNCTION("""COMPUTED_VALUE"""),2.0)</f>
        <v>2</v>
      </c>
      <c r="F184" s="2" t="str">
        <f>IFERROR(__xludf.DUMMYFUNCTION("""COMPUTED_VALUE"""),"Semestre")</f>
        <v>Semestre</v>
      </c>
      <c r="G184" s="2" t="str">
        <f>IFERROR(__xludf.DUMMYFUNCTION("""COMPUTED_VALUE"""),"Bilbao")</f>
        <v>Bilbao</v>
      </c>
      <c r="H184" s="2" t="str">
        <f>IFERROR(__xludf.DUMMYFUNCTION("""COMPUTED_VALUE"""),"Ciencias Sociales y Humanas")</f>
        <v>Ciencias Sociales y Humanas</v>
      </c>
      <c r="I184" s="2" t="str">
        <f>IFERROR(__xludf.DUMMYFUNCTION("""COMPUTED_VALUE"""),"Lengua y Cultura Vasca + Lenguas Modernas, Lenguas Modernas y Gestión, Euskal Hizkuntza eta Kultura")</f>
        <v>Lengua y Cultura Vasca + Lenguas Modernas, Lenguas Modernas y Gestión, Euskal Hizkuntza eta Kultura</v>
      </c>
      <c r="J184" s="2" t="str">
        <f>IFERROR(__xludf.DUMMYFUNCTION("""COMPUTED_VALUE"""),"Grado")</f>
        <v>Grado</v>
      </c>
      <c r="K184" s="2" t="str">
        <f>IFERROR(__xludf.DUMMYFUNCTION("""COMPUTED_VALUE"""),"Inglés")</f>
        <v>Inglés</v>
      </c>
      <c r="L184" s="2" t="str">
        <f>IFERROR(__xludf.DUMMYFUNCTION("""COMPUTED_VALUE"""),"C1")</f>
        <v>C1</v>
      </c>
      <c r="M184" s="2" t="str">
        <f>IFERROR(__xludf.DUMMYFUNCTION("""COMPUTED_VALUE"""),"Sí")</f>
        <v>Sí</v>
      </c>
      <c r="N184" s="3" t="str">
        <f>IFERROR(__xludf.DUMMYFUNCTION("""COMPUTED_VALUE"""),"https://www.wlu.ca/future-students/undergraduate/admissions/requirements/english-proficiency.html")</f>
        <v>https://www.wlu.ca/future-students/undergraduate/admissions/requirements/english-proficiency.html</v>
      </c>
      <c r="O184" s="2" t="str">
        <f>IFERROR(__xludf.DUMMYFUNCTION("""COMPUTED_VALUE"""),"n/a")</f>
        <v>n/a</v>
      </c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30.0" customHeight="1">
      <c r="A185" s="2" t="str">
        <f>IFERROR(__xludf.DUMMYFUNCTION("""COMPUTED_VALUE"""),"Canadá")</f>
        <v>Canadá</v>
      </c>
      <c r="B185" s="2" t="str">
        <f>IFERROR(__xludf.DUMMYFUNCTION("""COMPUTED_VALUE"""),"CDNONTARIO01")</f>
        <v>CDNONTARIO01</v>
      </c>
      <c r="C185" s="3" t="str">
        <f>IFERROR(__xludf.DUMMYFUNCTION("""COMPUTED_VALUE"""),"Wilfrid Laurier University")</f>
        <v>Wilfrid Laurier University</v>
      </c>
      <c r="D185" s="2" t="str">
        <f>IFERROR(__xludf.DUMMYFUNCTION("""COMPUTED_VALUE"""),"Ac. Bilaterales (no Erasmus)")</f>
        <v>Ac. Bilaterales (no Erasmus)</v>
      </c>
      <c r="E185" s="2">
        <f>IFERROR(__xludf.DUMMYFUNCTION("""COMPUTED_VALUE"""),2.0)</f>
        <v>2</v>
      </c>
      <c r="F185" s="2" t="str">
        <f>IFERROR(__xludf.DUMMYFUNCTION("""COMPUTED_VALUE"""),"Semestre")</f>
        <v>Semestre</v>
      </c>
      <c r="G185" s="2" t="str">
        <f>IFERROR(__xludf.DUMMYFUNCTION("""COMPUTED_VALUE"""),"Bilbao")</f>
        <v>Bilbao</v>
      </c>
      <c r="H185" s="2" t="str">
        <f>IFERROR(__xludf.DUMMYFUNCTION("""COMPUTED_VALUE"""),"Ciencias Sociales y Humanas")</f>
        <v>Ciencias Sociales y Humanas</v>
      </c>
      <c r="I185" s="2" t="str">
        <f>IFERROR(__xludf.DUMMYFUNCTION("""COMPUTED_VALUE"""),"Relaciones Internacionales + Derecho")</f>
        <v>Relaciones Internacionales + Derecho</v>
      </c>
      <c r="J185" s="2" t="str">
        <f>IFERROR(__xludf.DUMMYFUNCTION("""COMPUTED_VALUE"""),"Grado")</f>
        <v>Grado</v>
      </c>
      <c r="K185" s="2" t="str">
        <f>IFERROR(__xludf.DUMMYFUNCTION("""COMPUTED_VALUE"""),"Inglés")</f>
        <v>Inglés</v>
      </c>
      <c r="L185" s="2" t="str">
        <f>IFERROR(__xludf.DUMMYFUNCTION("""COMPUTED_VALUE"""),"C1")</f>
        <v>C1</v>
      </c>
      <c r="M185" s="2" t="str">
        <f>IFERROR(__xludf.DUMMYFUNCTION("""COMPUTED_VALUE"""),"Sí")</f>
        <v>Sí</v>
      </c>
      <c r="N185" s="3" t="str">
        <f>IFERROR(__xludf.DUMMYFUNCTION("""COMPUTED_VALUE"""),"https://www.wlu.ca/future-students/undergraduate/admissions/requirements/english-proficiency.html")</f>
        <v>https://www.wlu.ca/future-students/undergraduate/admissions/requirements/english-proficiency.html</v>
      </c>
      <c r="O185" s="2" t="str">
        <f>IFERROR(__xludf.DUMMYFUNCTION("""COMPUTED_VALUE"""),"n/a")</f>
        <v>n/a</v>
      </c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30.0" customHeight="1">
      <c r="A186" s="2" t="str">
        <f>IFERROR(__xludf.DUMMYFUNCTION("""COMPUTED_VALUE"""),"Chile")</f>
        <v>Chile</v>
      </c>
      <c r="B186" s="2" t="str">
        <f>IFERROR(__xludf.DUMMYFUNCTION("""COMPUTED_VALUE"""),"RCHSANTIA03")</f>
        <v>RCHSANTIA03</v>
      </c>
      <c r="C186" s="3" t="str">
        <f>IFERROR(__xludf.DUMMYFUNCTION("""COMPUTED_VALUE"""),"Pontificia Universidad Católica de Chile")</f>
        <v>Pontificia Universidad Católica de Chile</v>
      </c>
      <c r="D186" s="2" t="str">
        <f>IFERROR(__xludf.DUMMYFUNCTION("""COMPUTED_VALUE"""),"Ac. Bilaterales (no Erasmus)")</f>
        <v>Ac. Bilaterales (no Erasmus)</v>
      </c>
      <c r="E186" s="2">
        <f>IFERROR(__xludf.DUMMYFUNCTION("""COMPUTED_VALUE"""),3.0)</f>
        <v>3</v>
      </c>
      <c r="F186" s="2" t="str">
        <f>IFERROR(__xludf.DUMMYFUNCTION("""COMPUTED_VALUE"""),"Semestre")</f>
        <v>Semestre</v>
      </c>
      <c r="G186" s="2" t="str">
        <f>IFERROR(__xludf.DUMMYFUNCTION("""COMPUTED_VALUE"""),"San Sebastián")</f>
        <v>San Sebastián</v>
      </c>
      <c r="H186" s="2" t="str">
        <f>IFERROR(__xludf.DUMMYFUNCTION("""COMPUTED_VALUE"""),"Ciencias de la Salud")</f>
        <v>Ciencias de la Salud</v>
      </c>
      <c r="I186" s="2" t="str">
        <f>IFERROR(__xludf.DUMMYFUNCTION("""COMPUTED_VALUE"""),"Fisioterapia")</f>
        <v>Fisioterapia</v>
      </c>
      <c r="J186" s="2" t="str">
        <f>IFERROR(__xludf.DUMMYFUNCTION("""COMPUTED_VALUE"""),"Grado")</f>
        <v>Grado</v>
      </c>
      <c r="K186" s="2" t="str">
        <f>IFERROR(__xludf.DUMMYFUNCTION("""COMPUTED_VALUE"""),"Español")</f>
        <v>Español</v>
      </c>
      <c r="L186" s="2" t="str">
        <f>IFERROR(__xludf.DUMMYFUNCTION("""COMPUTED_VALUE"""),"n/a")</f>
        <v>n/a</v>
      </c>
      <c r="M186" s="2" t="str">
        <f>IFERROR(__xludf.DUMMYFUNCTION("""COMPUTED_VALUE"""),"No")</f>
        <v>No</v>
      </c>
      <c r="N186" s="3" t="str">
        <f>IFERROR(__xludf.DUMMYFUNCTION("""COMPUTED_VALUE"""),"https://internacionalizacion.uc.cl/")</f>
        <v>https://internacionalizacion.uc.cl/</v>
      </c>
      <c r="O186" s="2" t="str">
        <f>IFERROR(__xludf.DUMMYFUNCTION("""COMPUTED_VALUE"""),"n/a")</f>
        <v>n/a</v>
      </c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30.0" customHeight="1">
      <c r="A187" s="2" t="str">
        <f>IFERROR(__xludf.DUMMYFUNCTION("""COMPUTED_VALUE"""),"Chile")</f>
        <v>Chile</v>
      </c>
      <c r="B187" s="2" t="str">
        <f>IFERROR(__xludf.DUMMYFUNCTION("""COMPUTED_VALUE"""),"RCHSANTIA03")</f>
        <v>RCHSANTIA03</v>
      </c>
      <c r="C187" s="3" t="str">
        <f>IFERROR(__xludf.DUMMYFUNCTION("""COMPUTED_VALUE"""),"Pontificia Universidad Católica de Chile")</f>
        <v>Pontificia Universidad Católica de Chile</v>
      </c>
      <c r="D187" s="2" t="str">
        <f>IFERROR(__xludf.DUMMYFUNCTION("""COMPUTED_VALUE"""),"Ac. Bilaterales (no Erasmus)")</f>
        <v>Ac. Bilaterales (no Erasmus)</v>
      </c>
      <c r="E187" s="2">
        <f>IFERROR(__xludf.DUMMYFUNCTION("""COMPUTED_VALUE"""),4.0)</f>
        <v>4</v>
      </c>
      <c r="F187" s="2" t="str">
        <f>IFERROR(__xludf.DUMMYFUNCTION("""COMPUTED_VALUE"""),"Semestre")</f>
        <v>Semestre</v>
      </c>
      <c r="G187" s="2" t="str">
        <f>IFERROR(__xludf.DUMMYFUNCTION("""COMPUTED_VALUE"""),"San Sebastián")</f>
        <v>San Sebastián</v>
      </c>
      <c r="H187" s="2" t="str">
        <f>IFERROR(__xludf.DUMMYFUNCTION("""COMPUTED_VALUE"""),"Ciencias Sociales y Humanas")</f>
        <v>Ciencias Sociales y Humanas</v>
      </c>
      <c r="I187" s="2" t="str">
        <f>IFERROR(__xludf.DUMMYFUNCTION("""COMPUTED_VALUE"""),"Comunicación")</f>
        <v>Comunicación</v>
      </c>
      <c r="J187" s="2" t="str">
        <f>IFERROR(__xludf.DUMMYFUNCTION("""COMPUTED_VALUE"""),"Grado")</f>
        <v>Grado</v>
      </c>
      <c r="K187" s="2" t="str">
        <f>IFERROR(__xludf.DUMMYFUNCTION("""COMPUTED_VALUE"""),"Español")</f>
        <v>Español</v>
      </c>
      <c r="L187" s="2" t="str">
        <f>IFERROR(__xludf.DUMMYFUNCTION("""COMPUTED_VALUE"""),"n/a")</f>
        <v>n/a</v>
      </c>
      <c r="M187" s="2" t="str">
        <f>IFERROR(__xludf.DUMMYFUNCTION("""COMPUTED_VALUE"""),"No")</f>
        <v>No</v>
      </c>
      <c r="N187" s="3" t="str">
        <f>IFERROR(__xludf.DUMMYFUNCTION("""COMPUTED_VALUE"""),"https://internacionalizacion.uc.cl/")</f>
        <v>https://internacionalizacion.uc.cl/</v>
      </c>
      <c r="O187" s="2" t="str">
        <f>IFERROR(__xludf.DUMMYFUNCTION("""COMPUTED_VALUE"""),"n/a")</f>
        <v>n/a</v>
      </c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30.0" customHeight="1">
      <c r="A188" s="2" t="str">
        <f>IFERROR(__xludf.DUMMYFUNCTION("""COMPUTED_VALUE"""),"Chile")</f>
        <v>Chile</v>
      </c>
      <c r="B188" s="2" t="str">
        <f>IFERROR(__xludf.DUMMYFUNCTION("""COMPUTED_VALUE"""),"RCHSANTIA05")</f>
        <v>RCHSANTIA05</v>
      </c>
      <c r="C188" s="3" t="str">
        <f>IFERROR(__xludf.DUMMYFUNCTION("""COMPUTED_VALUE"""),"Pontificia Universidad Católica de Chile")</f>
        <v>Pontificia Universidad Católica de Chile</v>
      </c>
      <c r="D188" s="2" t="str">
        <f>IFERROR(__xludf.DUMMYFUNCTION("""COMPUTED_VALUE"""),"Ac. Bilaterales (no Erasmus)")</f>
        <v>Ac. Bilaterales (no Erasmus)</v>
      </c>
      <c r="E188" s="2">
        <f>IFERROR(__xludf.DUMMYFUNCTION("""COMPUTED_VALUE"""),2.0)</f>
        <v>2</v>
      </c>
      <c r="F188" s="2" t="str">
        <f>IFERROR(__xludf.DUMMYFUNCTION("""COMPUTED_VALUE"""),"Semestre")</f>
        <v>Semestre</v>
      </c>
      <c r="G188" s="2" t="str">
        <f>IFERROR(__xludf.DUMMYFUNCTION("""COMPUTED_VALUE"""),"Ambos")</f>
        <v>Ambos</v>
      </c>
      <c r="H188" s="2" t="str">
        <f>IFERROR(__xludf.DUMMYFUNCTION("""COMPUTED_VALUE"""),"Ingeniería")</f>
        <v>Ingeniería</v>
      </c>
      <c r="I188" s="2" t="str">
        <f>IFERROR(__xludf.DUMMYFUNCTION("""COMPUTED_VALUE"""),"Ingeniería Informática, Diseño Industrial, Ingeniería Mecánica, Electrónica y Automática, Ciencia de Datos e IA + Ingeniería Informática, Diseño Industrial + Ingeniería Mecánica, Ingeniería Informática + Videojuegos")</f>
        <v>Ingeniería Informática, Diseño Industrial, Ingeniería Mecánica, Electrónica y Automática, Ciencia de Datos e IA + Ingeniería Informática, Diseño Industrial + Ingeniería Mecánica, Ingeniería Informática + Videojuegos</v>
      </c>
      <c r="J188" s="2" t="str">
        <f>IFERROR(__xludf.DUMMYFUNCTION("""COMPUTED_VALUE"""),"Grado")</f>
        <v>Grado</v>
      </c>
      <c r="K188" s="2" t="str">
        <f>IFERROR(__xludf.DUMMYFUNCTION("""COMPUTED_VALUE"""),"Español")</f>
        <v>Español</v>
      </c>
      <c r="L188" s="2" t="str">
        <f>IFERROR(__xludf.DUMMYFUNCTION("""COMPUTED_VALUE"""),"n/a")</f>
        <v>n/a</v>
      </c>
      <c r="M188" s="2" t="str">
        <f>IFERROR(__xludf.DUMMYFUNCTION("""COMPUTED_VALUE"""),"No")</f>
        <v>No</v>
      </c>
      <c r="N188" s="2" t="str">
        <f>IFERROR(__xludf.DUMMYFUNCTION("""COMPUTED_VALUE"""),"n/a")</f>
        <v>n/a</v>
      </c>
      <c r="O188" s="2" t="str">
        <f>IFERROR(__xludf.DUMMYFUNCTION("""COMPUTED_VALUE"""),"n/a")</f>
        <v>n/a</v>
      </c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30.0" customHeight="1">
      <c r="A189" s="2" t="str">
        <f>IFERROR(__xludf.DUMMYFUNCTION("""COMPUTED_VALUE"""),"Chile")</f>
        <v>Chile</v>
      </c>
      <c r="B189" s="2" t="str">
        <f>IFERROR(__xludf.DUMMYFUNCTION("""COMPUTED_VALUE"""),"RCHSANTIA03")</f>
        <v>RCHSANTIA03</v>
      </c>
      <c r="C189" s="3" t="str">
        <f>IFERROR(__xludf.DUMMYFUNCTION("""COMPUTED_VALUE"""),"Pontificia Universidad Católica de Chile")</f>
        <v>Pontificia Universidad Católica de Chile</v>
      </c>
      <c r="D189" s="2" t="str">
        <f>IFERROR(__xludf.DUMMYFUNCTION("""COMPUTED_VALUE"""),"Ac. Bilaterales (no Erasmus)")</f>
        <v>Ac. Bilaterales (no Erasmus)</v>
      </c>
      <c r="E189" s="2">
        <f>IFERROR(__xludf.DUMMYFUNCTION("""COMPUTED_VALUE"""),2.0)</f>
        <v>2</v>
      </c>
      <c r="F189" s="2" t="str">
        <f>IFERROR(__xludf.DUMMYFUNCTION("""COMPUTED_VALUE"""),"Anual ")</f>
        <v>Anual </v>
      </c>
      <c r="G189" s="2" t="str">
        <f>IFERROR(__xludf.DUMMYFUNCTION("""COMPUTED_VALUE"""),"Bilbao")</f>
        <v>Bilbao</v>
      </c>
      <c r="H189" s="2" t="str">
        <f>IFERROR(__xludf.DUMMYFUNCTION("""COMPUTED_VALUE"""),"Ciencias Sociales y Humanas")</f>
        <v>Ciencias Sociales y Humanas</v>
      </c>
      <c r="I189" s="2" t="str">
        <f>IFERROR(__xludf.DUMMYFUNCTION("""COMPUTED_VALUE"""),"Relaciones Internacionales, Relaciones Internacionales + Derecho")</f>
        <v>Relaciones Internacionales, Relaciones Internacionales + Derecho</v>
      </c>
      <c r="J189" s="2" t="str">
        <f>IFERROR(__xludf.DUMMYFUNCTION("""COMPUTED_VALUE"""),"Grado")</f>
        <v>Grado</v>
      </c>
      <c r="K189" s="2" t="str">
        <f>IFERROR(__xludf.DUMMYFUNCTION("""COMPUTED_VALUE"""),"Español")</f>
        <v>Español</v>
      </c>
      <c r="L189" s="2" t="str">
        <f>IFERROR(__xludf.DUMMYFUNCTION("""COMPUTED_VALUE"""),"n/a")</f>
        <v>n/a</v>
      </c>
      <c r="M189" s="2" t="str">
        <f>IFERROR(__xludf.DUMMYFUNCTION("""COMPUTED_VALUE"""),"No")</f>
        <v>No</v>
      </c>
      <c r="N189" s="2" t="str">
        <f>IFERROR(__xludf.DUMMYFUNCTION("""COMPUTED_VALUE"""),"n/a")</f>
        <v>n/a</v>
      </c>
      <c r="O189" s="2" t="str">
        <f>IFERROR(__xludf.DUMMYFUNCTION("""COMPUTED_VALUE"""),"n/a")</f>
        <v>n/a</v>
      </c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30.0" customHeight="1">
      <c r="A190" s="2" t="str">
        <f>IFERROR(__xludf.DUMMYFUNCTION("""COMPUTED_VALUE"""),"Chile")</f>
        <v>Chile</v>
      </c>
      <c r="B190" s="2" t="str">
        <f>IFERROR(__xludf.DUMMYFUNCTION("""COMPUTED_VALUE"""),"RCHVALPAR01")</f>
        <v>RCHVALPAR01</v>
      </c>
      <c r="C190" s="3" t="str">
        <f>IFERROR(__xludf.DUMMYFUNCTION("""COMPUTED_VALUE"""),"Pontificia Universidad Católica de Valparaiso")</f>
        <v>Pontificia Universidad Católica de Valparaiso</v>
      </c>
      <c r="D190" s="2" t="str">
        <f>IFERROR(__xludf.DUMMYFUNCTION("""COMPUTED_VALUE"""),"Ac. Bilaterales (no Erasmus)")</f>
        <v>Ac. Bilaterales (no Erasmus)</v>
      </c>
      <c r="E190" s="2">
        <f>IFERROR(__xludf.DUMMYFUNCTION("""COMPUTED_VALUE"""),1.0)</f>
        <v>1</v>
      </c>
      <c r="F190" s="2" t="str">
        <f>IFERROR(__xludf.DUMMYFUNCTION("""COMPUTED_VALUE"""),"Semestre")</f>
        <v>Semestre</v>
      </c>
      <c r="G190" s="2" t="str">
        <f>IFERROR(__xludf.DUMMYFUNCTION("""COMPUTED_VALUE"""),"San Sebastián")</f>
        <v>San Sebastián</v>
      </c>
      <c r="H190" s="2" t="str">
        <f>IFERROR(__xludf.DUMMYFUNCTION("""COMPUTED_VALUE"""),"Ciencias Sociales y Humanas")</f>
        <v>Ciencias Sociales y Humanas</v>
      </c>
      <c r="I190" s="2" t="str">
        <f>IFERROR(__xludf.DUMMYFUNCTION("""COMPUTED_VALUE"""),"Comunicación")</f>
        <v>Comunicación</v>
      </c>
      <c r="J190" s="2" t="str">
        <f>IFERROR(__xludf.DUMMYFUNCTION("""COMPUTED_VALUE"""),"Grado")</f>
        <v>Grado</v>
      </c>
      <c r="K190" s="2" t="str">
        <f>IFERROR(__xludf.DUMMYFUNCTION("""COMPUTED_VALUE"""),"Español")</f>
        <v>Español</v>
      </c>
      <c r="L190" s="2" t="str">
        <f>IFERROR(__xludf.DUMMYFUNCTION("""COMPUTED_VALUE"""),"n/a")</f>
        <v>n/a</v>
      </c>
      <c r="M190" s="2" t="str">
        <f>IFERROR(__xludf.DUMMYFUNCTION("""COMPUTED_VALUE"""),"No")</f>
        <v>No</v>
      </c>
      <c r="N190" s="3" t="str">
        <f>IFERROR(__xludf.DUMMYFUNCTION("""COMPUTED_VALUE"""),"https://dgai.pucv.cl/estudiar-en-la-pucv-pregrado/")</f>
        <v>https://dgai.pucv.cl/estudiar-en-la-pucv-pregrado/</v>
      </c>
      <c r="O190" s="2" t="str">
        <f>IFERROR(__xludf.DUMMYFUNCTION("""COMPUTED_VALUE"""),"n/a")</f>
        <v>n/a</v>
      </c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30.0" customHeight="1">
      <c r="A191" s="2" t="str">
        <f>IFERROR(__xludf.DUMMYFUNCTION("""COMPUTED_VALUE"""),"Chile")</f>
        <v>Chile</v>
      </c>
      <c r="B191" s="2" t="str">
        <f>IFERROR(__xludf.DUMMYFUNCTION("""COMPUTED_VALUE"""),"RCHVALPAR01")</f>
        <v>RCHVALPAR01</v>
      </c>
      <c r="C191" s="3" t="str">
        <f>IFERROR(__xludf.DUMMYFUNCTION("""COMPUTED_VALUE"""),"Pontificia Universidad Católica de Valparaiso")</f>
        <v>Pontificia Universidad Católica de Valparaiso</v>
      </c>
      <c r="D191" s="2" t="str">
        <f>IFERROR(__xludf.DUMMYFUNCTION("""COMPUTED_VALUE"""),"Ac. Bilaterales (no Erasmus)")</f>
        <v>Ac. Bilaterales (no Erasmus)</v>
      </c>
      <c r="E191" s="2">
        <f>IFERROR(__xludf.DUMMYFUNCTION("""COMPUTED_VALUE"""),1.0)</f>
        <v>1</v>
      </c>
      <c r="F191" s="2" t="str">
        <f>IFERROR(__xludf.DUMMYFUNCTION("""COMPUTED_VALUE"""),"Semestre")</f>
        <v>Semestre</v>
      </c>
      <c r="G191" s="2" t="str">
        <f>IFERROR(__xludf.DUMMYFUNCTION("""COMPUTED_VALUE"""),"Ambos")</f>
        <v>Ambos</v>
      </c>
      <c r="H191" s="2" t="str">
        <f>IFERROR(__xludf.DUMMYFUNCTION("""COMPUTED_VALUE"""),"Ingeniería")</f>
        <v>Ingeniería</v>
      </c>
      <c r="I191" s="2" t="str">
        <f>IFERROR(__xludf.DUMMYFUNCTION("""COMPUTED_VALUE"""),"Ingeniería Informática, Diseño Industrial, Ingeniería Mecánica, Ciencia de Datos e IA + Ingeniería Informática, Diseño Industrial + Ingeniería Mecánica, Ingeniería Informática + Videojuegos")</f>
        <v>Ingeniería Informática, Diseño Industrial, Ingeniería Mecánica, Ciencia de Datos e IA + Ingeniería Informática, Diseño Industrial + Ingeniería Mecánica, Ingeniería Informática + Videojuegos</v>
      </c>
      <c r="J191" s="2" t="str">
        <f>IFERROR(__xludf.DUMMYFUNCTION("""COMPUTED_VALUE"""),"Grado")</f>
        <v>Grado</v>
      </c>
      <c r="K191" s="2" t="str">
        <f>IFERROR(__xludf.DUMMYFUNCTION("""COMPUTED_VALUE"""),"Español")</f>
        <v>Español</v>
      </c>
      <c r="L191" s="2" t="str">
        <f>IFERROR(__xludf.DUMMYFUNCTION("""COMPUTED_VALUE"""),"n/a")</f>
        <v>n/a</v>
      </c>
      <c r="M191" s="2" t="str">
        <f>IFERROR(__xludf.DUMMYFUNCTION("""COMPUTED_VALUE"""),"No")</f>
        <v>No</v>
      </c>
      <c r="N191" s="3" t="str">
        <f>IFERROR(__xludf.DUMMYFUNCTION("""COMPUTED_VALUE"""),"https://dgai.pucv.cl/estudiar-en-la-pucv-pregrado/")</f>
        <v>https://dgai.pucv.cl/estudiar-en-la-pucv-pregrado/</v>
      </c>
      <c r="O191" s="2" t="str">
        <f>IFERROR(__xludf.DUMMYFUNCTION("""COMPUTED_VALUE"""),"n/a")</f>
        <v>n/a</v>
      </c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30.0" customHeight="1">
      <c r="A192" s="2" t="str">
        <f>IFERROR(__xludf.DUMMYFUNCTION("""COMPUTED_VALUE"""),"Chile")</f>
        <v>Chile</v>
      </c>
      <c r="B192" s="2" t="str">
        <f>IFERROR(__xludf.DUMMYFUNCTION("""COMPUTED_VALUE"""),"RCHVALPAR01")</f>
        <v>RCHVALPAR01</v>
      </c>
      <c r="C192" s="3" t="str">
        <f>IFERROR(__xludf.DUMMYFUNCTION("""COMPUTED_VALUE"""),"Pontificia Universidad Católica de Valparaiso")</f>
        <v>Pontificia Universidad Católica de Valparaiso</v>
      </c>
      <c r="D192" s="2" t="str">
        <f>IFERROR(__xludf.DUMMYFUNCTION("""COMPUTED_VALUE"""),"Ac. Bilaterales (no Erasmus)")</f>
        <v>Ac. Bilaterales (no Erasmus)</v>
      </c>
      <c r="E192" s="2">
        <f>IFERROR(__xludf.DUMMYFUNCTION("""COMPUTED_VALUE"""),1.0)</f>
        <v>1</v>
      </c>
      <c r="F192" s="2" t="str">
        <f>IFERROR(__xludf.DUMMYFUNCTION("""COMPUTED_VALUE"""),"Anual")</f>
        <v>Anual</v>
      </c>
      <c r="G192" s="2" t="str">
        <f>IFERROR(__xludf.DUMMYFUNCTION("""COMPUTED_VALUE"""),"Bilbao")</f>
        <v>Bilbao</v>
      </c>
      <c r="H192" s="2" t="str">
        <f>IFERROR(__xludf.DUMMYFUNCTION("""COMPUTED_VALUE"""),"Ciencias de la Salud")</f>
        <v>Ciencias de la Salud</v>
      </c>
      <c r="I192" s="2" t="str">
        <f>IFERROR(__xludf.DUMMYFUNCTION("""COMPUTED_VALUE"""),"Psicología")</f>
        <v>Psicología</v>
      </c>
      <c r="J192" s="2" t="str">
        <f>IFERROR(__xludf.DUMMYFUNCTION("""COMPUTED_VALUE"""),"Grado")</f>
        <v>Grado</v>
      </c>
      <c r="K192" s="2" t="str">
        <f>IFERROR(__xludf.DUMMYFUNCTION("""COMPUTED_VALUE"""),"Español")</f>
        <v>Español</v>
      </c>
      <c r="L192" s="2" t="str">
        <f>IFERROR(__xludf.DUMMYFUNCTION("""COMPUTED_VALUE"""),"n/a")</f>
        <v>n/a</v>
      </c>
      <c r="M192" s="2" t="str">
        <f>IFERROR(__xludf.DUMMYFUNCTION("""COMPUTED_VALUE"""),"No")</f>
        <v>No</v>
      </c>
      <c r="N192" s="3" t="str">
        <f>IFERROR(__xludf.DUMMYFUNCTION("""COMPUTED_VALUE"""),"https://dgai.pucv.cl/estudiar-en-la-pucv-pregrado/")</f>
        <v>https://dgai.pucv.cl/estudiar-en-la-pucv-pregrado/</v>
      </c>
      <c r="O192" s="2" t="str">
        <f>IFERROR(__xludf.DUMMYFUNCTION("""COMPUTED_VALUE"""),"n/a")</f>
        <v>n/a</v>
      </c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30.0" customHeight="1">
      <c r="A193" s="2" t="str">
        <f>IFERROR(__xludf.DUMMYFUNCTION("""COMPUTED_VALUE"""),"Chile")</f>
        <v>Chile</v>
      </c>
      <c r="B193" s="2" t="str">
        <f>IFERROR(__xludf.DUMMYFUNCTION("""COMPUTED_VALUE"""),"RCHVALPAR01")</f>
        <v>RCHVALPAR01</v>
      </c>
      <c r="C193" s="3" t="str">
        <f>IFERROR(__xludf.DUMMYFUNCTION("""COMPUTED_VALUE"""),"Pontificia Universidad Católica de Valparaiso")</f>
        <v>Pontificia Universidad Católica de Valparaiso</v>
      </c>
      <c r="D193" s="2" t="str">
        <f>IFERROR(__xludf.DUMMYFUNCTION("""COMPUTED_VALUE"""),"Ac. Bilaterales (no Erasmus)")</f>
        <v>Ac. Bilaterales (no Erasmus)</v>
      </c>
      <c r="E193" s="2">
        <f>IFERROR(__xludf.DUMMYFUNCTION("""COMPUTED_VALUE"""),1.0)</f>
        <v>1</v>
      </c>
      <c r="F193" s="2" t="str">
        <f>IFERROR(__xludf.DUMMYFUNCTION("""COMPUTED_VALUE"""),"Semestre")</f>
        <v>Semestre</v>
      </c>
      <c r="G193" s="2" t="str">
        <f>IFERROR(__xludf.DUMMYFUNCTION("""COMPUTED_VALUE"""),"Ambos")</f>
        <v>Ambos</v>
      </c>
      <c r="H193" s="2" t="str">
        <f>IFERROR(__xludf.DUMMYFUNCTION("""COMPUTED_VALUE"""),"Ciencias Sociales y Humanas")</f>
        <v>Ciencias Sociales y Humanas</v>
      </c>
      <c r="I193" s="2" t="str">
        <f>IFERROR(__xludf.DUMMYFUNCTION("""COMPUTED_VALUE"""),"Trabajo Social")</f>
        <v>Trabajo Social</v>
      </c>
      <c r="J193" s="2" t="str">
        <f>IFERROR(__xludf.DUMMYFUNCTION("""COMPUTED_VALUE"""),"Grado")</f>
        <v>Grado</v>
      </c>
      <c r="K193" s="2" t="str">
        <f>IFERROR(__xludf.DUMMYFUNCTION("""COMPUTED_VALUE"""),"Español")</f>
        <v>Español</v>
      </c>
      <c r="L193" s="2" t="str">
        <f>IFERROR(__xludf.DUMMYFUNCTION("""COMPUTED_VALUE"""),"n/a")</f>
        <v>n/a</v>
      </c>
      <c r="M193" s="2" t="str">
        <f>IFERROR(__xludf.DUMMYFUNCTION("""COMPUTED_VALUE"""),"No")</f>
        <v>No</v>
      </c>
      <c r="N193" s="3" t="str">
        <f>IFERROR(__xludf.DUMMYFUNCTION("""COMPUTED_VALUE"""),"https://dgai.pucv.cl/estudiar-en-la-pucv-pregrado/")</f>
        <v>https://dgai.pucv.cl/estudiar-en-la-pucv-pregrado/</v>
      </c>
      <c r="O193" s="2" t="str">
        <f>IFERROR(__xludf.DUMMYFUNCTION("""COMPUTED_VALUE"""),"n/a")</f>
        <v>n/a</v>
      </c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30.0" customHeight="1">
      <c r="A194" s="2" t="str">
        <f>IFERROR(__xludf.DUMMYFUNCTION("""COMPUTED_VALUE"""),"Chile")</f>
        <v>Chile</v>
      </c>
      <c r="B194" s="2" t="str">
        <f>IFERROR(__xludf.DUMMYFUNCTION("""COMPUTED_VALUE"""),"RCHVIÑAMA01")</f>
        <v>RCHVIÑAMA01</v>
      </c>
      <c r="C194" s="3" t="str">
        <f>IFERROR(__xludf.DUMMYFUNCTION("""COMPUTED_VALUE"""),"Universidad Adolfo Ibáñez")</f>
        <v>Universidad Adolfo Ibáñez</v>
      </c>
      <c r="D194" s="2" t="str">
        <f>IFERROR(__xludf.DUMMYFUNCTION("""COMPUTED_VALUE"""),"Ac. Bilaterales (no Erasmus)")</f>
        <v>Ac. Bilaterales (no Erasmus)</v>
      </c>
      <c r="E194" s="2">
        <f>IFERROR(__xludf.DUMMYFUNCTION("""COMPUTED_VALUE"""),6.0)</f>
        <v>6</v>
      </c>
      <c r="F194" s="2" t="str">
        <f>IFERROR(__xludf.DUMMYFUNCTION("""COMPUTED_VALUE"""),"Semestre")</f>
        <v>Semestre</v>
      </c>
      <c r="G194" s="2" t="str">
        <f>IFERROR(__xludf.DUMMYFUNCTION("""COMPUTED_VALUE"""),"San Sebastián")</f>
        <v>San Sebastián</v>
      </c>
      <c r="H194" s="2" t="str">
        <f>IFERROR(__xludf.DUMMYFUNCTION("""COMPUTED_VALUE"""),"Deusto Business School")</f>
        <v>Deusto Business School</v>
      </c>
      <c r="I194" s="2" t="str">
        <f>IFERROR(__xludf.DUMMYFUNCTION("""COMPUTED_VALUE"""),"Administración y Dirección de Empresas")</f>
        <v>Administración y Dirección de Empresas</v>
      </c>
      <c r="J194" s="2" t="str">
        <f>IFERROR(__xludf.DUMMYFUNCTION("""COMPUTED_VALUE"""),"Grado")</f>
        <v>Grado</v>
      </c>
      <c r="K194" s="2" t="str">
        <f>IFERROR(__xludf.DUMMYFUNCTION("""COMPUTED_VALUE"""),"Español")</f>
        <v>Español</v>
      </c>
      <c r="L194" s="2" t="str">
        <f>IFERROR(__xludf.DUMMYFUNCTION("""COMPUTED_VALUE"""),"n/a")</f>
        <v>n/a</v>
      </c>
      <c r="M194" s="2" t="str">
        <f>IFERROR(__xludf.DUMMYFUNCTION("""COMPUTED_VALUE"""),"No")</f>
        <v>No</v>
      </c>
      <c r="N194" s="3" t="str">
        <f>IFERROR(__xludf.DUMMYFUNCTION("""COMPUTED_VALUE"""),"https://negocios.uai.cl/")</f>
        <v>https://negocios.uai.cl/</v>
      </c>
      <c r="O194" s="2" t="str">
        <f>IFERROR(__xludf.DUMMYFUNCTION("""COMPUTED_VALUE"""),"n/a")</f>
        <v>n/a</v>
      </c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30.0" customHeight="1">
      <c r="A195" s="2" t="str">
        <f>IFERROR(__xludf.DUMMYFUNCTION("""COMPUTED_VALUE"""),"Chile")</f>
        <v>Chile</v>
      </c>
      <c r="B195" s="2" t="str">
        <f>IFERROR(__xludf.DUMMYFUNCTION("""COMPUTED_VALUE"""),"RCHVIÑAMA01")</f>
        <v>RCHVIÑAMA01</v>
      </c>
      <c r="C195" s="3" t="str">
        <f>IFERROR(__xludf.DUMMYFUNCTION("""COMPUTED_VALUE"""),"Universidad Adolfo Ibáñez")</f>
        <v>Universidad Adolfo Ibáñez</v>
      </c>
      <c r="D195" s="2" t="str">
        <f>IFERROR(__xludf.DUMMYFUNCTION("""COMPUTED_VALUE"""),"Ac. Bilaterales (no Erasmus)")</f>
        <v>Ac. Bilaterales (no Erasmus)</v>
      </c>
      <c r="E195" s="2">
        <f>IFERROR(__xludf.DUMMYFUNCTION("""COMPUTED_VALUE"""),2.0)</f>
        <v>2</v>
      </c>
      <c r="F195" s="2" t="str">
        <f>IFERROR(__xludf.DUMMYFUNCTION("""COMPUTED_VALUE"""),"Semestre")</f>
        <v>Semestre</v>
      </c>
      <c r="G195" s="2" t="str">
        <f>IFERROR(__xludf.DUMMYFUNCTION("""COMPUTED_VALUE"""),"Ambos")</f>
        <v>Ambos</v>
      </c>
      <c r="H195" s="2" t="str">
        <f>IFERROR(__xludf.DUMMYFUNCTION("""COMPUTED_VALUE"""),"Derecho")</f>
        <v>Derecho</v>
      </c>
      <c r="I195" s="2" t="str">
        <f>IFERROR(__xludf.DUMMYFUNCTION("""COMPUTED_VALUE"""),"Derecho, Derecho + Relaciones Laborales")</f>
        <v>Derecho, Derecho + Relaciones Laborales</v>
      </c>
      <c r="J195" s="2" t="str">
        <f>IFERROR(__xludf.DUMMYFUNCTION("""COMPUTED_VALUE"""),"Grado")</f>
        <v>Grado</v>
      </c>
      <c r="K195" s="2" t="str">
        <f>IFERROR(__xludf.DUMMYFUNCTION("""COMPUTED_VALUE"""),"Español")</f>
        <v>Español</v>
      </c>
      <c r="L195" s="2" t="str">
        <f>IFERROR(__xludf.DUMMYFUNCTION("""COMPUTED_VALUE"""),"n/a")</f>
        <v>n/a</v>
      </c>
      <c r="M195" s="2" t="str">
        <f>IFERROR(__xludf.DUMMYFUNCTION("""COMPUTED_VALUE"""),"No")</f>
        <v>No</v>
      </c>
      <c r="N195" s="3" t="str">
        <f>IFERROR(__xludf.DUMMYFUNCTION("""COMPUTED_VALUE"""),"https://negocios.uai.cl/")</f>
        <v>https://negocios.uai.cl/</v>
      </c>
      <c r="O195" s="2" t="str">
        <f>IFERROR(__xludf.DUMMYFUNCTION("""COMPUTED_VALUE"""),"n/a")</f>
        <v>n/a</v>
      </c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30.0" customHeight="1">
      <c r="A196" s="2" t="str">
        <f>IFERROR(__xludf.DUMMYFUNCTION("""COMPUTED_VALUE"""),"Chile")</f>
        <v>Chile</v>
      </c>
      <c r="B196" s="2" t="str">
        <f>IFERROR(__xludf.DUMMYFUNCTION("""COMPUTED_VALUE"""),"RCHSANTIA01")</f>
        <v>RCHSANTIA01</v>
      </c>
      <c r="C196" s="3" t="str">
        <f>IFERROR(__xludf.DUMMYFUNCTION("""COMPUTED_VALUE"""),"Universidad Alberto Hurtado")</f>
        <v>Universidad Alberto Hurtado</v>
      </c>
      <c r="D196" s="2" t="str">
        <f>IFERROR(__xludf.DUMMYFUNCTION("""COMPUTED_VALUE"""),"Ac. Bilaterales (no Erasmus)")</f>
        <v>Ac. Bilaterales (no Erasmus)</v>
      </c>
      <c r="E196" s="2">
        <f>IFERROR(__xludf.DUMMYFUNCTION("""COMPUTED_VALUE"""),4.0)</f>
        <v>4</v>
      </c>
      <c r="F196" s="2" t="str">
        <f>IFERROR(__xludf.DUMMYFUNCTION("""COMPUTED_VALUE"""),"Semestre")</f>
        <v>Semestre</v>
      </c>
      <c r="G196" s="2" t="str">
        <f>IFERROR(__xludf.DUMMYFUNCTION("""COMPUTED_VALUE"""),"Bilbao")</f>
        <v>Bilbao</v>
      </c>
      <c r="H196" s="2" t="str">
        <f>IFERROR(__xludf.DUMMYFUNCTION("""COMPUTED_VALUE"""),"Educación y Deporte")</f>
        <v>Educación y Deporte</v>
      </c>
      <c r="I196" s="2" t="str">
        <f>IFERROR(__xludf.DUMMYFUNCTION("""COMPUTED_VALUE"""),"Educación Social")</f>
        <v>Educación Social</v>
      </c>
      <c r="J196" s="2" t="str">
        <f>IFERROR(__xludf.DUMMYFUNCTION("""COMPUTED_VALUE"""),"Grado")</f>
        <v>Grado</v>
      </c>
      <c r="K196" s="2" t="str">
        <f>IFERROR(__xludf.DUMMYFUNCTION("""COMPUTED_VALUE"""),"Español")</f>
        <v>Español</v>
      </c>
      <c r="L196" s="2" t="str">
        <f>IFERROR(__xludf.DUMMYFUNCTION("""COMPUTED_VALUE"""),"n/a")</f>
        <v>n/a</v>
      </c>
      <c r="M196" s="2" t="str">
        <f>IFERROR(__xludf.DUMMYFUNCTION("""COMPUTED_VALUE"""),"No")</f>
        <v>No</v>
      </c>
      <c r="N196" s="2" t="str">
        <f>IFERROR(__xludf.DUMMYFUNCTION("""COMPUTED_VALUE"""),"n/a")</f>
        <v>n/a</v>
      </c>
      <c r="O196" s="2" t="str">
        <f>IFERROR(__xludf.DUMMYFUNCTION("""COMPUTED_VALUE"""),"n/a")</f>
        <v>n/a</v>
      </c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30.0" customHeight="1">
      <c r="A197" s="2" t="str">
        <f>IFERROR(__xludf.DUMMYFUNCTION("""COMPUTED_VALUE"""),"Chile")</f>
        <v>Chile</v>
      </c>
      <c r="B197" s="2" t="str">
        <f>IFERROR(__xludf.DUMMYFUNCTION("""COMPUTED_VALUE"""),"RCHSANTIA01")</f>
        <v>RCHSANTIA01</v>
      </c>
      <c r="C197" s="3" t="str">
        <f>IFERROR(__xludf.DUMMYFUNCTION("""COMPUTED_VALUE"""),"Universidad Alberto Hurtado")</f>
        <v>Universidad Alberto Hurtado</v>
      </c>
      <c r="D197" s="2" t="str">
        <f>IFERROR(__xludf.DUMMYFUNCTION("""COMPUTED_VALUE"""),"Ac. Bilaterales (no Erasmus)")</f>
        <v>Ac. Bilaterales (no Erasmus)</v>
      </c>
      <c r="E197" s="2">
        <f>IFERROR(__xludf.DUMMYFUNCTION("""COMPUTED_VALUE"""),4.0)</f>
        <v>4</v>
      </c>
      <c r="F197" s="2" t="str">
        <f>IFERROR(__xludf.DUMMYFUNCTION("""COMPUTED_VALUE"""),"Semestre")</f>
        <v>Semestre</v>
      </c>
      <c r="G197" s="2" t="str">
        <f>IFERROR(__xludf.DUMMYFUNCTION("""COMPUTED_VALUE"""),"Bilbao")</f>
        <v>Bilbao</v>
      </c>
      <c r="H197" s="2" t="str">
        <f>IFERROR(__xludf.DUMMYFUNCTION("""COMPUTED_VALUE"""),"Ciencias Sociales y Humanas")</f>
        <v>Ciencias Sociales y Humanas</v>
      </c>
      <c r="I197" s="2" t="str">
        <f>IFERROR(__xludf.DUMMYFUNCTION("""COMPUTED_VALUE"""),"Filosofía, Política y Economía")</f>
        <v>Filosofía, Política y Economía</v>
      </c>
      <c r="J197" s="2" t="str">
        <f>IFERROR(__xludf.DUMMYFUNCTION("""COMPUTED_VALUE"""),"Grado")</f>
        <v>Grado</v>
      </c>
      <c r="K197" s="2" t="str">
        <f>IFERROR(__xludf.DUMMYFUNCTION("""COMPUTED_VALUE"""),"Español")</f>
        <v>Español</v>
      </c>
      <c r="L197" s="2" t="str">
        <f>IFERROR(__xludf.DUMMYFUNCTION("""COMPUTED_VALUE"""),"n/a")</f>
        <v>n/a</v>
      </c>
      <c r="M197" s="2" t="str">
        <f>IFERROR(__xludf.DUMMYFUNCTION("""COMPUTED_VALUE"""),"No")</f>
        <v>No</v>
      </c>
      <c r="N197" s="2" t="str">
        <f>IFERROR(__xludf.DUMMYFUNCTION("""COMPUTED_VALUE"""),"n/a")</f>
        <v>n/a</v>
      </c>
      <c r="O197" s="2" t="str">
        <f>IFERROR(__xludf.DUMMYFUNCTION("""COMPUTED_VALUE"""),"n/a")</f>
        <v>n/a</v>
      </c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30.0" customHeight="1">
      <c r="A198" s="2" t="str">
        <f>IFERROR(__xludf.DUMMYFUNCTION("""COMPUTED_VALUE"""),"Chile")</f>
        <v>Chile</v>
      </c>
      <c r="B198" s="2" t="str">
        <f>IFERROR(__xludf.DUMMYFUNCTION("""COMPUTED_VALUE"""),"RCHSANTIA01")</f>
        <v>RCHSANTIA01</v>
      </c>
      <c r="C198" s="3" t="str">
        <f>IFERROR(__xludf.DUMMYFUNCTION("""COMPUTED_VALUE"""),"Universidad Alberto Hurtado")</f>
        <v>Universidad Alberto Hurtado</v>
      </c>
      <c r="D198" s="2" t="str">
        <f>IFERROR(__xludf.DUMMYFUNCTION("""COMPUTED_VALUE"""),"Ac. Bilaterales (no Erasmus)")</f>
        <v>Ac. Bilaterales (no Erasmus)</v>
      </c>
      <c r="E198" s="2">
        <f>IFERROR(__xludf.DUMMYFUNCTION("""COMPUTED_VALUE"""),2.0)</f>
        <v>2</v>
      </c>
      <c r="F198" s="2" t="str">
        <f>IFERROR(__xludf.DUMMYFUNCTION("""COMPUTED_VALUE"""),"Anual")</f>
        <v>Anual</v>
      </c>
      <c r="G198" s="2" t="str">
        <f>IFERROR(__xludf.DUMMYFUNCTION("""COMPUTED_VALUE"""),"Bilbao")</f>
        <v>Bilbao</v>
      </c>
      <c r="H198" s="2" t="str">
        <f>IFERROR(__xludf.DUMMYFUNCTION("""COMPUTED_VALUE"""),"Ciencias de la Salud")</f>
        <v>Ciencias de la Salud</v>
      </c>
      <c r="I198" s="2" t="str">
        <f>IFERROR(__xludf.DUMMYFUNCTION("""COMPUTED_VALUE"""),"Psicología")</f>
        <v>Psicología</v>
      </c>
      <c r="J198" s="2" t="str">
        <f>IFERROR(__xludf.DUMMYFUNCTION("""COMPUTED_VALUE"""),"Grado")</f>
        <v>Grado</v>
      </c>
      <c r="K198" s="2" t="str">
        <f>IFERROR(__xludf.DUMMYFUNCTION("""COMPUTED_VALUE"""),"Español")</f>
        <v>Español</v>
      </c>
      <c r="L198" s="2" t="str">
        <f>IFERROR(__xludf.DUMMYFUNCTION("""COMPUTED_VALUE"""),"n/a")</f>
        <v>n/a</v>
      </c>
      <c r="M198" s="2" t="str">
        <f>IFERROR(__xludf.DUMMYFUNCTION("""COMPUTED_VALUE"""),"No")</f>
        <v>No</v>
      </c>
      <c r="N198" s="2" t="str">
        <f>IFERROR(__xludf.DUMMYFUNCTION("""COMPUTED_VALUE"""),"n/a")</f>
        <v>n/a</v>
      </c>
      <c r="O198" s="2" t="str">
        <f>IFERROR(__xludf.DUMMYFUNCTION("""COMPUTED_VALUE"""),"n/a")</f>
        <v>n/a</v>
      </c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30.0" customHeight="1">
      <c r="A199" s="2" t="str">
        <f>IFERROR(__xludf.DUMMYFUNCTION("""COMPUTED_VALUE"""),"Chile")</f>
        <v>Chile</v>
      </c>
      <c r="B199" s="2" t="str">
        <f>IFERROR(__xludf.DUMMYFUNCTION("""COMPUTED_VALUE"""),"RCHSANTIA01")</f>
        <v>RCHSANTIA01</v>
      </c>
      <c r="C199" s="3" t="str">
        <f>IFERROR(__xludf.DUMMYFUNCTION("""COMPUTED_VALUE"""),"Universidad Alberto Hurtado")</f>
        <v>Universidad Alberto Hurtado</v>
      </c>
      <c r="D199" s="2" t="str">
        <f>IFERROR(__xludf.DUMMYFUNCTION("""COMPUTED_VALUE"""),"Ac. Bilaterales (no Erasmus)")</f>
        <v>Ac. Bilaterales (no Erasmus)</v>
      </c>
      <c r="E199" s="2">
        <f>IFERROR(__xludf.DUMMYFUNCTION("""COMPUTED_VALUE"""),5.0)</f>
        <v>5</v>
      </c>
      <c r="F199" s="2" t="str">
        <f>IFERROR(__xludf.DUMMYFUNCTION("""COMPUTED_VALUE"""),"Anual")</f>
        <v>Anual</v>
      </c>
      <c r="G199" s="2" t="str">
        <f>IFERROR(__xludf.DUMMYFUNCTION("""COMPUTED_VALUE"""),"Bilbao")</f>
        <v>Bilbao</v>
      </c>
      <c r="H199" s="2" t="str">
        <f>IFERROR(__xludf.DUMMYFUNCTION("""COMPUTED_VALUE"""),"Ciencias Sociales y Humanas")</f>
        <v>Ciencias Sociales y Humanas</v>
      </c>
      <c r="I199" s="2" t="str">
        <f>IFERROR(__xludf.DUMMYFUNCTION("""COMPUTED_VALUE"""),"Relaciones Internacionales, Relaciones Internacionales + Derecho")</f>
        <v>Relaciones Internacionales, Relaciones Internacionales + Derecho</v>
      </c>
      <c r="J199" s="2" t="str">
        <f>IFERROR(__xludf.DUMMYFUNCTION("""COMPUTED_VALUE"""),"Grado")</f>
        <v>Grado</v>
      </c>
      <c r="K199" s="2" t="str">
        <f>IFERROR(__xludf.DUMMYFUNCTION("""COMPUTED_VALUE"""),"Español")</f>
        <v>Español</v>
      </c>
      <c r="L199" s="2" t="str">
        <f>IFERROR(__xludf.DUMMYFUNCTION("""COMPUTED_VALUE"""),"n/a")</f>
        <v>n/a</v>
      </c>
      <c r="M199" s="2" t="str">
        <f>IFERROR(__xludf.DUMMYFUNCTION("""COMPUTED_VALUE"""),"No")</f>
        <v>No</v>
      </c>
      <c r="N199" s="2" t="str">
        <f>IFERROR(__xludf.DUMMYFUNCTION("""COMPUTED_VALUE"""),"n/a")</f>
        <v>n/a</v>
      </c>
      <c r="O199" s="2" t="str">
        <f>IFERROR(__xludf.DUMMYFUNCTION("""COMPUTED_VALUE"""),"n/a")</f>
        <v>n/a</v>
      </c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30.0" customHeight="1">
      <c r="A200" s="2" t="str">
        <f>IFERROR(__xludf.DUMMYFUNCTION("""COMPUTED_VALUE"""),"Chile")</f>
        <v>Chile</v>
      </c>
      <c r="B200" s="2" t="str">
        <f>IFERROR(__xludf.DUMMYFUNCTION("""COMPUTED_VALUE"""),"RCHSANTIA01")</f>
        <v>RCHSANTIA01</v>
      </c>
      <c r="C200" s="3" t="str">
        <f>IFERROR(__xludf.DUMMYFUNCTION("""COMPUTED_VALUE"""),"Universidad Alberto Hurtado")</f>
        <v>Universidad Alberto Hurtado</v>
      </c>
      <c r="D200" s="2" t="str">
        <f>IFERROR(__xludf.DUMMYFUNCTION("""COMPUTED_VALUE"""),"Ac. Bilaterales (no Erasmus)")</f>
        <v>Ac. Bilaterales (no Erasmus)</v>
      </c>
      <c r="E200" s="2">
        <f>IFERROR(__xludf.DUMMYFUNCTION("""COMPUTED_VALUE"""),5.0)</f>
        <v>5</v>
      </c>
      <c r="F200" s="2" t="str">
        <f>IFERROR(__xludf.DUMMYFUNCTION("""COMPUTED_VALUE"""),"Semestre")</f>
        <v>Semestre</v>
      </c>
      <c r="G200" s="2" t="str">
        <f>IFERROR(__xludf.DUMMYFUNCTION("""COMPUTED_VALUE"""),"Ambos")</f>
        <v>Ambos</v>
      </c>
      <c r="H200" s="2" t="str">
        <f>IFERROR(__xludf.DUMMYFUNCTION("""COMPUTED_VALUE"""),"Ciencias Sociales y Humanas")</f>
        <v>Ciencias Sociales y Humanas</v>
      </c>
      <c r="I200" s="2" t="str">
        <f>IFERROR(__xludf.DUMMYFUNCTION("""COMPUTED_VALUE"""),"Trabajo Social")</f>
        <v>Trabajo Social</v>
      </c>
      <c r="J200" s="2" t="str">
        <f>IFERROR(__xludf.DUMMYFUNCTION("""COMPUTED_VALUE"""),"Grado")</f>
        <v>Grado</v>
      </c>
      <c r="K200" s="2" t="str">
        <f>IFERROR(__xludf.DUMMYFUNCTION("""COMPUTED_VALUE"""),"Español")</f>
        <v>Español</v>
      </c>
      <c r="L200" s="2" t="str">
        <f>IFERROR(__xludf.DUMMYFUNCTION("""COMPUTED_VALUE"""),"n/a")</f>
        <v>n/a</v>
      </c>
      <c r="M200" s="2" t="str">
        <f>IFERROR(__xludf.DUMMYFUNCTION("""COMPUTED_VALUE"""),"No")</f>
        <v>No</v>
      </c>
      <c r="N200" s="3" t="str">
        <f>IFERROR(__xludf.DUMMYFUNCTION("""COMPUTED_VALUE"""),"https://internacional.uahurtado.cl/#_ga=2.72578010.819916250.1729751672-452155559.1729751672")</f>
        <v>https://internacional.uahurtado.cl/#_ga=2.72578010.819916250.1729751672-452155559.1729751672</v>
      </c>
      <c r="O200" s="2" t="str">
        <f>IFERROR(__xludf.DUMMYFUNCTION("""COMPUTED_VALUE"""),"n/a")</f>
        <v>n/a</v>
      </c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30.0" customHeight="1">
      <c r="A201" s="2" t="str">
        <f>IFERROR(__xludf.DUMMYFUNCTION("""COMPUTED_VALUE"""),"Chile")</f>
        <v>Chile</v>
      </c>
      <c r="B201" s="2" t="str">
        <f>IFERROR(__xludf.DUMMYFUNCTION("""COMPUTED_VALUE"""),"RCH SANTIA09")</f>
        <v>RCH SANTIA09</v>
      </c>
      <c r="C201" s="3" t="str">
        <f>IFERROR(__xludf.DUMMYFUNCTION("""COMPUTED_VALUE"""),"Universidad Andrés Bello")</f>
        <v>Universidad Andrés Bello</v>
      </c>
      <c r="D201" s="2" t="str">
        <f>IFERROR(__xludf.DUMMYFUNCTION("""COMPUTED_VALUE"""),"Ac. Bilaterales (no Erasmus)")</f>
        <v>Ac. Bilaterales (no Erasmus)</v>
      </c>
      <c r="E201" s="2">
        <f>IFERROR(__xludf.DUMMYFUNCTION("""COMPUTED_VALUE"""),4.0)</f>
        <v>4</v>
      </c>
      <c r="F201" s="2" t="str">
        <f>IFERROR(__xludf.DUMMYFUNCTION("""COMPUTED_VALUE"""),"Semestre")</f>
        <v>Semestre</v>
      </c>
      <c r="G201" s="2" t="str">
        <f>IFERROR(__xludf.DUMMYFUNCTION("""COMPUTED_VALUE"""),"Bilbao")</f>
        <v>Bilbao</v>
      </c>
      <c r="H201" s="2" t="str">
        <f>IFERROR(__xludf.DUMMYFUNCTION("""COMPUTED_VALUE"""),"Educación y Deporte")</f>
        <v>Educación y Deporte</v>
      </c>
      <c r="I201" s="2" t="str">
        <f>IFERROR(__xludf.DUMMYFUNCTION("""COMPUTED_VALUE"""),"CAFyD")</f>
        <v>CAFyD</v>
      </c>
      <c r="J201" s="2" t="str">
        <f>IFERROR(__xludf.DUMMYFUNCTION("""COMPUTED_VALUE"""),"Grado")</f>
        <v>Grado</v>
      </c>
      <c r="K201" s="2" t="str">
        <f>IFERROR(__xludf.DUMMYFUNCTION("""COMPUTED_VALUE"""),"Español")</f>
        <v>Español</v>
      </c>
      <c r="L201" s="2" t="str">
        <f>IFERROR(__xludf.DUMMYFUNCTION("""COMPUTED_VALUE"""),"n/a")</f>
        <v>n/a</v>
      </c>
      <c r="M201" s="2" t="str">
        <f>IFERROR(__xludf.DUMMYFUNCTION("""COMPUTED_VALUE"""),"No")</f>
        <v>No</v>
      </c>
      <c r="N201" s="2" t="str">
        <f>IFERROR(__xludf.DUMMYFUNCTION("""COMPUTED_VALUE"""),"n/a")</f>
        <v>n/a</v>
      </c>
      <c r="O201" s="2" t="str">
        <f>IFERROR(__xludf.DUMMYFUNCTION("""COMPUTED_VALUE"""),"n/a")</f>
        <v>n/a</v>
      </c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30.0" customHeight="1">
      <c r="A202" s="2" t="str">
        <f>IFERROR(__xludf.DUMMYFUNCTION("""COMPUTED_VALUE"""),"Chile")</f>
        <v>Chile</v>
      </c>
      <c r="B202" s="2" t="str">
        <f>IFERROR(__xludf.DUMMYFUNCTION("""COMPUTED_VALUE"""),"RCH SANTIA09")</f>
        <v>RCH SANTIA09</v>
      </c>
      <c r="C202" s="3" t="str">
        <f>IFERROR(__xludf.DUMMYFUNCTION("""COMPUTED_VALUE"""),"Universidad Andrés Bello")</f>
        <v>Universidad Andrés Bello</v>
      </c>
      <c r="D202" s="2" t="str">
        <f>IFERROR(__xludf.DUMMYFUNCTION("""COMPUTED_VALUE"""),"Ac. Bilaterales (no Erasmus)")</f>
        <v>Ac. Bilaterales (no Erasmus)</v>
      </c>
      <c r="E202" s="2">
        <f>IFERROR(__xludf.DUMMYFUNCTION("""COMPUTED_VALUE"""),4.0)</f>
        <v>4</v>
      </c>
      <c r="F202" s="2" t="str">
        <f>IFERROR(__xludf.DUMMYFUNCTION("""COMPUTED_VALUE"""),"Semestre")</f>
        <v>Semestre</v>
      </c>
      <c r="G202" s="2" t="str">
        <f>IFERROR(__xludf.DUMMYFUNCTION("""COMPUTED_VALUE"""),"Ambos")</f>
        <v>Ambos</v>
      </c>
      <c r="H202" s="2" t="str">
        <f>IFERROR(__xludf.DUMMYFUNCTION("""COMPUTED_VALUE"""),"Educación y Deporte")</f>
        <v>Educación y Deporte</v>
      </c>
      <c r="I202" s="2" t="str">
        <f>IFERROR(__xludf.DUMMYFUNCTION("""COMPUTED_VALUE"""),"Educación Primaria")</f>
        <v>Educación Primaria</v>
      </c>
      <c r="J202" s="2" t="str">
        <f>IFERROR(__xludf.DUMMYFUNCTION("""COMPUTED_VALUE"""),"Grado")</f>
        <v>Grado</v>
      </c>
      <c r="K202" s="2" t="str">
        <f>IFERROR(__xludf.DUMMYFUNCTION("""COMPUTED_VALUE"""),"Español")</f>
        <v>Español</v>
      </c>
      <c r="L202" s="2" t="str">
        <f>IFERROR(__xludf.DUMMYFUNCTION("""COMPUTED_VALUE"""),"n/a")</f>
        <v>n/a</v>
      </c>
      <c r="M202" s="2" t="str">
        <f>IFERROR(__xludf.DUMMYFUNCTION("""COMPUTED_VALUE"""),"No")</f>
        <v>No</v>
      </c>
      <c r="N202" s="3" t="str">
        <f>IFERROR(__xludf.DUMMYFUNCTION("""COMPUTED_VALUE"""),"https://www.unab.cl/unab-virtual/")</f>
        <v>https://www.unab.cl/unab-virtual/</v>
      </c>
      <c r="O202" s="2" t="str">
        <f>IFERROR(__xludf.DUMMYFUNCTION("""COMPUTED_VALUE"""),"n/a")</f>
        <v>n/a</v>
      </c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30.0" customHeight="1">
      <c r="A203" s="2" t="str">
        <f>IFERROR(__xludf.DUMMYFUNCTION("""COMPUTED_VALUE"""),"Chile")</f>
        <v>Chile</v>
      </c>
      <c r="B203" s="2" t="str">
        <f>IFERROR(__xludf.DUMMYFUNCTION("""COMPUTED_VALUE"""),"RCH SANTIA09")</f>
        <v>RCH SANTIA09</v>
      </c>
      <c r="C203" s="3" t="str">
        <f>IFERROR(__xludf.DUMMYFUNCTION("""COMPUTED_VALUE"""),"Universidad Andrés Bello")</f>
        <v>Universidad Andrés Bello</v>
      </c>
      <c r="D203" s="2" t="str">
        <f>IFERROR(__xludf.DUMMYFUNCTION("""COMPUTED_VALUE"""),"Ac. Bilaterales (no Erasmus)")</f>
        <v>Ac. Bilaterales (no Erasmus)</v>
      </c>
      <c r="E203" s="2">
        <f>IFERROR(__xludf.DUMMYFUNCTION("""COMPUTED_VALUE"""),4.0)</f>
        <v>4</v>
      </c>
      <c r="F203" s="2" t="str">
        <f>IFERROR(__xludf.DUMMYFUNCTION("""COMPUTED_VALUE"""),"Semestre")</f>
        <v>Semestre</v>
      </c>
      <c r="G203" s="2" t="str">
        <f>IFERROR(__xludf.DUMMYFUNCTION("""COMPUTED_VALUE"""),"Bilbao")</f>
        <v>Bilbao</v>
      </c>
      <c r="H203" s="2" t="str">
        <f>IFERROR(__xludf.DUMMYFUNCTION("""COMPUTED_VALUE"""),"Educación y Deporte")</f>
        <v>Educación y Deporte</v>
      </c>
      <c r="I203" s="2" t="str">
        <f>IFERROR(__xludf.DUMMYFUNCTION("""COMPUTED_VALUE"""),"Educación Social")</f>
        <v>Educación Social</v>
      </c>
      <c r="J203" s="2" t="str">
        <f>IFERROR(__xludf.DUMMYFUNCTION("""COMPUTED_VALUE"""),"Grado")</f>
        <v>Grado</v>
      </c>
      <c r="K203" s="2" t="str">
        <f>IFERROR(__xludf.DUMMYFUNCTION("""COMPUTED_VALUE"""),"Español")</f>
        <v>Español</v>
      </c>
      <c r="L203" s="2" t="str">
        <f>IFERROR(__xludf.DUMMYFUNCTION("""COMPUTED_VALUE"""),"n/a")</f>
        <v>n/a</v>
      </c>
      <c r="M203" s="2" t="str">
        <f>IFERROR(__xludf.DUMMYFUNCTION("""COMPUTED_VALUE"""),"No")</f>
        <v>No</v>
      </c>
      <c r="N203" s="2" t="str">
        <f>IFERROR(__xludf.DUMMYFUNCTION("""COMPUTED_VALUE"""),"n/a")</f>
        <v>n/a</v>
      </c>
      <c r="O203" s="2" t="str">
        <f>IFERROR(__xludf.DUMMYFUNCTION("""COMPUTED_VALUE"""),"n/a")</f>
        <v>n/a</v>
      </c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30.0" customHeight="1">
      <c r="A204" s="2" t="str">
        <f>IFERROR(__xludf.DUMMYFUNCTION("""COMPUTED_VALUE"""),"Chile")</f>
        <v>Chile</v>
      </c>
      <c r="B204" s="2" t="str">
        <f>IFERROR(__xludf.DUMMYFUNCTION("""COMPUTED_VALUE"""),"RCH SANTIA09")</f>
        <v>RCH SANTIA09</v>
      </c>
      <c r="C204" s="3" t="str">
        <f>IFERROR(__xludf.DUMMYFUNCTION("""COMPUTED_VALUE"""),"Universidad Andrés Bello")</f>
        <v>Universidad Andrés Bello</v>
      </c>
      <c r="D204" s="2" t="str">
        <f>IFERROR(__xludf.DUMMYFUNCTION("""COMPUTED_VALUE"""),"Ac. Bilaterales (no Erasmus)")</f>
        <v>Ac. Bilaterales (no Erasmus)</v>
      </c>
      <c r="E204" s="2">
        <f>IFERROR(__xludf.DUMMYFUNCTION("""COMPUTED_VALUE"""),4.0)</f>
        <v>4</v>
      </c>
      <c r="F204" s="2" t="str">
        <f>IFERROR(__xludf.DUMMYFUNCTION("""COMPUTED_VALUE"""),"Anual")</f>
        <v>Anual</v>
      </c>
      <c r="G204" s="2" t="str">
        <f>IFERROR(__xludf.DUMMYFUNCTION("""COMPUTED_VALUE"""),"Bilbao")</f>
        <v>Bilbao</v>
      </c>
      <c r="H204" s="2" t="str">
        <f>IFERROR(__xludf.DUMMYFUNCTION("""COMPUTED_VALUE"""),"Ciencias de la Salud")</f>
        <v>Ciencias de la Salud</v>
      </c>
      <c r="I204" s="2" t="str">
        <f>IFERROR(__xludf.DUMMYFUNCTION("""COMPUTED_VALUE"""),"Psicología")</f>
        <v>Psicología</v>
      </c>
      <c r="J204" s="2" t="str">
        <f>IFERROR(__xludf.DUMMYFUNCTION("""COMPUTED_VALUE"""),"Grado")</f>
        <v>Grado</v>
      </c>
      <c r="K204" s="2" t="str">
        <f>IFERROR(__xludf.DUMMYFUNCTION("""COMPUTED_VALUE"""),"Español")</f>
        <v>Español</v>
      </c>
      <c r="L204" s="2" t="str">
        <f>IFERROR(__xludf.DUMMYFUNCTION("""COMPUTED_VALUE"""),"n/a")</f>
        <v>n/a</v>
      </c>
      <c r="M204" s="2" t="str">
        <f>IFERROR(__xludf.DUMMYFUNCTION("""COMPUTED_VALUE"""),"No")</f>
        <v>No</v>
      </c>
      <c r="N204" s="2" t="str">
        <f>IFERROR(__xludf.DUMMYFUNCTION("""COMPUTED_VALUE"""),"n/a")</f>
        <v>n/a</v>
      </c>
      <c r="O204" s="2" t="str">
        <f>IFERROR(__xludf.DUMMYFUNCTION("""COMPUTED_VALUE"""),"n/a")</f>
        <v>n/a</v>
      </c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30.0" customHeight="1">
      <c r="A205" s="2" t="str">
        <f>IFERROR(__xludf.DUMMYFUNCTION("""COMPUTED_VALUE"""),"Chile")</f>
        <v>Chile</v>
      </c>
      <c r="B205" s="2" t="str">
        <f>IFERROR(__xludf.DUMMYFUNCTION("""COMPUTED_VALUE"""),"RCH SANTIA09")</f>
        <v>RCH SANTIA09</v>
      </c>
      <c r="C205" s="3" t="str">
        <f>IFERROR(__xludf.DUMMYFUNCTION("""COMPUTED_VALUE"""),"Universidad Andrés Bello")</f>
        <v>Universidad Andrés Bello</v>
      </c>
      <c r="D205" s="2" t="str">
        <f>IFERROR(__xludf.DUMMYFUNCTION("""COMPUTED_VALUE"""),"Ac. Bilaterales (no Erasmus)")</f>
        <v>Ac. Bilaterales (no Erasmus)</v>
      </c>
      <c r="E205" s="2">
        <f>IFERROR(__xludf.DUMMYFUNCTION("""COMPUTED_VALUE"""),4.0)</f>
        <v>4</v>
      </c>
      <c r="F205" s="2" t="str">
        <f>IFERROR(__xludf.DUMMYFUNCTION("""COMPUTED_VALUE"""),"Semestre")</f>
        <v>Semestre</v>
      </c>
      <c r="G205" s="2" t="str">
        <f>IFERROR(__xludf.DUMMYFUNCTION("""COMPUTED_VALUE"""),"Ambos")</f>
        <v>Ambos</v>
      </c>
      <c r="H205" s="2" t="str">
        <f>IFERROR(__xludf.DUMMYFUNCTION("""COMPUTED_VALUE"""),"Ciencias Sociales y Humanas")</f>
        <v>Ciencias Sociales y Humanas</v>
      </c>
      <c r="I205" s="2" t="str">
        <f>IFERROR(__xludf.DUMMYFUNCTION("""COMPUTED_VALUE"""),"Trabajo Social")</f>
        <v>Trabajo Social</v>
      </c>
      <c r="J205" s="2" t="str">
        <f>IFERROR(__xludf.DUMMYFUNCTION("""COMPUTED_VALUE"""),"Grado")</f>
        <v>Grado</v>
      </c>
      <c r="K205" s="2" t="str">
        <f>IFERROR(__xludf.DUMMYFUNCTION("""COMPUTED_VALUE"""),"Español")</f>
        <v>Español</v>
      </c>
      <c r="L205" s="2" t="str">
        <f>IFERROR(__xludf.DUMMYFUNCTION("""COMPUTED_VALUE"""),"n/a")</f>
        <v>n/a</v>
      </c>
      <c r="M205" s="2" t="str">
        <f>IFERROR(__xludf.DUMMYFUNCTION("""COMPUTED_VALUE"""),"No")</f>
        <v>No</v>
      </c>
      <c r="N205" s="3" t="str">
        <f>IFERROR(__xludf.DUMMYFUNCTION("""COMPUTED_VALUE"""),"https://www.unab.cl/unab-virtual/")</f>
        <v>https://www.unab.cl/unab-virtual/</v>
      </c>
      <c r="O205" s="2" t="str">
        <f>IFERROR(__xludf.DUMMYFUNCTION("""COMPUTED_VALUE"""),"n/a")</f>
        <v>n/a</v>
      </c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30.0" customHeight="1">
      <c r="A206" s="2" t="str">
        <f>IFERROR(__xludf.DUMMYFUNCTION("""COMPUTED_VALUE"""),"Chile")</f>
        <v>Chile</v>
      </c>
      <c r="B206" s="2" t="str">
        <f>IFERROR(__xludf.DUMMYFUNCTION("""COMPUTED_VALUE"""),"RCH SANTIA09")</f>
        <v>RCH SANTIA09</v>
      </c>
      <c r="C206" s="3" t="str">
        <f>IFERROR(__xludf.DUMMYFUNCTION("""COMPUTED_VALUE"""),"Universidad Andrés Bello")</f>
        <v>Universidad Andrés Bello</v>
      </c>
      <c r="D206" s="2" t="str">
        <f>IFERROR(__xludf.DUMMYFUNCTION("""COMPUTED_VALUE"""),"Ac. Bilaterales (no Erasmus)")</f>
        <v>Ac. Bilaterales (no Erasmus)</v>
      </c>
      <c r="E206" s="2">
        <f>IFERROR(__xludf.DUMMYFUNCTION("""COMPUTED_VALUE"""),4.0)</f>
        <v>4</v>
      </c>
      <c r="F206" s="2" t="str">
        <f>IFERROR(__xludf.DUMMYFUNCTION("""COMPUTED_VALUE"""),"Semestre")</f>
        <v>Semestre</v>
      </c>
      <c r="G206" s="2" t="str">
        <f>IFERROR(__xludf.DUMMYFUNCTION("""COMPUTED_VALUE"""),"San Sebastián")</f>
        <v>San Sebastián</v>
      </c>
      <c r="H206" s="2" t="str">
        <f>IFERROR(__xludf.DUMMYFUNCTION("""COMPUTED_VALUE"""),"Ciencias de la Salud")</f>
        <v>Ciencias de la Salud</v>
      </c>
      <c r="I206" s="2" t="str">
        <f>IFERROR(__xludf.DUMMYFUNCTION("""COMPUTED_VALUE"""),"Fisioterapia")</f>
        <v>Fisioterapia</v>
      </c>
      <c r="J206" s="2" t="str">
        <f>IFERROR(__xludf.DUMMYFUNCTION("""COMPUTED_VALUE"""),"Grado")</f>
        <v>Grado</v>
      </c>
      <c r="K206" s="2" t="str">
        <f>IFERROR(__xludf.DUMMYFUNCTION("""COMPUTED_VALUE"""),"Español")</f>
        <v>Español</v>
      </c>
      <c r="L206" s="2" t="str">
        <f>IFERROR(__xludf.DUMMYFUNCTION("""COMPUTED_VALUE"""),"n/a")</f>
        <v>n/a</v>
      </c>
      <c r="M206" s="2" t="str">
        <f>IFERROR(__xludf.DUMMYFUNCTION("""COMPUTED_VALUE"""),"No")</f>
        <v>No</v>
      </c>
      <c r="N206" s="3" t="str">
        <f>IFERROR(__xludf.DUMMYFUNCTION("""COMPUTED_VALUE"""),"https://www.unab.cl/unab-virtual/")</f>
        <v>https://www.unab.cl/unab-virtual/</v>
      </c>
      <c r="O206" s="2" t="str">
        <f>IFERROR(__xludf.DUMMYFUNCTION("""COMPUTED_VALUE"""),"n/a")</f>
        <v>n/a</v>
      </c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30.0" customHeight="1">
      <c r="A207" s="2" t="str">
        <f>IFERROR(__xludf.DUMMYFUNCTION("""COMPUTED_VALUE"""),"Chile")</f>
        <v>Chile</v>
      </c>
      <c r="B207" s="2" t="str">
        <f>IFERROR(__xludf.DUMMYFUNCTION("""COMPUTED_VALUE"""),"RCH SANTIA09")</f>
        <v>RCH SANTIA09</v>
      </c>
      <c r="C207" s="3" t="str">
        <f>IFERROR(__xludf.DUMMYFUNCTION("""COMPUTED_VALUE"""),"Universidad Andrés Bello")</f>
        <v>Universidad Andrés Bello</v>
      </c>
      <c r="D207" s="2" t="str">
        <f>IFERROR(__xludf.DUMMYFUNCTION("""COMPUTED_VALUE"""),"Ac. Bilaterales (no Erasmus)")</f>
        <v>Ac. Bilaterales (no Erasmus)</v>
      </c>
      <c r="E207" s="2">
        <f>IFERROR(__xludf.DUMMYFUNCTION("""COMPUTED_VALUE"""),2.0)</f>
        <v>2</v>
      </c>
      <c r="F207" s="2" t="str">
        <f>IFERROR(__xludf.DUMMYFUNCTION("""COMPUTED_VALUE"""),"Semestre")</f>
        <v>Semestre</v>
      </c>
      <c r="G207" s="2" t="str">
        <f>IFERROR(__xludf.DUMMYFUNCTION("""COMPUTED_VALUE"""),"Ambos")</f>
        <v>Ambos</v>
      </c>
      <c r="H207" s="2" t="str">
        <f>IFERROR(__xludf.DUMMYFUNCTION("""COMPUTED_VALUE"""),"Ciencias de la Salud")</f>
        <v>Ciencias de la Salud</v>
      </c>
      <c r="I207" s="2" t="str">
        <f>IFERROR(__xludf.DUMMYFUNCTION("""COMPUTED_VALUE"""),"Enfermería")</f>
        <v>Enfermería</v>
      </c>
      <c r="J207" s="2" t="str">
        <f>IFERROR(__xludf.DUMMYFUNCTION("""COMPUTED_VALUE"""),"Grado")</f>
        <v>Grado</v>
      </c>
      <c r="K207" s="2" t="str">
        <f>IFERROR(__xludf.DUMMYFUNCTION("""COMPUTED_VALUE"""),"Español")</f>
        <v>Español</v>
      </c>
      <c r="L207" s="2" t="str">
        <f>IFERROR(__xludf.DUMMYFUNCTION("""COMPUTED_VALUE"""),"n/a")</f>
        <v>n/a</v>
      </c>
      <c r="M207" s="2" t="str">
        <f>IFERROR(__xludf.DUMMYFUNCTION("""COMPUTED_VALUE"""),"No")</f>
        <v>No</v>
      </c>
      <c r="N207" s="3" t="str">
        <f>IFERROR(__xludf.DUMMYFUNCTION("""COMPUTED_VALUE"""),"https://www.unab.cl/unab-virtual/")</f>
        <v>https://www.unab.cl/unab-virtual/</v>
      </c>
      <c r="O207" s="2" t="str">
        <f>IFERROR(__xludf.DUMMYFUNCTION("""COMPUTED_VALUE"""),"n/a")</f>
        <v>n/a</v>
      </c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30.0" customHeight="1">
      <c r="A208" s="2" t="str">
        <f>IFERROR(__xludf.DUMMYFUNCTION("""COMPUTED_VALUE"""),"Chile")</f>
        <v>Chile</v>
      </c>
      <c r="B208" s="2"/>
      <c r="C208" s="3" t="str">
        <f>IFERROR(__xludf.DUMMYFUNCTION("""COMPUTED_VALUE"""),"Universidad Autónoma de Chile")</f>
        <v>Universidad Autónoma de Chile</v>
      </c>
      <c r="D208" s="2" t="str">
        <f>IFERROR(__xludf.DUMMYFUNCTION("""COMPUTED_VALUE"""),"Ac. Bilaterales (no Erasmus)")</f>
        <v>Ac. Bilaterales (no Erasmus)</v>
      </c>
      <c r="E208" s="2" t="str">
        <f>IFERROR(__xludf.DUMMYFUNCTION("""COMPUTED_VALUE"""),"Sin especificar")</f>
        <v>Sin especificar</v>
      </c>
      <c r="F208" s="2" t="str">
        <f>IFERROR(__xludf.DUMMYFUNCTION("""COMPUTED_VALUE"""),"Semestre")</f>
        <v>Semestre</v>
      </c>
      <c r="G208" s="2" t="str">
        <f>IFERROR(__xludf.DUMMYFUNCTION("""COMPUTED_VALUE"""),"Bilbao")</f>
        <v>Bilbao</v>
      </c>
      <c r="H208" s="2" t="str">
        <f>IFERROR(__xludf.DUMMYFUNCTION("""COMPUTED_VALUE"""),"Derecho")</f>
        <v>Derecho</v>
      </c>
      <c r="I208" s="2" t="str">
        <f>IFERROR(__xludf.DUMMYFUNCTION("""COMPUTED_VALUE"""),"Derecho, Derecho + Relaciones Laborales")</f>
        <v>Derecho, Derecho + Relaciones Laborales</v>
      </c>
      <c r="J208" s="2" t="str">
        <f>IFERROR(__xludf.DUMMYFUNCTION("""COMPUTED_VALUE"""),"Grado")</f>
        <v>Grado</v>
      </c>
      <c r="K208" s="2" t="str">
        <f>IFERROR(__xludf.DUMMYFUNCTION("""COMPUTED_VALUE"""),"Español")</f>
        <v>Español</v>
      </c>
      <c r="L208" s="2"/>
      <c r="M208" s="2" t="str">
        <f>IFERROR(__xludf.DUMMYFUNCTION("""COMPUTED_VALUE"""),"No")</f>
        <v>No</v>
      </c>
      <c r="N208" s="3" t="str">
        <f>IFERROR(__xludf.DUMMYFUNCTION("""COMPUTED_VALUE"""),"https://www.uautonoma.cl/internacional/")</f>
        <v>https://www.uautonoma.cl/internacional/</v>
      </c>
      <c r="O208" s="2" t="str">
        <f>IFERROR(__xludf.DUMMYFUNCTION("""COMPUTED_VALUE"""),"n/a")</f>
        <v>n/a</v>
      </c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30.0" customHeight="1">
      <c r="A209" s="2" t="str">
        <f>IFERROR(__xludf.DUMMYFUNCTION("""COMPUTED_VALUE"""),"Chile")</f>
        <v>Chile</v>
      </c>
      <c r="B209" s="2" t="str">
        <f>IFERROR(__xludf.DUMMYFUNCTION("""COMPUTED_VALUE"""),"RCHSANTIA01")</f>
        <v>RCHSANTIA01</v>
      </c>
      <c r="C209" s="3" t="str">
        <f>IFERROR(__xludf.DUMMYFUNCTION("""COMPUTED_VALUE"""),"Universidad Alberto Hurtado")</f>
        <v>Universidad Alberto Hurtado</v>
      </c>
      <c r="D209" s="2" t="str">
        <f>IFERROR(__xludf.DUMMYFUNCTION("""COMPUTED_VALUE"""),"Ac. Bilaterales (no Erasmus)")</f>
        <v>Ac. Bilaterales (no Erasmus)</v>
      </c>
      <c r="E209" s="2">
        <f>IFERROR(__xludf.DUMMYFUNCTION("""COMPUTED_VALUE"""),5.0)</f>
        <v>5</v>
      </c>
      <c r="F209" s="2" t="str">
        <f>IFERROR(__xludf.DUMMYFUNCTION("""COMPUTED_VALUE"""),"Anual ")</f>
        <v>Anual </v>
      </c>
      <c r="G209" s="2" t="str">
        <f>IFERROR(__xludf.DUMMYFUNCTION("""COMPUTED_VALUE"""),"Ambos")</f>
        <v>Ambos</v>
      </c>
      <c r="H209" s="2" t="str">
        <f>IFERROR(__xludf.DUMMYFUNCTION("""COMPUTED_VALUE"""),"Ciencias Sociales y Humanas")</f>
        <v>Ciencias Sociales y Humanas</v>
      </c>
      <c r="I209" s="2" t="str">
        <f>IFERROR(__xludf.DUMMYFUNCTION("""COMPUTED_VALUE"""),"Relaciones Internacionales")</f>
        <v>Relaciones Internacionales</v>
      </c>
      <c r="J209" s="2" t="str">
        <f>IFERROR(__xludf.DUMMYFUNCTION("""COMPUTED_VALUE"""),"Grado")</f>
        <v>Grado</v>
      </c>
      <c r="K209" s="2" t="str">
        <f>IFERROR(__xludf.DUMMYFUNCTION("""COMPUTED_VALUE"""),"Español")</f>
        <v>Español</v>
      </c>
      <c r="L209" s="2" t="str">
        <f>IFERROR(__xludf.DUMMYFUNCTION("""COMPUTED_VALUE"""),"n/a")</f>
        <v>n/a</v>
      </c>
      <c r="M209" s="2" t="str">
        <f>IFERROR(__xludf.DUMMYFUNCTION("""COMPUTED_VALUE"""),"No")</f>
        <v>No</v>
      </c>
      <c r="N209" s="3" t="str">
        <f>IFERROR(__xludf.DUMMYFUNCTION("""COMPUTED_VALUE"""),"https://internacional.uahurtado.cl/#_ga=2.72578010.819916250.1729751672-452155559.1729751672")</f>
        <v>https://internacional.uahurtado.cl/#_ga=2.72578010.819916250.1729751672-452155559.1729751672</v>
      </c>
      <c r="O209" s="2" t="str">
        <f>IFERROR(__xludf.DUMMYFUNCTION("""COMPUTED_VALUE"""),"n/a")</f>
        <v>n/a</v>
      </c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30.0" customHeight="1">
      <c r="A210" s="2" t="str">
        <f>IFERROR(__xludf.DUMMYFUNCTION("""COMPUTED_VALUE"""),"Chile")</f>
        <v>Chile</v>
      </c>
      <c r="B210" s="2" t="str">
        <f>IFERROR(__xludf.DUMMYFUNCTION("""COMPUTED_VALUE"""),"RCHSANTIA01")</f>
        <v>RCHSANTIA01</v>
      </c>
      <c r="C210" s="3" t="str">
        <f>IFERROR(__xludf.DUMMYFUNCTION("""COMPUTED_VALUE"""),"Universidad Alberto Hurtado")</f>
        <v>Universidad Alberto Hurtado</v>
      </c>
      <c r="D210" s="2" t="str">
        <f>IFERROR(__xludf.DUMMYFUNCTION("""COMPUTED_VALUE"""),"Ac. Bilaterales (no Erasmus)")</f>
        <v>Ac. Bilaterales (no Erasmus)</v>
      </c>
      <c r="E210" s="2">
        <f>IFERROR(__xludf.DUMMYFUNCTION("""COMPUTED_VALUE"""),2.0)</f>
        <v>2</v>
      </c>
      <c r="F210" s="2" t="str">
        <f>IFERROR(__xludf.DUMMYFUNCTION("""COMPUTED_VALUE"""),"Semestre")</f>
        <v>Semestre</v>
      </c>
      <c r="G210" s="2" t="str">
        <f>IFERROR(__xludf.DUMMYFUNCTION("""COMPUTED_VALUE"""),"Ambos")</f>
        <v>Ambos</v>
      </c>
      <c r="H210" s="2" t="str">
        <f>IFERROR(__xludf.DUMMYFUNCTION("""COMPUTED_VALUE"""),"Deusto Business School")</f>
        <v>Deusto Business School</v>
      </c>
      <c r="I210" s="2" t="str">
        <f>IFERROR(__xludf.DUMMYFUNCTION("""COMPUTED_VALUE"""),"Administración y Dirección de Empresas")</f>
        <v>Administración y Dirección de Empresas</v>
      </c>
      <c r="J210" s="2" t="str">
        <f>IFERROR(__xludf.DUMMYFUNCTION("""COMPUTED_VALUE"""),"Grado")</f>
        <v>Grado</v>
      </c>
      <c r="K210" s="2" t="str">
        <f>IFERROR(__xludf.DUMMYFUNCTION("""COMPUTED_VALUE"""),"Español")</f>
        <v>Español</v>
      </c>
      <c r="L210" s="2" t="str">
        <f>IFERROR(__xludf.DUMMYFUNCTION("""COMPUTED_VALUE"""),"n/a")</f>
        <v>n/a</v>
      </c>
      <c r="M210" s="2" t="str">
        <f>IFERROR(__xludf.DUMMYFUNCTION("""COMPUTED_VALUE"""),"No")</f>
        <v>No</v>
      </c>
      <c r="N210" s="3" t="str">
        <f>IFERROR(__xludf.DUMMYFUNCTION("""COMPUTED_VALUE"""),"https://internacional.uahurtado.cl/#_ga=2.72578010.819916250.1729751672-452155559.1729751672")</f>
        <v>https://internacional.uahurtado.cl/#_ga=2.72578010.819916250.1729751672-452155559.1729751672</v>
      </c>
      <c r="O210" s="2" t="str">
        <f>IFERROR(__xludf.DUMMYFUNCTION("""COMPUTED_VALUE"""),"n/a")</f>
        <v>n/a</v>
      </c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30.0" customHeight="1">
      <c r="A211" s="2" t="str">
        <f>IFERROR(__xludf.DUMMYFUNCTION("""COMPUTED_VALUE"""),"Chile")</f>
        <v>Chile</v>
      </c>
      <c r="B211" s="2" t="str">
        <f>IFERROR(__xludf.DUMMYFUNCTION("""COMPUTED_VALUE"""),"RCHSANTIA01")</f>
        <v>RCHSANTIA01</v>
      </c>
      <c r="C211" s="3" t="str">
        <f>IFERROR(__xludf.DUMMYFUNCTION("""COMPUTED_VALUE"""),"Universidad Alberto Hurtado")</f>
        <v>Universidad Alberto Hurtado</v>
      </c>
      <c r="D211" s="2" t="str">
        <f>IFERROR(__xludf.DUMMYFUNCTION("""COMPUTED_VALUE"""),"Ac. Bilaterales (no Erasmus)")</f>
        <v>Ac. Bilaterales (no Erasmus)</v>
      </c>
      <c r="E211" s="2">
        <f>IFERROR(__xludf.DUMMYFUNCTION("""COMPUTED_VALUE"""),2.0)</f>
        <v>2</v>
      </c>
      <c r="F211" s="2" t="str">
        <f>IFERROR(__xludf.DUMMYFUNCTION("""COMPUTED_VALUE"""),"Semestre")</f>
        <v>Semestre</v>
      </c>
      <c r="G211" s="2" t="str">
        <f>IFERROR(__xludf.DUMMYFUNCTION("""COMPUTED_VALUE"""),"Ambos")</f>
        <v>Ambos</v>
      </c>
      <c r="H211" s="2" t="str">
        <f>IFERROR(__xludf.DUMMYFUNCTION("""COMPUTED_VALUE"""),"Ciencias Sociales y Humanas")</f>
        <v>Ciencias Sociales y Humanas</v>
      </c>
      <c r="I211" s="2" t="str">
        <f>IFERROR(__xludf.DUMMYFUNCTION("""COMPUTED_VALUE"""),"Comunicación")</f>
        <v>Comunicación</v>
      </c>
      <c r="J211" s="2" t="str">
        <f>IFERROR(__xludf.DUMMYFUNCTION("""COMPUTED_VALUE"""),"Grado")</f>
        <v>Grado</v>
      </c>
      <c r="K211" s="2" t="str">
        <f>IFERROR(__xludf.DUMMYFUNCTION("""COMPUTED_VALUE"""),"Español")</f>
        <v>Español</v>
      </c>
      <c r="L211" s="2" t="str">
        <f>IFERROR(__xludf.DUMMYFUNCTION("""COMPUTED_VALUE"""),"n/a")</f>
        <v>n/a</v>
      </c>
      <c r="M211" s="2" t="str">
        <f>IFERROR(__xludf.DUMMYFUNCTION("""COMPUTED_VALUE"""),"No")</f>
        <v>No</v>
      </c>
      <c r="N211" s="3" t="str">
        <f>IFERROR(__xludf.DUMMYFUNCTION("""COMPUTED_VALUE"""),"https://internacional.uahurtado.cl/#_ga=2.72578010.819916250.1729751672-452155559.1729751672")</f>
        <v>https://internacional.uahurtado.cl/#_ga=2.72578010.819916250.1729751672-452155559.1729751672</v>
      </c>
      <c r="O211" s="2" t="str">
        <f>IFERROR(__xludf.DUMMYFUNCTION("""COMPUTED_VALUE"""),"n/a")</f>
        <v>n/a</v>
      </c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30.0" customHeight="1">
      <c r="A212" s="2" t="str">
        <f>IFERROR(__xludf.DUMMYFUNCTION("""COMPUTED_VALUE"""),"Chile")</f>
        <v>Chile</v>
      </c>
      <c r="B212" s="2" t="str">
        <f>IFERROR(__xludf.DUMMYFUNCTION("""COMPUTED_VALUE"""),"RCHSANTIA01")</f>
        <v>RCHSANTIA01</v>
      </c>
      <c r="C212" s="3" t="str">
        <f>IFERROR(__xludf.DUMMYFUNCTION("""COMPUTED_VALUE"""),"Universidad Alberto Hurtado")</f>
        <v>Universidad Alberto Hurtado</v>
      </c>
      <c r="D212" s="2" t="str">
        <f>IFERROR(__xludf.DUMMYFUNCTION("""COMPUTED_VALUE"""),"Ac. Bilaterales (no Erasmus)")</f>
        <v>Ac. Bilaterales (no Erasmus)</v>
      </c>
      <c r="E212" s="2">
        <f>IFERROR(__xludf.DUMMYFUNCTION("""COMPUTED_VALUE"""),5.0)</f>
        <v>5</v>
      </c>
      <c r="F212" s="2" t="str">
        <f>IFERROR(__xludf.DUMMYFUNCTION("""COMPUTED_VALUE"""),"Semestre")</f>
        <v>Semestre</v>
      </c>
      <c r="G212" s="2" t="str">
        <f>IFERROR(__xludf.DUMMYFUNCTION("""COMPUTED_VALUE"""),"Ambos")</f>
        <v>Ambos</v>
      </c>
      <c r="H212" s="2" t="str">
        <f>IFERROR(__xludf.DUMMYFUNCTION("""COMPUTED_VALUE"""),"Ciencias Sociales y Humanas")</f>
        <v>Ciencias Sociales y Humanas</v>
      </c>
      <c r="I212" s="2" t="str">
        <f>IFERROR(__xludf.DUMMYFUNCTION("""COMPUTED_VALUE"""),"Trabajo Social")</f>
        <v>Trabajo Social</v>
      </c>
      <c r="J212" s="2" t="str">
        <f>IFERROR(__xludf.DUMMYFUNCTION("""COMPUTED_VALUE"""),"Grado")</f>
        <v>Grado</v>
      </c>
      <c r="K212" s="2" t="str">
        <f>IFERROR(__xludf.DUMMYFUNCTION("""COMPUTED_VALUE"""),"Español")</f>
        <v>Español</v>
      </c>
      <c r="L212" s="2" t="str">
        <f>IFERROR(__xludf.DUMMYFUNCTION("""COMPUTED_VALUE"""),"n/a")</f>
        <v>n/a</v>
      </c>
      <c r="M212" s="2" t="str">
        <f>IFERROR(__xludf.DUMMYFUNCTION("""COMPUTED_VALUE"""),"No")</f>
        <v>No</v>
      </c>
      <c r="N212" s="3" t="str">
        <f>IFERROR(__xludf.DUMMYFUNCTION("""COMPUTED_VALUE"""),"https://internacional.uahurtado.cl/#_ga=2.72578010.819916250.1729751672-452155559.1729751672")</f>
        <v>https://internacional.uahurtado.cl/#_ga=2.72578010.819916250.1729751672-452155559.1729751672</v>
      </c>
      <c r="O212" s="2" t="str">
        <f>IFERROR(__xludf.DUMMYFUNCTION("""COMPUTED_VALUE"""),"n/a")</f>
        <v>n/a</v>
      </c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30.0" customHeight="1">
      <c r="A213" s="2" t="str">
        <f>IFERROR(__xludf.DUMMYFUNCTION("""COMPUTED_VALUE"""),"Chile")</f>
        <v>Chile</v>
      </c>
      <c r="B213" s="2" t="str">
        <f>IFERROR(__xludf.DUMMYFUNCTION("""COMPUTED_VALUE"""),"RCHSANTIA01")</f>
        <v>RCHSANTIA01</v>
      </c>
      <c r="C213" s="3" t="str">
        <f>IFERROR(__xludf.DUMMYFUNCTION("""COMPUTED_VALUE"""),"Universidad Alberto Hurtado")</f>
        <v>Universidad Alberto Hurtado</v>
      </c>
      <c r="D213" s="2" t="str">
        <f>IFERROR(__xludf.DUMMYFUNCTION("""COMPUTED_VALUE"""),"Ac. Bilaterales (no Erasmus)")</f>
        <v>Ac. Bilaterales (no Erasmus)</v>
      </c>
      <c r="E213" s="2">
        <f>IFERROR(__xludf.DUMMYFUNCTION("""COMPUTED_VALUE"""),4.0)</f>
        <v>4</v>
      </c>
      <c r="F213" s="2" t="str">
        <f>IFERROR(__xludf.DUMMYFUNCTION("""COMPUTED_VALUE"""),"Anual")</f>
        <v>Anual</v>
      </c>
      <c r="G213" s="2" t="str">
        <f>IFERROR(__xludf.DUMMYFUNCTION("""COMPUTED_VALUE"""),"Bilbao")</f>
        <v>Bilbao</v>
      </c>
      <c r="H213" s="2" t="str">
        <f>IFERROR(__xludf.DUMMYFUNCTION("""COMPUTED_VALUE"""),"Derecho")</f>
        <v>Derecho</v>
      </c>
      <c r="I213" s="2" t="str">
        <f>IFERROR(__xludf.DUMMYFUNCTION("""COMPUTED_VALUE"""),"Derecho")</f>
        <v>Derecho</v>
      </c>
      <c r="J213" s="2" t="str">
        <f>IFERROR(__xludf.DUMMYFUNCTION("""COMPUTED_VALUE"""),"Grado")</f>
        <v>Grado</v>
      </c>
      <c r="K213" s="2" t="str">
        <f>IFERROR(__xludf.DUMMYFUNCTION("""COMPUTED_VALUE"""),"Español")</f>
        <v>Español</v>
      </c>
      <c r="L213" s="2" t="str">
        <f>IFERROR(__xludf.DUMMYFUNCTION("""COMPUTED_VALUE"""),"n/a")</f>
        <v>n/a</v>
      </c>
      <c r="M213" s="2" t="str">
        <f>IFERROR(__xludf.DUMMYFUNCTION("""COMPUTED_VALUE"""),"No")</f>
        <v>No</v>
      </c>
      <c r="N213" s="2" t="str">
        <f>IFERROR(__xludf.DUMMYFUNCTION("""COMPUTED_VALUE"""),"n/a")</f>
        <v>n/a</v>
      </c>
      <c r="O213" s="2" t="str">
        <f>IFERROR(__xludf.DUMMYFUNCTION("""COMPUTED_VALUE"""),"n/a")</f>
        <v>n/a</v>
      </c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30.0" customHeight="1">
      <c r="A214" s="2" t="str">
        <f>IFERROR(__xludf.DUMMYFUNCTION("""COMPUTED_VALUE"""),"Chile")</f>
        <v>Chile</v>
      </c>
      <c r="B214" s="2" t="str">
        <f>IFERROR(__xludf.DUMMYFUNCTION("""COMPUTED_VALUE"""),"RCHCONCEP01")</f>
        <v>RCHCONCEP01</v>
      </c>
      <c r="C214" s="3" t="str">
        <f>IFERROR(__xludf.DUMMYFUNCTION("""COMPUTED_VALUE"""),"Universidad Católica de la Santísima Concepción")</f>
        <v>Universidad Católica de la Santísima Concepción</v>
      </c>
      <c r="D214" s="2" t="str">
        <f>IFERROR(__xludf.DUMMYFUNCTION("""COMPUTED_VALUE"""),"Ac. Bilaterales (no Erasmus)")</f>
        <v>Ac. Bilaterales (no Erasmus)</v>
      </c>
      <c r="E214" s="2">
        <f>IFERROR(__xludf.DUMMYFUNCTION("""COMPUTED_VALUE"""),2.0)</f>
        <v>2</v>
      </c>
      <c r="F214" s="2" t="str">
        <f>IFERROR(__xludf.DUMMYFUNCTION("""COMPUTED_VALUE"""),"Semestre")</f>
        <v>Semestre</v>
      </c>
      <c r="G214" s="2" t="str">
        <f>IFERROR(__xludf.DUMMYFUNCTION("""COMPUTED_VALUE"""),"Ambos")</f>
        <v>Ambos</v>
      </c>
      <c r="H214" s="2" t="str">
        <f>IFERROR(__xludf.DUMMYFUNCTION("""COMPUTED_VALUE"""),"Ciencias Sociales y Humanas")</f>
        <v>Ciencias Sociales y Humanas</v>
      </c>
      <c r="I214" s="2" t="str">
        <f>IFERROR(__xludf.DUMMYFUNCTION("""COMPUTED_VALUE"""),"Trabajo Social")</f>
        <v>Trabajo Social</v>
      </c>
      <c r="J214" s="2" t="str">
        <f>IFERROR(__xludf.DUMMYFUNCTION("""COMPUTED_VALUE"""),"Grado")</f>
        <v>Grado</v>
      </c>
      <c r="K214" s="2" t="str">
        <f>IFERROR(__xludf.DUMMYFUNCTION("""COMPUTED_VALUE"""),"Español")</f>
        <v>Español</v>
      </c>
      <c r="L214" s="2" t="str">
        <f>IFERROR(__xludf.DUMMYFUNCTION("""COMPUTED_VALUE"""),"n/a")</f>
        <v>n/a</v>
      </c>
      <c r="M214" s="2" t="str">
        <f>IFERROR(__xludf.DUMMYFUNCTION("""COMPUTED_VALUE"""),"No")</f>
        <v>No</v>
      </c>
      <c r="N214" s="3" t="str">
        <f>IFERROR(__xludf.DUMMYFUNCTION("""COMPUTED_VALUE"""),"https://admision.ucsc.cl/")</f>
        <v>https://admision.ucsc.cl/</v>
      </c>
      <c r="O214" s="2" t="str">
        <f>IFERROR(__xludf.DUMMYFUNCTION("""COMPUTED_VALUE"""),"n/a")</f>
        <v>n/a</v>
      </c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30.0" customHeight="1">
      <c r="A215" s="2" t="str">
        <f>IFERROR(__xludf.DUMMYFUNCTION("""COMPUTED_VALUE"""),"Chile")</f>
        <v>Chile</v>
      </c>
      <c r="B215" s="2" t="str">
        <f>IFERROR(__xludf.DUMMYFUNCTION("""COMPUTED_VALUE"""),"RCHCONCEP01")</f>
        <v>RCHCONCEP01</v>
      </c>
      <c r="C215" s="3" t="str">
        <f>IFERROR(__xludf.DUMMYFUNCTION("""COMPUTED_VALUE"""),"Universidad Católica de la Santísima Concepción")</f>
        <v>Universidad Católica de la Santísima Concepción</v>
      </c>
      <c r="D215" s="2" t="str">
        <f>IFERROR(__xludf.DUMMYFUNCTION("""COMPUTED_VALUE"""),"Ac. Bilaterales (no Erasmus)")</f>
        <v>Ac. Bilaterales (no Erasmus)</v>
      </c>
      <c r="E215" s="2">
        <f>IFERROR(__xludf.DUMMYFUNCTION("""COMPUTED_VALUE"""),5.0)</f>
        <v>5</v>
      </c>
      <c r="F215" s="2" t="str">
        <f>IFERROR(__xludf.DUMMYFUNCTION("""COMPUTED_VALUE"""),"Semestre")</f>
        <v>Semestre</v>
      </c>
      <c r="G215" s="2" t="str">
        <f>IFERROR(__xludf.DUMMYFUNCTION("""COMPUTED_VALUE"""),"Bilbao")</f>
        <v>Bilbao</v>
      </c>
      <c r="H215" s="2" t="str">
        <f>IFERROR(__xludf.DUMMYFUNCTION("""COMPUTED_VALUE"""),"Begoñako Andramari, BAM")</f>
        <v>Begoñako Andramari, BAM</v>
      </c>
      <c r="I215" s="2" t="str">
        <f>IFERROR(__xludf.DUMMYFUNCTION("""COMPUTED_VALUE"""),"Educación Primaria, Educación Infantil")</f>
        <v>Educación Primaria, Educación Infantil</v>
      </c>
      <c r="J215" s="2" t="str">
        <f>IFERROR(__xludf.DUMMYFUNCTION("""COMPUTED_VALUE"""),"Grado")</f>
        <v>Grado</v>
      </c>
      <c r="K215" s="2" t="str">
        <f>IFERROR(__xludf.DUMMYFUNCTION("""COMPUTED_VALUE"""),"Español")</f>
        <v>Español</v>
      </c>
      <c r="L215" s="2" t="str">
        <f>IFERROR(__xludf.DUMMYFUNCTION("""COMPUTED_VALUE"""),"n/a")</f>
        <v>n/a</v>
      </c>
      <c r="M215" s="2" t="str">
        <f>IFERROR(__xludf.DUMMYFUNCTION("""COMPUTED_VALUE"""),"No")</f>
        <v>No</v>
      </c>
      <c r="N215" s="2" t="str">
        <f>IFERROR(__xludf.DUMMYFUNCTION("""COMPUTED_VALUE"""),"n/a")</f>
        <v>n/a</v>
      </c>
      <c r="O215" s="2" t="str">
        <f>IFERROR(__xludf.DUMMYFUNCTION("""COMPUTED_VALUE"""),"n/a")</f>
        <v>n/a</v>
      </c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30.0" customHeight="1">
      <c r="A216" s="2" t="str">
        <f>IFERROR(__xludf.DUMMYFUNCTION("""COMPUTED_VALUE"""),"Chile")</f>
        <v>Chile</v>
      </c>
      <c r="B216" s="2" t="str">
        <f>IFERROR(__xludf.DUMMYFUNCTION("""COMPUTED_VALUE"""),"RCHTALCA02")</f>
        <v>RCHTALCA02</v>
      </c>
      <c r="C216" s="3" t="str">
        <f>IFERROR(__xludf.DUMMYFUNCTION("""COMPUTED_VALUE"""),"Universidad Católica de Maule")</f>
        <v>Universidad Católica de Maule</v>
      </c>
      <c r="D216" s="2" t="str">
        <f>IFERROR(__xludf.DUMMYFUNCTION("""COMPUTED_VALUE"""),"Ac. Bilaterales (no Erasmus)")</f>
        <v>Ac. Bilaterales (no Erasmus)</v>
      </c>
      <c r="E216" s="2">
        <f>IFERROR(__xludf.DUMMYFUNCTION("""COMPUTED_VALUE"""),2.0)</f>
        <v>2</v>
      </c>
      <c r="F216" s="2" t="str">
        <f>IFERROR(__xludf.DUMMYFUNCTION("""COMPUTED_VALUE"""),"Anual")</f>
        <v>Anual</v>
      </c>
      <c r="G216" s="2" t="str">
        <f>IFERROR(__xludf.DUMMYFUNCTION("""COMPUTED_VALUE"""),"Bilbao")</f>
        <v>Bilbao</v>
      </c>
      <c r="H216" s="2" t="str">
        <f>IFERROR(__xludf.DUMMYFUNCTION("""COMPUTED_VALUE"""),"Ciencias de la Salud")</f>
        <v>Ciencias de la Salud</v>
      </c>
      <c r="I216" s="2" t="str">
        <f>IFERROR(__xludf.DUMMYFUNCTION("""COMPUTED_VALUE"""),"Psicología")</f>
        <v>Psicología</v>
      </c>
      <c r="J216" s="2" t="str">
        <f>IFERROR(__xludf.DUMMYFUNCTION("""COMPUTED_VALUE"""),"Grado")</f>
        <v>Grado</v>
      </c>
      <c r="K216" s="2" t="str">
        <f>IFERROR(__xludf.DUMMYFUNCTION("""COMPUTED_VALUE"""),"Español")</f>
        <v>Español</v>
      </c>
      <c r="L216" s="2" t="str">
        <f>IFERROR(__xludf.DUMMYFUNCTION("""COMPUTED_VALUE"""),"n/a")</f>
        <v>n/a</v>
      </c>
      <c r="M216" s="2" t="str">
        <f>IFERROR(__xludf.DUMMYFUNCTION("""COMPUTED_VALUE"""),"No")</f>
        <v>No</v>
      </c>
      <c r="N216" s="2" t="str">
        <f>IFERROR(__xludf.DUMMYFUNCTION("""COMPUTED_VALUE"""),"n/a")</f>
        <v>n/a</v>
      </c>
      <c r="O216" s="2" t="str">
        <f>IFERROR(__xludf.DUMMYFUNCTION("""COMPUTED_VALUE"""),"n/a")</f>
        <v>n/a</v>
      </c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30.0" customHeight="1">
      <c r="A217" s="2" t="str">
        <f>IFERROR(__xludf.DUMMYFUNCTION("""COMPUTED_VALUE"""),"Chile")</f>
        <v>Chile</v>
      </c>
      <c r="B217" s="2" t="str">
        <f>IFERROR(__xludf.DUMMYFUNCTION("""COMPUTED_VALUE"""),"RCHTALCA02")</f>
        <v>RCHTALCA02</v>
      </c>
      <c r="C217" s="3" t="str">
        <f>IFERROR(__xludf.DUMMYFUNCTION("""COMPUTED_VALUE"""),"Universidad Católica de Maule")</f>
        <v>Universidad Católica de Maule</v>
      </c>
      <c r="D217" s="2" t="str">
        <f>IFERROR(__xludf.DUMMYFUNCTION("""COMPUTED_VALUE"""),"Ac. Bilaterales (no Erasmus)")</f>
        <v>Ac. Bilaterales (no Erasmus)</v>
      </c>
      <c r="E217" s="2">
        <f>IFERROR(__xludf.DUMMYFUNCTION("""COMPUTED_VALUE"""),2.0)</f>
        <v>2</v>
      </c>
      <c r="F217" s="2" t="str">
        <f>IFERROR(__xludf.DUMMYFUNCTION("""COMPUTED_VALUE"""),"Semestre")</f>
        <v>Semestre</v>
      </c>
      <c r="G217" s="2" t="str">
        <f>IFERROR(__xludf.DUMMYFUNCTION("""COMPUTED_VALUE"""),"Ambos")</f>
        <v>Ambos</v>
      </c>
      <c r="H217" s="2" t="str">
        <f>IFERROR(__xludf.DUMMYFUNCTION("""COMPUTED_VALUE"""),"Ciencias Sociales y Humanas")</f>
        <v>Ciencias Sociales y Humanas</v>
      </c>
      <c r="I217" s="2" t="str">
        <f>IFERROR(__xludf.DUMMYFUNCTION("""COMPUTED_VALUE"""),"Trabajo Social")</f>
        <v>Trabajo Social</v>
      </c>
      <c r="J217" s="2" t="str">
        <f>IFERROR(__xludf.DUMMYFUNCTION("""COMPUTED_VALUE"""),"Grado")</f>
        <v>Grado</v>
      </c>
      <c r="K217" s="2" t="str">
        <f>IFERROR(__xludf.DUMMYFUNCTION("""COMPUTED_VALUE"""),"Español")</f>
        <v>Español</v>
      </c>
      <c r="L217" s="2" t="str">
        <f>IFERROR(__xludf.DUMMYFUNCTION("""COMPUTED_VALUE"""),"n/a")</f>
        <v>n/a</v>
      </c>
      <c r="M217" s="2" t="str">
        <f>IFERROR(__xludf.DUMMYFUNCTION("""COMPUTED_VALUE"""),"No")</f>
        <v>No</v>
      </c>
      <c r="N217" s="3" t="str">
        <f>IFERROR(__xludf.DUMMYFUNCTION("""COMPUTED_VALUE"""),"https://portal.ucm.cl/estudiantes")</f>
        <v>https://portal.ucm.cl/estudiantes</v>
      </c>
      <c r="O217" s="2" t="str">
        <f>IFERROR(__xludf.DUMMYFUNCTION("""COMPUTED_VALUE"""),"n/a")</f>
        <v>n/a</v>
      </c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30.0" customHeight="1">
      <c r="A218" s="2" t="str">
        <f>IFERROR(__xludf.DUMMYFUNCTION("""COMPUTED_VALUE"""),"Chile")</f>
        <v>Chile</v>
      </c>
      <c r="B218" s="2"/>
      <c r="C218" s="3" t="str">
        <f>IFERROR(__xludf.DUMMYFUNCTION("""COMPUTED_VALUE"""),"Universidad Católica del Norte")</f>
        <v>Universidad Católica del Norte</v>
      </c>
      <c r="D218" s="2" t="str">
        <f>IFERROR(__xludf.DUMMYFUNCTION("""COMPUTED_VALUE"""),"Ac. Bilaterales (no Erasmus)")</f>
        <v>Ac. Bilaterales (no Erasmus)</v>
      </c>
      <c r="E218" s="2" t="str">
        <f>IFERROR(__xludf.DUMMYFUNCTION("""COMPUTED_VALUE"""),"Sin especificar")</f>
        <v>Sin especificar</v>
      </c>
      <c r="F218" s="2" t="str">
        <f>IFERROR(__xludf.DUMMYFUNCTION("""COMPUTED_VALUE"""),"Anual")</f>
        <v>Anual</v>
      </c>
      <c r="G218" s="2" t="str">
        <f>IFERROR(__xludf.DUMMYFUNCTION("""COMPUTED_VALUE"""),"Bilbao")</f>
        <v>Bilbao</v>
      </c>
      <c r="H218" s="2" t="str">
        <f>IFERROR(__xludf.DUMMYFUNCTION("""COMPUTED_VALUE"""),"Ciencias de la Salud")</f>
        <v>Ciencias de la Salud</v>
      </c>
      <c r="I218" s="2" t="str">
        <f>IFERROR(__xludf.DUMMYFUNCTION("""COMPUTED_VALUE"""),"Psicología")</f>
        <v>Psicología</v>
      </c>
      <c r="J218" s="2" t="str">
        <f>IFERROR(__xludf.DUMMYFUNCTION("""COMPUTED_VALUE"""),"Grado")</f>
        <v>Grado</v>
      </c>
      <c r="K218" s="2" t="str">
        <f>IFERROR(__xludf.DUMMYFUNCTION("""COMPUTED_VALUE"""),"Español")</f>
        <v>Español</v>
      </c>
      <c r="L218" s="2" t="str">
        <f>IFERROR(__xludf.DUMMYFUNCTION("""COMPUTED_VALUE"""),"n/a")</f>
        <v>n/a</v>
      </c>
      <c r="M218" s="2" t="str">
        <f>IFERROR(__xludf.DUMMYFUNCTION("""COMPUTED_VALUE"""),"No")</f>
        <v>No</v>
      </c>
      <c r="N218" s="2" t="str">
        <f>IFERROR(__xludf.DUMMYFUNCTION("""COMPUTED_VALUE"""),"n/a")</f>
        <v>n/a</v>
      </c>
      <c r="O218" s="2" t="str">
        <f>IFERROR(__xludf.DUMMYFUNCTION("""COMPUTED_VALUE"""),"n/a")</f>
        <v>n/a</v>
      </c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30.0" customHeight="1">
      <c r="A219" s="2" t="str">
        <f>IFERROR(__xludf.DUMMYFUNCTION("""COMPUTED_VALUE"""),"Chile")</f>
        <v>Chile</v>
      </c>
      <c r="B219" s="2" t="str">
        <f>IFERROR(__xludf.DUMMYFUNCTION("""COMPUTED_VALUE"""),"RCH SANTIA08")</f>
        <v>RCH SANTIA08</v>
      </c>
      <c r="C219" s="3" t="str">
        <f>IFERROR(__xludf.DUMMYFUNCTION("""COMPUTED_VALUE"""),"Universidad Católica Silva Henríquez")</f>
        <v>Universidad Católica Silva Henríquez</v>
      </c>
      <c r="D219" s="2" t="str">
        <f>IFERROR(__xludf.DUMMYFUNCTION("""COMPUTED_VALUE"""),"Ac. Bilaterales (no Erasmus)")</f>
        <v>Ac. Bilaterales (no Erasmus)</v>
      </c>
      <c r="E219" s="2">
        <f>IFERROR(__xludf.DUMMYFUNCTION("""COMPUTED_VALUE"""),2.0)</f>
        <v>2</v>
      </c>
      <c r="F219" s="2" t="str">
        <f>IFERROR(__xludf.DUMMYFUNCTION("""COMPUTED_VALUE"""),"Semestre")</f>
        <v>Semestre</v>
      </c>
      <c r="G219" s="2" t="str">
        <f>IFERROR(__xludf.DUMMYFUNCTION("""COMPUTED_VALUE"""),"Ambos")</f>
        <v>Ambos</v>
      </c>
      <c r="H219" s="2" t="str">
        <f>IFERROR(__xludf.DUMMYFUNCTION("""COMPUTED_VALUE"""),"Educación y Deporte")</f>
        <v>Educación y Deporte</v>
      </c>
      <c r="I219" s="2" t="str">
        <f>IFERROR(__xludf.DUMMYFUNCTION("""COMPUTED_VALUE"""),"Educación Primaria")</f>
        <v>Educación Primaria</v>
      </c>
      <c r="J219" s="2" t="str">
        <f>IFERROR(__xludf.DUMMYFUNCTION("""COMPUTED_VALUE"""),"Grado")</f>
        <v>Grado</v>
      </c>
      <c r="K219" s="2" t="str">
        <f>IFERROR(__xludf.DUMMYFUNCTION("""COMPUTED_VALUE"""),"Español")</f>
        <v>Español</v>
      </c>
      <c r="L219" s="2" t="str">
        <f>IFERROR(__xludf.DUMMYFUNCTION("""COMPUTED_VALUE"""),"n/a")</f>
        <v>n/a</v>
      </c>
      <c r="M219" s="2" t="str">
        <f>IFERROR(__xludf.DUMMYFUNCTION("""COMPUTED_VALUE"""),"No")</f>
        <v>No</v>
      </c>
      <c r="N219" s="3" t="str">
        <f>IFERROR(__xludf.DUMMYFUNCTION("""COMPUTED_VALUE"""),"https://www.ucsh.cl/internacional/")</f>
        <v>https://www.ucsh.cl/internacional/</v>
      </c>
      <c r="O219" s="2" t="str">
        <f>IFERROR(__xludf.DUMMYFUNCTION("""COMPUTED_VALUE"""),"n/a")</f>
        <v>n/a</v>
      </c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30.0" customHeight="1">
      <c r="A220" s="2" t="str">
        <f>IFERROR(__xludf.DUMMYFUNCTION("""COMPUTED_VALUE"""),"Chile")</f>
        <v>Chile</v>
      </c>
      <c r="B220" s="2" t="str">
        <f>IFERROR(__xludf.DUMMYFUNCTION("""COMPUTED_VALUE"""),"RCH SANTIA08")</f>
        <v>RCH SANTIA08</v>
      </c>
      <c r="C220" s="3" t="str">
        <f>IFERROR(__xludf.DUMMYFUNCTION("""COMPUTED_VALUE"""),"Universidad Católica Silva Henríquez")</f>
        <v>Universidad Católica Silva Henríquez</v>
      </c>
      <c r="D220" s="2" t="str">
        <f>IFERROR(__xludf.DUMMYFUNCTION("""COMPUTED_VALUE"""),"Ac. Bilaterales (no Erasmus)")</f>
        <v>Ac. Bilaterales (no Erasmus)</v>
      </c>
      <c r="E220" s="2">
        <f>IFERROR(__xludf.DUMMYFUNCTION("""COMPUTED_VALUE"""),2.0)</f>
        <v>2</v>
      </c>
      <c r="F220" s="2" t="str">
        <f>IFERROR(__xludf.DUMMYFUNCTION("""COMPUTED_VALUE"""),"Semestre")</f>
        <v>Semestre</v>
      </c>
      <c r="G220" s="2" t="str">
        <f>IFERROR(__xludf.DUMMYFUNCTION("""COMPUTED_VALUE"""),"Bilbao")</f>
        <v>Bilbao</v>
      </c>
      <c r="H220" s="2" t="str">
        <f>IFERROR(__xludf.DUMMYFUNCTION("""COMPUTED_VALUE"""),"Educación y Deporte")</f>
        <v>Educación y Deporte</v>
      </c>
      <c r="I220" s="2" t="str">
        <f>IFERROR(__xludf.DUMMYFUNCTION("""COMPUTED_VALUE"""),"Educación Social")</f>
        <v>Educación Social</v>
      </c>
      <c r="J220" s="2" t="str">
        <f>IFERROR(__xludf.DUMMYFUNCTION("""COMPUTED_VALUE"""),"Grado")</f>
        <v>Grado</v>
      </c>
      <c r="K220" s="2" t="str">
        <f>IFERROR(__xludf.DUMMYFUNCTION("""COMPUTED_VALUE"""),"Español")</f>
        <v>Español</v>
      </c>
      <c r="L220" s="2" t="str">
        <f>IFERROR(__xludf.DUMMYFUNCTION("""COMPUTED_VALUE"""),"n/a")</f>
        <v>n/a</v>
      </c>
      <c r="M220" s="2" t="str">
        <f>IFERROR(__xludf.DUMMYFUNCTION("""COMPUTED_VALUE"""),"No")</f>
        <v>No</v>
      </c>
      <c r="N220" s="2" t="str">
        <f>IFERROR(__xludf.DUMMYFUNCTION("""COMPUTED_VALUE"""),"n/a")</f>
        <v>n/a</v>
      </c>
      <c r="O220" s="2" t="str">
        <f>IFERROR(__xludf.DUMMYFUNCTION("""COMPUTED_VALUE"""),"n/a")</f>
        <v>n/a</v>
      </c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30.0" customHeight="1">
      <c r="A221" s="2" t="str">
        <f>IFERROR(__xludf.DUMMYFUNCTION("""COMPUTED_VALUE"""),"Chile")</f>
        <v>Chile</v>
      </c>
      <c r="B221" s="2" t="str">
        <f>IFERROR(__xludf.DUMMYFUNCTION("""COMPUTED_VALUE"""),"RCH SANTIA08")</f>
        <v>RCH SANTIA08</v>
      </c>
      <c r="C221" s="3" t="str">
        <f>IFERROR(__xludf.DUMMYFUNCTION("""COMPUTED_VALUE"""),"Universidad Católica Silva Henríquez")</f>
        <v>Universidad Católica Silva Henríquez</v>
      </c>
      <c r="D221" s="2" t="str">
        <f>IFERROR(__xludf.DUMMYFUNCTION("""COMPUTED_VALUE"""),"Ac. Bilaterales (no Erasmus)")</f>
        <v>Ac. Bilaterales (no Erasmus)</v>
      </c>
      <c r="E221" s="2">
        <f>IFERROR(__xludf.DUMMYFUNCTION("""COMPUTED_VALUE"""),2.0)</f>
        <v>2</v>
      </c>
      <c r="F221" s="2" t="str">
        <f>IFERROR(__xludf.DUMMYFUNCTION("""COMPUTED_VALUE"""),"Semestre")</f>
        <v>Semestre</v>
      </c>
      <c r="G221" s="2" t="str">
        <f>IFERROR(__xludf.DUMMYFUNCTION("""COMPUTED_VALUE"""),"Ambos")</f>
        <v>Ambos</v>
      </c>
      <c r="H221" s="2" t="str">
        <f>IFERROR(__xludf.DUMMYFUNCTION("""COMPUTED_VALUE"""),"Ciencias Sociales y Humanas")</f>
        <v>Ciencias Sociales y Humanas</v>
      </c>
      <c r="I221" s="2" t="str">
        <f>IFERROR(__xludf.DUMMYFUNCTION("""COMPUTED_VALUE"""),"Trabajo Social")</f>
        <v>Trabajo Social</v>
      </c>
      <c r="J221" s="2" t="str">
        <f>IFERROR(__xludf.DUMMYFUNCTION("""COMPUTED_VALUE"""),"Grado")</f>
        <v>Grado</v>
      </c>
      <c r="K221" s="2" t="str">
        <f>IFERROR(__xludf.DUMMYFUNCTION("""COMPUTED_VALUE"""),"Español")</f>
        <v>Español</v>
      </c>
      <c r="L221" s="2" t="str">
        <f>IFERROR(__xludf.DUMMYFUNCTION("""COMPUTED_VALUE"""),"n/a")</f>
        <v>n/a</v>
      </c>
      <c r="M221" s="2" t="str">
        <f>IFERROR(__xludf.DUMMYFUNCTION("""COMPUTED_VALUE"""),"No")</f>
        <v>No</v>
      </c>
      <c r="N221" s="3" t="str">
        <f>IFERROR(__xludf.DUMMYFUNCTION("""COMPUTED_VALUE"""),"https://www.ucsh.cl/internacional/")</f>
        <v>https://www.ucsh.cl/internacional/</v>
      </c>
      <c r="O221" s="3" t="str">
        <f>IFERROR(__xludf.DUMMYFUNCTION("""COMPUTED_VALUE"""),"Más información / Informazio gehigarria")</f>
        <v>Más información / Informazio gehigarria</v>
      </c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30.0" customHeight="1">
      <c r="A222" s="2" t="str">
        <f>IFERROR(__xludf.DUMMYFUNCTION("""COMPUTED_VALUE"""),"Chile")</f>
        <v>Chile</v>
      </c>
      <c r="B222" s="2" t="str">
        <f>IFERROR(__xludf.DUMMYFUNCTION("""COMPUTED_VALUE"""),"RCHTEMUCO01")</f>
        <v>RCHTEMUCO01</v>
      </c>
      <c r="C222" s="3" t="str">
        <f>IFERROR(__xludf.DUMMYFUNCTION("""COMPUTED_VALUE"""),"Universidad Católica de Temuco")</f>
        <v>Universidad Católica de Temuco</v>
      </c>
      <c r="D222" s="2" t="str">
        <f>IFERROR(__xludf.DUMMYFUNCTION("""COMPUTED_VALUE"""),"Ac. Bilaterales (no Erasmus)")</f>
        <v>Ac. Bilaterales (no Erasmus)</v>
      </c>
      <c r="E222" s="2">
        <f>IFERROR(__xludf.DUMMYFUNCTION("""COMPUTED_VALUE"""),2.0)</f>
        <v>2</v>
      </c>
      <c r="F222" s="2" t="str">
        <f>IFERROR(__xludf.DUMMYFUNCTION("""COMPUTED_VALUE"""),"Semestre")</f>
        <v>Semestre</v>
      </c>
      <c r="G222" s="2" t="str">
        <f>IFERROR(__xludf.DUMMYFUNCTION("""COMPUTED_VALUE"""),"Bilbao")</f>
        <v>Bilbao</v>
      </c>
      <c r="H222" s="2" t="str">
        <f>IFERROR(__xludf.DUMMYFUNCTION("""COMPUTED_VALUE"""),"Ciencias Sociales y Humanas")</f>
        <v>Ciencias Sociales y Humanas</v>
      </c>
      <c r="I222" s="2" t="str">
        <f>IFERROR(__xludf.DUMMYFUNCTION("""COMPUTED_VALUE"""),"Filosofía, Política y Economía")</f>
        <v>Filosofía, Política y Economía</v>
      </c>
      <c r="J222" s="2" t="str">
        <f>IFERROR(__xludf.DUMMYFUNCTION("""COMPUTED_VALUE"""),"Grado")</f>
        <v>Grado</v>
      </c>
      <c r="K222" s="2" t="str">
        <f>IFERROR(__xludf.DUMMYFUNCTION("""COMPUTED_VALUE"""),"Español")</f>
        <v>Español</v>
      </c>
      <c r="L222" s="2" t="str">
        <f>IFERROR(__xludf.DUMMYFUNCTION("""COMPUTED_VALUE"""),"n/a")</f>
        <v>n/a</v>
      </c>
      <c r="M222" s="2" t="str">
        <f>IFERROR(__xludf.DUMMYFUNCTION("""COMPUTED_VALUE"""),"No")</f>
        <v>No</v>
      </c>
      <c r="N222" s="2" t="str">
        <f>IFERROR(__xludf.DUMMYFUNCTION("""COMPUTED_VALUE"""),"n/a")</f>
        <v>n/a</v>
      </c>
      <c r="O222" s="3" t="str">
        <f>IFERROR(__xludf.DUMMYFUNCTION("""COMPUTED_VALUE"""),"Más información / Informazio gehigarria")</f>
        <v>Más información / Informazio gehigarria</v>
      </c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30.0" customHeight="1">
      <c r="A223" s="2" t="str">
        <f>IFERROR(__xludf.DUMMYFUNCTION("""COMPUTED_VALUE"""),"Chile")</f>
        <v>Chile</v>
      </c>
      <c r="B223" s="2" t="str">
        <f>IFERROR(__xludf.DUMMYFUNCTION("""COMPUTED_VALUE"""),"RCHTEMUCO02")</f>
        <v>RCHTEMUCO02</v>
      </c>
      <c r="C223" s="3" t="str">
        <f>IFERROR(__xludf.DUMMYFUNCTION("""COMPUTED_VALUE"""),"Universidad de la Frontera")</f>
        <v>Universidad de la Frontera</v>
      </c>
      <c r="D223" s="2" t="str">
        <f>IFERROR(__xludf.DUMMYFUNCTION("""COMPUTED_VALUE"""),"Ac. Bilaterales (no Erasmus)")</f>
        <v>Ac. Bilaterales (no Erasmus)</v>
      </c>
      <c r="E223" s="2">
        <f>IFERROR(__xludf.DUMMYFUNCTION("""COMPUTED_VALUE"""),3.0)</f>
        <v>3</v>
      </c>
      <c r="F223" s="2" t="str">
        <f>IFERROR(__xludf.DUMMYFUNCTION("""COMPUTED_VALUE"""),"Semestre")</f>
        <v>Semestre</v>
      </c>
      <c r="G223" s="2" t="str">
        <f>IFERROR(__xludf.DUMMYFUNCTION("""COMPUTED_VALUE"""),"Ambos")</f>
        <v>Ambos</v>
      </c>
      <c r="H223" s="2" t="str">
        <f>IFERROR(__xludf.DUMMYFUNCTION("""COMPUTED_VALUE"""),"Ciencias Sociales y Humanas")</f>
        <v>Ciencias Sociales y Humanas</v>
      </c>
      <c r="I223" s="2" t="str">
        <f>IFERROR(__xludf.DUMMYFUNCTION("""COMPUTED_VALUE"""),"Trabajo Social")</f>
        <v>Trabajo Social</v>
      </c>
      <c r="J223" s="2" t="str">
        <f>IFERROR(__xludf.DUMMYFUNCTION("""COMPUTED_VALUE"""),"Grado")</f>
        <v>Grado</v>
      </c>
      <c r="K223" s="2" t="str">
        <f>IFERROR(__xludf.DUMMYFUNCTION("""COMPUTED_VALUE"""),"Español")</f>
        <v>Español</v>
      </c>
      <c r="L223" s="2" t="str">
        <f>IFERROR(__xludf.DUMMYFUNCTION("""COMPUTED_VALUE"""),"n/a")</f>
        <v>n/a</v>
      </c>
      <c r="M223" s="2" t="str">
        <f>IFERROR(__xludf.DUMMYFUNCTION("""COMPUTED_VALUE"""),"No")</f>
        <v>No</v>
      </c>
      <c r="N223" s="3" t="str">
        <f>IFERROR(__xludf.DUMMYFUNCTION("""COMPUTED_VALUE"""),"https://www.ufro.cl/")</f>
        <v>https://www.ufro.cl/</v>
      </c>
      <c r="O223" s="3" t="str">
        <f>IFERROR(__xludf.DUMMYFUNCTION("""COMPUTED_VALUE"""),"Más información / Informazio gehigarria")</f>
        <v>Más información / Informazio gehigarria</v>
      </c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30.0" customHeight="1">
      <c r="A224" s="2" t="str">
        <f>IFERROR(__xludf.DUMMYFUNCTION("""COMPUTED_VALUE"""),"Chile")</f>
        <v>Chile</v>
      </c>
      <c r="B224" s="2"/>
      <c r="C224" s="3" t="str">
        <f>IFERROR(__xludf.DUMMYFUNCTION("""COMPUTED_VALUE"""),"Universidad de los Andes")</f>
        <v>Universidad de los Andes</v>
      </c>
      <c r="D224" s="2" t="str">
        <f>IFERROR(__xludf.DUMMYFUNCTION("""COMPUTED_VALUE"""),"Ac. Bilaterales (no Erasmus)")</f>
        <v>Ac. Bilaterales (no Erasmus)</v>
      </c>
      <c r="E224" s="2">
        <f>IFERROR(__xludf.DUMMYFUNCTION("""COMPUTED_VALUE"""),2.0)</f>
        <v>2</v>
      </c>
      <c r="F224" s="2" t="str">
        <f>IFERROR(__xludf.DUMMYFUNCTION("""COMPUTED_VALUE"""),"Semestre")</f>
        <v>Semestre</v>
      </c>
      <c r="G224" s="2" t="str">
        <f>IFERROR(__xludf.DUMMYFUNCTION("""COMPUTED_VALUE"""),"Bilbao")</f>
        <v>Bilbao</v>
      </c>
      <c r="H224" s="2" t="str">
        <f>IFERROR(__xludf.DUMMYFUNCTION("""COMPUTED_VALUE"""),"Derecho")</f>
        <v>Derecho</v>
      </c>
      <c r="I224" s="2" t="str">
        <f>IFERROR(__xludf.DUMMYFUNCTION("""COMPUTED_VALUE"""),"Derecho, Derecho + Relaciones Laborales")</f>
        <v>Derecho, Derecho + Relaciones Laborales</v>
      </c>
      <c r="J224" s="2" t="str">
        <f>IFERROR(__xludf.DUMMYFUNCTION("""COMPUTED_VALUE"""),"Grado")</f>
        <v>Grado</v>
      </c>
      <c r="K224" s="2" t="str">
        <f>IFERROR(__xludf.DUMMYFUNCTION("""COMPUTED_VALUE"""),"Español")</f>
        <v>Español</v>
      </c>
      <c r="L224" s="2"/>
      <c r="M224" s="2" t="str">
        <f>IFERROR(__xludf.DUMMYFUNCTION("""COMPUTED_VALUE"""),"No")</f>
        <v>No</v>
      </c>
      <c r="N224" s="3" t="str">
        <f>IFERROR(__xludf.DUMMYFUNCTION("""COMPUTED_VALUE"""),"https://www.uniandes.edu.co/es/vida-universitaria")</f>
        <v>https://www.uniandes.edu.co/es/vida-universitaria</v>
      </c>
      <c r="O224" s="3" t="str">
        <f>IFERROR(__xludf.DUMMYFUNCTION("""COMPUTED_VALUE"""),"Más información / Informazio gehigarria")</f>
        <v>Más información / Informazio gehigarria</v>
      </c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30.0" customHeight="1">
      <c r="A225" s="2" t="str">
        <f>IFERROR(__xludf.DUMMYFUNCTION("""COMPUTED_VALUE"""),"Chile")</f>
        <v>Chile</v>
      </c>
      <c r="B225" s="2" t="str">
        <f>IFERROR(__xludf.DUMMYFUNCTION("""COMPUTED_VALUE"""),"RCHTALCA01")</f>
        <v>RCHTALCA01</v>
      </c>
      <c r="C225" s="3" t="str">
        <f>IFERROR(__xludf.DUMMYFUNCTION("""COMPUTED_VALUE"""),"Universidad de Talca")</f>
        <v>Universidad de Talca</v>
      </c>
      <c r="D225" s="2" t="str">
        <f>IFERROR(__xludf.DUMMYFUNCTION("""COMPUTED_VALUE"""),"Ac. Bilaterales (no Erasmus)")</f>
        <v>Ac. Bilaterales (no Erasmus)</v>
      </c>
      <c r="E225" s="2">
        <f>IFERROR(__xludf.DUMMYFUNCTION("""COMPUTED_VALUE"""),2.0)</f>
        <v>2</v>
      </c>
      <c r="F225" s="2" t="str">
        <f>IFERROR(__xludf.DUMMYFUNCTION("""COMPUTED_VALUE"""),"Semestre")</f>
        <v>Semestre</v>
      </c>
      <c r="G225" s="2" t="str">
        <f>IFERROR(__xludf.DUMMYFUNCTION("""COMPUTED_VALUE"""),"Ambos")</f>
        <v>Ambos</v>
      </c>
      <c r="H225" s="2" t="str">
        <f>IFERROR(__xludf.DUMMYFUNCTION("""COMPUTED_VALUE"""),"Ingeniería")</f>
        <v>Ingeniería</v>
      </c>
      <c r="I225" s="2" t="str">
        <f>IFERROR(__xludf.DUMMYFUNCTION("""COMPUTED_VALUE"""),"Ingeniería Informática, Diseño Industrial, Ingeniería Mecánica, Ciencia de Datos e IA + Ingeniería Informática, Diseño Industrial + Ingeniería Mecánica, Ingeniería Informática + Videojuegos")</f>
        <v>Ingeniería Informática, Diseño Industrial, Ingeniería Mecánica, Ciencia de Datos e IA + Ingeniería Informática, Diseño Industrial + Ingeniería Mecánica, Ingeniería Informática + Videojuegos</v>
      </c>
      <c r="J225" s="2" t="str">
        <f>IFERROR(__xludf.DUMMYFUNCTION("""COMPUTED_VALUE"""),"Grado")</f>
        <v>Grado</v>
      </c>
      <c r="K225" s="2" t="str">
        <f>IFERROR(__xludf.DUMMYFUNCTION("""COMPUTED_VALUE"""),"Español")</f>
        <v>Español</v>
      </c>
      <c r="L225" s="2" t="str">
        <f>IFERROR(__xludf.DUMMYFUNCTION("""COMPUTED_VALUE"""),"n/a")</f>
        <v>n/a</v>
      </c>
      <c r="M225" s="2" t="str">
        <f>IFERROR(__xludf.DUMMYFUNCTION("""COMPUTED_VALUE"""),"No")</f>
        <v>No</v>
      </c>
      <c r="N225" s="2" t="str">
        <f>IFERROR(__xludf.DUMMYFUNCTION("""COMPUTED_VALUE"""),"n/a")</f>
        <v>n/a</v>
      </c>
      <c r="O225" s="3" t="str">
        <f>IFERROR(__xludf.DUMMYFUNCTION("""COMPUTED_VALUE"""),"Más información / Informazio gehigarria")</f>
        <v>Más información / Informazio gehigarria</v>
      </c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30.0" customHeight="1">
      <c r="A226" s="2" t="str">
        <f>IFERROR(__xludf.DUMMYFUNCTION("""COMPUTED_VALUE"""),"Chile")</f>
        <v>Chile</v>
      </c>
      <c r="B226" s="2" t="str">
        <f>IFERROR(__xludf.DUMMYFUNCTION("""COMPUTED_VALUE"""),"RCH SANTIA10")</f>
        <v>RCH SANTIA10</v>
      </c>
      <c r="C226" s="3" t="str">
        <f>IFERROR(__xludf.DUMMYFUNCTION("""COMPUTED_VALUE"""),"Universidad Mayor")</f>
        <v>Universidad Mayor</v>
      </c>
      <c r="D226" s="2" t="str">
        <f>IFERROR(__xludf.DUMMYFUNCTION("""COMPUTED_VALUE"""),"Ac. Bilaterales (no Erasmus)")</f>
        <v>Ac. Bilaterales (no Erasmus)</v>
      </c>
      <c r="E226" s="2">
        <f>IFERROR(__xludf.DUMMYFUNCTION("""COMPUTED_VALUE"""),1.0)</f>
        <v>1</v>
      </c>
      <c r="F226" s="2" t="str">
        <f>IFERROR(__xludf.DUMMYFUNCTION("""COMPUTED_VALUE"""),"Semestre")</f>
        <v>Semestre</v>
      </c>
      <c r="G226" s="2" t="str">
        <f>IFERROR(__xludf.DUMMYFUNCTION("""COMPUTED_VALUE"""),"Bilbao")</f>
        <v>Bilbao</v>
      </c>
      <c r="H226" s="2" t="str">
        <f>IFERROR(__xludf.DUMMYFUNCTION("""COMPUTED_VALUE"""),"Educación y Deporte")</f>
        <v>Educación y Deporte</v>
      </c>
      <c r="I226" s="2" t="str">
        <f>IFERROR(__xludf.DUMMYFUNCTION("""COMPUTED_VALUE"""),"CAFyD")</f>
        <v>CAFyD</v>
      </c>
      <c r="J226" s="2" t="str">
        <f>IFERROR(__xludf.DUMMYFUNCTION("""COMPUTED_VALUE"""),"Grado")</f>
        <v>Grado</v>
      </c>
      <c r="K226" s="2" t="str">
        <f>IFERROR(__xludf.DUMMYFUNCTION("""COMPUTED_VALUE"""),"Español")</f>
        <v>Español</v>
      </c>
      <c r="L226" s="2" t="str">
        <f>IFERROR(__xludf.DUMMYFUNCTION("""COMPUTED_VALUE"""),"n/a")</f>
        <v>n/a</v>
      </c>
      <c r="M226" s="2" t="str">
        <f>IFERROR(__xludf.DUMMYFUNCTION("""COMPUTED_VALUE"""),"No")</f>
        <v>No</v>
      </c>
      <c r="N226" s="2" t="str">
        <f>IFERROR(__xludf.DUMMYFUNCTION("""COMPUTED_VALUE"""),"n/a")</f>
        <v>n/a</v>
      </c>
      <c r="O226" s="3" t="str">
        <f>IFERROR(__xludf.DUMMYFUNCTION("""COMPUTED_VALUE"""),"Más información / Informazio gehigarria")</f>
        <v>Más información / Informazio gehigarria</v>
      </c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30.0" customHeight="1">
      <c r="A227" s="2" t="str">
        <f>IFERROR(__xludf.DUMMYFUNCTION("""COMPUTED_VALUE"""),"Chile")</f>
        <v>Chile</v>
      </c>
      <c r="B227" s="2" t="str">
        <f>IFERROR(__xludf.DUMMYFUNCTION("""COMPUTED_VALUE"""),"RCH SANTIA10")</f>
        <v>RCH SANTIA10</v>
      </c>
      <c r="C227" s="3" t="str">
        <f>IFERROR(__xludf.DUMMYFUNCTION("""COMPUTED_VALUE"""),"Universidad Mayor")</f>
        <v>Universidad Mayor</v>
      </c>
      <c r="D227" s="2" t="str">
        <f>IFERROR(__xludf.DUMMYFUNCTION("""COMPUTED_VALUE"""),"Ac. Bilaterales (no Erasmus)")</f>
        <v>Ac. Bilaterales (no Erasmus)</v>
      </c>
      <c r="E227" s="2">
        <f>IFERROR(__xludf.DUMMYFUNCTION("""COMPUTED_VALUE"""),1.0)</f>
        <v>1</v>
      </c>
      <c r="F227" s="2" t="str">
        <f>IFERROR(__xludf.DUMMYFUNCTION("""COMPUTED_VALUE"""),"Semestre")</f>
        <v>Semestre</v>
      </c>
      <c r="G227" s="2" t="str">
        <f>IFERROR(__xludf.DUMMYFUNCTION("""COMPUTED_VALUE"""),"Ambos")</f>
        <v>Ambos</v>
      </c>
      <c r="H227" s="2" t="str">
        <f>IFERROR(__xludf.DUMMYFUNCTION("""COMPUTED_VALUE"""),"Educación y Deporte")</f>
        <v>Educación y Deporte</v>
      </c>
      <c r="I227" s="2" t="str">
        <f>IFERROR(__xludf.DUMMYFUNCTION("""COMPUTED_VALUE"""),"Educación Primaria")</f>
        <v>Educación Primaria</v>
      </c>
      <c r="J227" s="2" t="str">
        <f>IFERROR(__xludf.DUMMYFUNCTION("""COMPUTED_VALUE"""),"Grado")</f>
        <v>Grado</v>
      </c>
      <c r="K227" s="2" t="str">
        <f>IFERROR(__xludf.DUMMYFUNCTION("""COMPUTED_VALUE"""),"Español")</f>
        <v>Español</v>
      </c>
      <c r="L227" s="2" t="str">
        <f>IFERROR(__xludf.DUMMYFUNCTION("""COMPUTED_VALUE"""),"n/a")</f>
        <v>n/a</v>
      </c>
      <c r="M227" s="2" t="str">
        <f>IFERROR(__xludf.DUMMYFUNCTION("""COMPUTED_VALUE"""),"No")</f>
        <v>No</v>
      </c>
      <c r="N227" s="3" t="str">
        <f>IFERROR(__xludf.DUMMYFUNCTION("""COMPUTED_VALUE"""),"https://rrii.umayor.cl/estudiantes-extranjeros#Interpresencial")</f>
        <v>https://rrii.umayor.cl/estudiantes-extranjeros#Interpresencial</v>
      </c>
      <c r="O227" s="3" t="str">
        <f>IFERROR(__xludf.DUMMYFUNCTION("""COMPUTED_VALUE"""),"Más información / Informazio gehigarria")</f>
        <v>Más información / Informazio gehigarria</v>
      </c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30.0" customHeight="1">
      <c r="A228" s="2" t="str">
        <f>IFERROR(__xludf.DUMMYFUNCTION("""COMPUTED_VALUE"""),"Chile")</f>
        <v>Chile</v>
      </c>
      <c r="B228" s="2" t="str">
        <f>IFERROR(__xludf.DUMMYFUNCTION("""COMPUTED_VALUE"""),"RCH SANTIA10")</f>
        <v>RCH SANTIA10</v>
      </c>
      <c r="C228" s="3" t="str">
        <f>IFERROR(__xludf.DUMMYFUNCTION("""COMPUTED_VALUE"""),"Universidad Mayor")</f>
        <v>Universidad Mayor</v>
      </c>
      <c r="D228" s="2" t="str">
        <f>IFERROR(__xludf.DUMMYFUNCTION("""COMPUTED_VALUE"""),"Ac. Bilaterales (no Erasmus)")</f>
        <v>Ac. Bilaterales (no Erasmus)</v>
      </c>
      <c r="E228" s="2">
        <f>IFERROR(__xludf.DUMMYFUNCTION("""COMPUTED_VALUE"""),1.0)</f>
        <v>1</v>
      </c>
      <c r="F228" s="2" t="str">
        <f>IFERROR(__xludf.DUMMYFUNCTION("""COMPUTED_VALUE"""),"Semestre")</f>
        <v>Semestre</v>
      </c>
      <c r="G228" s="2" t="str">
        <f>IFERROR(__xludf.DUMMYFUNCTION("""COMPUTED_VALUE"""),"Bilbao")</f>
        <v>Bilbao</v>
      </c>
      <c r="H228" s="2" t="str">
        <f>IFERROR(__xludf.DUMMYFUNCTION("""COMPUTED_VALUE"""),"Educación y Deporte")</f>
        <v>Educación y Deporte</v>
      </c>
      <c r="I228" s="2" t="str">
        <f>IFERROR(__xludf.DUMMYFUNCTION("""COMPUTED_VALUE"""),"Educación Social")</f>
        <v>Educación Social</v>
      </c>
      <c r="J228" s="2" t="str">
        <f>IFERROR(__xludf.DUMMYFUNCTION("""COMPUTED_VALUE"""),"Grado")</f>
        <v>Grado</v>
      </c>
      <c r="K228" s="2" t="str">
        <f>IFERROR(__xludf.DUMMYFUNCTION("""COMPUTED_VALUE"""),"Español")</f>
        <v>Español</v>
      </c>
      <c r="L228" s="2" t="str">
        <f>IFERROR(__xludf.DUMMYFUNCTION("""COMPUTED_VALUE"""),"n/a")</f>
        <v>n/a</v>
      </c>
      <c r="M228" s="2" t="str">
        <f>IFERROR(__xludf.DUMMYFUNCTION("""COMPUTED_VALUE"""),"No")</f>
        <v>No</v>
      </c>
      <c r="N228" s="2" t="str">
        <f>IFERROR(__xludf.DUMMYFUNCTION("""COMPUTED_VALUE"""),"n/a")</f>
        <v>n/a</v>
      </c>
      <c r="O228" s="3" t="str">
        <f>IFERROR(__xludf.DUMMYFUNCTION("""COMPUTED_VALUE"""),"Más información / Informazio gehigarria")</f>
        <v>Más información / Informazio gehigarria</v>
      </c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30.0" customHeight="1">
      <c r="A229" s="2" t="str">
        <f>IFERROR(__xludf.DUMMYFUNCTION("""COMPUTED_VALUE"""),"Chile")</f>
        <v>Chile</v>
      </c>
      <c r="B229" s="2" t="str">
        <f>IFERROR(__xludf.DUMMYFUNCTION("""COMPUTED_VALUE"""),"RCH SANTIA10")</f>
        <v>RCH SANTIA10</v>
      </c>
      <c r="C229" s="3" t="str">
        <f>IFERROR(__xludf.DUMMYFUNCTION("""COMPUTED_VALUE"""),"Universidad Mayor")</f>
        <v>Universidad Mayor</v>
      </c>
      <c r="D229" s="2" t="str">
        <f>IFERROR(__xludf.DUMMYFUNCTION("""COMPUTED_VALUE"""),"Ac. Bilaterales (no Erasmus)")</f>
        <v>Ac. Bilaterales (no Erasmus)</v>
      </c>
      <c r="E229" s="2">
        <f>IFERROR(__xludf.DUMMYFUNCTION("""COMPUTED_VALUE"""),2.0)</f>
        <v>2</v>
      </c>
      <c r="F229" s="2" t="str">
        <f>IFERROR(__xludf.DUMMYFUNCTION("""COMPUTED_VALUE"""),"Anual")</f>
        <v>Anual</v>
      </c>
      <c r="G229" s="2" t="str">
        <f>IFERROR(__xludf.DUMMYFUNCTION("""COMPUTED_VALUE"""),"Bilbao")</f>
        <v>Bilbao</v>
      </c>
      <c r="H229" s="2" t="str">
        <f>IFERROR(__xludf.DUMMYFUNCTION("""COMPUTED_VALUE"""),"Ciencias de la Salud")</f>
        <v>Ciencias de la Salud</v>
      </c>
      <c r="I229" s="2" t="str">
        <f>IFERROR(__xludf.DUMMYFUNCTION("""COMPUTED_VALUE"""),"Psicología")</f>
        <v>Psicología</v>
      </c>
      <c r="J229" s="2" t="str">
        <f>IFERROR(__xludf.DUMMYFUNCTION("""COMPUTED_VALUE"""),"Grado")</f>
        <v>Grado</v>
      </c>
      <c r="K229" s="2" t="str">
        <f>IFERROR(__xludf.DUMMYFUNCTION("""COMPUTED_VALUE"""),"Español")</f>
        <v>Español</v>
      </c>
      <c r="L229" s="2" t="str">
        <f>IFERROR(__xludf.DUMMYFUNCTION("""COMPUTED_VALUE"""),"n/a")</f>
        <v>n/a</v>
      </c>
      <c r="M229" s="2" t="str">
        <f>IFERROR(__xludf.DUMMYFUNCTION("""COMPUTED_VALUE"""),"No")</f>
        <v>No</v>
      </c>
      <c r="N229" s="2" t="str">
        <f>IFERROR(__xludf.DUMMYFUNCTION("""COMPUTED_VALUE"""),"n/a")</f>
        <v>n/a</v>
      </c>
      <c r="O229" s="3" t="str">
        <f>IFERROR(__xludf.DUMMYFUNCTION("""COMPUTED_VALUE"""),"Más información / Informazio gehigarria")</f>
        <v>Más información / Informazio gehigarria</v>
      </c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30.0" customHeight="1">
      <c r="A230" s="2" t="str">
        <f>IFERROR(__xludf.DUMMYFUNCTION("""COMPUTED_VALUE"""),"Chile")</f>
        <v>Chile</v>
      </c>
      <c r="B230" s="2"/>
      <c r="C230" s="3" t="str">
        <f>IFERROR(__xludf.DUMMYFUNCTION("""COMPUTED_VALUE"""),"Universidad Técnica Federico Santa María")</f>
        <v>Universidad Técnica Federico Santa María</v>
      </c>
      <c r="D230" s="2" t="str">
        <f>IFERROR(__xludf.DUMMYFUNCTION("""COMPUTED_VALUE"""),"Ac. Bilaterales (no Erasmus)")</f>
        <v>Ac. Bilaterales (no Erasmus)</v>
      </c>
      <c r="E230" s="2">
        <f>IFERROR(__xludf.DUMMYFUNCTION("""COMPUTED_VALUE"""),2.0)</f>
        <v>2</v>
      </c>
      <c r="F230" s="2" t="str">
        <f>IFERROR(__xludf.DUMMYFUNCTION("""COMPUTED_VALUE"""),"Semestre")</f>
        <v>Semestre</v>
      </c>
      <c r="G230" s="2" t="str">
        <f>IFERROR(__xludf.DUMMYFUNCTION("""COMPUTED_VALUE"""),"Bilbao")</f>
        <v>Bilbao</v>
      </c>
      <c r="H230" s="2" t="str">
        <f>IFERROR(__xludf.DUMMYFUNCTION("""COMPUTED_VALUE"""),"Ingeniería")</f>
        <v>Ingeniería</v>
      </c>
      <c r="I230" s="2" t="str">
        <f>IFERROR(__xludf.DUMMYFUNCTION("""COMPUTED_VALUE"""),"Diseño Industrial, Diseño Industrial + Ingeniería Mecánica")</f>
        <v>Diseño Industrial, Diseño Industrial + Ingeniería Mecánica</v>
      </c>
      <c r="J230" s="2" t="str">
        <f>IFERROR(__xludf.DUMMYFUNCTION("""COMPUTED_VALUE"""),"Grado")</f>
        <v>Grado</v>
      </c>
      <c r="K230" s="2" t="str">
        <f>IFERROR(__xludf.DUMMYFUNCTION("""COMPUTED_VALUE"""),"Español")</f>
        <v>Español</v>
      </c>
      <c r="L230" s="2" t="str">
        <f>IFERROR(__xludf.DUMMYFUNCTION("""COMPUTED_VALUE"""),"n/a")</f>
        <v>n/a</v>
      </c>
      <c r="M230" s="2" t="str">
        <f>IFERROR(__xludf.DUMMYFUNCTION("""COMPUTED_VALUE"""),"No")</f>
        <v>No</v>
      </c>
      <c r="N230" s="2" t="str">
        <f>IFERROR(__xludf.DUMMYFUNCTION("""COMPUTED_VALUE"""),"n/a")</f>
        <v>n/a</v>
      </c>
      <c r="O230" s="3" t="str">
        <f>IFERROR(__xludf.DUMMYFUNCTION("""COMPUTED_VALUE"""),"Más información / Informazio gehigarria")</f>
        <v>Más información / Informazio gehigarria</v>
      </c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30.0" customHeight="1">
      <c r="A231" s="2" t="str">
        <f>IFERROR(__xludf.DUMMYFUNCTION("""COMPUTED_VALUE"""),"China")</f>
        <v>China</v>
      </c>
      <c r="B231" s="2" t="str">
        <f>IFERROR(__xludf.DUMMYFUNCTION("""COMPUTED_VALUE"""),"RPC BEIJIN01")</f>
        <v>RPC BEIJIN01</v>
      </c>
      <c r="C231" s="3" t="str">
        <f>IFERROR(__xludf.DUMMYFUNCTION("""COMPUTED_VALUE"""),"China University of Political Sciences and Law")</f>
        <v>China University of Political Sciences and Law</v>
      </c>
      <c r="D231" s="2" t="str">
        <f>IFERROR(__xludf.DUMMYFUNCTION("""COMPUTED_VALUE"""),"Ac. Bilaterales (no Erasmus)")</f>
        <v>Ac. Bilaterales (no Erasmus)</v>
      </c>
      <c r="E231" s="2" t="str">
        <f>IFERROR(__xludf.DUMMYFUNCTION("""COMPUTED_VALUE"""),"Convenio Marco")</f>
        <v>Convenio Marco</v>
      </c>
      <c r="F231" s="2" t="str">
        <f>IFERROR(__xludf.DUMMYFUNCTION("""COMPUTED_VALUE"""),"Semestre")</f>
        <v>Semestre</v>
      </c>
      <c r="G231" s="2" t="str">
        <f>IFERROR(__xludf.DUMMYFUNCTION("""COMPUTED_VALUE"""),"Bilbao")</f>
        <v>Bilbao</v>
      </c>
      <c r="H231" s="2" t="str">
        <f>IFERROR(__xludf.DUMMYFUNCTION("""COMPUTED_VALUE"""),"Derecho")</f>
        <v>Derecho</v>
      </c>
      <c r="I231" s="2" t="str">
        <f>IFERROR(__xludf.DUMMYFUNCTION("""COMPUTED_VALUE"""),"Derecho, Derecho + Relaciones Laborales")</f>
        <v>Derecho, Derecho + Relaciones Laborales</v>
      </c>
      <c r="J231" s="2" t="str">
        <f>IFERROR(__xludf.DUMMYFUNCTION("""COMPUTED_VALUE"""),"Grado")</f>
        <v>Grado</v>
      </c>
      <c r="K231" s="2" t="str">
        <f>IFERROR(__xludf.DUMMYFUNCTION("""COMPUTED_VALUE"""),"Inglés")</f>
        <v>Inglés</v>
      </c>
      <c r="L231" s="2" t="str">
        <f>IFERROR(__xludf.DUMMYFUNCTION("""COMPUTED_VALUE"""),"B2")</f>
        <v>B2</v>
      </c>
      <c r="M231" s="2" t="str">
        <f>IFERROR(__xludf.DUMMYFUNCTION("""COMPUTED_VALUE"""),"No")</f>
        <v>No</v>
      </c>
      <c r="N231" s="3" t="str">
        <f>IFERROR(__xludf.DUMMYFUNCTION("""COMPUTED_VALUE"""),"https://www.upf.edu/documents/105229234/121124620/China+University+of+Political+Science+and+Law/9e92e253-c473-0e19-c0e1-fadeca97942a")</f>
        <v>https://www.upf.edu/documents/105229234/121124620/China+University+of+Political+Science+and+Law/9e92e253-c473-0e19-c0e1-fadeca97942a</v>
      </c>
      <c r="O231" s="3" t="str">
        <f>IFERROR(__xludf.DUMMYFUNCTION("""COMPUTED_VALUE"""),"Más información / Informazio gehigarria")</f>
        <v>Más información / Informazio gehigarria</v>
      </c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30.0" customHeight="1">
      <c r="A232" s="2" t="str">
        <f>IFERROR(__xludf.DUMMYFUNCTION("""COMPUTED_VALUE"""),"China")</f>
        <v>China</v>
      </c>
      <c r="B232" s="2" t="str">
        <f>IFERROR(__xludf.DUMMYFUNCTION("""COMPUTED_VALUE"""),"RPC BEIJIN01")</f>
        <v>RPC BEIJIN01</v>
      </c>
      <c r="C232" s="3" t="str">
        <f>IFERROR(__xludf.DUMMYFUNCTION("""COMPUTED_VALUE"""),"China University of Political Sciences and Law")</f>
        <v>China University of Political Sciences and Law</v>
      </c>
      <c r="D232" s="2" t="str">
        <f>IFERROR(__xludf.DUMMYFUNCTION("""COMPUTED_VALUE"""),"Ac. Bilaterales (no Erasmus)")</f>
        <v>Ac. Bilaterales (no Erasmus)</v>
      </c>
      <c r="E232" s="2" t="str">
        <f>IFERROR(__xludf.DUMMYFUNCTION("""COMPUTED_VALUE"""),"Convenio Marco")</f>
        <v>Convenio Marco</v>
      </c>
      <c r="F232" s="2" t="str">
        <f>IFERROR(__xludf.DUMMYFUNCTION("""COMPUTED_VALUE"""),"Anual")</f>
        <v>Anual</v>
      </c>
      <c r="G232" s="2" t="str">
        <f>IFERROR(__xludf.DUMMYFUNCTION("""COMPUTED_VALUE"""),"Bilbao")</f>
        <v>Bilbao</v>
      </c>
      <c r="H232" s="2" t="str">
        <f>IFERROR(__xludf.DUMMYFUNCTION("""COMPUTED_VALUE"""),"Ciencias Sociales y Humanas")</f>
        <v>Ciencias Sociales y Humanas</v>
      </c>
      <c r="I232" s="2" t="str">
        <f>IFERROR(__xludf.DUMMYFUNCTION("""COMPUTED_VALUE"""),"Relaciones Internacionales, Relaciones Internacionales + Derecho")</f>
        <v>Relaciones Internacionales, Relaciones Internacionales + Derecho</v>
      </c>
      <c r="J232" s="2" t="str">
        <f>IFERROR(__xludf.DUMMYFUNCTION("""COMPUTED_VALUE"""),"Grado")</f>
        <v>Grado</v>
      </c>
      <c r="K232" s="2" t="str">
        <f>IFERROR(__xludf.DUMMYFUNCTION("""COMPUTED_VALUE"""),"Inglés")</f>
        <v>Inglés</v>
      </c>
      <c r="L232" s="2" t="str">
        <f>IFERROR(__xludf.DUMMYFUNCTION("""COMPUTED_VALUE"""),"B2")</f>
        <v>B2</v>
      </c>
      <c r="M232" s="2" t="str">
        <f>IFERROR(__xludf.DUMMYFUNCTION("""COMPUTED_VALUE"""),"No")</f>
        <v>No</v>
      </c>
      <c r="N232" s="3" t="str">
        <f>IFERROR(__xludf.DUMMYFUNCTION("""COMPUTED_VALUE"""),"https://www.upf.edu/documents/105229234/121124620/China+University+of+Political+Science+and+Law/9e92e253-c473-0e19-c0e1-fadeca97942a")</f>
        <v>https://www.upf.edu/documents/105229234/121124620/China+University+of+Political+Science+and+Law/9e92e253-c473-0e19-c0e1-fadeca97942a</v>
      </c>
      <c r="O232" s="3" t="str">
        <f>IFERROR(__xludf.DUMMYFUNCTION("""COMPUTED_VALUE"""),"Más información / Informazio gehigarria")</f>
        <v>Más información / Informazio gehigarria</v>
      </c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30.0" customHeight="1">
      <c r="A233" s="2" t="str">
        <f>IFERROR(__xludf.DUMMYFUNCTION("""COMPUTED_VALUE"""),"China")</f>
        <v>China</v>
      </c>
      <c r="B233" s="2"/>
      <c r="C233" s="3" t="str">
        <f>IFERROR(__xludf.DUMMYFUNCTION("""COMPUTED_VALUE"""),"Northwestern Polytechnical University of Xi'an")</f>
        <v>Northwestern Polytechnical University of Xi'an</v>
      </c>
      <c r="D233" s="2" t="str">
        <f>IFERROR(__xludf.DUMMYFUNCTION("""COMPUTED_VALUE"""),"Ac. Bilaterales (no Erasmus)")</f>
        <v>Ac. Bilaterales (no Erasmus)</v>
      </c>
      <c r="E233" s="2">
        <f>IFERROR(__xludf.DUMMYFUNCTION("""COMPUTED_VALUE"""),2.0)</f>
        <v>2</v>
      </c>
      <c r="F233" s="2" t="str">
        <f>IFERROR(__xludf.DUMMYFUNCTION("""COMPUTED_VALUE"""),"Semestre")</f>
        <v>Semestre</v>
      </c>
      <c r="G233" s="2" t="str">
        <f>IFERROR(__xludf.DUMMYFUNCTION("""COMPUTED_VALUE"""),"Bilbao")</f>
        <v>Bilbao</v>
      </c>
      <c r="H233" s="2" t="str">
        <f>IFERROR(__xludf.DUMMYFUNCTION("""COMPUTED_VALUE"""),"Derecho")</f>
        <v>Derecho</v>
      </c>
      <c r="I233" s="2" t="str">
        <f>IFERROR(__xludf.DUMMYFUNCTION("""COMPUTED_VALUE"""),"Derecho, Derecho + Relaciones Laborales")</f>
        <v>Derecho, Derecho + Relaciones Laborales</v>
      </c>
      <c r="J233" s="2" t="str">
        <f>IFERROR(__xludf.DUMMYFUNCTION("""COMPUTED_VALUE"""),"Grado")</f>
        <v>Grado</v>
      </c>
      <c r="K233" s="2" t="str">
        <f>IFERROR(__xludf.DUMMYFUNCTION("""COMPUTED_VALUE"""),"Inglés")</f>
        <v>Inglés</v>
      </c>
      <c r="L233" s="2" t="str">
        <f>IFERROR(__xludf.DUMMYFUNCTION("""COMPUTED_VALUE"""),"B2")</f>
        <v>B2</v>
      </c>
      <c r="M233" s="2" t="str">
        <f>IFERROR(__xludf.DUMMYFUNCTION("""COMPUTED_VALUE"""),"Sí")</f>
        <v>Sí</v>
      </c>
      <c r="N233" s="3" t="str">
        <f>IFERROR(__xludf.DUMMYFUNCTION("""COMPUTED_VALUE"""),"http://studyat.nwpu.edu.cn/info/1098/1710.htm")</f>
        <v>http://studyat.nwpu.edu.cn/info/1098/1710.htm</v>
      </c>
      <c r="O233" s="3" t="str">
        <f>IFERROR(__xludf.DUMMYFUNCTION("""COMPUTED_VALUE"""),"Más información / Informazio gehigarria")</f>
        <v>Más información / Informazio gehigarria</v>
      </c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30.0" customHeight="1">
      <c r="A234" s="2" t="str">
        <f>IFERROR(__xludf.DUMMYFUNCTION("""COMPUTED_VALUE"""),"China")</f>
        <v>China</v>
      </c>
      <c r="B234" s="2" t="str">
        <f>IFERROR(__xludf.DUMMYFUNCTION("""COMPUTED_VALUE"""),"RPCSHANGH01")</f>
        <v>RPCSHANGH01</v>
      </c>
      <c r="C234" s="3" t="str">
        <f>IFERROR(__xludf.DUMMYFUNCTION("""COMPUTED_VALUE"""),"Shangai University of Finance and Economics_SHUFE")</f>
        <v>Shangai University of Finance and Economics_SHUFE</v>
      </c>
      <c r="D234" s="2" t="str">
        <f>IFERROR(__xludf.DUMMYFUNCTION("""COMPUTED_VALUE"""),"Ac. Bilaterales (no Erasmus)")</f>
        <v>Ac. Bilaterales (no Erasmus)</v>
      </c>
      <c r="E234" s="2">
        <f>IFERROR(__xludf.DUMMYFUNCTION("""COMPUTED_VALUE"""),3.0)</f>
        <v>3</v>
      </c>
      <c r="F234" s="2" t="str">
        <f>IFERROR(__xludf.DUMMYFUNCTION("""COMPUTED_VALUE"""),"Semestre")</f>
        <v>Semestre</v>
      </c>
      <c r="G234" s="2" t="str">
        <f>IFERROR(__xludf.DUMMYFUNCTION("""COMPUTED_VALUE"""),"San Sebastián")</f>
        <v>San Sebastián</v>
      </c>
      <c r="H234" s="2" t="str">
        <f>IFERROR(__xludf.DUMMYFUNCTION("""COMPUTED_VALUE"""),"Deusto Business School")</f>
        <v>Deusto Business School</v>
      </c>
      <c r="I234" s="2" t="str">
        <f>IFERROR(__xludf.DUMMYFUNCTION("""COMPUTED_VALUE"""),"Administración y Dirección de Empresas")</f>
        <v>Administración y Dirección de Empresas</v>
      </c>
      <c r="J234" s="2" t="str">
        <f>IFERROR(__xludf.DUMMYFUNCTION("""COMPUTED_VALUE"""),"Grado")</f>
        <v>Grado</v>
      </c>
      <c r="K234" s="2" t="str">
        <f>IFERROR(__xludf.DUMMYFUNCTION("""COMPUTED_VALUE"""),"Inglés")</f>
        <v>Inglés</v>
      </c>
      <c r="L234" s="2" t="str">
        <f>IFERROR(__xludf.DUMMYFUNCTION("""COMPUTED_VALUE"""),"C1")</f>
        <v>C1</v>
      </c>
      <c r="M234" s="2" t="str">
        <f>IFERROR(__xludf.DUMMYFUNCTION("""COMPUTED_VALUE"""),"Sí")</f>
        <v>Sí</v>
      </c>
      <c r="N234" s="3" t="str">
        <f>IFERROR(__xludf.DUMMYFUNCTION("""COMPUTED_VALUE"""),"https://ices.sufe.edu.cn/enices/")</f>
        <v>https://ices.sufe.edu.cn/enices/</v>
      </c>
      <c r="O234" s="3" t="str">
        <f>IFERROR(__xludf.DUMMYFUNCTION("""COMPUTED_VALUE"""),"Más información / Informazio gehigarria")</f>
        <v>Más información / Informazio gehigarria</v>
      </c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30.0" customHeight="1">
      <c r="A235" s="2" t="str">
        <f>IFERROR(__xludf.DUMMYFUNCTION("""COMPUTED_VALUE"""),"China")</f>
        <v>China</v>
      </c>
      <c r="B235" s="2" t="str">
        <f>IFERROR(__xludf.DUMMYFUNCTION("""COMPUTED_VALUE"""),"RPC NINGBO01")</f>
        <v>RPC NINGBO01</v>
      </c>
      <c r="C235" s="3" t="str">
        <f>IFERROR(__xludf.DUMMYFUNCTION("""COMPUTED_VALUE"""),"The University of Nottingham Ningbo")</f>
        <v>The University of Nottingham Ningbo</v>
      </c>
      <c r="D235" s="2" t="str">
        <f>IFERROR(__xludf.DUMMYFUNCTION("""COMPUTED_VALUE"""),"Ac. Bilaterales (no Erasmus)")</f>
        <v>Ac. Bilaterales (no Erasmus)</v>
      </c>
      <c r="E235" s="2">
        <f>IFERROR(__xludf.DUMMYFUNCTION("""COMPUTED_VALUE"""),2.0)</f>
        <v>2</v>
      </c>
      <c r="F235" s="2" t="str">
        <f>IFERROR(__xludf.DUMMYFUNCTION("""COMPUTED_VALUE"""),"Anual")</f>
        <v>Anual</v>
      </c>
      <c r="G235" s="2" t="str">
        <f>IFERROR(__xludf.DUMMYFUNCTION("""COMPUTED_VALUE"""),"Bilbao")</f>
        <v>Bilbao</v>
      </c>
      <c r="H235" s="2" t="str">
        <f>IFERROR(__xludf.DUMMYFUNCTION("""COMPUTED_VALUE"""),"Ciencias Sociales y Humanas")</f>
        <v>Ciencias Sociales y Humanas</v>
      </c>
      <c r="I235" s="2" t="str">
        <f>IFERROR(__xludf.DUMMYFUNCTION("""COMPUTED_VALUE"""),"Relaciones Internacionales, Relaciones Internacionales + Derecho")</f>
        <v>Relaciones Internacionales, Relaciones Internacionales + Derecho</v>
      </c>
      <c r="J235" s="2" t="str">
        <f>IFERROR(__xludf.DUMMYFUNCTION("""COMPUTED_VALUE"""),"Grado")</f>
        <v>Grado</v>
      </c>
      <c r="K235" s="2" t="str">
        <f>IFERROR(__xludf.DUMMYFUNCTION("""COMPUTED_VALUE"""),"Inglés")</f>
        <v>Inglés</v>
      </c>
      <c r="L235" s="2" t="str">
        <f>IFERROR(__xludf.DUMMYFUNCTION("""COMPUTED_VALUE"""),"B2")</f>
        <v>B2</v>
      </c>
      <c r="M235" s="2" t="str">
        <f>IFERROR(__xludf.DUMMYFUNCTION("""COMPUTED_VALUE"""),"Sí")</f>
        <v>Sí</v>
      </c>
      <c r="N235" s="3" t="str">
        <f>IFERROR(__xludf.DUMMYFUNCTION("""COMPUTED_VALUE"""),"https://www.nottingham.ac.uk/studywithus/international-applicants/index.aspx")</f>
        <v>https://www.nottingham.ac.uk/studywithus/international-applicants/index.aspx</v>
      </c>
      <c r="O235" s="3" t="str">
        <f>IFERROR(__xludf.DUMMYFUNCTION("""COMPUTED_VALUE"""),"Más información / Informazio gehigarria")</f>
        <v>Más información / Informazio gehigarria</v>
      </c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30.0" customHeight="1">
      <c r="A236" s="2" t="str">
        <f>IFERROR(__xludf.DUMMYFUNCTION("""COMPUTED_VALUE"""),"China")</f>
        <v>China</v>
      </c>
      <c r="B236" s="2"/>
      <c r="C236" s="2" t="str">
        <f>IFERROR(__xludf.DUMMYFUNCTION("""COMPUTED_VALUE"""),"University of Saint Joseph, China")</f>
        <v>University of Saint Joseph, China</v>
      </c>
      <c r="D236" s="2" t="str">
        <f>IFERROR(__xludf.DUMMYFUNCTION("""COMPUTED_VALUE"""),"Ac. Bilaterales (no Erasmus)")</f>
        <v>Ac. Bilaterales (no Erasmus)</v>
      </c>
      <c r="E236" s="2">
        <f>IFERROR(__xludf.DUMMYFUNCTION("""COMPUTED_VALUE"""),6.0)</f>
        <v>6</v>
      </c>
      <c r="F236" s="2" t="str">
        <f>IFERROR(__xludf.DUMMYFUNCTION("""COMPUTED_VALUE"""),"Semestre")</f>
        <v>Semestre</v>
      </c>
      <c r="G236" s="2" t="str">
        <f>IFERROR(__xludf.DUMMYFUNCTION("""COMPUTED_VALUE"""),"San Sebastián")</f>
        <v>San Sebastián</v>
      </c>
      <c r="H236" s="2" t="str">
        <f>IFERROR(__xludf.DUMMYFUNCTION("""COMPUTED_VALUE"""),"Ciencias Sociales y Humanas")</f>
        <v>Ciencias Sociales y Humanas</v>
      </c>
      <c r="I236" s="2" t="str">
        <f>IFERROR(__xludf.DUMMYFUNCTION("""COMPUTED_VALUE"""),"Comunicación")</f>
        <v>Comunicación</v>
      </c>
      <c r="J236" s="2" t="str">
        <f>IFERROR(__xludf.DUMMYFUNCTION("""COMPUTED_VALUE"""),"Grado")</f>
        <v>Grado</v>
      </c>
      <c r="K236" s="2" t="str">
        <f>IFERROR(__xludf.DUMMYFUNCTION("""COMPUTED_VALUE"""),"Inglés")</f>
        <v>Inglés</v>
      </c>
      <c r="L236" s="2" t="str">
        <f>IFERROR(__xludf.DUMMYFUNCTION("""COMPUTED_VALUE"""),"B2")</f>
        <v>B2</v>
      </c>
      <c r="M236" s="2" t="str">
        <f>IFERROR(__xludf.DUMMYFUNCTION("""COMPUTED_VALUE"""),"Sí")</f>
        <v>Sí</v>
      </c>
      <c r="N236" s="3" t="str">
        <f>IFERROR(__xludf.DUMMYFUNCTION("""COMPUTED_VALUE"""),"https://www.usj.edu.mo/wp-content/uploads/2022/09/WEB_InEx-Guide-22-23_CPRO_August_2022-1.pdf")</f>
        <v>https://www.usj.edu.mo/wp-content/uploads/2022/09/WEB_InEx-Guide-22-23_CPRO_August_2022-1.pdf</v>
      </c>
      <c r="O236" s="2" t="str">
        <f>IFERROR(__xludf.DUMMYFUNCTION("""COMPUTED_VALUE"""),"n/a")</f>
        <v>n/a</v>
      </c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30.0" customHeight="1">
      <c r="A237" s="2" t="str">
        <f>IFERROR(__xludf.DUMMYFUNCTION("""COMPUTED_VALUE"""),"China")</f>
        <v>China</v>
      </c>
      <c r="B237" s="2"/>
      <c r="C237" s="2" t="str">
        <f>IFERROR(__xludf.DUMMYFUNCTION("""COMPUTED_VALUE"""),"University of Saint Joseph, China")</f>
        <v>University of Saint Joseph, China</v>
      </c>
      <c r="D237" s="2" t="str">
        <f>IFERROR(__xludf.DUMMYFUNCTION("""COMPUTED_VALUE"""),"Ac. Bilaterales (no Erasmus)")</f>
        <v>Ac. Bilaterales (no Erasmus)</v>
      </c>
      <c r="E237" s="2">
        <f>IFERROR(__xludf.DUMMYFUNCTION("""COMPUTED_VALUE"""),6.0)</f>
        <v>6</v>
      </c>
      <c r="F237" s="2" t="str">
        <f>IFERROR(__xludf.DUMMYFUNCTION("""COMPUTED_VALUE"""),"Semestre")</f>
        <v>Semestre</v>
      </c>
      <c r="G237" s="2" t="str">
        <f>IFERROR(__xludf.DUMMYFUNCTION("""COMPUTED_VALUE"""),"Bilbao")</f>
        <v>Bilbao</v>
      </c>
      <c r="H237" s="2" t="str">
        <f>IFERROR(__xludf.DUMMYFUNCTION("""COMPUTED_VALUE"""),"Ingeniería")</f>
        <v>Ingeniería</v>
      </c>
      <c r="I237" s="2" t="str">
        <f>IFERROR(__xludf.DUMMYFUNCTION("""COMPUTED_VALUE"""),"Diseño Industrial, Diseño Industrial + Ingeniería Mecánica")</f>
        <v>Diseño Industrial, Diseño Industrial + Ingeniería Mecánica</v>
      </c>
      <c r="J237" s="2" t="str">
        <f>IFERROR(__xludf.DUMMYFUNCTION("""COMPUTED_VALUE"""),"Grado")</f>
        <v>Grado</v>
      </c>
      <c r="K237" s="2" t="str">
        <f>IFERROR(__xludf.DUMMYFUNCTION("""COMPUTED_VALUE"""),"Inglés")</f>
        <v>Inglés</v>
      </c>
      <c r="L237" s="2" t="str">
        <f>IFERROR(__xludf.DUMMYFUNCTION("""COMPUTED_VALUE"""),"B2")</f>
        <v>B2</v>
      </c>
      <c r="M237" s="2" t="str">
        <f>IFERROR(__xludf.DUMMYFUNCTION("""COMPUTED_VALUE"""),"Sí")</f>
        <v>Sí</v>
      </c>
      <c r="N237" s="3" t="str">
        <f>IFERROR(__xludf.DUMMYFUNCTION("""COMPUTED_VALUE"""),"https://www.usj.edu.mo/wp-content/uploads/2022/09/WEB_InEx-Guide-22-23_CPRO_August_2022-1.pdf")</f>
        <v>https://www.usj.edu.mo/wp-content/uploads/2022/09/WEB_InEx-Guide-22-23_CPRO_August_2022-1.pdf</v>
      </c>
      <c r="O237" s="2" t="str">
        <f>IFERROR(__xludf.DUMMYFUNCTION("""COMPUTED_VALUE"""),"n/a")</f>
        <v>n/a</v>
      </c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30.0" customHeight="1">
      <c r="A238" s="2" t="str">
        <f>IFERROR(__xludf.DUMMYFUNCTION("""COMPUTED_VALUE"""),"China")</f>
        <v>China</v>
      </c>
      <c r="B238" s="2"/>
      <c r="C238" s="2" t="str">
        <f>IFERROR(__xludf.DUMMYFUNCTION("""COMPUTED_VALUE"""),"University of Saint Joseph, China")</f>
        <v>University of Saint Joseph, China</v>
      </c>
      <c r="D238" s="2" t="str">
        <f>IFERROR(__xludf.DUMMYFUNCTION("""COMPUTED_VALUE"""),"Ac. Bilaterales (no Erasmus)")</f>
        <v>Ac. Bilaterales (no Erasmus)</v>
      </c>
      <c r="E238" s="2">
        <f>IFERROR(__xludf.DUMMYFUNCTION("""COMPUTED_VALUE"""),6.0)</f>
        <v>6</v>
      </c>
      <c r="F238" s="2" t="str">
        <f>IFERROR(__xludf.DUMMYFUNCTION("""COMPUTED_VALUE"""),"Semestre")</f>
        <v>Semestre</v>
      </c>
      <c r="G238" s="2" t="str">
        <f>IFERROR(__xludf.DUMMYFUNCTION("""COMPUTED_VALUE"""),"Ambos")</f>
        <v>Ambos</v>
      </c>
      <c r="H238" s="2" t="str">
        <f>IFERROR(__xludf.DUMMYFUNCTION("""COMPUTED_VALUE"""),"Educación y Deporte")</f>
        <v>Educación y Deporte</v>
      </c>
      <c r="I238" s="2" t="str">
        <f>IFERROR(__xludf.DUMMYFUNCTION("""COMPUTED_VALUE"""),"Educación Primaria")</f>
        <v>Educación Primaria</v>
      </c>
      <c r="J238" s="2" t="str">
        <f>IFERROR(__xludf.DUMMYFUNCTION("""COMPUTED_VALUE"""),"Grado")</f>
        <v>Grado</v>
      </c>
      <c r="K238" s="2" t="str">
        <f>IFERROR(__xludf.DUMMYFUNCTION("""COMPUTED_VALUE"""),"Inglés")</f>
        <v>Inglés</v>
      </c>
      <c r="L238" s="2" t="str">
        <f>IFERROR(__xludf.DUMMYFUNCTION("""COMPUTED_VALUE"""),"B2")</f>
        <v>B2</v>
      </c>
      <c r="M238" s="2" t="str">
        <f>IFERROR(__xludf.DUMMYFUNCTION("""COMPUTED_VALUE"""),"Sí")</f>
        <v>Sí</v>
      </c>
      <c r="N238" s="3" t="str">
        <f>IFERROR(__xludf.DUMMYFUNCTION("""COMPUTED_VALUE"""),"https://www.usj.edu.mo/wp-content/uploads/2022/09/WEB_InEx-Guide-22-23_CPRO_August_2022-1.pdf")</f>
        <v>https://www.usj.edu.mo/wp-content/uploads/2022/09/WEB_InEx-Guide-22-23_CPRO_August_2022-1.pdf</v>
      </c>
      <c r="O238" s="2" t="str">
        <f>IFERROR(__xludf.DUMMYFUNCTION("""COMPUTED_VALUE"""),"n/a")</f>
        <v>n/a</v>
      </c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30.0" customHeight="1">
      <c r="A239" s="2" t="str">
        <f>IFERROR(__xludf.DUMMYFUNCTION("""COMPUTED_VALUE"""),"China")</f>
        <v>China</v>
      </c>
      <c r="B239" s="2"/>
      <c r="C239" s="2" t="str">
        <f>IFERROR(__xludf.DUMMYFUNCTION("""COMPUTED_VALUE"""),"University of Saint Joseph, China")</f>
        <v>University of Saint Joseph, China</v>
      </c>
      <c r="D239" s="2" t="str">
        <f>IFERROR(__xludf.DUMMYFUNCTION("""COMPUTED_VALUE"""),"Ac. Bilaterales (no Erasmus)")</f>
        <v>Ac. Bilaterales (no Erasmus)</v>
      </c>
      <c r="E239" s="2">
        <f>IFERROR(__xludf.DUMMYFUNCTION("""COMPUTED_VALUE"""),6.0)</f>
        <v>6</v>
      </c>
      <c r="F239" s="2" t="str">
        <f>IFERROR(__xludf.DUMMYFUNCTION("""COMPUTED_VALUE"""),"Semestre")</f>
        <v>Semestre</v>
      </c>
      <c r="G239" s="2" t="str">
        <f>IFERROR(__xludf.DUMMYFUNCTION("""COMPUTED_VALUE"""),"Bilbao")</f>
        <v>Bilbao</v>
      </c>
      <c r="H239" s="2" t="str">
        <f>IFERROR(__xludf.DUMMYFUNCTION("""COMPUTED_VALUE"""),"Educación y Deporte")</f>
        <v>Educación y Deporte</v>
      </c>
      <c r="I239" s="2" t="str">
        <f>IFERROR(__xludf.DUMMYFUNCTION("""COMPUTED_VALUE"""),"Educación Social")</f>
        <v>Educación Social</v>
      </c>
      <c r="J239" s="2" t="str">
        <f>IFERROR(__xludf.DUMMYFUNCTION("""COMPUTED_VALUE"""),"Grado")</f>
        <v>Grado</v>
      </c>
      <c r="K239" s="2" t="str">
        <f>IFERROR(__xludf.DUMMYFUNCTION("""COMPUTED_VALUE"""),"Inglés")</f>
        <v>Inglés</v>
      </c>
      <c r="L239" s="2" t="str">
        <f>IFERROR(__xludf.DUMMYFUNCTION("""COMPUTED_VALUE"""),"B2")</f>
        <v>B2</v>
      </c>
      <c r="M239" s="2" t="str">
        <f>IFERROR(__xludf.DUMMYFUNCTION("""COMPUTED_VALUE"""),"Sí")</f>
        <v>Sí</v>
      </c>
      <c r="N239" s="3" t="str">
        <f>IFERROR(__xludf.DUMMYFUNCTION("""COMPUTED_VALUE"""),"https://www.usj.edu.mo/wp-content/uploads/2022/09/WEB_InEx-Guide-22-23_CPRO_August_2022-1.pdf")</f>
        <v>https://www.usj.edu.mo/wp-content/uploads/2022/09/WEB_InEx-Guide-22-23_CPRO_August_2022-1.pdf</v>
      </c>
      <c r="O239" s="2" t="str">
        <f>IFERROR(__xludf.DUMMYFUNCTION("""COMPUTED_VALUE"""),"n/a")</f>
        <v>n/a</v>
      </c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30.0" customHeight="1">
      <c r="A240" s="2" t="str">
        <f>IFERROR(__xludf.DUMMYFUNCTION("""COMPUTED_VALUE"""),"China")</f>
        <v>China</v>
      </c>
      <c r="B240" s="2"/>
      <c r="C240" s="2" t="str">
        <f>IFERROR(__xludf.DUMMYFUNCTION("""COMPUTED_VALUE"""),"University of Saint Joseph, China")</f>
        <v>University of Saint Joseph, China</v>
      </c>
      <c r="D240" s="2" t="str">
        <f>IFERROR(__xludf.DUMMYFUNCTION("""COMPUTED_VALUE"""),"Ac. Bilaterales (no Erasmus)")</f>
        <v>Ac. Bilaterales (no Erasmus)</v>
      </c>
      <c r="E240" s="2">
        <f>IFERROR(__xludf.DUMMYFUNCTION("""COMPUTED_VALUE"""),6.0)</f>
        <v>6</v>
      </c>
      <c r="F240" s="2" t="str">
        <f>IFERROR(__xludf.DUMMYFUNCTION("""COMPUTED_VALUE"""),"Anual ")</f>
        <v>Anual </v>
      </c>
      <c r="G240" s="2" t="str">
        <f>IFERROR(__xludf.DUMMYFUNCTION("""COMPUTED_VALUE"""),"Bilbao")</f>
        <v>Bilbao</v>
      </c>
      <c r="H240" s="2" t="str">
        <f>IFERROR(__xludf.DUMMYFUNCTION("""COMPUTED_VALUE"""),"Ciencias Sociales y Humanas")</f>
        <v>Ciencias Sociales y Humanas</v>
      </c>
      <c r="I240" s="2" t="str">
        <f>IFERROR(__xludf.DUMMYFUNCTION("""COMPUTED_VALUE"""),"Lenguas Modernas, Lengua y Cultura Vasca + Lenguas Modernas, Lenguas Modernas y Gestión, Euskal Hizkuntza eta Kultura")</f>
        <v>Lenguas Modernas, Lengua y Cultura Vasca + Lenguas Modernas, Lenguas Modernas y Gestión, Euskal Hizkuntza eta Kultura</v>
      </c>
      <c r="J240" s="2" t="str">
        <f>IFERROR(__xludf.DUMMYFUNCTION("""COMPUTED_VALUE"""),"Grado")</f>
        <v>Grado</v>
      </c>
      <c r="K240" s="2" t="str">
        <f>IFERROR(__xludf.DUMMYFUNCTION("""COMPUTED_VALUE"""),"Inglés")</f>
        <v>Inglés</v>
      </c>
      <c r="L240" s="2" t="str">
        <f>IFERROR(__xludf.DUMMYFUNCTION("""COMPUTED_VALUE"""),"B2")</f>
        <v>B2</v>
      </c>
      <c r="M240" s="2" t="str">
        <f>IFERROR(__xludf.DUMMYFUNCTION("""COMPUTED_VALUE"""),"Sí")</f>
        <v>Sí</v>
      </c>
      <c r="N240" s="3" t="str">
        <f>IFERROR(__xludf.DUMMYFUNCTION("""COMPUTED_VALUE"""),"https://www.usj.edu.mo/wp-content/uploads/2022/09/WEB_InEx-Guide-22-23_CPRO_August_2022-1.pdf")</f>
        <v>https://www.usj.edu.mo/wp-content/uploads/2022/09/WEB_InEx-Guide-22-23_CPRO_August_2022-1.pdf</v>
      </c>
      <c r="O240" s="2" t="str">
        <f>IFERROR(__xludf.DUMMYFUNCTION("""COMPUTED_VALUE"""),"n/a")</f>
        <v>n/a</v>
      </c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30.0" customHeight="1">
      <c r="A241" s="2" t="str">
        <f>IFERROR(__xludf.DUMMYFUNCTION("""COMPUTED_VALUE"""),"China")</f>
        <v>China</v>
      </c>
      <c r="B241" s="2"/>
      <c r="C241" s="2" t="str">
        <f>IFERROR(__xludf.DUMMYFUNCTION("""COMPUTED_VALUE"""),"University of Saint Joseph, China")</f>
        <v>University of Saint Joseph, China</v>
      </c>
      <c r="D241" s="2" t="str">
        <f>IFERROR(__xludf.DUMMYFUNCTION("""COMPUTED_VALUE"""),"Ac. Bilaterales (no Erasmus)")</f>
        <v>Ac. Bilaterales (no Erasmus)</v>
      </c>
      <c r="E241" s="2">
        <f>IFERROR(__xludf.DUMMYFUNCTION("""COMPUTED_VALUE"""),6.0)</f>
        <v>6</v>
      </c>
      <c r="F241" s="2" t="str">
        <f>IFERROR(__xludf.DUMMYFUNCTION("""COMPUTED_VALUE"""),"Anual")</f>
        <v>Anual</v>
      </c>
      <c r="G241" s="2" t="str">
        <f>IFERROR(__xludf.DUMMYFUNCTION("""COMPUTED_VALUE"""),"Bilbao")</f>
        <v>Bilbao</v>
      </c>
      <c r="H241" s="2" t="str">
        <f>IFERROR(__xludf.DUMMYFUNCTION("""COMPUTED_VALUE"""),"Ciencias de la Salud")</f>
        <v>Ciencias de la Salud</v>
      </c>
      <c r="I241" s="2" t="str">
        <f>IFERROR(__xludf.DUMMYFUNCTION("""COMPUTED_VALUE"""),"Psicología")</f>
        <v>Psicología</v>
      </c>
      <c r="J241" s="2" t="str">
        <f>IFERROR(__xludf.DUMMYFUNCTION("""COMPUTED_VALUE"""),"Grado")</f>
        <v>Grado</v>
      </c>
      <c r="K241" s="2" t="str">
        <f>IFERROR(__xludf.DUMMYFUNCTION("""COMPUTED_VALUE"""),"Inglés")</f>
        <v>Inglés</v>
      </c>
      <c r="L241" s="2" t="str">
        <f>IFERROR(__xludf.DUMMYFUNCTION("""COMPUTED_VALUE"""),"B2")</f>
        <v>B2</v>
      </c>
      <c r="M241" s="2" t="str">
        <f>IFERROR(__xludf.DUMMYFUNCTION("""COMPUTED_VALUE"""),"Sí")</f>
        <v>Sí</v>
      </c>
      <c r="N241" s="3" t="str">
        <f>IFERROR(__xludf.DUMMYFUNCTION("""COMPUTED_VALUE"""),"https://www.usj.edu.mo/wp-content/uploads/2022/09/WEB_InEx-Guide-22-23_CPRO_August_2022-1.pdf")</f>
        <v>https://www.usj.edu.mo/wp-content/uploads/2022/09/WEB_InEx-Guide-22-23_CPRO_August_2022-1.pdf</v>
      </c>
      <c r="O241" s="2" t="str">
        <f>IFERROR(__xludf.DUMMYFUNCTION("""COMPUTED_VALUE"""),"n/a")</f>
        <v>n/a</v>
      </c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30.0" customHeight="1">
      <c r="A242" s="2" t="str">
        <f>IFERROR(__xludf.DUMMYFUNCTION("""COMPUTED_VALUE"""),"China")</f>
        <v>China</v>
      </c>
      <c r="B242" s="2"/>
      <c r="C242" s="2" t="str">
        <f>IFERROR(__xludf.DUMMYFUNCTION("""COMPUTED_VALUE"""),"University of Saint Joseph, China")</f>
        <v>University of Saint Joseph, China</v>
      </c>
      <c r="D242" s="2" t="str">
        <f>IFERROR(__xludf.DUMMYFUNCTION("""COMPUTED_VALUE"""),"Ac. Bilaterales (no Erasmus)")</f>
        <v>Ac. Bilaterales (no Erasmus)</v>
      </c>
      <c r="E242" s="2">
        <f>IFERROR(__xludf.DUMMYFUNCTION("""COMPUTED_VALUE"""),6.0)</f>
        <v>6</v>
      </c>
      <c r="F242" s="2" t="str">
        <f>IFERROR(__xludf.DUMMYFUNCTION("""COMPUTED_VALUE"""),"Anual ")</f>
        <v>Anual </v>
      </c>
      <c r="G242" s="2" t="str">
        <f>IFERROR(__xludf.DUMMYFUNCTION("""COMPUTED_VALUE"""),"Bilbao")</f>
        <v>Bilbao</v>
      </c>
      <c r="H242" s="2" t="str">
        <f>IFERROR(__xludf.DUMMYFUNCTION("""COMPUTED_VALUE"""),"Ciencias Sociales y Humanas")</f>
        <v>Ciencias Sociales y Humanas</v>
      </c>
      <c r="I242" s="2" t="str">
        <f>IFERROR(__xludf.DUMMYFUNCTION("""COMPUTED_VALUE"""),"Relaciones Internacionales, Relaciones Internacionales + Derecho")</f>
        <v>Relaciones Internacionales, Relaciones Internacionales + Derecho</v>
      </c>
      <c r="J242" s="2" t="str">
        <f>IFERROR(__xludf.DUMMYFUNCTION("""COMPUTED_VALUE"""),"Grado")</f>
        <v>Grado</v>
      </c>
      <c r="K242" s="2" t="str">
        <f>IFERROR(__xludf.DUMMYFUNCTION("""COMPUTED_VALUE"""),"Inglés")</f>
        <v>Inglés</v>
      </c>
      <c r="L242" s="2" t="str">
        <f>IFERROR(__xludf.DUMMYFUNCTION("""COMPUTED_VALUE"""),"B2")</f>
        <v>B2</v>
      </c>
      <c r="M242" s="2" t="str">
        <f>IFERROR(__xludf.DUMMYFUNCTION("""COMPUTED_VALUE"""),"Sí")</f>
        <v>Sí</v>
      </c>
      <c r="N242" s="3" t="str">
        <f>IFERROR(__xludf.DUMMYFUNCTION("""COMPUTED_VALUE"""),"https://www.usj.edu.mo/wp-content/uploads/2022/09/WEB_InEx-Guide-22-23_CPRO_August_2022-1.pdf")</f>
        <v>https://www.usj.edu.mo/wp-content/uploads/2022/09/WEB_InEx-Guide-22-23_CPRO_August_2022-1.pdf</v>
      </c>
      <c r="O242" s="2" t="str">
        <f>IFERROR(__xludf.DUMMYFUNCTION("""COMPUTED_VALUE"""),"n/a")</f>
        <v>n/a</v>
      </c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30.0" customHeight="1">
      <c r="A243" s="2" t="str">
        <f>IFERROR(__xludf.DUMMYFUNCTION("""COMPUTED_VALUE"""),"China")</f>
        <v>China</v>
      </c>
      <c r="B243" s="2"/>
      <c r="C243" s="2" t="str">
        <f>IFERROR(__xludf.DUMMYFUNCTION("""COMPUTED_VALUE"""),"University of Saint Joseph, China")</f>
        <v>University of Saint Joseph, China</v>
      </c>
      <c r="D243" s="2" t="str">
        <f>IFERROR(__xludf.DUMMYFUNCTION("""COMPUTED_VALUE"""),"Ac. Bilaterales (no Erasmus)")</f>
        <v>Ac. Bilaterales (no Erasmus)</v>
      </c>
      <c r="E243" s="2">
        <f>IFERROR(__xludf.DUMMYFUNCTION("""COMPUTED_VALUE"""),6.0)</f>
        <v>6</v>
      </c>
      <c r="F243" s="2" t="str">
        <f>IFERROR(__xludf.DUMMYFUNCTION("""COMPUTED_VALUE"""),"Semestre")</f>
        <v>Semestre</v>
      </c>
      <c r="G243" s="2" t="str">
        <f>IFERROR(__xludf.DUMMYFUNCTION("""COMPUTED_VALUE"""),"Ambos")</f>
        <v>Ambos</v>
      </c>
      <c r="H243" s="2" t="str">
        <f>IFERROR(__xludf.DUMMYFUNCTION("""COMPUTED_VALUE"""),"Ciencias Sociales y Humanas")</f>
        <v>Ciencias Sociales y Humanas</v>
      </c>
      <c r="I243" s="2" t="str">
        <f>IFERROR(__xludf.DUMMYFUNCTION("""COMPUTED_VALUE"""),"Trabajo Social")</f>
        <v>Trabajo Social</v>
      </c>
      <c r="J243" s="2" t="str">
        <f>IFERROR(__xludf.DUMMYFUNCTION("""COMPUTED_VALUE"""),"Grado")</f>
        <v>Grado</v>
      </c>
      <c r="K243" s="2" t="str">
        <f>IFERROR(__xludf.DUMMYFUNCTION("""COMPUTED_VALUE"""),"Inglés")</f>
        <v>Inglés</v>
      </c>
      <c r="L243" s="2" t="str">
        <f>IFERROR(__xludf.DUMMYFUNCTION("""COMPUTED_VALUE"""),"B2")</f>
        <v>B2</v>
      </c>
      <c r="M243" s="2" t="str">
        <f>IFERROR(__xludf.DUMMYFUNCTION("""COMPUTED_VALUE"""),"Sí")</f>
        <v>Sí</v>
      </c>
      <c r="N243" s="3" t="str">
        <f>IFERROR(__xludf.DUMMYFUNCTION("""COMPUTED_VALUE"""),"https://www.usj.edu.mo/wp-content/uploads/2022/09/WEB_InEx-Guide-22-23_CPRO_August_2022-1.pdf")</f>
        <v>https://www.usj.edu.mo/wp-content/uploads/2022/09/WEB_InEx-Guide-22-23_CPRO_August_2022-1.pdf</v>
      </c>
      <c r="O243" s="2" t="str">
        <f>IFERROR(__xludf.DUMMYFUNCTION("""COMPUTED_VALUE"""),"n/a")</f>
        <v>n/a</v>
      </c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30.0" customHeight="1">
      <c r="A244" s="2" t="str">
        <f>IFERROR(__xludf.DUMMYFUNCTION("""COMPUTED_VALUE"""),"China")</f>
        <v>China</v>
      </c>
      <c r="B244" s="2" t="str">
        <f>IFERROR(__xludf.DUMMYFUNCTION("""COMPUTED_VALUE"""),"RPC WUHAN01")</f>
        <v>RPC WUHAN01</v>
      </c>
      <c r="C244" s="3" t="str">
        <f>IFERROR(__xludf.DUMMYFUNCTION("""COMPUTED_VALUE"""),"Wuhan University")</f>
        <v>Wuhan University</v>
      </c>
      <c r="D244" s="2" t="str">
        <f>IFERROR(__xludf.DUMMYFUNCTION("""COMPUTED_VALUE"""),"Ac. Bilaterales (no Erasmus)")</f>
        <v>Ac. Bilaterales (no Erasmus)</v>
      </c>
      <c r="E244" s="2">
        <f>IFERROR(__xludf.DUMMYFUNCTION("""COMPUTED_VALUE"""),6.0)</f>
        <v>6</v>
      </c>
      <c r="F244" s="2" t="str">
        <f>IFERROR(__xludf.DUMMYFUNCTION("""COMPUTED_VALUE"""),"Anual")</f>
        <v>Anual</v>
      </c>
      <c r="G244" s="2" t="str">
        <f>IFERROR(__xludf.DUMMYFUNCTION("""COMPUTED_VALUE"""),"Bilbao")</f>
        <v>Bilbao</v>
      </c>
      <c r="H244" s="2" t="str">
        <f>IFERROR(__xludf.DUMMYFUNCTION("""COMPUTED_VALUE"""),"Ciencias Sociales y Humanas")</f>
        <v>Ciencias Sociales y Humanas</v>
      </c>
      <c r="I244" s="2" t="str">
        <f>IFERROR(__xludf.DUMMYFUNCTION("""COMPUTED_VALUE"""),"Relaciones Internacionales, Relaciones Internacionales + Derecho")</f>
        <v>Relaciones Internacionales, Relaciones Internacionales + Derecho</v>
      </c>
      <c r="J244" s="2" t="str">
        <f>IFERROR(__xludf.DUMMYFUNCTION("""COMPUTED_VALUE"""),"Grado")</f>
        <v>Grado</v>
      </c>
      <c r="K244" s="2" t="str">
        <f>IFERROR(__xludf.DUMMYFUNCTION("""COMPUTED_VALUE"""),"Chino / Inglés")</f>
        <v>Chino / Inglés</v>
      </c>
      <c r="L244" s="2" t="str">
        <f>IFERROR(__xludf.DUMMYFUNCTION("""COMPUTED_VALUE"""),"B2")</f>
        <v>B2</v>
      </c>
      <c r="M244" s="2" t="str">
        <f>IFERROR(__xludf.DUMMYFUNCTION("""COMPUTED_VALUE"""),"Sí")</f>
        <v>Sí</v>
      </c>
      <c r="N244" s="3" t="str">
        <f>IFERROR(__xludf.DUMMYFUNCTION("""COMPUTED_VALUE"""),"https://admission.whu.edu.cn/en/?c=content&amp;a=list&amp;catid=153#:~:text=Language%20Level&amp;text=Applicants%20for%20English%2Dtaught%20programs,if%20approved%20by%20Wuhan%20University.")</f>
        <v>https://admission.whu.edu.cn/en/?c=content&amp;a=list&amp;catid=153#:~:text=Language%20Level&amp;text=Applicants%20for%20English%2Dtaught%20programs,if%20approved%20by%20Wuhan%20University.</v>
      </c>
      <c r="O244" s="2" t="str">
        <f>IFERROR(__xludf.DUMMYFUNCTION("""COMPUTED_VALUE"""),"n/a")</f>
        <v>n/a</v>
      </c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30.0" customHeight="1">
      <c r="A245" s="2" t="str">
        <f>IFERROR(__xludf.DUMMYFUNCTION("""COMPUTED_VALUE"""),"Chipre")</f>
        <v>Chipre</v>
      </c>
      <c r="B245" s="2" t="str">
        <f>IFERROR(__xludf.DUMMYFUNCTION("""COMPUTED_VALUE"""),"CY NICOSIA01")</f>
        <v>CY NICOSIA01</v>
      </c>
      <c r="C245" s="2" t="str">
        <f>IFERROR(__xludf.DUMMYFUNCTION("""COMPUTED_VALUE"""),"University of Cyprus")</f>
        <v>University of Cyprus</v>
      </c>
      <c r="D245" s="2" t="str">
        <f>IFERROR(__xludf.DUMMYFUNCTION("""COMPUTED_VALUE"""),"Erasmus+")</f>
        <v>Erasmus+</v>
      </c>
      <c r="E245" s="2">
        <f>IFERROR(__xludf.DUMMYFUNCTION("""COMPUTED_VALUE"""),4.0)</f>
        <v>4</v>
      </c>
      <c r="F245" s="2" t="str">
        <f>IFERROR(__xludf.DUMMYFUNCTION("""COMPUTED_VALUE"""),"Semestre")</f>
        <v>Semestre</v>
      </c>
      <c r="G245" s="2" t="str">
        <f>IFERROR(__xludf.DUMMYFUNCTION("""COMPUTED_VALUE"""),"Bilbao")</f>
        <v>Bilbao</v>
      </c>
      <c r="H245" s="2" t="str">
        <f>IFERROR(__xludf.DUMMYFUNCTION("""COMPUTED_VALUE"""),"Derecho")</f>
        <v>Derecho</v>
      </c>
      <c r="I245" s="2" t="str">
        <f>IFERROR(__xludf.DUMMYFUNCTION("""COMPUTED_VALUE"""),"Derecho, Derecho + Relaciones Laborales")</f>
        <v>Derecho, Derecho + Relaciones Laborales</v>
      </c>
      <c r="J245" s="2" t="str">
        <f>IFERROR(__xludf.DUMMYFUNCTION("""COMPUTED_VALUE"""),"Grado")</f>
        <v>Grado</v>
      </c>
      <c r="K245" s="2" t="str">
        <f>IFERROR(__xludf.DUMMYFUNCTION("""COMPUTED_VALUE"""),"Inglés")</f>
        <v>Inglés</v>
      </c>
      <c r="L245" s="2" t="str">
        <f>IFERROR(__xludf.DUMMYFUNCTION("""COMPUTED_VALUE"""),"B2")</f>
        <v>B2</v>
      </c>
      <c r="M245" s="2" t="str">
        <f>IFERROR(__xludf.DUMMYFUNCTION("""COMPUTED_VALUE"""),"Sí")</f>
        <v>Sí</v>
      </c>
      <c r="N245" s="3" t="str">
        <f>IFERROR(__xludf.DUMMYFUNCTION("""COMPUTED_VALUE"""),"https://www.ucy.ac.cy/ir/studies-incoming-er/#:~:text=Language%20Certificate%20Level%20B2%20for,university%20up%20to%20Level%20B2")</f>
        <v>https://www.ucy.ac.cy/ir/studies-incoming-er/#:~:text=Language%20Certificate%20Level%20B2%20for,university%20up%20to%20Level%20B2</v>
      </c>
      <c r="O245" s="2" t="str">
        <f>IFERROR(__xludf.DUMMYFUNCTION("""COMPUTED_VALUE"""),"n/a")</f>
        <v>n/a</v>
      </c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30.0" customHeight="1">
      <c r="A246" s="2" t="str">
        <f>IFERROR(__xludf.DUMMYFUNCTION("""COMPUTED_VALUE"""),"Colombia")</f>
        <v>Colombia</v>
      </c>
      <c r="B246" s="2" t="str">
        <f>IFERROR(__xludf.DUMMYFUNCTION("""COMPUTED_VALUE"""),"CO BOGOTA01")</f>
        <v>CO BOGOTA01</v>
      </c>
      <c r="C246" s="3" t="str">
        <f>IFERROR(__xludf.DUMMYFUNCTION("""COMPUTED_VALUE"""),"Pontificia Universidad Javeriana de Colombia - Bogotá")</f>
        <v>Pontificia Universidad Javeriana de Colombia - Bogotá</v>
      </c>
      <c r="D246" s="2" t="str">
        <f>IFERROR(__xludf.DUMMYFUNCTION("""COMPUTED_VALUE"""),"Ac. Bilaterales (no Erasmus)")</f>
        <v>Ac. Bilaterales (no Erasmus)</v>
      </c>
      <c r="E246" s="2">
        <f>IFERROR(__xludf.DUMMYFUNCTION("""COMPUTED_VALUE"""),6.0)</f>
        <v>6</v>
      </c>
      <c r="F246" s="2" t="str">
        <f>IFERROR(__xludf.DUMMYFUNCTION("""COMPUTED_VALUE"""),"Semestre")</f>
        <v>Semestre</v>
      </c>
      <c r="G246" s="2" t="str">
        <f>IFERROR(__xludf.DUMMYFUNCTION("""COMPUTED_VALUE"""),"San Sebastián")</f>
        <v>San Sebastián</v>
      </c>
      <c r="H246" s="2" t="str">
        <f>IFERROR(__xludf.DUMMYFUNCTION("""COMPUTED_VALUE"""),"Ciencias Sociales y Humanas")</f>
        <v>Ciencias Sociales y Humanas</v>
      </c>
      <c r="I246" s="2" t="str">
        <f>IFERROR(__xludf.DUMMYFUNCTION("""COMPUTED_VALUE"""),"Comunicación")</f>
        <v>Comunicación</v>
      </c>
      <c r="J246" s="2" t="str">
        <f>IFERROR(__xludf.DUMMYFUNCTION("""COMPUTED_VALUE"""),"Grado")</f>
        <v>Grado</v>
      </c>
      <c r="K246" s="2" t="str">
        <f>IFERROR(__xludf.DUMMYFUNCTION("""COMPUTED_VALUE"""),"Español")</f>
        <v>Español</v>
      </c>
      <c r="L246" s="2" t="str">
        <f>IFERROR(__xludf.DUMMYFUNCTION("""COMPUTED_VALUE"""),"n/a")</f>
        <v>n/a</v>
      </c>
      <c r="M246" s="2" t="str">
        <f>IFERROR(__xludf.DUMMYFUNCTION("""COMPUTED_VALUE"""),"No")</f>
        <v>No</v>
      </c>
      <c r="N246" s="3" t="str">
        <f>IFERROR(__xludf.DUMMYFUNCTION("""COMPUTED_VALUE"""),"https://www.javeriana.edu.co/inicio")</f>
        <v>https://www.javeriana.edu.co/inicio</v>
      </c>
      <c r="O246" s="2" t="str">
        <f>IFERROR(__xludf.DUMMYFUNCTION("""COMPUTED_VALUE"""),"n/a")</f>
        <v>n/a</v>
      </c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30.0" customHeight="1">
      <c r="A247" s="2" t="str">
        <f>IFERROR(__xludf.DUMMYFUNCTION("""COMPUTED_VALUE"""),"Colombia")</f>
        <v>Colombia</v>
      </c>
      <c r="B247" s="2" t="str">
        <f>IFERROR(__xludf.DUMMYFUNCTION("""COMPUTED_VALUE"""),"CO BOGOTA01")</f>
        <v>CO BOGOTA01</v>
      </c>
      <c r="C247" s="3" t="str">
        <f>IFERROR(__xludf.DUMMYFUNCTION("""COMPUTED_VALUE"""),"Pontificia Universidad Javeriana de Colombia - Bogotá")</f>
        <v>Pontificia Universidad Javeriana de Colombia - Bogotá</v>
      </c>
      <c r="D247" s="2" t="str">
        <f>IFERROR(__xludf.DUMMYFUNCTION("""COMPUTED_VALUE"""),"Ac. Bilaterales (no Erasmus)")</f>
        <v>Ac. Bilaterales (no Erasmus)</v>
      </c>
      <c r="E247" s="2">
        <f>IFERROR(__xludf.DUMMYFUNCTION("""COMPUTED_VALUE"""),6.0)</f>
        <v>6</v>
      </c>
      <c r="F247" s="2" t="str">
        <f>IFERROR(__xludf.DUMMYFUNCTION("""COMPUTED_VALUE"""),"Semestre")</f>
        <v>Semestre</v>
      </c>
      <c r="G247" s="2" t="str">
        <f>IFERROR(__xludf.DUMMYFUNCTION("""COMPUTED_VALUE"""),"Bilbao")</f>
        <v>Bilbao</v>
      </c>
      <c r="H247" s="2" t="str">
        <f>IFERROR(__xludf.DUMMYFUNCTION("""COMPUTED_VALUE"""),"Derecho")</f>
        <v>Derecho</v>
      </c>
      <c r="I247" s="2" t="str">
        <f>IFERROR(__xludf.DUMMYFUNCTION("""COMPUTED_VALUE"""),"Derecho, Derecho + Relaciones Laborales")</f>
        <v>Derecho, Derecho + Relaciones Laborales</v>
      </c>
      <c r="J247" s="2" t="str">
        <f>IFERROR(__xludf.DUMMYFUNCTION("""COMPUTED_VALUE"""),"Grado")</f>
        <v>Grado</v>
      </c>
      <c r="K247" s="2" t="str">
        <f>IFERROR(__xludf.DUMMYFUNCTION("""COMPUTED_VALUE"""),"Español")</f>
        <v>Español</v>
      </c>
      <c r="L247" s="2" t="str">
        <f>IFERROR(__xludf.DUMMYFUNCTION("""COMPUTED_VALUE"""),"n/a")</f>
        <v>n/a</v>
      </c>
      <c r="M247" s="2" t="str">
        <f>IFERROR(__xludf.DUMMYFUNCTION("""COMPUTED_VALUE"""),"No")</f>
        <v>No</v>
      </c>
      <c r="N247" s="3" t="str">
        <f>IFERROR(__xludf.DUMMYFUNCTION("""COMPUTED_VALUE"""),"https://www.javeriana.edu.co/inicio")</f>
        <v>https://www.javeriana.edu.co/inicio</v>
      </c>
      <c r="O247" s="2" t="str">
        <f>IFERROR(__xludf.DUMMYFUNCTION("""COMPUTED_VALUE"""),"n/a")</f>
        <v>n/a</v>
      </c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30.0" customHeight="1">
      <c r="A248" s="2" t="str">
        <f>IFERROR(__xludf.DUMMYFUNCTION("""COMPUTED_VALUE"""),"Colombia")</f>
        <v>Colombia</v>
      </c>
      <c r="B248" s="2" t="str">
        <f>IFERROR(__xludf.DUMMYFUNCTION("""COMPUTED_VALUE"""),"CO BOGOTA01")</f>
        <v>CO BOGOTA01</v>
      </c>
      <c r="C248" s="3" t="str">
        <f>IFERROR(__xludf.DUMMYFUNCTION("""COMPUTED_VALUE"""),"Pontificia Universidad Javeriana de Colombia - Bogotá")</f>
        <v>Pontificia Universidad Javeriana de Colombia - Bogotá</v>
      </c>
      <c r="D248" s="2" t="str">
        <f>IFERROR(__xludf.DUMMYFUNCTION("""COMPUTED_VALUE"""),"Ac. Bilaterales (no Erasmus)")</f>
        <v>Ac. Bilaterales (no Erasmus)</v>
      </c>
      <c r="E248" s="2">
        <f>IFERROR(__xludf.DUMMYFUNCTION("""COMPUTED_VALUE"""),6.0)</f>
        <v>6</v>
      </c>
      <c r="F248" s="2" t="str">
        <f>IFERROR(__xludf.DUMMYFUNCTION("""COMPUTED_VALUE"""),"Semestre")</f>
        <v>Semestre</v>
      </c>
      <c r="G248" s="2" t="str">
        <f>IFERROR(__xludf.DUMMYFUNCTION("""COMPUTED_VALUE"""),"Bilbao")</f>
        <v>Bilbao</v>
      </c>
      <c r="H248" s="2" t="str">
        <f>IFERROR(__xludf.DUMMYFUNCTION("""COMPUTED_VALUE"""),"Ciencias Sociales y Humanas")</f>
        <v>Ciencias Sociales y Humanas</v>
      </c>
      <c r="I248" s="2" t="str">
        <f>IFERROR(__xludf.DUMMYFUNCTION("""COMPUTED_VALUE"""),"Filosofía, Política y Economía")</f>
        <v>Filosofía, Política y Economía</v>
      </c>
      <c r="J248" s="2" t="str">
        <f>IFERROR(__xludf.DUMMYFUNCTION("""COMPUTED_VALUE"""),"Grado")</f>
        <v>Grado</v>
      </c>
      <c r="K248" s="2" t="str">
        <f>IFERROR(__xludf.DUMMYFUNCTION("""COMPUTED_VALUE"""),"Español")</f>
        <v>Español</v>
      </c>
      <c r="L248" s="2" t="str">
        <f>IFERROR(__xludf.DUMMYFUNCTION("""COMPUTED_VALUE"""),"n/a")</f>
        <v>n/a</v>
      </c>
      <c r="M248" s="2" t="str">
        <f>IFERROR(__xludf.DUMMYFUNCTION("""COMPUTED_VALUE"""),"No")</f>
        <v>No</v>
      </c>
      <c r="N248" s="2" t="str">
        <f>IFERROR(__xludf.DUMMYFUNCTION("""COMPUTED_VALUE"""),"n/a")</f>
        <v>n/a</v>
      </c>
      <c r="O248" s="2" t="str">
        <f>IFERROR(__xludf.DUMMYFUNCTION("""COMPUTED_VALUE"""),"n/a")</f>
        <v>n/a</v>
      </c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30.0" customHeight="1">
      <c r="A249" s="2" t="str">
        <f>IFERROR(__xludf.DUMMYFUNCTION("""COMPUTED_VALUE"""),"Colombia")</f>
        <v>Colombia</v>
      </c>
      <c r="B249" s="2" t="str">
        <f>IFERROR(__xludf.DUMMYFUNCTION("""COMPUTED_VALUE"""),"CO BOGOTA01")</f>
        <v>CO BOGOTA01</v>
      </c>
      <c r="C249" s="3" t="str">
        <f>IFERROR(__xludf.DUMMYFUNCTION("""COMPUTED_VALUE"""),"Pontificia Universidad Javeriana de Colombia - Bogotá")</f>
        <v>Pontificia Universidad Javeriana de Colombia - Bogotá</v>
      </c>
      <c r="D249" s="2" t="str">
        <f>IFERROR(__xludf.DUMMYFUNCTION("""COMPUTED_VALUE"""),"Ac. Bilaterales (no Erasmus)")</f>
        <v>Ac. Bilaterales (no Erasmus)</v>
      </c>
      <c r="E249" s="2">
        <f>IFERROR(__xludf.DUMMYFUNCTION("""COMPUTED_VALUE"""),3.0)</f>
        <v>3</v>
      </c>
      <c r="F249" s="2" t="str">
        <f>IFERROR(__xludf.DUMMYFUNCTION("""COMPUTED_VALUE"""),"Anual")</f>
        <v>Anual</v>
      </c>
      <c r="G249" s="2" t="str">
        <f>IFERROR(__xludf.DUMMYFUNCTION("""COMPUTED_VALUE"""),"Bilbao")</f>
        <v>Bilbao</v>
      </c>
      <c r="H249" s="2" t="str">
        <f>IFERROR(__xludf.DUMMYFUNCTION("""COMPUTED_VALUE"""),"Ciencias Sociales y Humanas")</f>
        <v>Ciencias Sociales y Humanas</v>
      </c>
      <c r="I249" s="2" t="str">
        <f>IFERROR(__xludf.DUMMYFUNCTION("""COMPUTED_VALUE"""),"Relaciones Internacionales, Relaciones Internacionales + Derecho")</f>
        <v>Relaciones Internacionales, Relaciones Internacionales + Derecho</v>
      </c>
      <c r="J249" s="2" t="str">
        <f>IFERROR(__xludf.DUMMYFUNCTION("""COMPUTED_VALUE"""),"Grado")</f>
        <v>Grado</v>
      </c>
      <c r="K249" s="2" t="str">
        <f>IFERROR(__xludf.DUMMYFUNCTION("""COMPUTED_VALUE"""),"Español")</f>
        <v>Español</v>
      </c>
      <c r="L249" s="2" t="str">
        <f>IFERROR(__xludf.DUMMYFUNCTION("""COMPUTED_VALUE"""),"n/a")</f>
        <v>n/a</v>
      </c>
      <c r="M249" s="2" t="str">
        <f>IFERROR(__xludf.DUMMYFUNCTION("""COMPUTED_VALUE"""),"No")</f>
        <v>No</v>
      </c>
      <c r="N249" s="2" t="str">
        <f>IFERROR(__xludf.DUMMYFUNCTION("""COMPUTED_VALUE"""),"n/a")</f>
        <v>n/a</v>
      </c>
      <c r="O249" s="2" t="str">
        <f>IFERROR(__xludf.DUMMYFUNCTION("""COMPUTED_VALUE"""),"n/a")</f>
        <v>n/a</v>
      </c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30.0" customHeight="1">
      <c r="A250" s="2" t="str">
        <f>IFERROR(__xludf.DUMMYFUNCTION("""COMPUTED_VALUE"""),"Colombia")</f>
        <v>Colombia</v>
      </c>
      <c r="B250" s="2" t="str">
        <f>IFERROR(__xludf.DUMMYFUNCTION("""COMPUTED_VALUE"""),"CO BOGOTA01")</f>
        <v>CO BOGOTA01</v>
      </c>
      <c r="C250" s="3" t="str">
        <f>IFERROR(__xludf.DUMMYFUNCTION("""COMPUTED_VALUE"""),"Pontificia Universidad Javeriana de Colombia - Bogotá")</f>
        <v>Pontificia Universidad Javeriana de Colombia - Bogotá</v>
      </c>
      <c r="D250" s="2" t="str">
        <f>IFERROR(__xludf.DUMMYFUNCTION("""COMPUTED_VALUE"""),"Ac. Bilaterales (no Erasmus)")</f>
        <v>Ac. Bilaterales (no Erasmus)</v>
      </c>
      <c r="E250" s="2">
        <f>IFERROR(__xludf.DUMMYFUNCTION("""COMPUTED_VALUE"""),6.0)</f>
        <v>6</v>
      </c>
      <c r="F250" s="2" t="str">
        <f>IFERROR(__xludf.DUMMYFUNCTION("""COMPUTED_VALUE"""),"Semestre")</f>
        <v>Semestre</v>
      </c>
      <c r="G250" s="2" t="str">
        <f>IFERROR(__xludf.DUMMYFUNCTION("""COMPUTED_VALUE"""),"Ambos")</f>
        <v>Ambos</v>
      </c>
      <c r="H250" s="2" t="str">
        <f>IFERROR(__xludf.DUMMYFUNCTION("""COMPUTED_VALUE"""),"Ingeniería")</f>
        <v>Ingeniería</v>
      </c>
      <c r="I250" s="2" t="str">
        <f>IFERROR(__xludf.DUMMYFUNCTION("""COMPUTED_VALUE"""),"Tecnologías Industriales, Electrónica y Automática, Ingeniería Informática, Diseño Industrial, Ciencia de Datos e IA + Ingeniería Informática, Diseño Industrial + Ingeniería Mecánica, Ingeniería Informática + Videojuegos")</f>
        <v>Tecnologías Industriales, Electrónica y Automática, Ingeniería Informática, Diseño Industrial, Ciencia de Datos e IA + Ingeniería Informática, Diseño Industrial + Ingeniería Mecánica, Ingeniería Informática + Videojuegos</v>
      </c>
      <c r="J250" s="2" t="str">
        <f>IFERROR(__xludf.DUMMYFUNCTION("""COMPUTED_VALUE"""),"Grado")</f>
        <v>Grado</v>
      </c>
      <c r="K250" s="2" t="str">
        <f>IFERROR(__xludf.DUMMYFUNCTION("""COMPUTED_VALUE"""),"Español")</f>
        <v>Español</v>
      </c>
      <c r="L250" s="2" t="str">
        <f>IFERROR(__xludf.DUMMYFUNCTION("""COMPUTED_VALUE"""),"n/a")</f>
        <v>n/a</v>
      </c>
      <c r="M250" s="2" t="str">
        <f>IFERROR(__xludf.DUMMYFUNCTION("""COMPUTED_VALUE"""),"No")</f>
        <v>No</v>
      </c>
      <c r="N250" s="2" t="str">
        <f>IFERROR(__xludf.DUMMYFUNCTION("""COMPUTED_VALUE"""),"n/a")</f>
        <v>n/a</v>
      </c>
      <c r="O250" s="2" t="str">
        <f>IFERROR(__xludf.DUMMYFUNCTION("""COMPUTED_VALUE"""),"n/a")</f>
        <v>n/a</v>
      </c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30.0" customHeight="1">
      <c r="A251" s="2" t="str">
        <f>IFERROR(__xludf.DUMMYFUNCTION("""COMPUTED_VALUE"""),"Colombia")</f>
        <v>Colombia</v>
      </c>
      <c r="B251" s="2" t="str">
        <f>IFERROR(__xludf.DUMMYFUNCTION("""COMPUTED_VALUE"""),"CO CALI01")</f>
        <v>CO CALI01</v>
      </c>
      <c r="C251" s="3" t="str">
        <f>IFERROR(__xludf.DUMMYFUNCTION("""COMPUTED_VALUE"""),"Pontificia Universidad Javeriana de Colombia - Cali")</f>
        <v>Pontificia Universidad Javeriana de Colombia - Cali</v>
      </c>
      <c r="D251" s="2" t="str">
        <f>IFERROR(__xludf.DUMMYFUNCTION("""COMPUTED_VALUE"""),"Ac. Bilaterales (no Erasmus)")</f>
        <v>Ac. Bilaterales (no Erasmus)</v>
      </c>
      <c r="E251" s="2">
        <f>IFERROR(__xludf.DUMMYFUNCTION("""COMPUTED_VALUE"""),2.0)</f>
        <v>2</v>
      </c>
      <c r="F251" s="2" t="str">
        <f>IFERROR(__xludf.DUMMYFUNCTION("""COMPUTED_VALUE"""),"Semestre")</f>
        <v>Semestre</v>
      </c>
      <c r="G251" s="2" t="str">
        <f>IFERROR(__xludf.DUMMYFUNCTION("""COMPUTED_VALUE"""),"Bilbao")</f>
        <v>Bilbao</v>
      </c>
      <c r="H251" s="2" t="str">
        <f>IFERROR(__xludf.DUMMYFUNCTION("""COMPUTED_VALUE"""),"Ciencias Sociales y Humanas")</f>
        <v>Ciencias Sociales y Humanas</v>
      </c>
      <c r="I251" s="2" t="str">
        <f>IFERROR(__xludf.DUMMYFUNCTION("""COMPUTED_VALUE"""),"Filosofía, Política y Economía")</f>
        <v>Filosofía, Política y Economía</v>
      </c>
      <c r="J251" s="2" t="str">
        <f>IFERROR(__xludf.DUMMYFUNCTION("""COMPUTED_VALUE"""),"Grado")</f>
        <v>Grado</v>
      </c>
      <c r="K251" s="2" t="str">
        <f>IFERROR(__xludf.DUMMYFUNCTION("""COMPUTED_VALUE"""),"Español")</f>
        <v>Español</v>
      </c>
      <c r="L251" s="2" t="str">
        <f>IFERROR(__xludf.DUMMYFUNCTION("""COMPUTED_VALUE"""),"n/a")</f>
        <v>n/a</v>
      </c>
      <c r="M251" s="2" t="str">
        <f>IFERROR(__xludf.DUMMYFUNCTION("""COMPUTED_VALUE"""),"No")</f>
        <v>No</v>
      </c>
      <c r="N251" s="2" t="str">
        <f>IFERROR(__xludf.DUMMYFUNCTION("""COMPUTED_VALUE"""),"n/a")</f>
        <v>n/a</v>
      </c>
      <c r="O251" s="2" t="str">
        <f>IFERROR(__xludf.DUMMYFUNCTION("""COMPUTED_VALUE"""),"n/a")</f>
        <v>n/a</v>
      </c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30.0" customHeight="1">
      <c r="A252" s="2" t="str">
        <f>IFERROR(__xludf.DUMMYFUNCTION("""COMPUTED_VALUE"""),"Colombia")</f>
        <v>Colombia</v>
      </c>
      <c r="B252" s="2" t="str">
        <f>IFERROR(__xludf.DUMMYFUNCTION("""COMPUTED_VALUE"""),"CO CALI01")</f>
        <v>CO CALI01</v>
      </c>
      <c r="C252" s="3" t="str">
        <f>IFERROR(__xludf.DUMMYFUNCTION("""COMPUTED_VALUE"""),"Pontificia Universidad Javeriana de Colombia - Cali")</f>
        <v>Pontificia Universidad Javeriana de Colombia - Cali</v>
      </c>
      <c r="D252" s="2" t="str">
        <f>IFERROR(__xludf.DUMMYFUNCTION("""COMPUTED_VALUE"""),"Ac. Bilaterales (no Erasmus)")</f>
        <v>Ac. Bilaterales (no Erasmus)</v>
      </c>
      <c r="E252" s="2">
        <f>IFERROR(__xludf.DUMMYFUNCTION("""COMPUTED_VALUE"""),1.0)</f>
        <v>1</v>
      </c>
      <c r="F252" s="2" t="str">
        <f>IFERROR(__xludf.DUMMYFUNCTION("""COMPUTED_VALUE"""),"Anual")</f>
        <v>Anual</v>
      </c>
      <c r="G252" s="2" t="str">
        <f>IFERROR(__xludf.DUMMYFUNCTION("""COMPUTED_VALUE"""),"Bilbao")</f>
        <v>Bilbao</v>
      </c>
      <c r="H252" s="2" t="str">
        <f>IFERROR(__xludf.DUMMYFUNCTION("""COMPUTED_VALUE"""),"Ciencias Sociales y Humanas")</f>
        <v>Ciencias Sociales y Humanas</v>
      </c>
      <c r="I252" s="2" t="str">
        <f>IFERROR(__xludf.DUMMYFUNCTION("""COMPUTED_VALUE"""),"Relaciones Internacionales, Relaciones Internacionales + Derecho")</f>
        <v>Relaciones Internacionales, Relaciones Internacionales + Derecho</v>
      </c>
      <c r="J252" s="2" t="str">
        <f>IFERROR(__xludf.DUMMYFUNCTION("""COMPUTED_VALUE"""),"Grado")</f>
        <v>Grado</v>
      </c>
      <c r="K252" s="2" t="str">
        <f>IFERROR(__xludf.DUMMYFUNCTION("""COMPUTED_VALUE"""),"Español")</f>
        <v>Español</v>
      </c>
      <c r="L252" s="2" t="str">
        <f>IFERROR(__xludf.DUMMYFUNCTION("""COMPUTED_VALUE"""),"n/a")</f>
        <v>n/a</v>
      </c>
      <c r="M252" s="2" t="str">
        <f>IFERROR(__xludf.DUMMYFUNCTION("""COMPUTED_VALUE"""),"No")</f>
        <v>No</v>
      </c>
      <c r="N252" s="2" t="str">
        <f>IFERROR(__xludf.DUMMYFUNCTION("""COMPUTED_VALUE"""),"n/a")</f>
        <v>n/a</v>
      </c>
      <c r="O252" s="2" t="str">
        <f>IFERROR(__xludf.DUMMYFUNCTION("""COMPUTED_VALUE"""),"n/a")</f>
        <v>n/a</v>
      </c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30.0" customHeight="1">
      <c r="A253" s="2" t="str">
        <f>IFERROR(__xludf.DUMMYFUNCTION("""COMPUTED_VALUE"""),"Colombia")</f>
        <v>Colombia</v>
      </c>
      <c r="B253" s="2"/>
      <c r="C253" s="3" t="str">
        <f>IFERROR(__xludf.DUMMYFUNCTION("""COMPUTED_VALUE"""),"Uniminuto")</f>
        <v>Uniminuto</v>
      </c>
      <c r="D253" s="2" t="str">
        <f>IFERROR(__xludf.DUMMYFUNCTION("""COMPUTED_VALUE"""),"Ac. Bilaterales (no Erasmus)")</f>
        <v>Ac. Bilaterales (no Erasmus)</v>
      </c>
      <c r="E253" s="2" t="str">
        <f>IFERROR(__xludf.DUMMYFUNCTION("""COMPUTED_VALUE"""),"Convenio Marco")</f>
        <v>Convenio Marco</v>
      </c>
      <c r="F253" s="2" t="str">
        <f>IFERROR(__xludf.DUMMYFUNCTION("""COMPUTED_VALUE"""),"Semestre")</f>
        <v>Semestre</v>
      </c>
      <c r="G253" s="2" t="str">
        <f>IFERROR(__xludf.DUMMYFUNCTION("""COMPUTED_VALUE"""),"Ambos")</f>
        <v>Ambos</v>
      </c>
      <c r="H253" s="2" t="str">
        <f>IFERROR(__xludf.DUMMYFUNCTION("""COMPUTED_VALUE"""),"Educación y Deporte")</f>
        <v>Educación y Deporte</v>
      </c>
      <c r="I253" s="2" t="str">
        <f>IFERROR(__xludf.DUMMYFUNCTION("""COMPUTED_VALUE"""),"Educación Primaria")</f>
        <v>Educación Primaria</v>
      </c>
      <c r="J253" s="2" t="str">
        <f>IFERROR(__xludf.DUMMYFUNCTION("""COMPUTED_VALUE"""),"Grado")</f>
        <v>Grado</v>
      </c>
      <c r="K253" s="2" t="str">
        <f>IFERROR(__xludf.DUMMYFUNCTION("""COMPUTED_VALUE"""),"Español")</f>
        <v>Español</v>
      </c>
      <c r="L253" s="2" t="str">
        <f>IFERROR(__xludf.DUMMYFUNCTION("""COMPUTED_VALUE"""),"n/a")</f>
        <v>n/a</v>
      </c>
      <c r="M253" s="2" t="str">
        <f>IFERROR(__xludf.DUMMYFUNCTION("""COMPUTED_VALUE"""),"No")</f>
        <v>No</v>
      </c>
      <c r="N253" s="3" t="str">
        <f>IFERROR(__xludf.DUMMYFUNCTION("""COMPUTED_VALUE"""),"https://www.uniminuto.edu/#")</f>
        <v>https://www.uniminuto.edu/#</v>
      </c>
      <c r="O253" s="2" t="str">
        <f>IFERROR(__xludf.DUMMYFUNCTION("""COMPUTED_VALUE"""),"n/a")</f>
        <v>n/a</v>
      </c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30.0" customHeight="1">
      <c r="A254" s="2" t="str">
        <f>IFERROR(__xludf.DUMMYFUNCTION("""COMPUTED_VALUE"""),"Colombia")</f>
        <v>Colombia</v>
      </c>
      <c r="B254" s="2"/>
      <c r="C254" s="3" t="str">
        <f>IFERROR(__xludf.DUMMYFUNCTION("""COMPUTED_VALUE"""),"Uniminuto")</f>
        <v>Uniminuto</v>
      </c>
      <c r="D254" s="2" t="str">
        <f>IFERROR(__xludf.DUMMYFUNCTION("""COMPUTED_VALUE"""),"Ac. Bilaterales (no Erasmus)")</f>
        <v>Ac. Bilaterales (no Erasmus)</v>
      </c>
      <c r="E254" s="2" t="str">
        <f>IFERROR(__xludf.DUMMYFUNCTION("""COMPUTED_VALUE"""),"Convenio Marco")</f>
        <v>Convenio Marco</v>
      </c>
      <c r="F254" s="2" t="str">
        <f>IFERROR(__xludf.DUMMYFUNCTION("""COMPUTED_VALUE"""),"Semestre")</f>
        <v>Semestre</v>
      </c>
      <c r="G254" s="2" t="str">
        <f>IFERROR(__xludf.DUMMYFUNCTION("""COMPUTED_VALUE"""),"Bilbao")</f>
        <v>Bilbao</v>
      </c>
      <c r="H254" s="2" t="str">
        <f>IFERROR(__xludf.DUMMYFUNCTION("""COMPUTED_VALUE"""),"Ciencias Sociales y Humanas")</f>
        <v>Ciencias Sociales y Humanas</v>
      </c>
      <c r="I254" s="2" t="str">
        <f>IFERROR(__xludf.DUMMYFUNCTION("""COMPUTED_VALUE"""),"Filosofía, Política y Economía")</f>
        <v>Filosofía, Política y Economía</v>
      </c>
      <c r="J254" s="2" t="str">
        <f>IFERROR(__xludf.DUMMYFUNCTION("""COMPUTED_VALUE"""),"Grado")</f>
        <v>Grado</v>
      </c>
      <c r="K254" s="2" t="str">
        <f>IFERROR(__xludf.DUMMYFUNCTION("""COMPUTED_VALUE"""),"Español")</f>
        <v>Español</v>
      </c>
      <c r="L254" s="2" t="str">
        <f>IFERROR(__xludf.DUMMYFUNCTION("""COMPUTED_VALUE"""),"n/a")</f>
        <v>n/a</v>
      </c>
      <c r="M254" s="2" t="str">
        <f>IFERROR(__xludf.DUMMYFUNCTION("""COMPUTED_VALUE"""),"No")</f>
        <v>No</v>
      </c>
      <c r="N254" s="2" t="str">
        <f>IFERROR(__xludf.DUMMYFUNCTION("""COMPUTED_VALUE"""),"n/a")</f>
        <v>n/a</v>
      </c>
      <c r="O254" s="3" t="str">
        <f>IFERROR(__xludf.DUMMYFUNCTION("""COMPUTED_VALUE"""),"Más información / Informazio gehigarria")</f>
        <v>Más información / Informazio gehigarria</v>
      </c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30.0" customHeight="1">
      <c r="A255" s="2" t="str">
        <f>IFERROR(__xludf.DUMMYFUNCTION("""COMPUTED_VALUE"""),"Colombia")</f>
        <v>Colombia</v>
      </c>
      <c r="B255" s="2"/>
      <c r="C255" s="3" t="str">
        <f>IFERROR(__xludf.DUMMYFUNCTION("""COMPUTED_VALUE"""),"Uniminuto")</f>
        <v>Uniminuto</v>
      </c>
      <c r="D255" s="2" t="str">
        <f>IFERROR(__xludf.DUMMYFUNCTION("""COMPUTED_VALUE"""),"Ac. Bilaterales (no Erasmus)")</f>
        <v>Ac. Bilaterales (no Erasmus)</v>
      </c>
      <c r="E255" s="2" t="str">
        <f>IFERROR(__xludf.DUMMYFUNCTION("""COMPUTED_VALUE"""),"Convenio Marco")</f>
        <v>Convenio Marco</v>
      </c>
      <c r="F255" s="2" t="str">
        <f>IFERROR(__xludf.DUMMYFUNCTION("""COMPUTED_VALUE"""),"Semestre")</f>
        <v>Semestre</v>
      </c>
      <c r="G255" s="2" t="str">
        <f>IFERROR(__xludf.DUMMYFUNCTION("""COMPUTED_VALUE"""),"Bilbao")</f>
        <v>Bilbao</v>
      </c>
      <c r="H255" s="2" t="str">
        <f>IFERROR(__xludf.DUMMYFUNCTION("""COMPUTED_VALUE"""),"Ciencias Sociales y Humanas")</f>
        <v>Ciencias Sociales y Humanas</v>
      </c>
      <c r="I255" s="2" t="str">
        <f>IFERROR(__xludf.DUMMYFUNCTION("""COMPUTED_VALUE"""),"Turismo")</f>
        <v>Turismo</v>
      </c>
      <c r="J255" s="2" t="str">
        <f>IFERROR(__xludf.DUMMYFUNCTION("""COMPUTED_VALUE"""),"Grado")</f>
        <v>Grado</v>
      </c>
      <c r="K255" s="2" t="str">
        <f>IFERROR(__xludf.DUMMYFUNCTION("""COMPUTED_VALUE"""),"Español")</f>
        <v>Español</v>
      </c>
      <c r="L255" s="2" t="str">
        <f>IFERROR(__xludf.DUMMYFUNCTION("""COMPUTED_VALUE"""),"n/a")</f>
        <v>n/a</v>
      </c>
      <c r="M255" s="2" t="str">
        <f>IFERROR(__xludf.DUMMYFUNCTION("""COMPUTED_VALUE"""),"No")</f>
        <v>No</v>
      </c>
      <c r="N255" s="2" t="str">
        <f>IFERROR(__xludf.DUMMYFUNCTION("""COMPUTED_VALUE"""),"n/a")</f>
        <v>n/a</v>
      </c>
      <c r="O255" s="3" t="str">
        <f>IFERROR(__xludf.DUMMYFUNCTION("""COMPUTED_VALUE"""),"Más información / Informazio gehigarria")</f>
        <v>Más información / Informazio gehigarria</v>
      </c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30.0" customHeight="1">
      <c r="A256" s="2" t="str">
        <f>IFERROR(__xludf.DUMMYFUNCTION("""COMPUTED_VALUE"""),"Colombia")</f>
        <v>Colombia</v>
      </c>
      <c r="B256" s="2" t="str">
        <f>IFERROR(__xludf.DUMMYFUNCTION("""COMPUTED_VALUE"""),"CO BOGOTA06")</f>
        <v>CO BOGOTA06</v>
      </c>
      <c r="C256" s="3" t="str">
        <f>IFERROR(__xludf.DUMMYFUNCTION("""COMPUTED_VALUE"""),"Universidad de Externado")</f>
        <v>Universidad de Externado</v>
      </c>
      <c r="D256" s="2" t="str">
        <f>IFERROR(__xludf.DUMMYFUNCTION("""COMPUTED_VALUE"""),"Ac. Bilaterales (no Erasmus)")</f>
        <v>Ac. Bilaterales (no Erasmus)</v>
      </c>
      <c r="E256" s="2">
        <f>IFERROR(__xludf.DUMMYFUNCTION("""COMPUTED_VALUE"""),6.0)</f>
        <v>6</v>
      </c>
      <c r="F256" s="2" t="str">
        <f>IFERROR(__xludf.DUMMYFUNCTION("""COMPUTED_VALUE"""),"Semestre")</f>
        <v>Semestre</v>
      </c>
      <c r="G256" s="2" t="str">
        <f>IFERROR(__xludf.DUMMYFUNCTION("""COMPUTED_VALUE"""),"San Sebastián")</f>
        <v>San Sebastián</v>
      </c>
      <c r="H256" s="2" t="str">
        <f>IFERROR(__xludf.DUMMYFUNCTION("""COMPUTED_VALUE"""),"Ciencias Sociales y Humanas")</f>
        <v>Ciencias Sociales y Humanas</v>
      </c>
      <c r="I256" s="2" t="str">
        <f>IFERROR(__xludf.DUMMYFUNCTION("""COMPUTED_VALUE"""),"Comunicación")</f>
        <v>Comunicación</v>
      </c>
      <c r="J256" s="2" t="str">
        <f>IFERROR(__xludf.DUMMYFUNCTION("""COMPUTED_VALUE"""),"Grado")</f>
        <v>Grado</v>
      </c>
      <c r="K256" s="2" t="str">
        <f>IFERROR(__xludf.DUMMYFUNCTION("""COMPUTED_VALUE"""),"Español")</f>
        <v>Español</v>
      </c>
      <c r="L256" s="2" t="str">
        <f>IFERROR(__xludf.DUMMYFUNCTION("""COMPUTED_VALUE"""),"n/a")</f>
        <v>n/a</v>
      </c>
      <c r="M256" s="2" t="str">
        <f>IFERROR(__xludf.DUMMYFUNCTION("""COMPUTED_VALUE"""),"No")</f>
        <v>No</v>
      </c>
      <c r="N256" s="3" t="str">
        <f>IFERROR(__xludf.DUMMYFUNCTION("""COMPUTED_VALUE"""),"https://www.uexternado.edu.co/")</f>
        <v>https://www.uexternado.edu.co/</v>
      </c>
      <c r="O256" s="3" t="str">
        <f>IFERROR(__xludf.DUMMYFUNCTION("""COMPUTED_VALUE"""),"Más información / Informazio gehigarria")</f>
        <v>Más información / Informazio gehigarria</v>
      </c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30.0" customHeight="1">
      <c r="A257" s="2" t="str">
        <f>IFERROR(__xludf.DUMMYFUNCTION("""COMPUTED_VALUE"""),"Colombia")</f>
        <v>Colombia</v>
      </c>
      <c r="B257" s="2" t="str">
        <f>IFERROR(__xludf.DUMMYFUNCTION("""COMPUTED_VALUE"""),"CO BOGOTA06")</f>
        <v>CO BOGOTA06</v>
      </c>
      <c r="C257" s="3" t="str">
        <f>IFERROR(__xludf.DUMMYFUNCTION("""COMPUTED_VALUE"""),"Universidad de Externado")</f>
        <v>Universidad de Externado</v>
      </c>
      <c r="D257" s="2" t="str">
        <f>IFERROR(__xludf.DUMMYFUNCTION("""COMPUTED_VALUE"""),"Ac. Bilaterales (no Erasmus)")</f>
        <v>Ac. Bilaterales (no Erasmus)</v>
      </c>
      <c r="E257" s="2">
        <f>IFERROR(__xludf.DUMMYFUNCTION("""COMPUTED_VALUE"""),6.0)</f>
        <v>6</v>
      </c>
      <c r="F257" s="2" t="str">
        <f>IFERROR(__xludf.DUMMYFUNCTION("""COMPUTED_VALUE"""),"Semestre")</f>
        <v>Semestre</v>
      </c>
      <c r="G257" s="2" t="str">
        <f>IFERROR(__xludf.DUMMYFUNCTION("""COMPUTED_VALUE"""),"Bilbao")</f>
        <v>Bilbao</v>
      </c>
      <c r="H257" s="2" t="str">
        <f>IFERROR(__xludf.DUMMYFUNCTION("""COMPUTED_VALUE"""),"Ciencias Sociales y Humanas")</f>
        <v>Ciencias Sociales y Humanas</v>
      </c>
      <c r="I257" s="2" t="str">
        <f>IFERROR(__xludf.DUMMYFUNCTION("""COMPUTED_VALUE"""),"Relaciones Internacionales, Relaciones Internacionales + Derecho")</f>
        <v>Relaciones Internacionales, Relaciones Internacionales + Derecho</v>
      </c>
      <c r="J257" s="2" t="str">
        <f>IFERROR(__xludf.DUMMYFUNCTION("""COMPUTED_VALUE"""),"Grado")</f>
        <v>Grado</v>
      </c>
      <c r="K257" s="2" t="str">
        <f>IFERROR(__xludf.DUMMYFUNCTION("""COMPUTED_VALUE"""),"Español")</f>
        <v>Español</v>
      </c>
      <c r="L257" s="2" t="str">
        <f>IFERROR(__xludf.DUMMYFUNCTION("""COMPUTED_VALUE"""),"n/a")</f>
        <v>n/a</v>
      </c>
      <c r="M257" s="2" t="str">
        <f>IFERROR(__xludf.DUMMYFUNCTION("""COMPUTED_VALUE"""),"No")</f>
        <v>No</v>
      </c>
      <c r="N257" s="2" t="str">
        <f>IFERROR(__xludf.DUMMYFUNCTION("""COMPUTED_VALUE"""),"n/a")</f>
        <v>n/a</v>
      </c>
      <c r="O257" s="3" t="str">
        <f>IFERROR(__xludf.DUMMYFUNCTION("""COMPUTED_VALUE"""),"Más información / Informazio gehigarria")</f>
        <v>Más información / Informazio gehigarria</v>
      </c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30.0" customHeight="1">
      <c r="A258" s="2" t="str">
        <f>IFERROR(__xludf.DUMMYFUNCTION("""COMPUTED_VALUE"""),"Colombia")</f>
        <v>Colombia</v>
      </c>
      <c r="B258" s="2" t="str">
        <f>IFERROR(__xludf.DUMMYFUNCTION("""COMPUTED_VALUE"""),"CO BOGOTA06")</f>
        <v>CO BOGOTA06</v>
      </c>
      <c r="C258" s="3" t="str">
        <f>IFERROR(__xludf.DUMMYFUNCTION("""COMPUTED_VALUE"""),"Universidad de Externado")</f>
        <v>Universidad de Externado</v>
      </c>
      <c r="D258" s="2" t="str">
        <f>IFERROR(__xludf.DUMMYFUNCTION("""COMPUTED_VALUE"""),"Ac. Bilaterales (no Erasmus)")</f>
        <v>Ac. Bilaterales (no Erasmus)</v>
      </c>
      <c r="E258" s="2">
        <f>IFERROR(__xludf.DUMMYFUNCTION("""COMPUTED_VALUE"""),6.0)</f>
        <v>6</v>
      </c>
      <c r="F258" s="2" t="str">
        <f>IFERROR(__xludf.DUMMYFUNCTION("""COMPUTED_VALUE"""),"Semestre")</f>
        <v>Semestre</v>
      </c>
      <c r="G258" s="2" t="str">
        <f>IFERROR(__xludf.DUMMYFUNCTION("""COMPUTED_VALUE"""),"Bilbao")</f>
        <v>Bilbao</v>
      </c>
      <c r="H258" s="2" t="str">
        <f>IFERROR(__xludf.DUMMYFUNCTION("""COMPUTED_VALUE"""),"Ciencias Sociales y Humanas")</f>
        <v>Ciencias Sociales y Humanas</v>
      </c>
      <c r="I258" s="2" t="str">
        <f>IFERROR(__xludf.DUMMYFUNCTION("""COMPUTED_VALUE"""),"Turismo")</f>
        <v>Turismo</v>
      </c>
      <c r="J258" s="2" t="str">
        <f>IFERROR(__xludf.DUMMYFUNCTION("""COMPUTED_VALUE"""),"Grado")</f>
        <v>Grado</v>
      </c>
      <c r="K258" s="2" t="str">
        <f>IFERROR(__xludf.DUMMYFUNCTION("""COMPUTED_VALUE"""),"Español")</f>
        <v>Español</v>
      </c>
      <c r="L258" s="2" t="str">
        <f>IFERROR(__xludf.DUMMYFUNCTION("""COMPUTED_VALUE"""),"n/a")</f>
        <v>n/a</v>
      </c>
      <c r="M258" s="2" t="str">
        <f>IFERROR(__xludf.DUMMYFUNCTION("""COMPUTED_VALUE"""),"No")</f>
        <v>No</v>
      </c>
      <c r="N258" s="2" t="str">
        <f>IFERROR(__xludf.DUMMYFUNCTION("""COMPUTED_VALUE"""),"n/a")</f>
        <v>n/a</v>
      </c>
      <c r="O258" s="3" t="str">
        <f>IFERROR(__xludf.DUMMYFUNCTION("""COMPUTED_VALUE"""),"Más información / Informazio gehigarria")</f>
        <v>Más información / Informazio gehigarria</v>
      </c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30.0" customHeight="1">
      <c r="A259" s="2" t="str">
        <f>IFERROR(__xludf.DUMMYFUNCTION("""COMPUTED_VALUE"""),"Colombia")</f>
        <v>Colombia</v>
      </c>
      <c r="B259" s="2"/>
      <c r="C259" s="3" t="str">
        <f>IFERROR(__xludf.DUMMYFUNCTION("""COMPUTED_VALUE"""),"Universidad de los Andes")</f>
        <v>Universidad de los Andes</v>
      </c>
      <c r="D259" s="2" t="str">
        <f>IFERROR(__xludf.DUMMYFUNCTION("""COMPUTED_VALUE"""),"Ac. Bilaterales (no Erasmus)")</f>
        <v>Ac. Bilaterales (no Erasmus)</v>
      </c>
      <c r="E259" s="2">
        <f>IFERROR(__xludf.DUMMYFUNCTION("""COMPUTED_VALUE"""),4.0)</f>
        <v>4</v>
      </c>
      <c r="F259" s="2" t="str">
        <f>IFERROR(__xludf.DUMMYFUNCTION("""COMPUTED_VALUE"""),"Anual ")</f>
        <v>Anual </v>
      </c>
      <c r="G259" s="2" t="str">
        <f>IFERROR(__xludf.DUMMYFUNCTION("""COMPUTED_VALUE"""),"Bilbao")</f>
        <v>Bilbao</v>
      </c>
      <c r="H259" s="2" t="str">
        <f>IFERROR(__xludf.DUMMYFUNCTION("""COMPUTED_VALUE"""),"Ciencias Sociales y Humanas")</f>
        <v>Ciencias Sociales y Humanas</v>
      </c>
      <c r="I259" s="2" t="str">
        <f>IFERROR(__xludf.DUMMYFUNCTION("""COMPUTED_VALUE"""),"Relaciones Internacionales, Relaciones Internacionales + Derecho")</f>
        <v>Relaciones Internacionales, Relaciones Internacionales + Derecho</v>
      </c>
      <c r="J259" s="2" t="str">
        <f>IFERROR(__xludf.DUMMYFUNCTION("""COMPUTED_VALUE"""),"Grado")</f>
        <v>Grado</v>
      </c>
      <c r="K259" s="2" t="str">
        <f>IFERROR(__xludf.DUMMYFUNCTION("""COMPUTED_VALUE"""),"Español")</f>
        <v>Español</v>
      </c>
      <c r="L259" s="2" t="str">
        <f>IFERROR(__xludf.DUMMYFUNCTION("""COMPUTED_VALUE"""),"n/a")</f>
        <v>n/a</v>
      </c>
      <c r="M259" s="2" t="str">
        <f>IFERROR(__xludf.DUMMYFUNCTION("""COMPUTED_VALUE"""),"No")</f>
        <v>No</v>
      </c>
      <c r="N259" s="2" t="str">
        <f>IFERROR(__xludf.DUMMYFUNCTION("""COMPUTED_VALUE"""),"n/a")</f>
        <v>n/a</v>
      </c>
      <c r="O259" s="3" t="str">
        <f>IFERROR(__xludf.DUMMYFUNCTION("""COMPUTED_VALUE"""),"Más información / Informazio gehigarria")</f>
        <v>Más información / Informazio gehigarria</v>
      </c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30.0" customHeight="1">
      <c r="A260" s="2" t="str">
        <f>IFERROR(__xludf.DUMMYFUNCTION("""COMPUTED_VALUE"""),"Colombia")</f>
        <v>Colombia</v>
      </c>
      <c r="B260" s="2"/>
      <c r="C260" s="3" t="str">
        <f>IFERROR(__xludf.DUMMYFUNCTION("""COMPUTED_VALUE"""),"Universidad del Tolima")</f>
        <v>Universidad del Tolima</v>
      </c>
      <c r="D260" s="2" t="str">
        <f>IFERROR(__xludf.DUMMYFUNCTION("""COMPUTED_VALUE"""),"Ac. Bilaterales (no Erasmus)")</f>
        <v>Ac. Bilaterales (no Erasmus)</v>
      </c>
      <c r="E260" s="2">
        <f>IFERROR(__xludf.DUMMYFUNCTION("""COMPUTED_VALUE"""),2.0)</f>
        <v>2</v>
      </c>
      <c r="F260" s="2" t="str">
        <f>IFERROR(__xludf.DUMMYFUNCTION("""COMPUTED_VALUE"""),"Anual")</f>
        <v>Anual</v>
      </c>
      <c r="G260" s="2" t="str">
        <f>IFERROR(__xludf.DUMMYFUNCTION("""COMPUTED_VALUE"""),"Bilbao")</f>
        <v>Bilbao</v>
      </c>
      <c r="H260" s="2" t="str">
        <f>IFERROR(__xludf.DUMMYFUNCTION("""COMPUTED_VALUE"""),"Sin especificar")</f>
        <v>Sin especificar</v>
      </c>
      <c r="I260" s="2" t="str">
        <f>IFERROR(__xludf.DUMMYFUNCTION("""COMPUTED_VALUE"""),"Sin especificar")</f>
        <v>Sin especificar</v>
      </c>
      <c r="J260" s="2"/>
      <c r="K260" s="2" t="str">
        <f>IFERROR(__xludf.DUMMYFUNCTION("""COMPUTED_VALUE"""),"Español")</f>
        <v>Español</v>
      </c>
      <c r="L260" s="2" t="str">
        <f>IFERROR(__xludf.DUMMYFUNCTION("""COMPUTED_VALUE"""),"n/a")</f>
        <v>n/a</v>
      </c>
      <c r="M260" s="2" t="str">
        <f>IFERROR(__xludf.DUMMYFUNCTION("""COMPUTED_VALUE"""),"No")</f>
        <v>No</v>
      </c>
      <c r="N260" s="2" t="str">
        <f>IFERROR(__xludf.DUMMYFUNCTION("""COMPUTED_VALUE"""),"n/a")</f>
        <v>n/a</v>
      </c>
      <c r="O260" s="3" t="str">
        <f>IFERROR(__xludf.DUMMYFUNCTION("""COMPUTED_VALUE"""),"Más información / Informazio gehigarria")</f>
        <v>Más información / Informazio gehigarria</v>
      </c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30.0" customHeight="1">
      <c r="A261" s="2" t="str">
        <f>IFERROR(__xludf.DUMMYFUNCTION("""COMPUTED_VALUE"""),"Colombia")</f>
        <v>Colombia</v>
      </c>
      <c r="B261" s="2"/>
      <c r="C261" s="3" t="str">
        <f>IFERROR(__xludf.DUMMYFUNCTION("""COMPUTED_VALUE"""),"Universidad de San Buenaventura Medellín")</f>
        <v>Universidad de San Buenaventura Medellín</v>
      </c>
      <c r="D261" s="2" t="str">
        <f>IFERROR(__xludf.DUMMYFUNCTION("""COMPUTED_VALUE"""),"Ac. Bilaterales (no Erasmus)")</f>
        <v>Ac. Bilaterales (no Erasmus)</v>
      </c>
      <c r="E261" s="2">
        <f>IFERROR(__xludf.DUMMYFUNCTION("""COMPUTED_VALUE"""),6.0)</f>
        <v>6</v>
      </c>
      <c r="F261" s="2" t="str">
        <f>IFERROR(__xludf.DUMMYFUNCTION("""COMPUTED_VALUE"""),"Semestre")</f>
        <v>Semestre</v>
      </c>
      <c r="G261" s="2" t="str">
        <f>IFERROR(__xludf.DUMMYFUNCTION("""COMPUTED_VALUE"""),"Ambos")</f>
        <v>Ambos</v>
      </c>
      <c r="H261" s="2" t="str">
        <f>IFERROR(__xludf.DUMMYFUNCTION("""COMPUTED_VALUE"""),"Sin especificar")</f>
        <v>Sin especificar</v>
      </c>
      <c r="I261" s="2" t="str">
        <f>IFERROR(__xludf.DUMMYFUNCTION("""COMPUTED_VALUE"""),"Sin especificar")</f>
        <v>Sin especificar</v>
      </c>
      <c r="J261" s="2" t="str">
        <f>IFERROR(__xludf.DUMMYFUNCTION("""COMPUTED_VALUE"""),"Grado")</f>
        <v>Grado</v>
      </c>
      <c r="K261" s="2" t="str">
        <f>IFERROR(__xludf.DUMMYFUNCTION("""COMPUTED_VALUE"""),"Español")</f>
        <v>Español</v>
      </c>
      <c r="L261" s="2" t="str">
        <f>IFERROR(__xludf.DUMMYFUNCTION("""COMPUTED_VALUE"""),"n/a")</f>
        <v>n/a</v>
      </c>
      <c r="M261" s="2" t="str">
        <f>IFERROR(__xludf.DUMMYFUNCTION("""COMPUTED_VALUE"""),"No")</f>
        <v>No</v>
      </c>
      <c r="N261" s="3" t="str">
        <f>IFERROR(__xludf.DUMMYFUNCTION("""COMPUTED_VALUE"""),"https://www.usbmed.edu.co/internacionalizacion")</f>
        <v>https://www.usbmed.edu.co/internacionalizacion</v>
      </c>
      <c r="O261" s="3" t="str">
        <f>IFERROR(__xludf.DUMMYFUNCTION("""COMPUTED_VALUE"""),"Más información / Informazio gehigarria")</f>
        <v>Más información / Informazio gehigarria</v>
      </c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30.0" customHeight="1">
      <c r="A262" s="2" t="str">
        <f>IFERROR(__xludf.DUMMYFUNCTION("""COMPUTED_VALUE"""),"Croacia")</f>
        <v>Croacia</v>
      </c>
      <c r="B262" s="2" t="str">
        <f>IFERROR(__xludf.DUMMYFUNCTION("""COMPUTED_VALUE"""),"HR SIBENIK01")</f>
        <v>HR SIBENIK01</v>
      </c>
      <c r="C262" s="3" t="str">
        <f>IFERROR(__xludf.DUMMYFUNCTION("""COMPUTED_VALUE"""),"Polytechnic of Sibenik")</f>
        <v>Polytechnic of Sibenik</v>
      </c>
      <c r="D262" s="2" t="str">
        <f>IFERROR(__xludf.DUMMYFUNCTION("""COMPUTED_VALUE"""),"Erasmus+")</f>
        <v>Erasmus+</v>
      </c>
      <c r="E262" s="2">
        <f>IFERROR(__xludf.DUMMYFUNCTION("""COMPUTED_VALUE"""),2.0)</f>
        <v>2</v>
      </c>
      <c r="F262" s="2" t="str">
        <f>IFERROR(__xludf.DUMMYFUNCTION("""COMPUTED_VALUE"""),"Semestre")</f>
        <v>Semestre</v>
      </c>
      <c r="G262" s="2" t="str">
        <f>IFERROR(__xludf.DUMMYFUNCTION("""COMPUTED_VALUE"""),"Bilbao")</f>
        <v>Bilbao</v>
      </c>
      <c r="H262" s="2" t="str">
        <f>IFERROR(__xludf.DUMMYFUNCTION("""COMPUTED_VALUE"""),"Derecho")</f>
        <v>Derecho</v>
      </c>
      <c r="I262" s="2" t="str">
        <f>IFERROR(__xludf.DUMMYFUNCTION("""COMPUTED_VALUE"""),"Derecho, Derecho + Relaciones Laborales")</f>
        <v>Derecho, Derecho + Relaciones Laborales</v>
      </c>
      <c r="J262" s="2" t="str">
        <f>IFERROR(__xludf.DUMMYFUNCTION("""COMPUTED_VALUE"""),"Grado")</f>
        <v>Grado</v>
      </c>
      <c r="K262" s="2" t="str">
        <f>IFERROR(__xludf.DUMMYFUNCTION("""COMPUTED_VALUE"""),"Inglés")</f>
        <v>Inglés</v>
      </c>
      <c r="L262" s="2" t="str">
        <f>IFERROR(__xludf.DUMMYFUNCTION("""COMPUTED_VALUE"""),"B2")</f>
        <v>B2</v>
      </c>
      <c r="M262" s="2" t="str">
        <f>IFERROR(__xludf.DUMMYFUNCTION("""COMPUTED_VALUE"""),"No")</f>
        <v>No</v>
      </c>
      <c r="N262" s="3" t="str">
        <f>IFERROR(__xludf.DUMMYFUNCTION("""COMPUTED_VALUE"""),"https://www.vus.hr/")</f>
        <v>https://www.vus.hr/</v>
      </c>
      <c r="O262" s="3" t="str">
        <f>IFERROR(__xludf.DUMMYFUNCTION("""COMPUTED_VALUE"""),"Más información / Informazio gehigarria")</f>
        <v>Más información / Informazio gehigarria</v>
      </c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30.0" customHeight="1">
      <c r="A263" s="2" t="str">
        <f>IFERROR(__xludf.DUMMYFUNCTION("""COMPUTED_VALUE"""),"Croacia")</f>
        <v>Croacia</v>
      </c>
      <c r="B263" s="2" t="str">
        <f>IFERROR(__xludf.DUMMYFUNCTION("""COMPUTED_VALUE"""),"HR SIBENIK01")</f>
        <v>HR SIBENIK01</v>
      </c>
      <c r="C263" s="3" t="str">
        <f>IFERROR(__xludf.DUMMYFUNCTION("""COMPUTED_VALUE"""),"Polytechnic of Sibenik")</f>
        <v>Polytechnic of Sibenik</v>
      </c>
      <c r="D263" s="2" t="str">
        <f>IFERROR(__xludf.DUMMYFUNCTION("""COMPUTED_VALUE"""),"Erasmus+")</f>
        <v>Erasmus+</v>
      </c>
      <c r="E263" s="2">
        <f>IFERROR(__xludf.DUMMYFUNCTION("""COMPUTED_VALUE"""),2.0)</f>
        <v>2</v>
      </c>
      <c r="F263" s="2" t="str">
        <f>IFERROR(__xludf.DUMMYFUNCTION("""COMPUTED_VALUE"""),"Semestre")</f>
        <v>Semestre</v>
      </c>
      <c r="G263" s="2" t="str">
        <f>IFERROR(__xludf.DUMMYFUNCTION("""COMPUTED_VALUE"""),"Ambos")</f>
        <v>Ambos</v>
      </c>
      <c r="H263" s="2" t="str">
        <f>IFERROR(__xludf.DUMMYFUNCTION("""COMPUTED_VALUE"""),"Ciencias de la Salud")</f>
        <v>Ciencias de la Salud</v>
      </c>
      <c r="I263" s="2" t="str">
        <f>IFERROR(__xludf.DUMMYFUNCTION("""COMPUTED_VALUE"""),"Enfermería")</f>
        <v>Enfermería</v>
      </c>
      <c r="J263" s="2" t="str">
        <f>IFERROR(__xludf.DUMMYFUNCTION("""COMPUTED_VALUE"""),"Grado")</f>
        <v>Grado</v>
      </c>
      <c r="K263" s="2" t="str">
        <f>IFERROR(__xludf.DUMMYFUNCTION("""COMPUTED_VALUE"""),"Inglés")</f>
        <v>Inglés</v>
      </c>
      <c r="L263" s="2" t="str">
        <f>IFERROR(__xludf.DUMMYFUNCTION("""COMPUTED_VALUE"""),"C1")</f>
        <v>C1</v>
      </c>
      <c r="M263" s="2" t="str">
        <f>IFERROR(__xludf.DUMMYFUNCTION("""COMPUTED_VALUE"""),"No")</f>
        <v>No</v>
      </c>
      <c r="N263" s="3" t="str">
        <f>IFERROR(__xludf.DUMMYFUNCTION("""COMPUTED_VALUE"""),"https://www.vus.hr/")</f>
        <v>https://www.vus.hr/</v>
      </c>
      <c r="O263" s="3" t="str">
        <f>IFERROR(__xludf.DUMMYFUNCTION("""COMPUTED_VALUE"""),"Más información / Informazio gehigarria")</f>
        <v>Más información / Informazio gehigarria</v>
      </c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30.0" customHeight="1">
      <c r="A264" s="2" t="str">
        <f>IFERROR(__xludf.DUMMYFUNCTION("""COMPUTED_VALUE"""),"Croacia")</f>
        <v>Croacia</v>
      </c>
      <c r="B264" s="2" t="str">
        <f>IFERROR(__xludf.DUMMYFUNCTION("""COMPUTED_VALUE"""),"HR RIJEKA01")</f>
        <v>HR RIJEKA01</v>
      </c>
      <c r="C264" s="3" t="str">
        <f>IFERROR(__xludf.DUMMYFUNCTION("""COMPUTED_VALUE"""),"The University of Rijeka")</f>
        <v>The University of Rijeka</v>
      </c>
      <c r="D264" s="2" t="str">
        <f>IFERROR(__xludf.DUMMYFUNCTION("""COMPUTED_VALUE"""),"Erasmus+")</f>
        <v>Erasmus+</v>
      </c>
      <c r="E264" s="2">
        <f>IFERROR(__xludf.DUMMYFUNCTION("""COMPUTED_VALUE"""),4.0)</f>
        <v>4</v>
      </c>
      <c r="F264" s="2" t="str">
        <f>IFERROR(__xludf.DUMMYFUNCTION("""COMPUTED_VALUE"""),"Semestre")</f>
        <v>Semestre</v>
      </c>
      <c r="G264" s="2" t="str">
        <f>IFERROR(__xludf.DUMMYFUNCTION("""COMPUTED_VALUE"""),"Bilbao")</f>
        <v>Bilbao</v>
      </c>
      <c r="H264" s="2" t="str">
        <f>IFERROR(__xludf.DUMMYFUNCTION("""COMPUTED_VALUE"""),"Ciencias Sociales y Humanas")</f>
        <v>Ciencias Sociales y Humanas</v>
      </c>
      <c r="I264" s="2" t="str">
        <f>IFERROR(__xludf.DUMMYFUNCTION("""COMPUTED_VALUE"""),"Turismo")</f>
        <v>Turismo</v>
      </c>
      <c r="J264" s="2" t="str">
        <f>IFERROR(__xludf.DUMMYFUNCTION("""COMPUTED_VALUE"""),"Grado")</f>
        <v>Grado</v>
      </c>
      <c r="K264" s="2" t="str">
        <f>IFERROR(__xludf.DUMMYFUNCTION("""COMPUTED_VALUE"""),"Inglés")</f>
        <v>Inglés</v>
      </c>
      <c r="L264" s="2" t="str">
        <f>IFERROR(__xludf.DUMMYFUNCTION("""COMPUTED_VALUE"""),"B2")</f>
        <v>B2</v>
      </c>
      <c r="M264" s="2" t="str">
        <f>IFERROR(__xludf.DUMMYFUNCTION("""COMPUTED_VALUE"""),"No")</f>
        <v>No</v>
      </c>
      <c r="N264" s="3" t="str">
        <f>IFERROR(__xludf.DUMMYFUNCTION("""COMPUTED_VALUE"""),"https://uniri.hr/en/about-university/international-relations-and-erasmus/incoming-erasmus-students/")</f>
        <v>https://uniri.hr/en/about-university/international-relations-and-erasmus/incoming-erasmus-students/</v>
      </c>
      <c r="O264" s="3" t="str">
        <f>IFERROR(__xludf.DUMMYFUNCTION("""COMPUTED_VALUE"""),"Más información / Informazio gehigarria")</f>
        <v>Más información / Informazio gehigarria</v>
      </c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30.0" customHeight="1">
      <c r="A265" s="2" t="str">
        <f>IFERROR(__xludf.DUMMYFUNCTION("""COMPUTED_VALUE"""),"Croacia")</f>
        <v>Croacia</v>
      </c>
      <c r="B265" s="2" t="str">
        <f>IFERROR(__xludf.DUMMYFUNCTION("""COMPUTED_VALUE"""),"HR SPLIT01")</f>
        <v>HR SPLIT01</v>
      </c>
      <c r="C265" s="3" t="str">
        <f>IFERROR(__xludf.DUMMYFUNCTION("""COMPUTED_VALUE"""),"University of Split")</f>
        <v>University of Split</v>
      </c>
      <c r="D265" s="2" t="str">
        <f>IFERROR(__xludf.DUMMYFUNCTION("""COMPUTED_VALUE"""),"Erasmus+")</f>
        <v>Erasmus+</v>
      </c>
      <c r="E265" s="2">
        <f>IFERROR(__xludf.DUMMYFUNCTION("""COMPUTED_VALUE"""),6.0)</f>
        <v>6</v>
      </c>
      <c r="F265" s="2" t="str">
        <f>IFERROR(__xludf.DUMMYFUNCTION("""COMPUTED_VALUE"""),"Semestre")</f>
        <v>Semestre</v>
      </c>
      <c r="G265" s="2" t="str">
        <f>IFERROR(__xludf.DUMMYFUNCTION("""COMPUTED_VALUE"""),"Bilbao")</f>
        <v>Bilbao</v>
      </c>
      <c r="H265" s="2" t="str">
        <f>IFERROR(__xludf.DUMMYFUNCTION("""COMPUTED_VALUE"""),"Educación y Deporte")</f>
        <v>Educación y Deporte</v>
      </c>
      <c r="I265" s="2" t="str">
        <f>IFERROR(__xludf.DUMMYFUNCTION("""COMPUTED_VALUE"""),"CAFyD")</f>
        <v>CAFyD</v>
      </c>
      <c r="J265" s="2" t="str">
        <f>IFERROR(__xludf.DUMMYFUNCTION("""COMPUTED_VALUE"""),"Grado")</f>
        <v>Grado</v>
      </c>
      <c r="K265" s="2" t="str">
        <f>IFERROR(__xludf.DUMMYFUNCTION("""COMPUTED_VALUE"""),"Inglés")</f>
        <v>Inglés</v>
      </c>
      <c r="L265" s="2" t="str">
        <f>IFERROR(__xludf.DUMMYFUNCTION("""COMPUTED_VALUE"""),"B2")</f>
        <v>B2</v>
      </c>
      <c r="M265" s="2" t="str">
        <f>IFERROR(__xludf.DUMMYFUNCTION("""COMPUTED_VALUE"""),"Sí")</f>
        <v>Sí</v>
      </c>
      <c r="N265" s="3" t="str">
        <f>IFERROR(__xludf.DUMMYFUNCTION("""COMPUTED_VALUE"""),"https://www.unist.hr/en/")</f>
        <v>https://www.unist.hr/en/</v>
      </c>
      <c r="O265" s="3" t="str">
        <f>IFERROR(__xludf.DUMMYFUNCTION("""COMPUTED_VALUE"""),"Más información / Informazio gehigarria")</f>
        <v>Más información / Informazio gehigarria</v>
      </c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30.0" customHeight="1">
      <c r="A266" s="2" t="str">
        <f>IFERROR(__xludf.DUMMYFUNCTION("""COMPUTED_VALUE"""),"Croacia")</f>
        <v>Croacia</v>
      </c>
      <c r="B266" s="2" t="str">
        <f>IFERROR(__xludf.DUMMYFUNCTION("""COMPUTED_VALUE"""),"HR ZAGREB01")</f>
        <v>HR ZAGREB01</v>
      </c>
      <c r="C266" s="3" t="str">
        <f>IFERROR(__xludf.DUMMYFUNCTION("""COMPUTED_VALUE"""),"University of Zagreb")</f>
        <v>University of Zagreb</v>
      </c>
      <c r="D266" s="2" t="str">
        <f>IFERROR(__xludf.DUMMYFUNCTION("""COMPUTED_VALUE"""),"Erasmus+")</f>
        <v>Erasmus+</v>
      </c>
      <c r="E266" s="2">
        <f>IFERROR(__xludf.DUMMYFUNCTION("""COMPUTED_VALUE"""),2.0)</f>
        <v>2</v>
      </c>
      <c r="F266" s="2" t="str">
        <f>IFERROR(__xludf.DUMMYFUNCTION("""COMPUTED_VALUE"""),"Semestre")</f>
        <v>Semestre</v>
      </c>
      <c r="G266" s="2" t="str">
        <f>IFERROR(__xludf.DUMMYFUNCTION("""COMPUTED_VALUE"""),"Bilbao")</f>
        <v>Bilbao</v>
      </c>
      <c r="H266" s="2" t="str">
        <f>IFERROR(__xludf.DUMMYFUNCTION("""COMPUTED_VALUE"""),"Educación y Deporte")</f>
        <v>Educación y Deporte</v>
      </c>
      <c r="I266" s="2" t="str">
        <f>IFERROR(__xludf.DUMMYFUNCTION("""COMPUTED_VALUE"""),"CAFyD")</f>
        <v>CAFyD</v>
      </c>
      <c r="J266" s="2" t="str">
        <f>IFERROR(__xludf.DUMMYFUNCTION("""COMPUTED_VALUE"""),"Grado")</f>
        <v>Grado</v>
      </c>
      <c r="K266" s="2" t="str">
        <f>IFERROR(__xludf.DUMMYFUNCTION("""COMPUTED_VALUE"""),"Inglés")</f>
        <v>Inglés</v>
      </c>
      <c r="L266" s="2" t="str">
        <f>IFERROR(__xludf.DUMMYFUNCTION("""COMPUTED_VALUE"""),"B2")</f>
        <v>B2</v>
      </c>
      <c r="M266" s="2" t="str">
        <f>IFERROR(__xludf.DUMMYFUNCTION("""COMPUTED_VALUE"""),"Sí")</f>
        <v>Sí</v>
      </c>
      <c r="N266" s="3" t="str">
        <f>IFERROR(__xludf.DUMMYFUNCTION("""COMPUTED_VALUE"""),"http://www.unizg.hr/homepage/international-exchange/exchange-students/how-to-apply/#:~:text=Language%20requirements%20and%20tests,to%20the%20European%20reference%20framework.")</f>
        <v>http://www.unizg.hr/homepage/international-exchange/exchange-students/how-to-apply/#:~:text=Language%20requirements%20and%20tests,to%20the%20European%20reference%20framework.</v>
      </c>
      <c r="O266" s="3" t="str">
        <f>IFERROR(__xludf.DUMMYFUNCTION("""COMPUTED_VALUE"""),"Más información / Informazio gehigarria")</f>
        <v>Más información / Informazio gehigarria</v>
      </c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30.0" customHeight="1">
      <c r="A267" s="2" t="str">
        <f>IFERROR(__xludf.DUMMYFUNCTION("""COMPUTED_VALUE"""),"Croacia")</f>
        <v>Croacia</v>
      </c>
      <c r="B267" s="2" t="str">
        <f>IFERROR(__xludf.DUMMYFUNCTION("""COMPUTED_VALUE"""),"HR ZAGREB01")</f>
        <v>HR ZAGREB01</v>
      </c>
      <c r="C267" s="3" t="str">
        <f>IFERROR(__xludf.DUMMYFUNCTION("""COMPUTED_VALUE"""),"University of Zagreb")</f>
        <v>University of Zagreb</v>
      </c>
      <c r="D267" s="2" t="str">
        <f>IFERROR(__xludf.DUMMYFUNCTION("""COMPUTED_VALUE"""),"Erasmus+")</f>
        <v>Erasmus+</v>
      </c>
      <c r="E267" s="2">
        <f>IFERROR(__xludf.DUMMYFUNCTION("""COMPUTED_VALUE"""),3.0)</f>
        <v>3</v>
      </c>
      <c r="F267" s="2" t="str">
        <f>IFERROR(__xludf.DUMMYFUNCTION("""COMPUTED_VALUE"""),"Anual")</f>
        <v>Anual</v>
      </c>
      <c r="G267" s="2" t="str">
        <f>IFERROR(__xludf.DUMMYFUNCTION("""COMPUTED_VALUE"""),"Bilbao")</f>
        <v>Bilbao</v>
      </c>
      <c r="H267" s="2" t="str">
        <f>IFERROR(__xludf.DUMMYFUNCTION("""COMPUTED_VALUE"""),"Ciencias Sociales y Humanas")</f>
        <v>Ciencias Sociales y Humanas</v>
      </c>
      <c r="I267" s="2" t="str">
        <f>IFERROR(__xludf.DUMMYFUNCTION("""COMPUTED_VALUE"""),"Relaciones Internacionales, Relaciones Internacionales + Derecho")</f>
        <v>Relaciones Internacionales, Relaciones Internacionales + Derecho</v>
      </c>
      <c r="J267" s="2" t="str">
        <f>IFERROR(__xludf.DUMMYFUNCTION("""COMPUTED_VALUE"""),"Grado")</f>
        <v>Grado</v>
      </c>
      <c r="K267" s="2" t="str">
        <f>IFERROR(__xludf.DUMMYFUNCTION("""COMPUTED_VALUE"""),"Inglés")</f>
        <v>Inglés</v>
      </c>
      <c r="L267" s="2" t="str">
        <f>IFERROR(__xludf.DUMMYFUNCTION("""COMPUTED_VALUE"""),"B2")</f>
        <v>B2</v>
      </c>
      <c r="M267" s="2" t="str">
        <f>IFERROR(__xludf.DUMMYFUNCTION("""COMPUTED_VALUE"""),"Sí")</f>
        <v>Sí</v>
      </c>
      <c r="N267" s="3" t="str">
        <f>IFERROR(__xludf.DUMMYFUNCTION("""COMPUTED_VALUE"""),"http://www.unizg.hr/homepage/international-exchange/exchange-students/how-to-apply/#:~:text=Language%20requirements%20and%20tests,to%20the%20European%20reference%20framework.")</f>
        <v>http://www.unizg.hr/homepage/international-exchange/exchange-students/how-to-apply/#:~:text=Language%20requirements%20and%20tests,to%20the%20European%20reference%20framework.</v>
      </c>
      <c r="O267" s="3" t="str">
        <f>IFERROR(__xludf.DUMMYFUNCTION("""COMPUTED_VALUE"""),"Más información / Informazio gehigarria")</f>
        <v>Más información / Informazio gehigarria</v>
      </c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30.0" customHeight="1">
      <c r="A268" s="2" t="str">
        <f>IFERROR(__xludf.DUMMYFUNCTION("""COMPUTED_VALUE"""),"Croacia")</f>
        <v>Croacia</v>
      </c>
      <c r="B268" s="2" t="str">
        <f>IFERROR(__xludf.DUMMYFUNCTION("""COMPUTED_VALUE"""),"HR ZAGREB01")</f>
        <v>HR ZAGREB01</v>
      </c>
      <c r="C268" s="2" t="str">
        <f>IFERROR(__xludf.DUMMYFUNCTION("""COMPUTED_VALUE"""),"University of Zagreb")</f>
        <v>University of Zagreb</v>
      </c>
      <c r="D268" s="2" t="str">
        <f>IFERROR(__xludf.DUMMYFUNCTION("""COMPUTED_VALUE"""),"Erasmus+")</f>
        <v>Erasmus+</v>
      </c>
      <c r="E268" s="2">
        <f>IFERROR(__xludf.DUMMYFUNCTION("""COMPUTED_VALUE"""),2.0)</f>
        <v>2</v>
      </c>
      <c r="F268" s="2" t="str">
        <f>IFERROR(__xludf.DUMMYFUNCTION("""COMPUTED_VALUE"""),"Semestre")</f>
        <v>Semestre</v>
      </c>
      <c r="G268" s="2" t="str">
        <f>IFERROR(__xludf.DUMMYFUNCTION("""COMPUTED_VALUE"""),"Bilbao")</f>
        <v>Bilbao</v>
      </c>
      <c r="H268" s="2" t="str">
        <f>IFERROR(__xludf.DUMMYFUNCTION("""COMPUTED_VALUE"""),"Derecho")</f>
        <v>Derecho</v>
      </c>
      <c r="I268" s="2" t="str">
        <f>IFERROR(__xludf.DUMMYFUNCTION("""COMPUTED_VALUE"""),"Derecho, Derecho + Relaciones Laborales")</f>
        <v>Derecho, Derecho + Relaciones Laborales</v>
      </c>
      <c r="J268" s="2" t="str">
        <f>IFERROR(__xludf.DUMMYFUNCTION("""COMPUTED_VALUE"""),"Grado")</f>
        <v>Grado</v>
      </c>
      <c r="K268" s="2" t="str">
        <f>IFERROR(__xludf.DUMMYFUNCTION("""COMPUTED_VALUE"""),"Inglés")</f>
        <v>Inglés</v>
      </c>
      <c r="L268" s="2" t="str">
        <f>IFERROR(__xludf.DUMMYFUNCTION("""COMPUTED_VALUE"""),"B2")</f>
        <v>B2</v>
      </c>
      <c r="M268" s="2" t="str">
        <f>IFERROR(__xludf.DUMMYFUNCTION("""COMPUTED_VALUE"""),"Sí")</f>
        <v>Sí</v>
      </c>
      <c r="N268" s="3" t="str">
        <f>IFERROR(__xludf.DUMMYFUNCTION("""COMPUTED_VALUE"""),"http://www.unizg.hr/homepage/international-exchange/exchange-students/how-to-apply/#:~:text=Language%20requirements%20and%20tests,to%20the%20European%20reference%20framework.")</f>
        <v>http://www.unizg.hr/homepage/international-exchange/exchange-students/how-to-apply/#:~:text=Language%20requirements%20and%20tests,to%20the%20European%20reference%20framework.</v>
      </c>
      <c r="O268" s="3" t="str">
        <f>IFERROR(__xludf.DUMMYFUNCTION("""COMPUTED_VALUE"""),"Más información / Informazio gehigarria")</f>
        <v>Más información / Informazio gehigarria</v>
      </c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30.0" customHeight="1">
      <c r="A269" s="2" t="str">
        <f>IFERROR(__xludf.DUMMYFUNCTION("""COMPUTED_VALUE"""),"Croacia")</f>
        <v>Croacia</v>
      </c>
      <c r="B269" s="2" t="str">
        <f>IFERROR(__xludf.DUMMYFUNCTION("""COMPUTED_VALUE"""),"HR ZAGREB01")</f>
        <v>HR ZAGREB01</v>
      </c>
      <c r="C269" s="3" t="str">
        <f>IFERROR(__xludf.DUMMYFUNCTION("""COMPUTED_VALUE"""),"University of Zagreb")</f>
        <v>University of Zagreb</v>
      </c>
      <c r="D269" s="2" t="str">
        <f>IFERROR(__xludf.DUMMYFUNCTION("""COMPUTED_VALUE"""),"Erasmus+")</f>
        <v>Erasmus+</v>
      </c>
      <c r="E269" s="2">
        <f>IFERROR(__xludf.DUMMYFUNCTION("""COMPUTED_VALUE"""),2.0)</f>
        <v>2</v>
      </c>
      <c r="F269" s="2" t="str">
        <f>IFERROR(__xludf.DUMMYFUNCTION("""COMPUTED_VALUE"""),"Semestre")</f>
        <v>Semestre</v>
      </c>
      <c r="G269" s="2" t="str">
        <f>IFERROR(__xludf.DUMMYFUNCTION("""COMPUTED_VALUE"""),"Bilbao")</f>
        <v>Bilbao</v>
      </c>
      <c r="H269" s="2" t="str">
        <f>IFERROR(__xludf.DUMMYFUNCTION("""COMPUTED_VALUE"""),"Ingeniería")</f>
        <v>Ingeniería</v>
      </c>
      <c r="I269" s="2" t="str">
        <f>IFERROR(__xludf.DUMMYFUNCTION("""COMPUTED_VALUE"""),"Diseño Industrial, Diseño Industrial + Ingeniería Mecánica")</f>
        <v>Diseño Industrial, Diseño Industrial + Ingeniería Mecánica</v>
      </c>
      <c r="J269" s="2" t="str">
        <f>IFERROR(__xludf.DUMMYFUNCTION("""COMPUTED_VALUE"""),"Grado")</f>
        <v>Grado</v>
      </c>
      <c r="K269" s="2" t="str">
        <f>IFERROR(__xludf.DUMMYFUNCTION("""COMPUTED_VALUE"""),"Inglés")</f>
        <v>Inglés</v>
      </c>
      <c r="L269" s="2" t="str">
        <f>IFERROR(__xludf.DUMMYFUNCTION("""COMPUTED_VALUE"""),"B2")</f>
        <v>B2</v>
      </c>
      <c r="M269" s="2" t="str">
        <f>IFERROR(__xludf.DUMMYFUNCTION("""COMPUTED_VALUE"""),"Sí")</f>
        <v>Sí</v>
      </c>
      <c r="N269" s="3" t="str">
        <f>IFERROR(__xludf.DUMMYFUNCTION("""COMPUTED_VALUE"""),"http://www.unizg.hr/homepage/international-exchange/exchange-students/how-to-apply/#:~:text=Language%20requirements%20and%20tests,to%20the%20European%20reference%20framework.")</f>
        <v>http://www.unizg.hr/homepage/international-exchange/exchange-students/how-to-apply/#:~:text=Language%20requirements%20and%20tests,to%20the%20European%20reference%20framework.</v>
      </c>
      <c r="O269" s="3" t="str">
        <f>IFERROR(__xludf.DUMMYFUNCTION("""COMPUTED_VALUE"""),"Más información / Informazio gehigarria")</f>
        <v>Más información / Informazio gehigarria</v>
      </c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30.0" customHeight="1">
      <c r="A270" s="2" t="str">
        <f>IFERROR(__xludf.DUMMYFUNCTION("""COMPUTED_VALUE"""),"Croacia")</f>
        <v>Croacia</v>
      </c>
      <c r="B270" s="2" t="str">
        <f>IFERROR(__xludf.DUMMYFUNCTION("""COMPUTED_VALUE"""),"HR ZAGREB01")</f>
        <v>HR ZAGREB01</v>
      </c>
      <c r="C270" s="3" t="str">
        <f>IFERROR(__xludf.DUMMYFUNCTION("""COMPUTED_VALUE"""),"University of Zagreb")</f>
        <v>University of Zagreb</v>
      </c>
      <c r="D270" s="2" t="str">
        <f>IFERROR(__xludf.DUMMYFUNCTION("""COMPUTED_VALUE"""),"Erasmus+")</f>
        <v>Erasmus+</v>
      </c>
      <c r="E270" s="2">
        <f>IFERROR(__xludf.DUMMYFUNCTION("""COMPUTED_VALUE"""),2.0)</f>
        <v>2</v>
      </c>
      <c r="F270" s="2" t="str">
        <f>IFERROR(__xludf.DUMMYFUNCTION("""COMPUTED_VALUE"""),"Semestre")</f>
        <v>Semestre</v>
      </c>
      <c r="G270" s="2" t="str">
        <f>IFERROR(__xludf.DUMMYFUNCTION("""COMPUTED_VALUE"""),"Ambos")</f>
        <v>Ambos</v>
      </c>
      <c r="H270" s="2" t="str">
        <f>IFERROR(__xludf.DUMMYFUNCTION("""COMPUTED_VALUE"""),"Ingeniería")</f>
        <v>Ingeniería</v>
      </c>
      <c r="I270" s="2" t="str">
        <f>IFERROR(__xludf.DUMMYFUNCTION("""COMPUTED_VALUE"""),"Ingeniería Informática")</f>
        <v>Ingeniería Informática</v>
      </c>
      <c r="J270" s="2" t="str">
        <f>IFERROR(__xludf.DUMMYFUNCTION("""COMPUTED_VALUE"""),"Grado")</f>
        <v>Grado</v>
      </c>
      <c r="K270" s="2" t="str">
        <f>IFERROR(__xludf.DUMMYFUNCTION("""COMPUTED_VALUE"""),"Inglés")</f>
        <v>Inglés</v>
      </c>
      <c r="L270" s="2" t="str">
        <f>IFERROR(__xludf.DUMMYFUNCTION("""COMPUTED_VALUE"""),"B2")</f>
        <v>B2</v>
      </c>
      <c r="M270" s="2" t="str">
        <f>IFERROR(__xludf.DUMMYFUNCTION("""COMPUTED_VALUE"""),"Sí")</f>
        <v>Sí</v>
      </c>
      <c r="N270" s="3" t="str">
        <f>IFERROR(__xludf.DUMMYFUNCTION("""COMPUTED_VALUE"""),"http://www.unizg.hr/homepage/international-exchange/exchange-students/how-to-apply/#:~:text=Language%20requirements%20and%20tests,to%20the%20European%20reference%20framework.")</f>
        <v>http://www.unizg.hr/homepage/international-exchange/exchange-students/how-to-apply/#:~:text=Language%20requirements%20and%20tests,to%20the%20European%20reference%20framework.</v>
      </c>
      <c r="O270" s="3" t="str">
        <f>IFERROR(__xludf.DUMMYFUNCTION("""COMPUTED_VALUE"""),"Más información / Informazio gehigarria")</f>
        <v>Más información / Informazio gehigarria</v>
      </c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30.0" customHeight="1">
      <c r="A271" s="2" t="str">
        <f>IFERROR(__xludf.DUMMYFUNCTION("""COMPUTED_VALUE"""),"Croacia")</f>
        <v>Croacia</v>
      </c>
      <c r="B271" s="2" t="str">
        <f>IFERROR(__xludf.DUMMYFUNCTION("""COMPUTED_VALUE"""),"HR ZAGREB01")</f>
        <v>HR ZAGREB01</v>
      </c>
      <c r="C271" s="3" t="str">
        <f>IFERROR(__xludf.DUMMYFUNCTION("""COMPUTED_VALUE"""),"University of Zagreb")</f>
        <v>University of Zagreb</v>
      </c>
      <c r="D271" s="2" t="str">
        <f>IFERROR(__xludf.DUMMYFUNCTION("""COMPUTED_VALUE"""),"Erasmus+")</f>
        <v>Erasmus+</v>
      </c>
      <c r="E271" s="2">
        <f>IFERROR(__xludf.DUMMYFUNCTION("""COMPUTED_VALUE"""),2.0)</f>
        <v>2</v>
      </c>
      <c r="F271" s="2" t="str">
        <f>IFERROR(__xludf.DUMMYFUNCTION("""COMPUTED_VALUE"""),"Semestre")</f>
        <v>Semestre</v>
      </c>
      <c r="G271" s="2" t="str">
        <f>IFERROR(__xludf.DUMMYFUNCTION("""COMPUTED_VALUE"""),"Ambos")</f>
        <v>Ambos</v>
      </c>
      <c r="H271" s="2" t="str">
        <f>IFERROR(__xludf.DUMMYFUNCTION("""COMPUTED_VALUE"""),"Educación y Deporte")</f>
        <v>Educación y Deporte</v>
      </c>
      <c r="I271" s="2" t="str">
        <f>IFERROR(__xludf.DUMMYFUNCTION("""COMPUTED_VALUE"""),"Educación Primaria")</f>
        <v>Educación Primaria</v>
      </c>
      <c r="J271" s="2" t="str">
        <f>IFERROR(__xludf.DUMMYFUNCTION("""COMPUTED_VALUE"""),"Grado")</f>
        <v>Grado</v>
      </c>
      <c r="K271" s="2" t="str">
        <f>IFERROR(__xludf.DUMMYFUNCTION("""COMPUTED_VALUE"""),"Inglés")</f>
        <v>Inglés</v>
      </c>
      <c r="L271" s="2" t="str">
        <f>IFERROR(__xludf.DUMMYFUNCTION("""COMPUTED_VALUE"""),"B2")</f>
        <v>B2</v>
      </c>
      <c r="M271" s="2" t="str">
        <f>IFERROR(__xludf.DUMMYFUNCTION("""COMPUTED_VALUE"""),"Sí")</f>
        <v>Sí</v>
      </c>
      <c r="N271" s="3" t="str">
        <f>IFERROR(__xludf.DUMMYFUNCTION("""COMPUTED_VALUE"""),"http://www.unizg.hr/homepage/international-exchange/exchange-students/how-to-apply/#:~:text=Language%20requirements%20and%20tests,to%20the%20European%20reference%20framework.")</f>
        <v>http://www.unizg.hr/homepage/international-exchange/exchange-students/how-to-apply/#:~:text=Language%20requirements%20and%20tests,to%20the%20European%20reference%20framework.</v>
      </c>
      <c r="O271" s="3" t="str">
        <f>IFERROR(__xludf.DUMMYFUNCTION("""COMPUTED_VALUE"""),"Más información / Informazio gehigarria")</f>
        <v>Más información / Informazio gehigarria</v>
      </c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30.0" customHeight="1">
      <c r="A272" s="2" t="str">
        <f>IFERROR(__xludf.DUMMYFUNCTION("""COMPUTED_VALUE"""),"Croacia")</f>
        <v>Croacia</v>
      </c>
      <c r="B272" s="2" t="str">
        <f>IFERROR(__xludf.DUMMYFUNCTION("""COMPUTED_VALUE"""),"HR ZAGREB01")</f>
        <v>HR ZAGREB01</v>
      </c>
      <c r="C272" s="3" t="str">
        <f>IFERROR(__xludf.DUMMYFUNCTION("""COMPUTED_VALUE"""),"University of Zagreb")</f>
        <v>University of Zagreb</v>
      </c>
      <c r="D272" s="2" t="str">
        <f>IFERROR(__xludf.DUMMYFUNCTION("""COMPUTED_VALUE"""),"Erasmus+")</f>
        <v>Erasmus+</v>
      </c>
      <c r="E272" s="2">
        <f>IFERROR(__xludf.DUMMYFUNCTION("""COMPUTED_VALUE"""),2.0)</f>
        <v>2</v>
      </c>
      <c r="F272" s="2" t="str">
        <f>IFERROR(__xludf.DUMMYFUNCTION("""COMPUTED_VALUE"""),"Semestre")</f>
        <v>Semestre</v>
      </c>
      <c r="G272" s="2" t="str">
        <f>IFERROR(__xludf.DUMMYFUNCTION("""COMPUTED_VALUE"""),"Bilbao")</f>
        <v>Bilbao</v>
      </c>
      <c r="H272" s="2" t="str">
        <f>IFERROR(__xludf.DUMMYFUNCTION("""COMPUTED_VALUE"""),"Deusto Business School")</f>
        <v>Deusto Business School</v>
      </c>
      <c r="I272" s="2" t="str">
        <f>IFERROR(__xludf.DUMMYFUNCTION("""COMPUTED_VALUE"""),"Administración y Dirección de Empresas")</f>
        <v>Administración y Dirección de Empresas</v>
      </c>
      <c r="J272" s="2" t="str">
        <f>IFERROR(__xludf.DUMMYFUNCTION("""COMPUTED_VALUE"""),"Grado")</f>
        <v>Grado</v>
      </c>
      <c r="K272" s="2" t="str">
        <f>IFERROR(__xludf.DUMMYFUNCTION("""COMPUTED_VALUE"""),"Inglés")</f>
        <v>Inglés</v>
      </c>
      <c r="L272" s="2" t="str">
        <f>IFERROR(__xludf.DUMMYFUNCTION("""COMPUTED_VALUE"""),"C1")</f>
        <v>C1</v>
      </c>
      <c r="M272" s="2" t="str">
        <f>IFERROR(__xludf.DUMMYFUNCTION("""COMPUTED_VALUE"""),"Sí")</f>
        <v>Sí</v>
      </c>
      <c r="N272" s="3" t="str">
        <f>IFERROR(__xludf.DUMMYFUNCTION("""COMPUTED_VALUE"""),"http://www.unizg.hr/homepage/international-exchange/exchange-students/how-to-apply/#:~:text=Language%20requirements%20and%20tests,to%20the%20European%20reference%20framework.")</f>
        <v>http://www.unizg.hr/homepage/international-exchange/exchange-students/how-to-apply/#:~:text=Language%20requirements%20and%20tests,to%20the%20European%20reference%20framework.</v>
      </c>
      <c r="O272" s="3" t="str">
        <f>IFERROR(__xludf.DUMMYFUNCTION("""COMPUTED_VALUE"""),"Más información / Informazio gehigarria")</f>
        <v>Más información / Informazio gehigarria</v>
      </c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30.0" customHeight="1">
      <c r="A273" s="2" t="str">
        <f>IFERROR(__xludf.DUMMYFUNCTION("""COMPUTED_VALUE"""),"Croacia")</f>
        <v>Croacia</v>
      </c>
      <c r="B273" s="2" t="str">
        <f>IFERROR(__xludf.DUMMYFUNCTION("""COMPUTED_VALUE"""),"HR ZAGREB01")</f>
        <v>HR ZAGREB01</v>
      </c>
      <c r="C273" s="3" t="str">
        <f>IFERROR(__xludf.DUMMYFUNCTION("""COMPUTED_VALUE"""),"University of Zagreb")</f>
        <v>University of Zagreb</v>
      </c>
      <c r="D273" s="2" t="str">
        <f>IFERROR(__xludf.DUMMYFUNCTION("""COMPUTED_VALUE"""),"Erasmus+")</f>
        <v>Erasmus+</v>
      </c>
      <c r="E273" s="2">
        <f>IFERROR(__xludf.DUMMYFUNCTION("""COMPUTED_VALUE"""),2.0)</f>
        <v>2</v>
      </c>
      <c r="F273" s="2" t="str">
        <f>IFERROR(__xludf.DUMMYFUNCTION("""COMPUTED_VALUE"""),"Anual")</f>
        <v>Anual</v>
      </c>
      <c r="G273" s="2" t="str">
        <f>IFERROR(__xludf.DUMMYFUNCTION("""COMPUTED_VALUE"""),"Bilbao")</f>
        <v>Bilbao</v>
      </c>
      <c r="H273" s="2" t="str">
        <f>IFERROR(__xludf.DUMMYFUNCTION("""COMPUTED_VALUE"""),"Ciencias de la Salud")</f>
        <v>Ciencias de la Salud</v>
      </c>
      <c r="I273" s="2" t="str">
        <f>IFERROR(__xludf.DUMMYFUNCTION("""COMPUTED_VALUE"""),"Psicología")</f>
        <v>Psicología</v>
      </c>
      <c r="J273" s="2" t="str">
        <f>IFERROR(__xludf.DUMMYFUNCTION("""COMPUTED_VALUE"""),"Grado")</f>
        <v>Grado</v>
      </c>
      <c r="K273" s="2" t="str">
        <f>IFERROR(__xludf.DUMMYFUNCTION("""COMPUTED_VALUE"""),"Inglés")</f>
        <v>Inglés</v>
      </c>
      <c r="L273" s="2" t="str">
        <f>IFERROR(__xludf.DUMMYFUNCTION("""COMPUTED_VALUE"""),"B2")</f>
        <v>B2</v>
      </c>
      <c r="M273" s="2" t="str">
        <f>IFERROR(__xludf.DUMMYFUNCTION("""COMPUTED_VALUE"""),"Sí")</f>
        <v>Sí</v>
      </c>
      <c r="N273" s="3" t="str">
        <f>IFERROR(__xludf.DUMMYFUNCTION("""COMPUTED_VALUE"""),"http://www.unizg.hr/homepage/international-exchange/exchange-students/how-to-apply/#:~:text=Language%20requirements%20and%20tests,to%20the%20European%20reference%20framework.")</f>
        <v>http://www.unizg.hr/homepage/international-exchange/exchange-students/how-to-apply/#:~:text=Language%20requirements%20and%20tests,to%20the%20European%20reference%20framework.</v>
      </c>
      <c r="O273" s="3" t="str">
        <f>IFERROR(__xludf.DUMMYFUNCTION("""COMPUTED_VALUE"""),"Más información / Informazio gehigarria")</f>
        <v>Más información / Informazio gehigarria</v>
      </c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30.0" customHeight="1">
      <c r="A274" s="2" t="str">
        <f>IFERROR(__xludf.DUMMYFUNCTION("""COMPUTED_VALUE"""),"Croacia")</f>
        <v>Croacia</v>
      </c>
      <c r="B274" s="2" t="str">
        <f>IFERROR(__xludf.DUMMYFUNCTION("""COMPUTED_VALUE"""),"HR ZAGREB06")</f>
        <v>HR ZAGREB06</v>
      </c>
      <c r="C274" s="3" t="str">
        <f>IFERROR(__xludf.DUMMYFUNCTION("""COMPUTED_VALUE"""),"Zagreb School of Economics and Management")</f>
        <v>Zagreb School of Economics and Management</v>
      </c>
      <c r="D274" s="2" t="str">
        <f>IFERROR(__xludf.DUMMYFUNCTION("""COMPUTED_VALUE"""),"Erasmus+")</f>
        <v>Erasmus+</v>
      </c>
      <c r="E274" s="2">
        <f>IFERROR(__xludf.DUMMYFUNCTION("""COMPUTED_VALUE"""),2.0)</f>
        <v>2</v>
      </c>
      <c r="F274" s="2" t="str">
        <f>IFERROR(__xludf.DUMMYFUNCTION("""COMPUTED_VALUE"""),"Ambos semestres")</f>
        <v>Ambos semestres</v>
      </c>
      <c r="G274" s="2" t="str">
        <f>IFERROR(__xludf.DUMMYFUNCTION("""COMPUTED_VALUE"""),"Bilbao")</f>
        <v>Bilbao</v>
      </c>
      <c r="H274" s="2" t="str">
        <f>IFERROR(__xludf.DUMMYFUNCTION("""COMPUTED_VALUE"""),"Deusto Business School")</f>
        <v>Deusto Business School</v>
      </c>
      <c r="I274" s="2" t="str">
        <f>IFERROR(__xludf.DUMMYFUNCTION("""COMPUTED_VALUE"""),"Administración y Dirección de Empresas")</f>
        <v>Administración y Dirección de Empresas</v>
      </c>
      <c r="J274" s="2" t="str">
        <f>IFERROR(__xludf.DUMMYFUNCTION("""COMPUTED_VALUE"""),"Grado")</f>
        <v>Grado</v>
      </c>
      <c r="K274" s="2" t="str">
        <f>IFERROR(__xludf.DUMMYFUNCTION("""COMPUTED_VALUE"""),"Inglés")</f>
        <v>Inglés</v>
      </c>
      <c r="L274" s="2" t="str">
        <f>IFERROR(__xludf.DUMMYFUNCTION("""COMPUTED_VALUE"""),"C1")</f>
        <v>C1</v>
      </c>
      <c r="M274" s="2" t="str">
        <f>IFERROR(__xludf.DUMMYFUNCTION("""COMPUTED_VALUE"""),"No")</f>
        <v>No</v>
      </c>
      <c r="N274" s="3" t="str">
        <f>IFERROR(__xludf.DUMMYFUNCTION("""COMPUTED_VALUE"""),"https://www.uc3m.es/secretaria-virtual/media/secretaria-virtual/doc/archivo/doc_e_fs_hr_zagreb06/hr-zagreb06_fs_2223.pdf")</f>
        <v>https://www.uc3m.es/secretaria-virtual/media/secretaria-virtual/doc/archivo/doc_e_fs_hr_zagreb06/hr-zagreb06_fs_2223.pdf</v>
      </c>
      <c r="O274" s="3" t="str">
        <f>IFERROR(__xludf.DUMMYFUNCTION("""COMPUTED_VALUE"""),"Más información / Informazio gehigarria")</f>
        <v>Más información / Informazio gehigarria</v>
      </c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30.0" customHeight="1">
      <c r="A275" s="2" t="str">
        <f>IFERROR(__xludf.DUMMYFUNCTION("""COMPUTED_VALUE"""),"Croacia")</f>
        <v>Croacia</v>
      </c>
      <c r="B275" s="2" t="str">
        <f>IFERROR(__xludf.DUMMYFUNCTION("""COMPUTED_VALUE"""),"HR ZAGREB15")</f>
        <v>HR ZAGREB15</v>
      </c>
      <c r="C275" s="3" t="str">
        <f>IFERROR(__xludf.DUMMYFUNCTION("""COMPUTED_VALUE"""),"Hrvatsko Katolicko Sveuciliste")</f>
        <v>Hrvatsko Katolicko Sveuciliste</v>
      </c>
      <c r="D275" s="2" t="str">
        <f>IFERROR(__xludf.DUMMYFUNCTION("""COMPUTED_VALUE"""),"Erasmus+")</f>
        <v>Erasmus+</v>
      </c>
      <c r="E275" s="2">
        <f>IFERROR(__xludf.DUMMYFUNCTION("""COMPUTED_VALUE"""),3.0)</f>
        <v>3</v>
      </c>
      <c r="F275" s="2" t="str">
        <f>IFERROR(__xludf.DUMMYFUNCTION("""COMPUTED_VALUE"""),"Anual")</f>
        <v>Anual</v>
      </c>
      <c r="G275" s="2" t="str">
        <f>IFERROR(__xludf.DUMMYFUNCTION("""COMPUTED_VALUE"""),"Ambos")</f>
        <v>Ambos</v>
      </c>
      <c r="H275" s="2" t="str">
        <f>IFERROR(__xludf.DUMMYFUNCTION("""COMPUTED_VALUE"""),"Ciencias Sociales y Humanas")</f>
        <v>Ciencias Sociales y Humanas</v>
      </c>
      <c r="I275" s="2" t="str">
        <f>IFERROR(__xludf.DUMMYFUNCTION("""COMPUTED_VALUE"""),"Relaciones Internacionales")</f>
        <v>Relaciones Internacionales</v>
      </c>
      <c r="J275" s="2" t="str">
        <f>IFERROR(__xludf.DUMMYFUNCTION("""COMPUTED_VALUE"""),"Grado")</f>
        <v>Grado</v>
      </c>
      <c r="K275" s="2" t="str">
        <f>IFERROR(__xludf.DUMMYFUNCTION("""COMPUTED_VALUE"""),"Inglés")</f>
        <v>Inglés</v>
      </c>
      <c r="L275" s="2" t="str">
        <f>IFERROR(__xludf.DUMMYFUNCTION("""COMPUTED_VALUE"""),"B2")</f>
        <v>B2</v>
      </c>
      <c r="M275" s="2" t="str">
        <f>IFERROR(__xludf.DUMMYFUNCTION("""COMPUTED_VALUE"""),"Sí")</f>
        <v>Sí</v>
      </c>
      <c r="N275" s="3" t="str">
        <f>IFERROR(__xludf.DUMMYFUNCTION("""COMPUTED_VALUE"""),"https://www.unizg.hr/homepage/international-exchange/exchange-students/how-to-apply/#:~:text=Exchange%20students%20must%20demonstrate%20a,European%20reference%20framework%20(CEFR).")</f>
        <v>https://www.unizg.hr/homepage/international-exchange/exchange-students/how-to-apply/#:~:text=Exchange%20students%20must%20demonstrate%20a,European%20reference%20framework%20(CEFR).</v>
      </c>
      <c r="O275" s="3" t="str">
        <f>IFERROR(__xludf.DUMMYFUNCTION("""COMPUTED_VALUE"""),"Más información / Informazio gehigarria")</f>
        <v>Más información / Informazio gehigarria</v>
      </c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30.0" customHeight="1">
      <c r="A276" s="2" t="str">
        <f>IFERROR(__xludf.DUMMYFUNCTION("""COMPUTED_VALUE"""),"Croacia")</f>
        <v>Croacia</v>
      </c>
      <c r="B276" s="2" t="str">
        <f>IFERROR(__xludf.DUMMYFUNCTION("""COMPUTED_VALUE"""),"HR ZAGREB10")</f>
        <v>HR ZAGREB10</v>
      </c>
      <c r="C276" s="3" t="str">
        <f>IFERROR(__xludf.DUMMYFUNCTION("""COMPUTED_VALUE"""),"Sveučilište VERN")</f>
        <v>Sveučilište VERN</v>
      </c>
      <c r="D276" s="2" t="str">
        <f>IFERROR(__xludf.DUMMYFUNCTION("""COMPUTED_VALUE"""),"Erasmus+")</f>
        <v>Erasmus+</v>
      </c>
      <c r="E276" s="2">
        <f>IFERROR(__xludf.DUMMYFUNCTION("""COMPUTED_VALUE"""),2.0)</f>
        <v>2</v>
      </c>
      <c r="F276" s="2" t="str">
        <f>IFERROR(__xludf.DUMMYFUNCTION("""COMPUTED_VALUE"""),"Semestre")</f>
        <v>Semestre</v>
      </c>
      <c r="G276" s="2" t="str">
        <f>IFERROR(__xludf.DUMMYFUNCTION("""COMPUTED_VALUE"""),"Bilbao")</f>
        <v>Bilbao</v>
      </c>
      <c r="H276" s="2" t="str">
        <f>IFERROR(__xludf.DUMMYFUNCTION("""COMPUTED_VALUE"""),"Ciencias Sociales y Humanas")</f>
        <v>Ciencias Sociales y Humanas</v>
      </c>
      <c r="I276" s="2" t="str">
        <f>IFERROR(__xludf.DUMMYFUNCTION("""COMPUTED_VALUE"""),"Turismo")</f>
        <v>Turismo</v>
      </c>
      <c r="J276" s="2" t="str">
        <f>IFERROR(__xludf.DUMMYFUNCTION("""COMPUTED_VALUE"""),"Grado")</f>
        <v>Grado</v>
      </c>
      <c r="K276" s="2" t="str">
        <f>IFERROR(__xludf.DUMMYFUNCTION("""COMPUTED_VALUE"""),"Inglés")</f>
        <v>Inglés</v>
      </c>
      <c r="L276" s="2" t="str">
        <f>IFERROR(__xludf.DUMMYFUNCTION("""COMPUTED_VALUE"""),"B2")</f>
        <v>B2</v>
      </c>
      <c r="M276" s="2" t="str">
        <f>IFERROR(__xludf.DUMMYFUNCTION("""COMPUTED_VALUE"""),"No")</f>
        <v>No</v>
      </c>
      <c r="N276" s="3" t="str">
        <f>IFERROR(__xludf.DUMMYFUNCTION("""COMPUTED_VALUE"""),"https://vernuni.eu/erasmus/#incoming")</f>
        <v>https://vernuni.eu/erasmus/#incoming</v>
      </c>
      <c r="O276" s="3" t="str">
        <f>IFERROR(__xludf.DUMMYFUNCTION("""COMPUTED_VALUE"""),"Más información / Informazio gehigarria")</f>
        <v>Más información / Informazio gehigarria</v>
      </c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30.0" customHeight="1">
      <c r="A277" s="2" t="str">
        <f>IFERROR(__xludf.DUMMYFUNCTION("""COMPUTED_VALUE"""),"Dinamarca")</f>
        <v>Dinamarca</v>
      </c>
      <c r="B277" s="2" t="str">
        <f>IFERROR(__xludf.DUMMYFUNCTION("""COMPUTED_VALUE"""),"DK KOBENHA05")</f>
        <v>DK KOBENHA05</v>
      </c>
      <c r="C277" s="3" t="str">
        <f>IFERROR(__xludf.DUMMYFUNCTION("""COMPUTED_VALUE"""),"Copenhagen Business School")</f>
        <v>Copenhagen Business School</v>
      </c>
      <c r="D277" s="2" t="str">
        <f>IFERROR(__xludf.DUMMYFUNCTION("""COMPUTED_VALUE"""),"Erasmus+")</f>
        <v>Erasmus+</v>
      </c>
      <c r="E277" s="2">
        <f>IFERROR(__xludf.DUMMYFUNCTION("""COMPUTED_VALUE"""),6.0)</f>
        <v>6</v>
      </c>
      <c r="F277" s="2" t="str">
        <f>IFERROR(__xludf.DUMMYFUNCTION("""COMPUTED_VALUE"""),"Semestre")</f>
        <v>Semestre</v>
      </c>
      <c r="G277" s="2" t="str">
        <f>IFERROR(__xludf.DUMMYFUNCTION("""COMPUTED_VALUE"""),"San Sebastián")</f>
        <v>San Sebastián</v>
      </c>
      <c r="H277" s="2" t="str">
        <f>IFERROR(__xludf.DUMMYFUNCTION("""COMPUTED_VALUE"""),"Deusto Business School")</f>
        <v>Deusto Business School</v>
      </c>
      <c r="I277" s="2" t="str">
        <f>IFERROR(__xludf.DUMMYFUNCTION("""COMPUTED_VALUE"""),"Administración y Dirección de Empresas")</f>
        <v>Administración y Dirección de Empresas</v>
      </c>
      <c r="J277" s="2" t="str">
        <f>IFERROR(__xludf.DUMMYFUNCTION("""COMPUTED_VALUE"""),"Grado")</f>
        <v>Grado</v>
      </c>
      <c r="K277" s="2" t="str">
        <f>IFERROR(__xludf.DUMMYFUNCTION("""COMPUTED_VALUE"""),"Inglés")</f>
        <v>Inglés</v>
      </c>
      <c r="L277" s="2" t="str">
        <f>IFERROR(__xludf.DUMMYFUNCTION("""COMPUTED_VALUE"""),"C1")</f>
        <v>C1</v>
      </c>
      <c r="M277" s="2" t="str">
        <f>IFERROR(__xludf.DUMMYFUNCTION("""COMPUTED_VALUE"""),"Sí")</f>
        <v>Sí</v>
      </c>
      <c r="N277" s="3" t="str">
        <f>IFERROR(__xludf.DUMMYFUNCTION("""COMPUTED_VALUE"""),"https://www.cbs.dk/files/cbs.dk/cbs_fact_sheet.pdf")</f>
        <v>https://www.cbs.dk/files/cbs.dk/cbs_fact_sheet.pdf</v>
      </c>
      <c r="O277" s="3" t="str">
        <f>IFERROR(__xludf.DUMMYFUNCTION("""COMPUTED_VALUE"""),"Más información / Informazio gehigarria")</f>
        <v>Más información / Informazio gehigarria</v>
      </c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30.0" customHeight="1">
      <c r="A278" s="2" t="str">
        <f>IFERROR(__xludf.DUMMYFUNCTION("""COMPUTED_VALUE"""),"Dinamarca")</f>
        <v>Dinamarca</v>
      </c>
      <c r="B278" s="2" t="str">
        <f>IFERROR(__xludf.DUMMYFUNCTION("""COMPUTED_VALUE"""),"DK KOBENHA05")</f>
        <v>DK KOBENHA05</v>
      </c>
      <c r="C278" s="3" t="str">
        <f>IFERROR(__xludf.DUMMYFUNCTION("""COMPUTED_VALUE"""),"Copenhagen Business School")</f>
        <v>Copenhagen Business School</v>
      </c>
      <c r="D278" s="2" t="str">
        <f>IFERROR(__xludf.DUMMYFUNCTION("""COMPUTED_VALUE"""),"Erasmus+")</f>
        <v>Erasmus+</v>
      </c>
      <c r="E278" s="2">
        <f>IFERROR(__xludf.DUMMYFUNCTION("""COMPUTED_VALUE"""),2.0)</f>
        <v>2</v>
      </c>
      <c r="F278" s="2" t="str">
        <f>IFERROR(__xludf.DUMMYFUNCTION("""COMPUTED_VALUE"""),"2do Semestre")</f>
        <v>2do Semestre</v>
      </c>
      <c r="G278" s="2" t="str">
        <f>IFERROR(__xludf.DUMMYFUNCTION("""COMPUTED_VALUE"""),"Bilbao")</f>
        <v>Bilbao</v>
      </c>
      <c r="H278" s="2" t="str">
        <f>IFERROR(__xludf.DUMMYFUNCTION("""COMPUTED_VALUE"""),"Deusto Business School")</f>
        <v>Deusto Business School</v>
      </c>
      <c r="I278" s="2" t="str">
        <f>IFERROR(__xludf.DUMMYFUNCTION("""COMPUTED_VALUE"""),"Administración y Dirección de Empresas")</f>
        <v>Administración y Dirección de Empresas</v>
      </c>
      <c r="J278" s="2" t="str">
        <f>IFERROR(__xludf.DUMMYFUNCTION("""COMPUTED_VALUE"""),"Grado")</f>
        <v>Grado</v>
      </c>
      <c r="K278" s="2" t="str">
        <f>IFERROR(__xludf.DUMMYFUNCTION("""COMPUTED_VALUE"""),"Inglés")</f>
        <v>Inglés</v>
      </c>
      <c r="L278" s="2" t="str">
        <f>IFERROR(__xludf.DUMMYFUNCTION("""COMPUTED_VALUE"""),"C1")</f>
        <v>C1</v>
      </c>
      <c r="M278" s="2" t="str">
        <f>IFERROR(__xludf.DUMMYFUNCTION("""COMPUTED_VALUE"""),"Sí")</f>
        <v>Sí</v>
      </c>
      <c r="N278" s="3" t="str">
        <f>IFERROR(__xludf.DUMMYFUNCTION("""COMPUTED_VALUE"""),"https://www.cbs.dk/files/cbs.dk/cbs_fact_sheet.pdf")</f>
        <v>https://www.cbs.dk/files/cbs.dk/cbs_fact_sheet.pdf</v>
      </c>
      <c r="O278" s="3" t="str">
        <f>IFERROR(__xludf.DUMMYFUNCTION("""COMPUTED_VALUE"""),"Más información / Informazio gehigarria")</f>
        <v>Más información / Informazio gehigarria</v>
      </c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30.0" customHeight="1">
      <c r="A279" s="2" t="str">
        <f>IFERROR(__xludf.DUMMYFUNCTION("""COMPUTED_VALUE"""),"Dinamarca")</f>
        <v>Dinamarca</v>
      </c>
      <c r="B279" s="2" t="str">
        <f>IFERROR(__xludf.DUMMYFUNCTION("""COMPUTED_VALUE"""),"DK KOGE03")</f>
        <v>DK KOGE03</v>
      </c>
      <c r="C279" s="3" t="str">
        <f>IFERROR(__xludf.DUMMYFUNCTION("""COMPUTED_VALUE"""),"Zealand Academy of Technologies and Business")</f>
        <v>Zealand Academy of Technologies and Business</v>
      </c>
      <c r="D279" s="2" t="str">
        <f>IFERROR(__xludf.DUMMYFUNCTION("""COMPUTED_VALUE"""),"Erasmus+")</f>
        <v>Erasmus+</v>
      </c>
      <c r="E279" s="2">
        <f>IFERROR(__xludf.DUMMYFUNCTION("""COMPUTED_VALUE"""),2.0)</f>
        <v>2</v>
      </c>
      <c r="F279" s="2" t="str">
        <f>IFERROR(__xludf.DUMMYFUNCTION("""COMPUTED_VALUE"""),"Semestre")</f>
        <v>Semestre</v>
      </c>
      <c r="G279" s="2" t="str">
        <f>IFERROR(__xludf.DUMMYFUNCTION("""COMPUTED_VALUE"""),"Bilbao")</f>
        <v>Bilbao</v>
      </c>
      <c r="H279" s="2" t="str">
        <f>IFERROR(__xludf.DUMMYFUNCTION("""COMPUTED_VALUE"""),"Ciencias Sociales y Humanas")</f>
        <v>Ciencias Sociales y Humanas</v>
      </c>
      <c r="I279" s="2" t="str">
        <f>IFERROR(__xludf.DUMMYFUNCTION("""COMPUTED_VALUE"""),"Turismo")</f>
        <v>Turismo</v>
      </c>
      <c r="J279" s="2" t="str">
        <f>IFERROR(__xludf.DUMMYFUNCTION("""COMPUTED_VALUE"""),"Grado")</f>
        <v>Grado</v>
      </c>
      <c r="K279" s="2" t="str">
        <f>IFERROR(__xludf.DUMMYFUNCTION("""COMPUTED_VALUE"""),"Inglés")</f>
        <v>Inglés</v>
      </c>
      <c r="L279" s="2" t="str">
        <f>IFERROR(__xludf.DUMMYFUNCTION("""COMPUTED_VALUE"""),"B2")</f>
        <v>B2</v>
      </c>
      <c r="M279" s="2" t="str">
        <f>IFERROR(__xludf.DUMMYFUNCTION("""COMPUTED_VALUE"""),"Sí")</f>
        <v>Sí</v>
      </c>
      <c r="N279" s="2"/>
      <c r="O279" s="2" t="str">
        <f>IFERROR(__xludf.DUMMYFUNCTION("""COMPUTED_VALUE"""),"Más información / Informazio gehigarria")</f>
        <v>Más información / Informazio gehigarria</v>
      </c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30.0" customHeight="1">
      <c r="A280" s="2" t="str">
        <f>IFERROR(__xludf.DUMMYFUNCTION("""COMPUTED_VALUE"""),"Dinamarca")</f>
        <v>Dinamarca</v>
      </c>
      <c r="B280" s="2" t="str">
        <f>IFERROR(__xludf.DUMMYFUNCTION("""COMPUTED_VALUE"""),"DK ESBJERG19")</f>
        <v>DK ESBJERG19</v>
      </c>
      <c r="C280" s="3" t="str">
        <f>IFERROR(__xludf.DUMMYFUNCTION("""COMPUTED_VALUE"""),"University College South Denmark")</f>
        <v>University College South Denmark</v>
      </c>
      <c r="D280" s="2" t="str">
        <f>IFERROR(__xludf.DUMMYFUNCTION("""COMPUTED_VALUE"""),"Erasmus+")</f>
        <v>Erasmus+</v>
      </c>
      <c r="E280" s="2">
        <f>IFERROR(__xludf.DUMMYFUNCTION("""COMPUTED_VALUE"""),2.0)</f>
        <v>2</v>
      </c>
      <c r="F280" s="2" t="str">
        <f>IFERROR(__xludf.DUMMYFUNCTION("""COMPUTED_VALUE"""),"Semestre")</f>
        <v>Semestre</v>
      </c>
      <c r="G280" s="2" t="str">
        <f>IFERROR(__xludf.DUMMYFUNCTION("""COMPUTED_VALUE"""),"Bilbao")</f>
        <v>Bilbao</v>
      </c>
      <c r="H280" s="2" t="str">
        <f>IFERROR(__xludf.DUMMYFUNCTION("""COMPUTED_VALUE"""),"Begoñako Andramari, BAM")</f>
        <v>Begoñako Andramari, BAM</v>
      </c>
      <c r="I280" s="2" t="str">
        <f>IFERROR(__xludf.DUMMYFUNCTION("""COMPUTED_VALUE"""),"Educación Primaria, Educación Infantil")</f>
        <v>Educación Primaria, Educación Infantil</v>
      </c>
      <c r="J280" s="2" t="str">
        <f>IFERROR(__xludf.DUMMYFUNCTION("""COMPUTED_VALUE"""),"Grado")</f>
        <v>Grado</v>
      </c>
      <c r="K280" s="2" t="str">
        <f>IFERROR(__xludf.DUMMYFUNCTION("""COMPUTED_VALUE"""),"Inglés")</f>
        <v>Inglés</v>
      </c>
      <c r="L280" s="2" t="str">
        <f>IFERROR(__xludf.DUMMYFUNCTION("""COMPUTED_VALUE"""),"B2")</f>
        <v>B2</v>
      </c>
      <c r="M280" s="2" t="str">
        <f>IFERROR(__xludf.DUMMYFUNCTION("""COMPUTED_VALUE"""),"Sí")</f>
        <v>Sí</v>
      </c>
      <c r="N280" s="3" t="str">
        <f>IFERROR(__xludf.DUMMYFUNCTION("""COMPUTED_VALUE"""),"https://www.ucsyd.dk/english/incoming-students")</f>
        <v>https://www.ucsyd.dk/english/incoming-students</v>
      </c>
      <c r="O280" s="3" t="str">
        <f>IFERROR(__xludf.DUMMYFUNCTION("""COMPUTED_VALUE"""),"Más información / Informazio gehigarria")</f>
        <v>Más información / Informazio gehigarria</v>
      </c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30.0" customHeight="1">
      <c r="A281" s="2" t="str">
        <f>IFERROR(__xludf.DUMMYFUNCTION("""COMPUTED_VALUE"""),"Dinamarca")</f>
        <v>Dinamarca</v>
      </c>
      <c r="B281" s="2" t="str">
        <f>IFERROR(__xludf.DUMMYFUNCTION("""COMPUTED_VALUE"""),"DK ODENSE01")</f>
        <v>DK ODENSE01</v>
      </c>
      <c r="C281" s="3" t="str">
        <f>IFERROR(__xludf.DUMMYFUNCTION("""COMPUTED_VALUE"""),"University of Southern Denmark")</f>
        <v>University of Southern Denmark</v>
      </c>
      <c r="D281" s="2" t="str">
        <f>IFERROR(__xludf.DUMMYFUNCTION("""COMPUTED_VALUE"""),"Erasmus+")</f>
        <v>Erasmus+</v>
      </c>
      <c r="E281" s="2">
        <f>IFERROR(__xludf.DUMMYFUNCTION("""COMPUTED_VALUE"""),6.0)</f>
        <v>6</v>
      </c>
      <c r="F281" s="2" t="str">
        <f>IFERROR(__xludf.DUMMYFUNCTION("""COMPUTED_VALUE"""),"Semestre")</f>
        <v>Semestre</v>
      </c>
      <c r="G281" s="2" t="str">
        <f>IFERROR(__xludf.DUMMYFUNCTION("""COMPUTED_VALUE"""),"San Sebastián")</f>
        <v>San Sebastián</v>
      </c>
      <c r="H281" s="2" t="str">
        <f>IFERROR(__xludf.DUMMYFUNCTION("""COMPUTED_VALUE"""),"Deusto Business School")</f>
        <v>Deusto Business School</v>
      </c>
      <c r="I281" s="2" t="str">
        <f>IFERROR(__xludf.DUMMYFUNCTION("""COMPUTED_VALUE"""),"Administración y Dirección de Empresas")</f>
        <v>Administración y Dirección de Empresas</v>
      </c>
      <c r="J281" s="2" t="str">
        <f>IFERROR(__xludf.DUMMYFUNCTION("""COMPUTED_VALUE"""),"Grado")</f>
        <v>Grado</v>
      </c>
      <c r="K281" s="2" t="str">
        <f>IFERROR(__xludf.DUMMYFUNCTION("""COMPUTED_VALUE"""),"Inglés")</f>
        <v>Inglés</v>
      </c>
      <c r="L281" s="2" t="str">
        <f>IFERROR(__xludf.DUMMYFUNCTION("""COMPUTED_VALUE"""),"B2")</f>
        <v>B2</v>
      </c>
      <c r="M281" s="2" t="str">
        <f>IFERROR(__xludf.DUMMYFUNCTION("""COMPUTED_VALUE"""),"Sí")</f>
        <v>Sí</v>
      </c>
      <c r="N281" s="3" t="str">
        <f>IFERROR(__xludf.DUMMYFUNCTION("""COMPUTED_VALUE"""),"https://www.sdu.dk/en/uddannelse/bachelor/adgangskrav/language-requirement")</f>
        <v>https://www.sdu.dk/en/uddannelse/bachelor/adgangskrav/language-requirement</v>
      </c>
      <c r="O281" s="3" t="str">
        <f>IFERROR(__xludf.DUMMYFUNCTION("""COMPUTED_VALUE"""),"Más información / Informazio gehigarria")</f>
        <v>Más información / Informazio gehigarria</v>
      </c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30.0" customHeight="1">
      <c r="A282" s="2" t="str">
        <f>IFERROR(__xludf.DUMMYFUNCTION("""COMPUTED_VALUE"""),"Dinamarca")</f>
        <v>Dinamarca</v>
      </c>
      <c r="B282" s="2" t="str">
        <f>IFERROR(__xludf.DUMMYFUNCTION("""COMPUTED_VALUE"""),"DK ODENSE01")</f>
        <v>DK ODENSE01</v>
      </c>
      <c r="C282" s="3" t="str">
        <f>IFERROR(__xludf.DUMMYFUNCTION("""COMPUTED_VALUE"""),"University of Southern Denmark")</f>
        <v>University of Southern Denmark</v>
      </c>
      <c r="D282" s="2" t="str">
        <f>IFERROR(__xludf.DUMMYFUNCTION("""COMPUTED_VALUE"""),"Erasmus+")</f>
        <v>Erasmus+</v>
      </c>
      <c r="E282" s="2">
        <f>IFERROR(__xludf.DUMMYFUNCTION("""COMPUTED_VALUE"""),7.0)</f>
        <v>7</v>
      </c>
      <c r="F282" s="2" t="str">
        <f>IFERROR(__xludf.DUMMYFUNCTION("""COMPUTED_VALUE"""),"Semestre")</f>
        <v>Semestre</v>
      </c>
      <c r="G282" s="2" t="str">
        <f>IFERROR(__xludf.DUMMYFUNCTION("""COMPUTED_VALUE"""),"Ambos")</f>
        <v>Ambos</v>
      </c>
      <c r="H282" s="2" t="str">
        <f>IFERROR(__xludf.DUMMYFUNCTION("""COMPUTED_VALUE"""),"Ingeniería")</f>
        <v>Ingeniería</v>
      </c>
      <c r="I282" s="2" t="str">
        <f>IFERROR(__xludf.DUMMYFUNCTION("""COMPUTED_VALUE"""),"Ingeniería Informática, Tecnologías Industriales, Electrónica y Automática, Ingeniería Mecánica, Organización Industrial, Diseño Industrial, Industria Digital, Diseño Industrial + Ingeniería Mecánica, Ingeniería Informática + Videojuegos")</f>
        <v>Ingeniería Informática, Tecnologías Industriales, Electrónica y Automática, Ingeniería Mecánica, Organización Industrial, Diseño Industrial, Industria Digital, Diseño Industrial + Ingeniería Mecánica, Ingeniería Informática + Videojuegos</v>
      </c>
      <c r="J282" s="2" t="str">
        <f>IFERROR(__xludf.DUMMYFUNCTION("""COMPUTED_VALUE"""),"Grado")</f>
        <v>Grado</v>
      </c>
      <c r="K282" s="2" t="str">
        <f>IFERROR(__xludf.DUMMYFUNCTION("""COMPUTED_VALUE"""),"Inglés")</f>
        <v>Inglés</v>
      </c>
      <c r="L282" s="2" t="str">
        <f>IFERROR(__xludf.DUMMYFUNCTION("""COMPUTED_VALUE"""),"B2")</f>
        <v>B2</v>
      </c>
      <c r="M282" s="2" t="str">
        <f>IFERROR(__xludf.DUMMYFUNCTION("""COMPUTED_VALUE"""),"Sí")</f>
        <v>Sí</v>
      </c>
      <c r="N282" s="3" t="str">
        <f>IFERROR(__xludf.DUMMYFUNCTION("""COMPUTED_VALUE"""),"https://www.sdu.dk/en/uddannelse/bachelor/adgangskrav/language-requirement")</f>
        <v>https://www.sdu.dk/en/uddannelse/bachelor/adgangskrav/language-requirement</v>
      </c>
      <c r="O282" s="3" t="str">
        <f>IFERROR(__xludf.DUMMYFUNCTION("""COMPUTED_VALUE"""),"Más información / Informazio gehigarria")</f>
        <v>Más información / Informazio gehigarria</v>
      </c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30.0" customHeight="1">
      <c r="A283" s="2" t="str">
        <f>IFERROR(__xludf.DUMMYFUNCTION("""COMPUTED_VALUE"""),"Ecuador")</f>
        <v>Ecuador</v>
      </c>
      <c r="B283" s="2" t="str">
        <f>IFERROR(__xludf.DUMMYFUNCTION("""COMPUTED_VALUE"""),"EC QUITO01")</f>
        <v>EC QUITO01</v>
      </c>
      <c r="C283" s="3" t="str">
        <f>IFERROR(__xludf.DUMMYFUNCTION("""COMPUTED_VALUE"""),"Pontificia Universidad Católica del Ecuador (PUCE)")</f>
        <v>Pontificia Universidad Católica del Ecuador (PUCE)</v>
      </c>
      <c r="D283" s="2" t="str">
        <f>IFERROR(__xludf.DUMMYFUNCTION("""COMPUTED_VALUE"""),"Ac. Bilaterales (no Erasmus)")</f>
        <v>Ac. Bilaterales (no Erasmus)</v>
      </c>
      <c r="E283" s="2" t="str">
        <f>IFERROR(__xludf.DUMMYFUNCTION("""COMPUTED_VALUE"""),"Convenio Marco")</f>
        <v>Convenio Marco</v>
      </c>
      <c r="F283" s="2" t="str">
        <f>IFERROR(__xludf.DUMMYFUNCTION("""COMPUTED_VALUE"""),"Semestre")</f>
        <v>Semestre</v>
      </c>
      <c r="G283" s="2" t="str">
        <f>IFERROR(__xludf.DUMMYFUNCTION("""COMPUTED_VALUE"""),"Ambos")</f>
        <v>Ambos</v>
      </c>
      <c r="H283" s="2" t="str">
        <f>IFERROR(__xludf.DUMMYFUNCTION("""COMPUTED_VALUE"""),"Ciencias Sociales y Humanas")</f>
        <v>Ciencias Sociales y Humanas</v>
      </c>
      <c r="I283" s="2" t="str">
        <f>IFERROR(__xludf.DUMMYFUNCTION("""COMPUTED_VALUE"""),"Turismo")</f>
        <v>Turismo</v>
      </c>
      <c r="J283" s="2" t="str">
        <f>IFERROR(__xludf.DUMMYFUNCTION("""COMPUTED_VALUE"""),"Grado")</f>
        <v>Grado</v>
      </c>
      <c r="K283" s="2" t="str">
        <f>IFERROR(__xludf.DUMMYFUNCTION("""COMPUTED_VALUE"""),"Español")</f>
        <v>Español</v>
      </c>
      <c r="L283" s="2" t="str">
        <f>IFERROR(__xludf.DUMMYFUNCTION("""COMPUTED_VALUE"""),"n/a")</f>
        <v>n/a</v>
      </c>
      <c r="M283" s="2" t="str">
        <f>IFERROR(__xludf.DUMMYFUNCTION("""COMPUTED_VALUE"""),"No")</f>
        <v>No</v>
      </c>
      <c r="N283" s="3" t="str">
        <f>IFERROR(__xludf.DUMMYFUNCTION("""COMPUTED_VALUE"""),"https://www.puce.edu.ec/internacionalizacion-universitaria/")</f>
        <v>https://www.puce.edu.ec/internacionalizacion-universitaria/</v>
      </c>
      <c r="O283" s="3" t="str">
        <f>IFERROR(__xludf.DUMMYFUNCTION("""COMPUTED_VALUE"""),"Más información / Informazio gehigarria")</f>
        <v>Más información / Informazio gehigarria</v>
      </c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30.0" customHeight="1">
      <c r="A284" s="2" t="str">
        <f>IFERROR(__xludf.DUMMYFUNCTION("""COMPUTED_VALUE"""),"Ecuador")</f>
        <v>Ecuador</v>
      </c>
      <c r="B284" s="2" t="str">
        <f>IFERROR(__xludf.DUMMYFUNCTION("""COMPUTED_VALUE"""),"EC QUITO01")</f>
        <v>EC QUITO01</v>
      </c>
      <c r="C284" s="3" t="str">
        <f>IFERROR(__xludf.DUMMYFUNCTION("""COMPUTED_VALUE"""),"Pontificia Universidad Católica del Ecuador (PUCE)")</f>
        <v>Pontificia Universidad Católica del Ecuador (PUCE)</v>
      </c>
      <c r="D284" s="2" t="str">
        <f>IFERROR(__xludf.DUMMYFUNCTION("""COMPUTED_VALUE"""),"Ac. Bilaterales (no Erasmus)")</f>
        <v>Ac. Bilaterales (no Erasmus)</v>
      </c>
      <c r="E284" s="2">
        <f>IFERROR(__xludf.DUMMYFUNCTION("""COMPUTED_VALUE"""),2.0)</f>
        <v>2</v>
      </c>
      <c r="F284" s="2" t="str">
        <f>IFERROR(__xludf.DUMMYFUNCTION("""COMPUTED_VALUE"""),"Semestre")</f>
        <v>Semestre</v>
      </c>
      <c r="G284" s="2" t="str">
        <f>IFERROR(__xludf.DUMMYFUNCTION("""COMPUTED_VALUE"""),"Ambos")</f>
        <v>Ambos</v>
      </c>
      <c r="H284" s="2" t="str">
        <f>IFERROR(__xludf.DUMMYFUNCTION("""COMPUTED_VALUE"""),"Ciencias de la Salud")</f>
        <v>Ciencias de la Salud</v>
      </c>
      <c r="I284" s="2" t="str">
        <f>IFERROR(__xludf.DUMMYFUNCTION("""COMPUTED_VALUE"""),"Enfermería")</f>
        <v>Enfermería</v>
      </c>
      <c r="J284" s="2" t="str">
        <f>IFERROR(__xludf.DUMMYFUNCTION("""COMPUTED_VALUE"""),"Grado")</f>
        <v>Grado</v>
      </c>
      <c r="K284" s="2" t="str">
        <f>IFERROR(__xludf.DUMMYFUNCTION("""COMPUTED_VALUE"""),"Español")</f>
        <v>Español</v>
      </c>
      <c r="L284" s="2" t="str">
        <f>IFERROR(__xludf.DUMMYFUNCTION("""COMPUTED_VALUE"""),"n/a")</f>
        <v>n/a</v>
      </c>
      <c r="M284" s="2" t="str">
        <f>IFERROR(__xludf.DUMMYFUNCTION("""COMPUTED_VALUE"""),"No")</f>
        <v>No</v>
      </c>
      <c r="N284" s="3" t="str">
        <f>IFERROR(__xludf.DUMMYFUNCTION("""COMPUTED_VALUE"""),"https://www.puce.edu.ec/internacionalizacion-universitaria/")</f>
        <v>https://www.puce.edu.ec/internacionalizacion-universitaria/</v>
      </c>
      <c r="O284" s="3" t="str">
        <f>IFERROR(__xludf.DUMMYFUNCTION("""COMPUTED_VALUE"""),"Más información / Informazio gehigarria")</f>
        <v>Más información / Informazio gehigarria</v>
      </c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30.0" customHeight="1">
      <c r="A285" s="2" t="str">
        <f>IFERROR(__xludf.DUMMYFUNCTION("""COMPUTED_VALUE"""),"Ecuador")</f>
        <v>Ecuador</v>
      </c>
      <c r="B285" s="2"/>
      <c r="C285" s="3" t="str">
        <f>IFERROR(__xludf.DUMMYFUNCTION("""COMPUTED_VALUE"""),"Universidad de las Fuerzas Armadas (ESPE)")</f>
        <v>Universidad de las Fuerzas Armadas (ESPE)</v>
      </c>
      <c r="D285" s="2" t="str">
        <f>IFERROR(__xludf.DUMMYFUNCTION("""COMPUTED_VALUE"""),"Ac. Bilaterales (no Erasmus)")</f>
        <v>Ac. Bilaterales (no Erasmus)</v>
      </c>
      <c r="E285" s="2" t="str">
        <f>IFERROR(__xludf.DUMMYFUNCTION("""COMPUTED_VALUE"""),"Convenio Marco")</f>
        <v>Convenio Marco</v>
      </c>
      <c r="F285" s="2"/>
      <c r="G285" s="2" t="str">
        <f>IFERROR(__xludf.DUMMYFUNCTION("""COMPUTED_VALUE"""),"Ambos")</f>
        <v>Ambos</v>
      </c>
      <c r="H285" s="2" t="str">
        <f>IFERROR(__xludf.DUMMYFUNCTION("""COMPUTED_VALUE"""),"Sin especificar")</f>
        <v>Sin especificar</v>
      </c>
      <c r="I285" s="2" t="str">
        <f>IFERROR(__xludf.DUMMYFUNCTION("""COMPUTED_VALUE"""),"Sin especificar")</f>
        <v>Sin especificar</v>
      </c>
      <c r="J285" s="2" t="str">
        <f>IFERROR(__xludf.DUMMYFUNCTION("""COMPUTED_VALUE"""),"Grado")</f>
        <v>Grado</v>
      </c>
      <c r="K285" s="2" t="str">
        <f>IFERROR(__xludf.DUMMYFUNCTION("""COMPUTED_VALUE"""),"Español")</f>
        <v>Español</v>
      </c>
      <c r="L285" s="2" t="str">
        <f>IFERROR(__xludf.DUMMYFUNCTION("""COMPUTED_VALUE"""),"n/a")</f>
        <v>n/a</v>
      </c>
      <c r="M285" s="2" t="str">
        <f>IFERROR(__xludf.DUMMYFUNCTION("""COMPUTED_VALUE"""),"No")</f>
        <v>No</v>
      </c>
      <c r="N285" s="3" t="str">
        <f>IFERROR(__xludf.DUMMYFUNCTION("""COMPUTED_VALUE"""),"https://www.espe.edu.ec/acreditacion-nacional-e-internacional/")</f>
        <v>https://www.espe.edu.ec/acreditacion-nacional-e-internacional/</v>
      </c>
      <c r="O285" s="3" t="str">
        <f>IFERROR(__xludf.DUMMYFUNCTION("""COMPUTED_VALUE"""),"Más información / Informazio gehigarria")</f>
        <v>Más información / Informazio gehigarria</v>
      </c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30.0" customHeight="1">
      <c r="A286" s="2" t="str">
        <f>IFERROR(__xludf.DUMMYFUNCTION("""COMPUTED_VALUE"""),"Ecuador")</f>
        <v>Ecuador</v>
      </c>
      <c r="B286" s="2" t="str">
        <f>IFERROR(__xludf.DUMMYFUNCTION("""COMPUTED_VALUE"""),"EC QUITO01")</f>
        <v>EC QUITO01</v>
      </c>
      <c r="C286" s="3" t="str">
        <f>IFERROR(__xludf.DUMMYFUNCTION("""COMPUTED_VALUE"""),"Pontificia Universidad Católica del Ecuador (PUCE)")</f>
        <v>Pontificia Universidad Católica del Ecuador (PUCE)</v>
      </c>
      <c r="D286" s="2" t="str">
        <f>IFERROR(__xludf.DUMMYFUNCTION("""COMPUTED_VALUE"""),"Ac. Bilaterales (no Erasmus)")</f>
        <v>Ac. Bilaterales (no Erasmus)</v>
      </c>
      <c r="E286" s="2">
        <f>IFERROR(__xludf.DUMMYFUNCTION("""COMPUTED_VALUE"""),3.0)</f>
        <v>3</v>
      </c>
      <c r="F286" s="2" t="str">
        <f>IFERROR(__xludf.DUMMYFUNCTION("""COMPUTED_VALUE"""),"Semestre")</f>
        <v>Semestre</v>
      </c>
      <c r="G286" s="2" t="str">
        <f>IFERROR(__xludf.DUMMYFUNCTION("""COMPUTED_VALUE"""),"San Sebastián")</f>
        <v>San Sebastián</v>
      </c>
      <c r="H286" s="2" t="str">
        <f>IFERROR(__xludf.DUMMYFUNCTION("""COMPUTED_VALUE"""),"Ciencias de la Salud")</f>
        <v>Ciencias de la Salud</v>
      </c>
      <c r="I286" s="2" t="str">
        <f>IFERROR(__xludf.DUMMYFUNCTION("""COMPUTED_VALUE"""),"Fisioterapia")</f>
        <v>Fisioterapia</v>
      </c>
      <c r="J286" s="2" t="str">
        <f>IFERROR(__xludf.DUMMYFUNCTION("""COMPUTED_VALUE"""),"Grado")</f>
        <v>Grado</v>
      </c>
      <c r="K286" s="2" t="str">
        <f>IFERROR(__xludf.DUMMYFUNCTION("""COMPUTED_VALUE"""),"Español")</f>
        <v>Español</v>
      </c>
      <c r="L286" s="2" t="str">
        <f>IFERROR(__xludf.DUMMYFUNCTION("""COMPUTED_VALUE"""),"n/a")</f>
        <v>n/a</v>
      </c>
      <c r="M286" s="2" t="str">
        <f>IFERROR(__xludf.DUMMYFUNCTION("""COMPUTED_VALUE"""),"No")</f>
        <v>No</v>
      </c>
      <c r="N286" s="3" t="str">
        <f>IFERROR(__xludf.DUMMYFUNCTION("""COMPUTED_VALUE"""),"https://www.puce.edu.ec/internacionalizacion-universitaria/")</f>
        <v>https://www.puce.edu.ec/internacionalizacion-universitaria/</v>
      </c>
      <c r="O286" s="3" t="str">
        <f>IFERROR(__xludf.DUMMYFUNCTION("""COMPUTED_VALUE"""),"Más información / Informazio gehigarria")</f>
        <v>Más información / Informazio gehigarria</v>
      </c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30.0" customHeight="1">
      <c r="A287" s="2" t="str">
        <f>IFERROR(__xludf.DUMMYFUNCTION("""COMPUTED_VALUE"""),"Eslovaquia")</f>
        <v>Eslovaquia</v>
      </c>
      <c r="B287" s="2" t="str">
        <f>IFERROR(__xludf.DUMMYFUNCTION("""COMPUTED_VALUE"""),"SK BRATISL01")</f>
        <v>SK BRATISL01</v>
      </c>
      <c r="C287" s="3" t="str">
        <f>IFERROR(__xludf.DUMMYFUNCTION("""COMPUTED_VALUE"""),"Slovak University of Technology")</f>
        <v>Slovak University of Technology</v>
      </c>
      <c r="D287" s="2" t="str">
        <f>IFERROR(__xludf.DUMMYFUNCTION("""COMPUTED_VALUE"""),"Erasmus+")</f>
        <v>Erasmus+</v>
      </c>
      <c r="E287" s="2">
        <f>IFERROR(__xludf.DUMMYFUNCTION("""COMPUTED_VALUE"""),2.0)</f>
        <v>2</v>
      </c>
      <c r="F287" s="2" t="str">
        <f>IFERROR(__xludf.DUMMYFUNCTION("""COMPUTED_VALUE"""),"Semestre")</f>
        <v>Semestre</v>
      </c>
      <c r="G287" s="2" t="str">
        <f>IFERROR(__xludf.DUMMYFUNCTION("""COMPUTED_VALUE"""),"Bilbao")</f>
        <v>Bilbao</v>
      </c>
      <c r="H287" s="2" t="str">
        <f>IFERROR(__xludf.DUMMYFUNCTION("""COMPUTED_VALUE"""),"Ingeniería")</f>
        <v>Ingeniería</v>
      </c>
      <c r="I287" s="2" t="str">
        <f>IFERROR(__xludf.DUMMYFUNCTION("""COMPUTED_VALUE"""),"Electrónica y Automática, Ingeniería Mecánica, Diseño Industrial + Ingeniería Mecánica")</f>
        <v>Electrónica y Automática, Ingeniería Mecánica, Diseño Industrial + Ingeniería Mecánica</v>
      </c>
      <c r="J287" s="2" t="str">
        <f>IFERROR(__xludf.DUMMYFUNCTION("""COMPUTED_VALUE"""),"Grado")</f>
        <v>Grado</v>
      </c>
      <c r="K287" s="2" t="str">
        <f>IFERROR(__xludf.DUMMYFUNCTION("""COMPUTED_VALUE"""),"Inglés")</f>
        <v>Inglés</v>
      </c>
      <c r="L287" s="2" t="str">
        <f>IFERROR(__xludf.DUMMYFUNCTION("""COMPUTED_VALUE"""),"B2")</f>
        <v>B2</v>
      </c>
      <c r="M287" s="2" t="str">
        <f>IFERROR(__xludf.DUMMYFUNCTION("""COMPUTED_VALUE"""),"No")</f>
        <v>No</v>
      </c>
      <c r="N287" s="3" t="str">
        <f>IFERROR(__xludf.DUMMYFUNCTION("""COMPUTED_VALUE"""),"https://www.stuba.sk/english/ects/ects-information-package/general-information-for-students/language-courses.html?page_id=5451")</f>
        <v>https://www.stuba.sk/english/ects/ects-information-package/general-information-for-students/language-courses.html?page_id=5451</v>
      </c>
      <c r="O287" s="3" t="str">
        <f>IFERROR(__xludf.DUMMYFUNCTION("""COMPUTED_VALUE"""),"Más información / Informazio gehigarria")</f>
        <v>Más información / Informazio gehigarria</v>
      </c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30.0" customHeight="1">
      <c r="A288" s="2" t="str">
        <f>IFERROR(__xludf.DUMMYFUNCTION("""COMPUTED_VALUE"""),"Eslovaquia")</f>
        <v>Eslovaquia</v>
      </c>
      <c r="B288" s="2" t="str">
        <f>IFERROR(__xludf.DUMMYFUNCTION("""COMPUTED_VALUE"""),"SK BRATISL03")</f>
        <v>SK BRATISL03</v>
      </c>
      <c r="C288" s="3" t="str">
        <f>IFERROR(__xludf.DUMMYFUNCTION("""COMPUTED_VALUE"""),"University of Economics in Bratislava")</f>
        <v>University of Economics in Bratislava</v>
      </c>
      <c r="D288" s="2" t="str">
        <f>IFERROR(__xludf.DUMMYFUNCTION("""COMPUTED_VALUE"""),"Erasmus+")</f>
        <v>Erasmus+</v>
      </c>
      <c r="E288" s="2">
        <f>IFERROR(__xludf.DUMMYFUNCTION("""COMPUTED_VALUE"""),2.0)</f>
        <v>2</v>
      </c>
      <c r="F288" s="2" t="str">
        <f>IFERROR(__xludf.DUMMYFUNCTION("""COMPUTED_VALUE"""),"Ambos semestres")</f>
        <v>Ambos semestres</v>
      </c>
      <c r="G288" s="2" t="str">
        <f>IFERROR(__xludf.DUMMYFUNCTION("""COMPUTED_VALUE"""),"Bilbao")</f>
        <v>Bilbao</v>
      </c>
      <c r="H288" s="2" t="str">
        <f>IFERROR(__xludf.DUMMYFUNCTION("""COMPUTED_VALUE"""),"Deusto Business School")</f>
        <v>Deusto Business School</v>
      </c>
      <c r="I288" s="2" t="str">
        <f>IFERROR(__xludf.DUMMYFUNCTION("""COMPUTED_VALUE"""),"Administración y Dirección de Empresas")</f>
        <v>Administración y Dirección de Empresas</v>
      </c>
      <c r="J288" s="2" t="str">
        <f>IFERROR(__xludf.DUMMYFUNCTION("""COMPUTED_VALUE"""),"Grado")</f>
        <v>Grado</v>
      </c>
      <c r="K288" s="2" t="str">
        <f>IFERROR(__xludf.DUMMYFUNCTION("""COMPUTED_VALUE"""),"Inglés")</f>
        <v>Inglés</v>
      </c>
      <c r="L288" s="2" t="str">
        <f>IFERROR(__xludf.DUMMYFUNCTION("""COMPUTED_VALUE"""),"C1")</f>
        <v>C1</v>
      </c>
      <c r="M288" s="2" t="str">
        <f>IFERROR(__xludf.DUMMYFUNCTION("""COMPUTED_VALUE"""),"No")</f>
        <v>No</v>
      </c>
      <c r="N288" s="3" t="str">
        <f>IFERROR(__xludf.DUMMYFUNCTION("""COMPUTED_VALUE"""),"https://www.euba.sk/en/medzinarodne-vztahy/prichadzajuci-studenti/documents#:~:text=The%20University%20of%20Economics%20in,by%20the%20Council%20of%20Europe.")</f>
        <v>https://www.euba.sk/en/medzinarodne-vztahy/prichadzajuci-studenti/documents#:~:text=The%20University%20of%20Economics%20in,by%20the%20Council%20of%20Europe.</v>
      </c>
      <c r="O288" s="3" t="str">
        <f>IFERROR(__xludf.DUMMYFUNCTION("""COMPUTED_VALUE"""),"Más información / Informazio gehigarria")</f>
        <v>Más información / Informazio gehigarria</v>
      </c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30.0" customHeight="1">
      <c r="A289" s="2" t="str">
        <f>IFERROR(__xludf.DUMMYFUNCTION("""COMPUTED_VALUE"""),"Eslovenia")</f>
        <v>Eslovenia</v>
      </c>
      <c r="B289" s="2" t="str">
        <f>IFERROR(__xludf.DUMMYFUNCTION("""COMPUTED_VALUE"""),"SI NOVA-GO07")</f>
        <v>SI NOVA-GO07</v>
      </c>
      <c r="C289" s="3" t="str">
        <f>IFERROR(__xludf.DUMMYFUNCTION("""COMPUTED_VALUE"""),"Nova Univerza")</f>
        <v>Nova Univerza</v>
      </c>
      <c r="D289" s="2" t="str">
        <f>IFERROR(__xludf.DUMMYFUNCTION("""COMPUTED_VALUE"""),"Erasmus+")</f>
        <v>Erasmus+</v>
      </c>
      <c r="E289" s="2">
        <f>IFERROR(__xludf.DUMMYFUNCTION("""COMPUTED_VALUE"""),3.0)</f>
        <v>3</v>
      </c>
      <c r="F289" s="2" t="str">
        <f>IFERROR(__xludf.DUMMYFUNCTION("""COMPUTED_VALUE"""),"Semestre")</f>
        <v>Semestre</v>
      </c>
      <c r="G289" s="2" t="str">
        <f>IFERROR(__xludf.DUMMYFUNCTION("""COMPUTED_VALUE"""),"Bilbao")</f>
        <v>Bilbao</v>
      </c>
      <c r="H289" s="2" t="str">
        <f>IFERROR(__xludf.DUMMYFUNCTION("""COMPUTED_VALUE"""),"Derecho")</f>
        <v>Derecho</v>
      </c>
      <c r="I289" s="2" t="str">
        <f>IFERROR(__xludf.DUMMYFUNCTION("""COMPUTED_VALUE"""),"Derecho, Derecho + Relaciones Laborales")</f>
        <v>Derecho, Derecho + Relaciones Laborales</v>
      </c>
      <c r="J289" s="2" t="str">
        <f>IFERROR(__xludf.DUMMYFUNCTION("""COMPUTED_VALUE"""),"Grado")</f>
        <v>Grado</v>
      </c>
      <c r="K289" s="2" t="str">
        <f>IFERROR(__xludf.DUMMYFUNCTION("""COMPUTED_VALUE"""),"Esloveno / Inglés")</f>
        <v>Esloveno / Inglés</v>
      </c>
      <c r="L289" s="2" t="str">
        <f>IFERROR(__xludf.DUMMYFUNCTION("""COMPUTED_VALUE"""),"B2")</f>
        <v>B2</v>
      </c>
      <c r="M289" s="2" t="str">
        <f>IFERROR(__xludf.DUMMYFUNCTION("""COMPUTED_VALUE"""),"Sí")</f>
        <v>Sí</v>
      </c>
      <c r="N289" s="3" t="str">
        <f>IFERROR(__xludf.DUMMYFUNCTION("""COMPUTED_VALUE"""),"https://www.nova-uni.si/en/activities/international-exchange/erasmus/information-for-incoming-students/academic-calendar-grading-system-language-requirements-and-support/")</f>
        <v>https://www.nova-uni.si/en/activities/international-exchange/erasmus/information-for-incoming-students/academic-calendar-grading-system-language-requirements-and-support/</v>
      </c>
      <c r="O289" s="3" t="str">
        <f>IFERROR(__xludf.DUMMYFUNCTION("""COMPUTED_VALUE"""),"Más información / Informazio gehigarria")</f>
        <v>Más información / Informazio gehigarria</v>
      </c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30.0" customHeight="1">
      <c r="A290" s="2" t="str">
        <f>IFERROR(__xludf.DUMMYFUNCTION("""COMPUTED_VALUE"""),"Eslovenia")</f>
        <v>Eslovenia</v>
      </c>
      <c r="B290" s="2" t="str">
        <f>IFERROR(__xludf.DUMMYFUNCTION("""COMPUTED_VALUE"""),"SI LJUBLJA01")</f>
        <v>SI LJUBLJA01</v>
      </c>
      <c r="C290" s="3" t="str">
        <f>IFERROR(__xludf.DUMMYFUNCTION("""COMPUTED_VALUE"""),"University of Ljubljana")</f>
        <v>University of Ljubljana</v>
      </c>
      <c r="D290" s="2" t="str">
        <f>IFERROR(__xludf.DUMMYFUNCTION("""COMPUTED_VALUE"""),"Erasmus+")</f>
        <v>Erasmus+</v>
      </c>
      <c r="E290" s="2">
        <f>IFERROR(__xludf.DUMMYFUNCTION("""COMPUTED_VALUE"""),2.0)</f>
        <v>2</v>
      </c>
      <c r="F290" s="2" t="str">
        <f>IFERROR(__xludf.DUMMYFUNCTION("""COMPUTED_VALUE"""),"Semestre")</f>
        <v>Semestre</v>
      </c>
      <c r="G290" s="2" t="str">
        <f>IFERROR(__xludf.DUMMYFUNCTION("""COMPUTED_VALUE"""),"San Sebastián")</f>
        <v>San Sebastián</v>
      </c>
      <c r="H290" s="2" t="str">
        <f>IFERROR(__xludf.DUMMYFUNCTION("""COMPUTED_VALUE"""),"Deusto Business School")</f>
        <v>Deusto Business School</v>
      </c>
      <c r="I290" s="2" t="str">
        <f>IFERROR(__xludf.DUMMYFUNCTION("""COMPUTED_VALUE"""),"Administración y Dirección de Empresas")</f>
        <v>Administración y Dirección de Empresas</v>
      </c>
      <c r="J290" s="2" t="str">
        <f>IFERROR(__xludf.DUMMYFUNCTION("""COMPUTED_VALUE"""),"Grado")</f>
        <v>Grado</v>
      </c>
      <c r="K290" s="2" t="str">
        <f>IFERROR(__xludf.DUMMYFUNCTION("""COMPUTED_VALUE"""),"Inglés")</f>
        <v>Inglés</v>
      </c>
      <c r="L290" s="2" t="str">
        <f>IFERROR(__xludf.DUMMYFUNCTION("""COMPUTED_VALUE"""),"C1")</f>
        <v>C1</v>
      </c>
      <c r="M290" s="2" t="str">
        <f>IFERROR(__xludf.DUMMYFUNCTION("""COMPUTED_VALUE"""),"Sí")</f>
        <v>Sí</v>
      </c>
      <c r="N290" s="3" t="str">
        <f>IFERROR(__xludf.DUMMYFUNCTION("""COMPUTED_VALUE"""),"https://www.uni-lj.si/international_cooperation_and_exchange/incoming_students/language_requirements/")</f>
        <v>https://www.uni-lj.si/international_cooperation_and_exchange/incoming_students/language_requirements/</v>
      </c>
      <c r="O290" s="3" t="str">
        <f>IFERROR(__xludf.DUMMYFUNCTION("""COMPUTED_VALUE"""),"Más información / Informazio gehigarria")</f>
        <v>Más información / Informazio gehigarria</v>
      </c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30.0" customHeight="1">
      <c r="A291" s="2" t="str">
        <f>IFERROR(__xludf.DUMMYFUNCTION("""COMPUTED_VALUE"""),"Eslovenia")</f>
        <v>Eslovenia</v>
      </c>
      <c r="B291" s="2" t="str">
        <f>IFERROR(__xludf.DUMMYFUNCTION("""COMPUTED_VALUE"""),"SI LJUBLJA01")</f>
        <v>SI LJUBLJA01</v>
      </c>
      <c r="C291" s="3" t="str">
        <f>IFERROR(__xludf.DUMMYFUNCTION("""COMPUTED_VALUE"""),"University of Ljubljana")</f>
        <v>University of Ljubljana</v>
      </c>
      <c r="D291" s="2" t="str">
        <f>IFERROR(__xludf.DUMMYFUNCTION("""COMPUTED_VALUE"""),"Erasmus+")</f>
        <v>Erasmus+</v>
      </c>
      <c r="E291" s="2">
        <f>IFERROR(__xludf.DUMMYFUNCTION("""COMPUTED_VALUE"""),2.0)</f>
        <v>2</v>
      </c>
      <c r="F291" s="2" t="str">
        <f>IFERROR(__xludf.DUMMYFUNCTION("""COMPUTED_VALUE"""),"Ambos semestres")</f>
        <v>Ambos semestres</v>
      </c>
      <c r="G291" s="2" t="str">
        <f>IFERROR(__xludf.DUMMYFUNCTION("""COMPUTED_VALUE"""),"Bilbao")</f>
        <v>Bilbao</v>
      </c>
      <c r="H291" s="2" t="str">
        <f>IFERROR(__xludf.DUMMYFUNCTION("""COMPUTED_VALUE"""),"Deusto Business School")</f>
        <v>Deusto Business School</v>
      </c>
      <c r="I291" s="2" t="str">
        <f>IFERROR(__xludf.DUMMYFUNCTION("""COMPUTED_VALUE"""),"Administración y Dirección de Empresas")</f>
        <v>Administración y Dirección de Empresas</v>
      </c>
      <c r="J291" s="2" t="str">
        <f>IFERROR(__xludf.DUMMYFUNCTION("""COMPUTED_VALUE"""),"Grado")</f>
        <v>Grado</v>
      </c>
      <c r="K291" s="2" t="str">
        <f>IFERROR(__xludf.DUMMYFUNCTION("""COMPUTED_VALUE"""),"Inglés")</f>
        <v>Inglés</v>
      </c>
      <c r="L291" s="2" t="str">
        <f>IFERROR(__xludf.DUMMYFUNCTION("""COMPUTED_VALUE"""),"C1")</f>
        <v>C1</v>
      </c>
      <c r="M291" s="2" t="str">
        <f>IFERROR(__xludf.DUMMYFUNCTION("""COMPUTED_VALUE"""),"No")</f>
        <v>No</v>
      </c>
      <c r="N291" s="3" t="str">
        <f>IFERROR(__xludf.DUMMYFUNCTION("""COMPUTED_VALUE"""),"https://www.uni-lj.si/international_cooperation_and_exchange/incoming_students/language_requirements/")</f>
        <v>https://www.uni-lj.si/international_cooperation_and_exchange/incoming_students/language_requirements/</v>
      </c>
      <c r="O291" s="3" t="str">
        <f>IFERROR(__xludf.DUMMYFUNCTION("""COMPUTED_VALUE"""),"Más información / Informazio gehigarria")</f>
        <v>Más información / Informazio gehigarria</v>
      </c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30.0" customHeight="1">
      <c r="A292" s="2" t="str">
        <f>IFERROR(__xludf.DUMMYFUNCTION("""COMPUTED_VALUE"""),"Eslovenia")</f>
        <v>Eslovenia</v>
      </c>
      <c r="B292" s="2" t="str">
        <f>IFERROR(__xludf.DUMMYFUNCTION("""COMPUTED_VALUE"""),"SI LJUBLJA01")</f>
        <v>SI LJUBLJA01</v>
      </c>
      <c r="C292" s="3" t="str">
        <f>IFERROR(__xludf.DUMMYFUNCTION("""COMPUTED_VALUE"""),"University of Ljubljana")</f>
        <v>University of Ljubljana</v>
      </c>
      <c r="D292" s="2" t="str">
        <f>IFERROR(__xludf.DUMMYFUNCTION("""COMPUTED_VALUE"""),"Erasmus+")</f>
        <v>Erasmus+</v>
      </c>
      <c r="E292" s="2">
        <f>IFERROR(__xludf.DUMMYFUNCTION("""COMPUTED_VALUE"""),2.0)</f>
        <v>2</v>
      </c>
      <c r="F292" s="2" t="str">
        <f>IFERROR(__xludf.DUMMYFUNCTION("""COMPUTED_VALUE"""),"Semestre")</f>
        <v>Semestre</v>
      </c>
      <c r="G292" s="2" t="str">
        <f>IFERROR(__xludf.DUMMYFUNCTION("""COMPUTED_VALUE"""),"Ambos")</f>
        <v>Ambos</v>
      </c>
      <c r="H292" s="2" t="str">
        <f>IFERROR(__xludf.DUMMYFUNCTION("""COMPUTED_VALUE"""),"Derecho")</f>
        <v>Derecho</v>
      </c>
      <c r="I292" s="2" t="str">
        <f>IFERROR(__xludf.DUMMYFUNCTION("""COMPUTED_VALUE"""),"Derecho, Derecho + Relaciones Laborales")</f>
        <v>Derecho, Derecho + Relaciones Laborales</v>
      </c>
      <c r="J292" s="2" t="str">
        <f>IFERROR(__xludf.DUMMYFUNCTION("""COMPUTED_VALUE"""),"Grado")</f>
        <v>Grado</v>
      </c>
      <c r="K292" s="2" t="str">
        <f>IFERROR(__xludf.DUMMYFUNCTION("""COMPUTED_VALUE"""),"Inglés")</f>
        <v>Inglés</v>
      </c>
      <c r="L292" s="2" t="str">
        <f>IFERROR(__xludf.DUMMYFUNCTION("""COMPUTED_VALUE"""),"B2")</f>
        <v>B2</v>
      </c>
      <c r="M292" s="2" t="str">
        <f>IFERROR(__xludf.DUMMYFUNCTION("""COMPUTED_VALUE"""),"Sí")</f>
        <v>Sí</v>
      </c>
      <c r="N292" s="3" t="str">
        <f>IFERROR(__xludf.DUMMYFUNCTION("""COMPUTED_VALUE"""),"https://www.uni-lj.si/assets/Sluzba-za-mednarodno-sodelovanje/Dear-exchange-student-letter-2024-25.pdf")</f>
        <v>https://www.uni-lj.si/assets/Sluzba-za-mednarodno-sodelovanje/Dear-exchange-student-letter-2024-25.pdf</v>
      </c>
      <c r="O292" s="3" t="str">
        <f>IFERROR(__xludf.DUMMYFUNCTION("""COMPUTED_VALUE"""),"Más información / Informazio gehigarria")</f>
        <v>Más información / Informazio gehigarria</v>
      </c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30.0" customHeight="1">
      <c r="A293" s="2" t="str">
        <f>IFERROR(__xludf.DUMMYFUNCTION("""COMPUTED_VALUE"""),"Eslovenia")</f>
        <v>Eslovenia</v>
      </c>
      <c r="B293" s="2" t="str">
        <f>IFERROR(__xludf.DUMMYFUNCTION("""COMPUTED_VALUE"""),"SI LJUBLJA01")</f>
        <v>SI LJUBLJA01</v>
      </c>
      <c r="C293" s="3" t="str">
        <f>IFERROR(__xludf.DUMMYFUNCTION("""COMPUTED_VALUE"""),"University of Ljubljana")</f>
        <v>University of Ljubljana</v>
      </c>
      <c r="D293" s="2" t="str">
        <f>IFERROR(__xludf.DUMMYFUNCTION("""COMPUTED_VALUE"""),"Erasmus+")</f>
        <v>Erasmus+</v>
      </c>
      <c r="E293" s="2">
        <f>IFERROR(__xludf.DUMMYFUNCTION("""COMPUTED_VALUE"""),2.0)</f>
        <v>2</v>
      </c>
      <c r="F293" s="2" t="str">
        <f>IFERROR(__xludf.DUMMYFUNCTION("""COMPUTED_VALUE"""),"Semestre")</f>
        <v>Semestre</v>
      </c>
      <c r="G293" s="2" t="str">
        <f>IFERROR(__xludf.DUMMYFUNCTION("""COMPUTED_VALUE"""),"Bilbao")</f>
        <v>Bilbao</v>
      </c>
      <c r="H293" s="2" t="str">
        <f>IFERROR(__xludf.DUMMYFUNCTION("""COMPUTED_VALUE"""),"Ingeniería")</f>
        <v>Ingeniería</v>
      </c>
      <c r="I293" s="2" t="str">
        <f>IFERROR(__xludf.DUMMYFUNCTION("""COMPUTED_VALUE"""),"Diseño Industrial, Diseño Industrial + Ingeniería Mecánica")</f>
        <v>Diseño Industrial, Diseño Industrial + Ingeniería Mecánica</v>
      </c>
      <c r="J293" s="2" t="str">
        <f>IFERROR(__xludf.DUMMYFUNCTION("""COMPUTED_VALUE"""),"Grado")</f>
        <v>Grado</v>
      </c>
      <c r="K293" s="2" t="str">
        <f>IFERROR(__xludf.DUMMYFUNCTION("""COMPUTED_VALUE"""),"Inglés")</f>
        <v>Inglés</v>
      </c>
      <c r="L293" s="2" t="str">
        <f>IFERROR(__xludf.DUMMYFUNCTION("""COMPUTED_VALUE"""),"B2")</f>
        <v>B2</v>
      </c>
      <c r="M293" s="2" t="str">
        <f>IFERROR(__xludf.DUMMYFUNCTION("""COMPUTED_VALUE"""),"Sí")</f>
        <v>Sí</v>
      </c>
      <c r="N293" s="3" t="str">
        <f>IFERROR(__xludf.DUMMYFUNCTION("""COMPUTED_VALUE"""),"https://www.uni-lj.si/assets/Sluzba-za-mednarodno-sodelovanje/Dear-exchange-student-letter-2024-25.pdf")</f>
        <v>https://www.uni-lj.si/assets/Sluzba-za-mednarodno-sodelovanje/Dear-exchange-student-letter-2024-25.pdf</v>
      </c>
      <c r="O293" s="3" t="str">
        <f>IFERROR(__xludf.DUMMYFUNCTION("""COMPUTED_VALUE"""),"Más información / Informazio gehigarria")</f>
        <v>Más información / Informazio gehigarria</v>
      </c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30.0" customHeight="1">
      <c r="A294" s="2" t="str">
        <f>IFERROR(__xludf.DUMMYFUNCTION("""COMPUTED_VALUE"""),"Eslovenia")</f>
        <v>Eslovenia</v>
      </c>
      <c r="B294" s="2" t="str">
        <f>IFERROR(__xludf.DUMMYFUNCTION("""COMPUTED_VALUE"""),"SI LJUBLJA01")</f>
        <v>SI LJUBLJA01</v>
      </c>
      <c r="C294" s="3" t="str">
        <f>IFERROR(__xludf.DUMMYFUNCTION("""COMPUTED_VALUE"""),"University of Ljubljana")</f>
        <v>University of Ljubljana</v>
      </c>
      <c r="D294" s="2" t="str">
        <f>IFERROR(__xludf.DUMMYFUNCTION("""COMPUTED_VALUE"""),"Erasmus+")</f>
        <v>Erasmus+</v>
      </c>
      <c r="E294" s="2">
        <f>IFERROR(__xludf.DUMMYFUNCTION("""COMPUTED_VALUE"""),3.0)</f>
        <v>3</v>
      </c>
      <c r="F294" s="2" t="str">
        <f>IFERROR(__xludf.DUMMYFUNCTION("""COMPUTED_VALUE"""),"Semestre")</f>
        <v>Semestre</v>
      </c>
      <c r="G294" s="2" t="str">
        <f>IFERROR(__xludf.DUMMYFUNCTION("""COMPUTED_VALUE"""),"Ambos")</f>
        <v>Ambos</v>
      </c>
      <c r="H294" s="2" t="str">
        <f>IFERROR(__xludf.DUMMYFUNCTION("""COMPUTED_VALUE"""),"Educación y Deporte")</f>
        <v>Educación y Deporte</v>
      </c>
      <c r="I294" s="2" t="str">
        <f>IFERROR(__xludf.DUMMYFUNCTION("""COMPUTED_VALUE"""),"Educación Primaria")</f>
        <v>Educación Primaria</v>
      </c>
      <c r="J294" s="2" t="str">
        <f>IFERROR(__xludf.DUMMYFUNCTION("""COMPUTED_VALUE"""),"Grado")</f>
        <v>Grado</v>
      </c>
      <c r="K294" s="2" t="str">
        <f>IFERROR(__xludf.DUMMYFUNCTION("""COMPUTED_VALUE"""),"Inglés")</f>
        <v>Inglés</v>
      </c>
      <c r="L294" s="2" t="str">
        <f>IFERROR(__xludf.DUMMYFUNCTION("""COMPUTED_VALUE"""),"B2")</f>
        <v>B2</v>
      </c>
      <c r="M294" s="2" t="str">
        <f>IFERROR(__xludf.DUMMYFUNCTION("""COMPUTED_VALUE"""),"Sí")</f>
        <v>Sí</v>
      </c>
      <c r="N294" s="3" t="str">
        <f>IFERROR(__xludf.DUMMYFUNCTION("""COMPUTED_VALUE"""),"https://www.uni-lj.si/assets/Sluzba-za-mednarodno-sodelovanje/Dear-exchange-student-letter-2024-25.pdf")</f>
        <v>https://www.uni-lj.si/assets/Sluzba-za-mednarodno-sodelovanje/Dear-exchange-student-letter-2024-25.pdf</v>
      </c>
      <c r="O294" s="3" t="str">
        <f>IFERROR(__xludf.DUMMYFUNCTION("""COMPUTED_VALUE"""),"Más información / Informazio gehigarria")</f>
        <v>Más información / Informazio gehigarria</v>
      </c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30.0" customHeight="1">
      <c r="A295" s="2" t="str">
        <f>IFERROR(__xludf.DUMMYFUNCTION("""COMPUTED_VALUE"""),"Eslovenia")</f>
        <v>Eslovenia</v>
      </c>
      <c r="B295" s="2" t="str">
        <f>IFERROR(__xludf.DUMMYFUNCTION("""COMPUTED_VALUE"""),"SI LJUBLJA01")</f>
        <v>SI LJUBLJA01</v>
      </c>
      <c r="C295" s="3" t="str">
        <f>IFERROR(__xludf.DUMMYFUNCTION("""COMPUTED_VALUE"""),"University of Ljubljana")</f>
        <v>University of Ljubljana</v>
      </c>
      <c r="D295" s="2" t="str">
        <f>IFERROR(__xludf.DUMMYFUNCTION("""COMPUTED_VALUE"""),"Erasmus+")</f>
        <v>Erasmus+</v>
      </c>
      <c r="E295" s="2">
        <f>IFERROR(__xludf.DUMMYFUNCTION("""COMPUTED_VALUE"""),2.0)</f>
        <v>2</v>
      </c>
      <c r="F295" s="2" t="str">
        <f>IFERROR(__xludf.DUMMYFUNCTION("""COMPUTED_VALUE"""),"Semestre")</f>
        <v>Semestre</v>
      </c>
      <c r="G295" s="2" t="str">
        <f>IFERROR(__xludf.DUMMYFUNCTION("""COMPUTED_VALUE"""),"Ambos")</f>
        <v>Ambos</v>
      </c>
      <c r="H295" s="2" t="str">
        <f>IFERROR(__xludf.DUMMYFUNCTION("""COMPUTED_VALUE"""),"Ciencias Sociales y Humanas")</f>
        <v>Ciencias Sociales y Humanas</v>
      </c>
      <c r="I295" s="2" t="str">
        <f>IFERROR(__xludf.DUMMYFUNCTION("""COMPUTED_VALUE"""),"Trabajo Social")</f>
        <v>Trabajo Social</v>
      </c>
      <c r="J295" s="2" t="str">
        <f>IFERROR(__xludf.DUMMYFUNCTION("""COMPUTED_VALUE"""),"Grado")</f>
        <v>Grado</v>
      </c>
      <c r="K295" s="2" t="str">
        <f>IFERROR(__xludf.DUMMYFUNCTION("""COMPUTED_VALUE"""),"Inglés")</f>
        <v>Inglés</v>
      </c>
      <c r="L295" s="2" t="str">
        <f>IFERROR(__xludf.DUMMYFUNCTION("""COMPUTED_VALUE"""),"B2")</f>
        <v>B2</v>
      </c>
      <c r="M295" s="2" t="str">
        <f>IFERROR(__xludf.DUMMYFUNCTION("""COMPUTED_VALUE"""),"Sí")</f>
        <v>Sí</v>
      </c>
      <c r="N295" s="3" t="str">
        <f>IFERROR(__xludf.DUMMYFUNCTION("""COMPUTED_VALUE"""),"https://www.uni-lj.si/assets/Sluzba-za-mednarodno-sodelovanje/Dear-exchange-student-letter-2024-25.pdf")</f>
        <v>https://www.uni-lj.si/assets/Sluzba-za-mednarodno-sodelovanje/Dear-exchange-student-letter-2024-25.pdf</v>
      </c>
      <c r="O295" s="3" t="str">
        <f>IFERROR(__xludf.DUMMYFUNCTION("""COMPUTED_VALUE"""),"Más información / Informazio gehigarria")</f>
        <v>Más información / Informazio gehigarria</v>
      </c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30.0" customHeight="1">
      <c r="A296" s="2" t="str">
        <f>IFERROR(__xludf.DUMMYFUNCTION("""COMPUTED_VALUE"""),"Estados Unidos")</f>
        <v>Estados Unidos</v>
      </c>
      <c r="B296" s="2" t="str">
        <f>IFERROR(__xludf.DUMMYFUNCTION("""COMPUTED_VALUE"""),"USA BOISE01")</f>
        <v>USA BOISE01</v>
      </c>
      <c r="C296" s="3" t="str">
        <f>IFERROR(__xludf.DUMMYFUNCTION("""COMPUTED_VALUE"""),"Boise State University")</f>
        <v>Boise State University</v>
      </c>
      <c r="D296" s="2" t="str">
        <f>IFERROR(__xludf.DUMMYFUNCTION("""COMPUTED_VALUE"""),"Ac. Bilaterales (no Erasmus)")</f>
        <v>Ac. Bilaterales (no Erasmus)</v>
      </c>
      <c r="E296" s="2" t="str">
        <f>IFERROR(__xludf.DUMMYFUNCTION("""COMPUTED_VALUE"""),"Convenio Marco")</f>
        <v>Convenio Marco</v>
      </c>
      <c r="F296" s="2" t="str">
        <f>IFERROR(__xludf.DUMMYFUNCTION("""COMPUTED_VALUE"""),"Ambos semestres")</f>
        <v>Ambos semestres</v>
      </c>
      <c r="G296" s="2" t="str">
        <f>IFERROR(__xludf.DUMMYFUNCTION("""COMPUTED_VALUE"""),"Bilbao")</f>
        <v>Bilbao</v>
      </c>
      <c r="H296" s="2" t="str">
        <f>IFERROR(__xludf.DUMMYFUNCTION("""COMPUTED_VALUE"""),"Deusto Business School")</f>
        <v>Deusto Business School</v>
      </c>
      <c r="I296" s="2" t="str">
        <f>IFERROR(__xludf.DUMMYFUNCTION("""COMPUTED_VALUE"""),"Administración y Dirección de Empresas")</f>
        <v>Administración y Dirección de Empresas</v>
      </c>
      <c r="J296" s="2" t="str">
        <f>IFERROR(__xludf.DUMMYFUNCTION("""COMPUTED_VALUE"""),"Grado")</f>
        <v>Grado</v>
      </c>
      <c r="K296" s="2" t="str">
        <f>IFERROR(__xludf.DUMMYFUNCTION("""COMPUTED_VALUE"""),"Inglés")</f>
        <v>Inglés</v>
      </c>
      <c r="L296" s="2" t="str">
        <f>IFERROR(__xludf.DUMMYFUNCTION("""COMPUTED_VALUE"""),"C1")</f>
        <v>C1</v>
      </c>
      <c r="M296" s="2" t="str">
        <f>IFERROR(__xludf.DUMMYFUNCTION("""COMPUTED_VALUE"""),"Sí")</f>
        <v>Sí</v>
      </c>
      <c r="N296" s="3" t="str">
        <f>IFERROR(__xludf.DUMMYFUNCTION("""COMPUTED_VALUE"""),"https://www.boisestate.edu/globaleducation-international/apply/ia-international-transfer-admission/#english-proficiency-requirements")</f>
        <v>https://www.boisestate.edu/globaleducation-international/apply/ia-international-transfer-admission/#english-proficiency-requirements</v>
      </c>
      <c r="O296" s="3" t="str">
        <f>IFERROR(__xludf.DUMMYFUNCTION("""COMPUTED_VALUE"""),"Más información / Informazio gehigarria")</f>
        <v>Más información / Informazio gehigarria</v>
      </c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30.0" customHeight="1">
      <c r="A297" s="2" t="str">
        <f>IFERROR(__xludf.DUMMYFUNCTION("""COMPUTED_VALUE"""),"Estados Unidos")</f>
        <v>Estados Unidos</v>
      </c>
      <c r="B297" s="2" t="str">
        <f>IFERROR(__xludf.DUMMYFUNCTION("""COMPUTED_VALUE"""),"USA BOISE01")</f>
        <v>USA BOISE01</v>
      </c>
      <c r="C297" s="3" t="str">
        <f>IFERROR(__xludf.DUMMYFUNCTION("""COMPUTED_VALUE"""),"Boise State University")</f>
        <v>Boise State University</v>
      </c>
      <c r="D297" s="2" t="str">
        <f>IFERROR(__xludf.DUMMYFUNCTION("""COMPUTED_VALUE"""),"Ac. Bilaterales (no Erasmus)")</f>
        <v>Ac. Bilaterales (no Erasmus)</v>
      </c>
      <c r="E297" s="2">
        <f>IFERROR(__xludf.DUMMYFUNCTION("""COMPUTED_VALUE"""),8.0)</f>
        <v>8</v>
      </c>
      <c r="F297" s="2" t="str">
        <f>IFERROR(__xludf.DUMMYFUNCTION("""COMPUTED_VALUE"""),"Semestre")</f>
        <v>Semestre</v>
      </c>
      <c r="G297" s="2" t="str">
        <f>IFERROR(__xludf.DUMMYFUNCTION("""COMPUTED_VALUE"""),"Bilbao")</f>
        <v>Bilbao</v>
      </c>
      <c r="H297" s="2" t="str">
        <f>IFERROR(__xludf.DUMMYFUNCTION("""COMPUTED_VALUE"""),"Educación y Deporte")</f>
        <v>Educación y Deporte</v>
      </c>
      <c r="I297" s="2" t="str">
        <f>IFERROR(__xludf.DUMMYFUNCTION("""COMPUTED_VALUE"""),"CAFyD")</f>
        <v>CAFyD</v>
      </c>
      <c r="J297" s="2" t="str">
        <f>IFERROR(__xludf.DUMMYFUNCTION("""COMPUTED_VALUE"""),"Grado")</f>
        <v>Grado</v>
      </c>
      <c r="K297" s="2" t="str">
        <f>IFERROR(__xludf.DUMMYFUNCTION("""COMPUTED_VALUE"""),"Inglés")</f>
        <v>Inglés</v>
      </c>
      <c r="L297" s="2" t="str">
        <f>IFERROR(__xludf.DUMMYFUNCTION("""COMPUTED_VALUE"""),"B2")</f>
        <v>B2</v>
      </c>
      <c r="M297" s="2" t="str">
        <f>IFERROR(__xludf.DUMMYFUNCTION("""COMPUTED_VALUE"""),"Sí")</f>
        <v>Sí</v>
      </c>
      <c r="N297" s="3" t="str">
        <f>IFERROR(__xludf.DUMMYFUNCTION("""COMPUTED_VALUE"""),"https://www.boisestate.edu/globaleducation-international/apply/ia-international-transfer-admission/#english-proficiency-requirements")</f>
        <v>https://www.boisestate.edu/globaleducation-international/apply/ia-international-transfer-admission/#english-proficiency-requirements</v>
      </c>
      <c r="O297" s="3" t="str">
        <f>IFERROR(__xludf.DUMMYFUNCTION("""COMPUTED_VALUE"""),"Más información / Informazio gehigarria")</f>
        <v>Más información / Informazio gehigarria</v>
      </c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30.0" customHeight="1">
      <c r="A298" s="2" t="str">
        <f>IFERROR(__xludf.DUMMYFUNCTION("""COMPUTED_VALUE"""),"Estados Unidos")</f>
        <v>Estados Unidos</v>
      </c>
      <c r="B298" s="2" t="str">
        <f>IFERROR(__xludf.DUMMYFUNCTION("""COMPUTED_VALUE"""),"USA BOISE01")</f>
        <v>USA BOISE01</v>
      </c>
      <c r="C298" s="3" t="str">
        <f>IFERROR(__xludf.DUMMYFUNCTION("""COMPUTED_VALUE"""),"Boise State University")</f>
        <v>Boise State University</v>
      </c>
      <c r="D298" s="2" t="str">
        <f>IFERROR(__xludf.DUMMYFUNCTION("""COMPUTED_VALUE"""),"Ac. Bilaterales (no Erasmus)")</f>
        <v>Ac. Bilaterales (no Erasmus)</v>
      </c>
      <c r="E298" s="2" t="str">
        <f>IFERROR(__xludf.DUMMYFUNCTION("""COMPUTED_VALUE"""),"Convenio Marco")</f>
        <v>Convenio Marco</v>
      </c>
      <c r="F298" s="2" t="str">
        <f>IFERROR(__xludf.DUMMYFUNCTION("""COMPUTED_VALUE"""),"Semestre")</f>
        <v>Semestre</v>
      </c>
      <c r="G298" s="2" t="str">
        <f>IFERROR(__xludf.DUMMYFUNCTION("""COMPUTED_VALUE"""),"San Sebastián")</f>
        <v>San Sebastián</v>
      </c>
      <c r="H298" s="2" t="str">
        <f>IFERROR(__xludf.DUMMYFUNCTION("""COMPUTED_VALUE"""),"Ciencias de la Salud")</f>
        <v>Ciencias de la Salud</v>
      </c>
      <c r="I298" s="2" t="str">
        <f>IFERROR(__xludf.DUMMYFUNCTION("""COMPUTED_VALUE"""),"Fisioterapia")</f>
        <v>Fisioterapia</v>
      </c>
      <c r="J298" s="2" t="str">
        <f>IFERROR(__xludf.DUMMYFUNCTION("""COMPUTED_VALUE"""),"Grado")</f>
        <v>Grado</v>
      </c>
      <c r="K298" s="2" t="str">
        <f>IFERROR(__xludf.DUMMYFUNCTION("""COMPUTED_VALUE"""),"Inglés")</f>
        <v>Inglés</v>
      </c>
      <c r="L298" s="2" t="str">
        <f>IFERROR(__xludf.DUMMYFUNCTION("""COMPUTED_VALUE"""),"B2")</f>
        <v>B2</v>
      </c>
      <c r="M298" s="2" t="str">
        <f>IFERROR(__xludf.DUMMYFUNCTION("""COMPUTED_VALUE"""),"Sí")</f>
        <v>Sí</v>
      </c>
      <c r="N298" s="3" t="str">
        <f>IFERROR(__xludf.DUMMYFUNCTION("""COMPUTED_VALUE"""),"https://www.boisestate.edu/globaleducation-international/apply/ia-international-transfer-admission/#english-proficiency-requirements")</f>
        <v>https://www.boisestate.edu/globaleducation-international/apply/ia-international-transfer-admission/#english-proficiency-requirements</v>
      </c>
      <c r="O298" s="3" t="str">
        <f>IFERROR(__xludf.DUMMYFUNCTION("""COMPUTED_VALUE"""),"Más información / Informazio gehigarria")</f>
        <v>Más información / Informazio gehigarria</v>
      </c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30.0" customHeight="1">
      <c r="A299" s="2" t="str">
        <f>IFERROR(__xludf.DUMMYFUNCTION("""COMPUTED_VALUE"""),"Estados Unidos")</f>
        <v>Estados Unidos</v>
      </c>
      <c r="B299" s="2" t="str">
        <f>IFERROR(__xludf.DUMMYFUNCTION("""COMPUTED_VALUE"""),"USA BOISE01")</f>
        <v>USA BOISE01</v>
      </c>
      <c r="C299" s="3" t="str">
        <f>IFERROR(__xludf.DUMMYFUNCTION("""COMPUTED_VALUE"""),"Boise State University")</f>
        <v>Boise State University</v>
      </c>
      <c r="D299" s="2" t="str">
        <f>IFERROR(__xludf.DUMMYFUNCTION("""COMPUTED_VALUE"""),"Ac. Bilaterales (no Erasmus)")</f>
        <v>Ac. Bilaterales (no Erasmus)</v>
      </c>
      <c r="E299" s="2" t="str">
        <f>IFERROR(__xludf.DUMMYFUNCTION("""COMPUTED_VALUE"""),"Convenio Marco")</f>
        <v>Convenio Marco</v>
      </c>
      <c r="F299" s="2" t="str">
        <f>IFERROR(__xludf.DUMMYFUNCTION("""COMPUTED_VALUE"""),"Semestre")</f>
        <v>Semestre</v>
      </c>
      <c r="G299" s="2" t="str">
        <f>IFERROR(__xludf.DUMMYFUNCTION("""COMPUTED_VALUE"""),"Ambos")</f>
        <v>Ambos</v>
      </c>
      <c r="H299" s="2" t="str">
        <f>IFERROR(__xludf.DUMMYFUNCTION("""COMPUTED_VALUE"""),"Educación y Deporte")</f>
        <v>Educación y Deporte</v>
      </c>
      <c r="I299" s="2" t="str">
        <f>IFERROR(__xludf.DUMMYFUNCTION("""COMPUTED_VALUE"""),"Educación Primaria")</f>
        <v>Educación Primaria</v>
      </c>
      <c r="J299" s="2" t="str">
        <f>IFERROR(__xludf.DUMMYFUNCTION("""COMPUTED_VALUE"""),"Grado")</f>
        <v>Grado</v>
      </c>
      <c r="K299" s="2" t="str">
        <f>IFERROR(__xludf.DUMMYFUNCTION("""COMPUTED_VALUE"""),"Inglés")</f>
        <v>Inglés</v>
      </c>
      <c r="L299" s="2" t="str">
        <f>IFERROR(__xludf.DUMMYFUNCTION("""COMPUTED_VALUE"""),"B2")</f>
        <v>B2</v>
      </c>
      <c r="M299" s="2" t="str">
        <f>IFERROR(__xludf.DUMMYFUNCTION("""COMPUTED_VALUE"""),"Sí")</f>
        <v>Sí</v>
      </c>
      <c r="N299" s="3" t="str">
        <f>IFERROR(__xludf.DUMMYFUNCTION("""COMPUTED_VALUE"""),"https://www.boisestate.edu/globaleducation-international/apply/ia-international-transfer-admission/#english-proficiency-requirements")</f>
        <v>https://www.boisestate.edu/globaleducation-international/apply/ia-international-transfer-admission/#english-proficiency-requirements</v>
      </c>
      <c r="O299" s="3" t="str">
        <f>IFERROR(__xludf.DUMMYFUNCTION("""COMPUTED_VALUE"""),"Más información / Informazio gehigarria")</f>
        <v>Más información / Informazio gehigarria</v>
      </c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30.0" customHeight="1">
      <c r="A300" s="2" t="str">
        <f>IFERROR(__xludf.DUMMYFUNCTION("""COMPUTED_VALUE"""),"Estados Unidos")</f>
        <v>Estados Unidos</v>
      </c>
      <c r="B300" s="2" t="str">
        <f>IFERROR(__xludf.DUMMYFUNCTION("""COMPUTED_VALUE"""),"USA BOISE01")</f>
        <v>USA BOISE01</v>
      </c>
      <c r="C300" s="3" t="str">
        <f>IFERROR(__xludf.DUMMYFUNCTION("""COMPUTED_VALUE"""),"Boise State University")</f>
        <v>Boise State University</v>
      </c>
      <c r="D300" s="2" t="str">
        <f>IFERROR(__xludf.DUMMYFUNCTION("""COMPUTED_VALUE"""),"Ac. Bilaterales (no Erasmus)")</f>
        <v>Ac. Bilaterales (no Erasmus)</v>
      </c>
      <c r="E300" s="2" t="str">
        <f>IFERROR(__xludf.DUMMYFUNCTION("""COMPUTED_VALUE"""),"Convenio Marco")</f>
        <v>Convenio Marco</v>
      </c>
      <c r="F300" s="2" t="str">
        <f>IFERROR(__xludf.DUMMYFUNCTION("""COMPUTED_VALUE"""),"Semestre")</f>
        <v>Semestre</v>
      </c>
      <c r="G300" s="2" t="str">
        <f>IFERROR(__xludf.DUMMYFUNCTION("""COMPUTED_VALUE"""),"Bilbao")</f>
        <v>Bilbao</v>
      </c>
      <c r="H300" s="2" t="str">
        <f>IFERROR(__xludf.DUMMYFUNCTION("""COMPUTED_VALUE"""),"Ciencias Sociales y Humanas")</f>
        <v>Ciencias Sociales y Humanas</v>
      </c>
      <c r="I300" s="2" t="str">
        <f>IFERROR(__xludf.DUMMYFUNCTION("""COMPUTED_VALUE"""),"Lenguas Modernas, Lengua y Cultura Vasca + Lenguas Modernas, Lenguas Modernas y Gestión, Euskal Hizkuntza eta Kultura")</f>
        <v>Lenguas Modernas, Lengua y Cultura Vasca + Lenguas Modernas, Lenguas Modernas y Gestión, Euskal Hizkuntza eta Kultura</v>
      </c>
      <c r="J300" s="2" t="str">
        <f>IFERROR(__xludf.DUMMYFUNCTION("""COMPUTED_VALUE"""),"Grado")</f>
        <v>Grado</v>
      </c>
      <c r="K300" s="2" t="str">
        <f>IFERROR(__xludf.DUMMYFUNCTION("""COMPUTED_VALUE"""),"Inglés")</f>
        <v>Inglés</v>
      </c>
      <c r="L300" s="2" t="str">
        <f>IFERROR(__xludf.DUMMYFUNCTION("""COMPUTED_VALUE"""),"B2")</f>
        <v>B2</v>
      </c>
      <c r="M300" s="2" t="str">
        <f>IFERROR(__xludf.DUMMYFUNCTION("""COMPUTED_VALUE"""),"Sí")</f>
        <v>Sí</v>
      </c>
      <c r="N300" s="3" t="str">
        <f>IFERROR(__xludf.DUMMYFUNCTION("""COMPUTED_VALUE"""),"https://www.boisestate.edu/globaleducation-international/apply/ia-international-transfer-admission/#english-proficiency-requirements")</f>
        <v>https://www.boisestate.edu/globaleducation-international/apply/ia-international-transfer-admission/#english-proficiency-requirements</v>
      </c>
      <c r="O300" s="3" t="str">
        <f>IFERROR(__xludf.DUMMYFUNCTION("""COMPUTED_VALUE"""),"Más información / Informazio gehigarria")</f>
        <v>Más información / Informazio gehigarria</v>
      </c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30.0" customHeight="1">
      <c r="A301" s="2" t="str">
        <f>IFERROR(__xludf.DUMMYFUNCTION("""COMPUTED_VALUE"""),"Estados Unidos")</f>
        <v>Estados Unidos</v>
      </c>
      <c r="B301" s="2" t="str">
        <f>IFERROR(__xludf.DUMMYFUNCTION("""COMPUTED_VALUE"""),"USA BOISE01")</f>
        <v>USA BOISE01</v>
      </c>
      <c r="C301" s="3" t="str">
        <f>IFERROR(__xludf.DUMMYFUNCTION("""COMPUTED_VALUE"""),"Boise State University")</f>
        <v>Boise State University</v>
      </c>
      <c r="D301" s="2" t="str">
        <f>IFERROR(__xludf.DUMMYFUNCTION("""COMPUTED_VALUE"""),"Ac. Bilaterales (no Erasmus)")</f>
        <v>Ac. Bilaterales (no Erasmus)</v>
      </c>
      <c r="E301" s="2">
        <f>IFERROR(__xludf.DUMMYFUNCTION("""COMPUTED_VALUE"""),4.0)</f>
        <v>4</v>
      </c>
      <c r="F301" s="2" t="str">
        <f>IFERROR(__xludf.DUMMYFUNCTION("""COMPUTED_VALUE"""),"Anual")</f>
        <v>Anual</v>
      </c>
      <c r="G301" s="2" t="str">
        <f>IFERROR(__xludf.DUMMYFUNCTION("""COMPUTED_VALUE"""),"Bilbao")</f>
        <v>Bilbao</v>
      </c>
      <c r="H301" s="2" t="str">
        <f>IFERROR(__xludf.DUMMYFUNCTION("""COMPUTED_VALUE"""),"Ciencias de la Salud")</f>
        <v>Ciencias de la Salud</v>
      </c>
      <c r="I301" s="2" t="str">
        <f>IFERROR(__xludf.DUMMYFUNCTION("""COMPUTED_VALUE"""),"Psicología")</f>
        <v>Psicología</v>
      </c>
      <c r="J301" s="2" t="str">
        <f>IFERROR(__xludf.DUMMYFUNCTION("""COMPUTED_VALUE"""),"Grado")</f>
        <v>Grado</v>
      </c>
      <c r="K301" s="2" t="str">
        <f>IFERROR(__xludf.DUMMYFUNCTION("""COMPUTED_VALUE"""),"Inglés")</f>
        <v>Inglés</v>
      </c>
      <c r="L301" s="2" t="str">
        <f>IFERROR(__xludf.DUMMYFUNCTION("""COMPUTED_VALUE"""),"B2")</f>
        <v>B2</v>
      </c>
      <c r="M301" s="2" t="str">
        <f>IFERROR(__xludf.DUMMYFUNCTION("""COMPUTED_VALUE"""),"Sí")</f>
        <v>Sí</v>
      </c>
      <c r="N301" s="3" t="str">
        <f>IFERROR(__xludf.DUMMYFUNCTION("""COMPUTED_VALUE"""),"https://www.boisestate.edu/globaleducation-international/apply/ia-international-transfer-admission/#english-proficiency-requirements")</f>
        <v>https://www.boisestate.edu/globaleducation-international/apply/ia-international-transfer-admission/#english-proficiency-requirements</v>
      </c>
      <c r="O301" s="3" t="str">
        <f>IFERROR(__xludf.DUMMYFUNCTION("""COMPUTED_VALUE"""),"Más información / Informazio gehigarria")</f>
        <v>Más información / Informazio gehigarria</v>
      </c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30.0" customHeight="1">
      <c r="A302" s="2" t="str">
        <f>IFERROR(__xludf.DUMMYFUNCTION("""COMPUTED_VALUE"""),"Estados Unidos")</f>
        <v>Estados Unidos</v>
      </c>
      <c r="B302" s="2" t="str">
        <f>IFERROR(__xludf.DUMMYFUNCTION("""COMPUTED_VALUE"""),"USA BOISE01")</f>
        <v>USA BOISE01</v>
      </c>
      <c r="C302" s="3" t="str">
        <f>IFERROR(__xludf.DUMMYFUNCTION("""COMPUTED_VALUE"""),"Boise State University")</f>
        <v>Boise State University</v>
      </c>
      <c r="D302" s="2" t="str">
        <f>IFERROR(__xludf.DUMMYFUNCTION("""COMPUTED_VALUE"""),"Ac. Bilaterales (no Erasmus)")</f>
        <v>Ac. Bilaterales (no Erasmus)</v>
      </c>
      <c r="E302" s="2" t="str">
        <f>IFERROR(__xludf.DUMMYFUNCTION("""COMPUTED_VALUE"""),"Convenio Marco")</f>
        <v>Convenio Marco</v>
      </c>
      <c r="F302" s="2" t="str">
        <f>IFERROR(__xludf.DUMMYFUNCTION("""COMPUTED_VALUE"""),"Semestre")</f>
        <v>Semestre</v>
      </c>
      <c r="G302" s="2" t="str">
        <f>IFERROR(__xludf.DUMMYFUNCTION("""COMPUTED_VALUE"""),"Ambos")</f>
        <v>Ambos</v>
      </c>
      <c r="H302" s="2" t="str">
        <f>IFERROR(__xludf.DUMMYFUNCTION("""COMPUTED_VALUE"""),"Ingeniería")</f>
        <v>Ingeniería</v>
      </c>
      <c r="I302" s="2" t="str">
        <f>IFERROR(__xludf.DUMMYFUNCTION("""COMPUTED_VALUE"""),"Tecnologías Industriales, Ingeniería Mecánica, Ingeniería Informática, Ciencia de Datos e IA + Ingeniería Informática, Diseño Industrial + Ingeniería Mecánica, Ingeniería Informática + Videojuegos")</f>
        <v>Tecnologías Industriales, Ingeniería Mecánica, Ingeniería Informática, Ciencia de Datos e IA + Ingeniería Informática, Diseño Industrial + Ingeniería Mecánica, Ingeniería Informática + Videojuegos</v>
      </c>
      <c r="J302" s="2" t="str">
        <f>IFERROR(__xludf.DUMMYFUNCTION("""COMPUTED_VALUE"""),"Grado")</f>
        <v>Grado</v>
      </c>
      <c r="K302" s="2" t="str">
        <f>IFERROR(__xludf.DUMMYFUNCTION("""COMPUTED_VALUE"""),"Inglés")</f>
        <v>Inglés</v>
      </c>
      <c r="L302" s="2" t="str">
        <f>IFERROR(__xludf.DUMMYFUNCTION("""COMPUTED_VALUE"""),"B2")</f>
        <v>B2</v>
      </c>
      <c r="M302" s="2" t="str">
        <f>IFERROR(__xludf.DUMMYFUNCTION("""COMPUTED_VALUE"""),"Sí")</f>
        <v>Sí</v>
      </c>
      <c r="N302" s="3" t="str">
        <f>IFERROR(__xludf.DUMMYFUNCTION("""COMPUTED_VALUE"""),"https://www.boisestate.edu/globaleducation-international/apply/ia-international-transfer-admission/#english-proficiency-requirements")</f>
        <v>https://www.boisestate.edu/globaleducation-international/apply/ia-international-transfer-admission/#english-proficiency-requirements</v>
      </c>
      <c r="O302" s="3" t="str">
        <f>IFERROR(__xludf.DUMMYFUNCTION("""COMPUTED_VALUE"""),"Más información / Informazio gehigarria")</f>
        <v>Más información / Informazio gehigarria</v>
      </c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30.0" customHeight="1">
      <c r="A303" s="2" t="str">
        <f>IFERROR(__xludf.DUMMYFUNCTION("""COMPUTED_VALUE"""),"Estados Unidos")</f>
        <v>Estados Unidos</v>
      </c>
      <c r="B303" s="2" t="str">
        <f>IFERROR(__xludf.DUMMYFUNCTION("""COMPUTED_VALUE"""),"USABOSTON01")</f>
        <v>USABOSTON01</v>
      </c>
      <c r="C303" s="3" t="str">
        <f>IFERROR(__xludf.DUMMYFUNCTION("""COMPUTED_VALUE"""),"Boston College")</f>
        <v>Boston College</v>
      </c>
      <c r="D303" s="2" t="str">
        <f>IFERROR(__xludf.DUMMYFUNCTION("""COMPUTED_VALUE"""),"Ac. Bilaterales (no Erasmus)")</f>
        <v>Ac. Bilaterales (no Erasmus)</v>
      </c>
      <c r="E303" s="2">
        <f>IFERROR(__xludf.DUMMYFUNCTION("""COMPUTED_VALUE"""),1.0)</f>
        <v>1</v>
      </c>
      <c r="F303" s="2" t="str">
        <f>IFERROR(__xludf.DUMMYFUNCTION("""COMPUTED_VALUE"""),"Semestre")</f>
        <v>Semestre</v>
      </c>
      <c r="G303" s="2" t="str">
        <f>IFERROR(__xludf.DUMMYFUNCTION("""COMPUTED_VALUE"""),"Ambos")</f>
        <v>Ambos</v>
      </c>
      <c r="H303" s="2" t="str">
        <f>IFERROR(__xludf.DUMMYFUNCTION("""COMPUTED_VALUE"""),"Derecho")</f>
        <v>Derecho</v>
      </c>
      <c r="I303" s="2" t="str">
        <f>IFERROR(__xludf.DUMMYFUNCTION("""COMPUTED_VALUE"""),"Derecho, Derecho + Relaciones Laborales")</f>
        <v>Derecho, Derecho + Relaciones Laborales</v>
      </c>
      <c r="J303" s="2" t="str">
        <f>IFERROR(__xludf.DUMMYFUNCTION("""COMPUTED_VALUE"""),"Grado")</f>
        <v>Grado</v>
      </c>
      <c r="K303" s="2" t="str">
        <f>IFERROR(__xludf.DUMMYFUNCTION("""COMPUTED_VALUE"""),"Inglés")</f>
        <v>Inglés</v>
      </c>
      <c r="L303" s="2" t="str">
        <f>IFERROR(__xludf.DUMMYFUNCTION("""COMPUTED_VALUE"""),"B2")</f>
        <v>B2</v>
      </c>
      <c r="M303" s="2" t="str">
        <f>IFERROR(__xludf.DUMMYFUNCTION("""COMPUTED_VALUE"""),"Sí")</f>
        <v>Sí</v>
      </c>
      <c r="N303" s="3" t="str">
        <f>IFERROR(__xludf.DUMMYFUNCTION("""COMPUTED_VALUE"""),"https://www.bc.edu/content/bc-web/sites/global-engagement/sites/office-of-global-education/exchange-students.html")</f>
        <v>https://www.bc.edu/content/bc-web/sites/global-engagement/sites/office-of-global-education/exchange-students.html</v>
      </c>
      <c r="O303" s="3" t="str">
        <f>IFERROR(__xludf.DUMMYFUNCTION("""COMPUTED_VALUE"""),"Más información / Informazio gehigarria")</f>
        <v>Más información / Informazio gehigarria</v>
      </c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30.0" customHeight="1">
      <c r="A304" s="2" t="str">
        <f>IFERROR(__xludf.DUMMYFUNCTION("""COMPUTED_VALUE"""),"Estados Unidos")</f>
        <v>Estados Unidos</v>
      </c>
      <c r="B304" s="2" t="str">
        <f>IFERROR(__xludf.DUMMYFUNCTION("""COMPUTED_VALUE"""),"USA INDIAN01")</f>
        <v>USA INDIAN01</v>
      </c>
      <c r="C304" s="3" t="str">
        <f>IFERROR(__xludf.DUMMYFUNCTION("""COMPUTED_VALUE"""),"Butler University")</f>
        <v>Butler University</v>
      </c>
      <c r="D304" s="2" t="str">
        <f>IFERROR(__xludf.DUMMYFUNCTION("""COMPUTED_VALUE"""),"Ac. Bilaterales (no Erasmus)")</f>
        <v>Ac. Bilaterales (no Erasmus)</v>
      </c>
      <c r="E304" s="2">
        <f>IFERROR(__xludf.DUMMYFUNCTION("""COMPUTED_VALUE"""),2.0)</f>
        <v>2</v>
      </c>
      <c r="F304" s="2" t="str">
        <f>IFERROR(__xludf.DUMMYFUNCTION("""COMPUTED_VALUE"""),"Anual ")</f>
        <v>Anual </v>
      </c>
      <c r="G304" s="2" t="str">
        <f>IFERROR(__xludf.DUMMYFUNCTION("""COMPUTED_VALUE"""),"Bilbao")</f>
        <v>Bilbao</v>
      </c>
      <c r="H304" s="2" t="str">
        <f>IFERROR(__xludf.DUMMYFUNCTION("""COMPUTED_VALUE"""),"Ciencias Sociales y Humanas")</f>
        <v>Ciencias Sociales y Humanas</v>
      </c>
      <c r="I304" s="2" t="str">
        <f>IFERROR(__xludf.DUMMYFUNCTION("""COMPUTED_VALUE"""),"Relaciones Internacionales, Relaciones Internacionales + Derecho")</f>
        <v>Relaciones Internacionales, Relaciones Internacionales + Derecho</v>
      </c>
      <c r="J304" s="2" t="str">
        <f>IFERROR(__xludf.DUMMYFUNCTION("""COMPUTED_VALUE"""),"Grado")</f>
        <v>Grado</v>
      </c>
      <c r="K304" s="2" t="str">
        <f>IFERROR(__xludf.DUMMYFUNCTION("""COMPUTED_VALUE"""),"Inglés")</f>
        <v>Inglés</v>
      </c>
      <c r="L304" s="2" t="str">
        <f>IFERROR(__xludf.DUMMYFUNCTION("""COMPUTED_VALUE"""),"B2")</f>
        <v>B2</v>
      </c>
      <c r="M304" s="2" t="str">
        <f>IFERROR(__xludf.DUMMYFUNCTION("""COMPUTED_VALUE"""),"Sí")</f>
        <v>Sí</v>
      </c>
      <c r="N304" s="3" t="str">
        <f>IFERROR(__xludf.DUMMYFUNCTION("""COMPUTED_VALUE"""),"https://www.butler.edu/admission-aid/international/english-profiency-requirements/")</f>
        <v>https://www.butler.edu/admission-aid/international/english-profiency-requirements/</v>
      </c>
      <c r="O304" s="3" t="str">
        <f>IFERROR(__xludf.DUMMYFUNCTION("""COMPUTED_VALUE"""),"Más información / Informazio gehigarria")</f>
        <v>Más información / Informazio gehigarria</v>
      </c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30.0" customHeight="1">
      <c r="A305" s="2" t="str">
        <f>IFERROR(__xludf.DUMMYFUNCTION("""COMPUTED_VALUE"""),"Estados Unidos")</f>
        <v>Estados Unidos</v>
      </c>
      <c r="B305" s="2" t="str">
        <f>IFERROR(__xludf.DUMMYFUNCTION("""COMPUTED_VALUE"""),"USA SEAID01")</f>
        <v>USA SEAID01</v>
      </c>
      <c r="C305" s="3" t="str">
        <f>IFERROR(__xludf.DUMMYFUNCTION("""COMPUTED_VALUE"""),"California State University Monterey Bay")</f>
        <v>California State University Monterey Bay</v>
      </c>
      <c r="D305" s="2" t="str">
        <f>IFERROR(__xludf.DUMMYFUNCTION("""COMPUTED_VALUE"""),"Ac. Bilaterales (no Erasmus)")</f>
        <v>Ac. Bilaterales (no Erasmus)</v>
      </c>
      <c r="E305" s="2" t="str">
        <f>IFERROR(__xludf.DUMMYFUNCTION("""COMPUTED_VALUE"""),"Convenio Marco")</f>
        <v>Convenio Marco</v>
      </c>
      <c r="F305" s="2" t="str">
        <f>IFERROR(__xludf.DUMMYFUNCTION("""COMPUTED_VALUE"""),"Semestre")</f>
        <v>Semestre</v>
      </c>
      <c r="G305" s="2" t="str">
        <f>IFERROR(__xludf.DUMMYFUNCTION("""COMPUTED_VALUE"""),"San Sebastián")</f>
        <v>San Sebastián</v>
      </c>
      <c r="H305" s="2" t="str">
        <f>IFERROR(__xludf.DUMMYFUNCTION("""COMPUTED_VALUE"""),"Ciencias Sociales y Humanas")</f>
        <v>Ciencias Sociales y Humanas</v>
      </c>
      <c r="I305" s="2" t="str">
        <f>IFERROR(__xludf.DUMMYFUNCTION("""COMPUTED_VALUE"""),"Comunicación")</f>
        <v>Comunicación</v>
      </c>
      <c r="J305" s="2" t="str">
        <f>IFERROR(__xludf.DUMMYFUNCTION("""COMPUTED_VALUE"""),"Grado")</f>
        <v>Grado</v>
      </c>
      <c r="K305" s="2" t="str">
        <f>IFERROR(__xludf.DUMMYFUNCTION("""COMPUTED_VALUE"""),"Inglés")</f>
        <v>Inglés</v>
      </c>
      <c r="L305" s="2" t="str">
        <f>IFERROR(__xludf.DUMMYFUNCTION("""COMPUTED_VALUE"""),"C1")</f>
        <v>C1</v>
      </c>
      <c r="M305" s="2" t="str">
        <f>IFERROR(__xludf.DUMMYFUNCTION("""COMPUTED_VALUE"""),"Sí")</f>
        <v>Sí</v>
      </c>
      <c r="N305" s="3" t="str">
        <f>IFERROR(__xludf.DUMMYFUNCTION("""COMPUTED_VALUE"""),"https://csumb.edu/international/programs/semester-at/admissions/")</f>
        <v>https://csumb.edu/international/programs/semester-at/admissions/</v>
      </c>
      <c r="O305" s="3" t="str">
        <f>IFERROR(__xludf.DUMMYFUNCTION("""COMPUTED_VALUE"""),"Más información / Informazio gehigarria")</f>
        <v>Más información / Informazio gehigarria</v>
      </c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30.0" customHeight="1">
      <c r="A306" s="2" t="str">
        <f>IFERROR(__xludf.DUMMYFUNCTION("""COMPUTED_VALUE"""),"Estados Unidos")</f>
        <v>Estados Unidos</v>
      </c>
      <c r="B306" s="2" t="str">
        <f>IFERROR(__xludf.DUMMYFUNCTION("""COMPUTED_VALUE"""),"USA SEAID01")</f>
        <v>USA SEAID01</v>
      </c>
      <c r="C306" s="3" t="str">
        <f>IFERROR(__xludf.DUMMYFUNCTION("""COMPUTED_VALUE"""),"California State University Monterey Bay")</f>
        <v>California State University Monterey Bay</v>
      </c>
      <c r="D306" s="2" t="str">
        <f>IFERROR(__xludf.DUMMYFUNCTION("""COMPUTED_VALUE"""),"Ac. Bilaterales (no Erasmus)")</f>
        <v>Ac. Bilaterales (no Erasmus)</v>
      </c>
      <c r="E306" s="2">
        <f>IFERROR(__xludf.DUMMYFUNCTION("""COMPUTED_VALUE"""),2.0)</f>
        <v>2</v>
      </c>
      <c r="F306" s="2" t="str">
        <f>IFERROR(__xludf.DUMMYFUNCTION("""COMPUTED_VALUE"""),"Ambos semestres")</f>
        <v>Ambos semestres</v>
      </c>
      <c r="G306" s="2" t="str">
        <f>IFERROR(__xludf.DUMMYFUNCTION("""COMPUTED_VALUE"""),"Bilbao")</f>
        <v>Bilbao</v>
      </c>
      <c r="H306" s="2" t="str">
        <f>IFERROR(__xludf.DUMMYFUNCTION("""COMPUTED_VALUE"""),"Deusto Business School")</f>
        <v>Deusto Business School</v>
      </c>
      <c r="I306" s="2" t="str">
        <f>IFERROR(__xludf.DUMMYFUNCTION("""COMPUTED_VALUE"""),"Administración y Dirección de Empresas")</f>
        <v>Administración y Dirección de Empresas</v>
      </c>
      <c r="J306" s="2" t="str">
        <f>IFERROR(__xludf.DUMMYFUNCTION("""COMPUTED_VALUE"""),"Grado")</f>
        <v>Grado</v>
      </c>
      <c r="K306" s="2" t="str">
        <f>IFERROR(__xludf.DUMMYFUNCTION("""COMPUTED_VALUE"""),"Inglés")</f>
        <v>Inglés</v>
      </c>
      <c r="L306" s="2" t="str">
        <f>IFERROR(__xludf.DUMMYFUNCTION("""COMPUTED_VALUE"""),"C1")</f>
        <v>C1</v>
      </c>
      <c r="M306" s="2" t="str">
        <f>IFERROR(__xludf.DUMMYFUNCTION("""COMPUTED_VALUE"""),"Sí")</f>
        <v>Sí</v>
      </c>
      <c r="N306" s="3" t="str">
        <f>IFERROR(__xludf.DUMMYFUNCTION("""COMPUTED_VALUE"""),"https://csumb.edu/international/programs/semester-at/admissions/")</f>
        <v>https://csumb.edu/international/programs/semester-at/admissions/</v>
      </c>
      <c r="O306" s="3" t="str">
        <f>IFERROR(__xludf.DUMMYFUNCTION("""COMPUTED_VALUE"""),"Más información / Informazio gehigarria")</f>
        <v>Más información / Informazio gehigarria</v>
      </c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30.0" customHeight="1">
      <c r="A307" s="2" t="str">
        <f>IFERROR(__xludf.DUMMYFUNCTION("""COMPUTED_VALUE"""),"Estados Unidos")</f>
        <v>Estados Unidos</v>
      </c>
      <c r="B307" s="2" t="str">
        <f>IFERROR(__xludf.DUMMYFUNCTION("""COMPUTED_VALUE"""),"USA SEAID01")</f>
        <v>USA SEAID01</v>
      </c>
      <c r="C307" s="3" t="str">
        <f>IFERROR(__xludf.DUMMYFUNCTION("""COMPUTED_VALUE"""),"California State University Monterey Bay")</f>
        <v>California State University Monterey Bay</v>
      </c>
      <c r="D307" s="2" t="str">
        <f>IFERROR(__xludf.DUMMYFUNCTION("""COMPUTED_VALUE"""),"Ac. Bilaterales (no Erasmus)")</f>
        <v>Ac. Bilaterales (no Erasmus)</v>
      </c>
      <c r="E307" s="2" t="str">
        <f>IFERROR(__xludf.DUMMYFUNCTION("""COMPUTED_VALUE"""),"Convenio Marco")</f>
        <v>Convenio Marco</v>
      </c>
      <c r="F307" s="2" t="str">
        <f>IFERROR(__xludf.DUMMYFUNCTION("""COMPUTED_VALUE"""),"Semestre")</f>
        <v>Semestre</v>
      </c>
      <c r="G307" s="2" t="str">
        <f>IFERROR(__xludf.DUMMYFUNCTION("""COMPUTED_VALUE"""),"Ambos")</f>
        <v>Ambos</v>
      </c>
      <c r="H307" s="2" t="str">
        <f>IFERROR(__xludf.DUMMYFUNCTION("""COMPUTED_VALUE"""),"Ingeniería")</f>
        <v>Ingeniería</v>
      </c>
      <c r="I307" s="2" t="str">
        <f>IFERROR(__xludf.DUMMYFUNCTION("""COMPUTED_VALUE"""),"Ingeniería Informática, Diseño Industrial, Ciencia de Datos e IA + Ingeniería Informática, Diseño Industrial + Ingeniería Mecánica, Ingeniería Informática + Videojuegos")</f>
        <v>Ingeniería Informática, Diseño Industrial, Ciencia de Datos e IA + Ingeniería Informática, Diseño Industrial + Ingeniería Mecánica, Ingeniería Informática + Videojuegos</v>
      </c>
      <c r="J307" s="2" t="str">
        <f>IFERROR(__xludf.DUMMYFUNCTION("""COMPUTED_VALUE"""),"Grado")</f>
        <v>Grado</v>
      </c>
      <c r="K307" s="2" t="str">
        <f>IFERROR(__xludf.DUMMYFUNCTION("""COMPUTED_VALUE"""),"Inglés")</f>
        <v>Inglés</v>
      </c>
      <c r="L307" s="2" t="str">
        <f>IFERROR(__xludf.DUMMYFUNCTION("""COMPUTED_VALUE"""),"B2")</f>
        <v>B2</v>
      </c>
      <c r="M307" s="2" t="str">
        <f>IFERROR(__xludf.DUMMYFUNCTION("""COMPUTED_VALUE"""),"Sí")</f>
        <v>Sí</v>
      </c>
      <c r="N307" s="3" t="str">
        <f>IFERROR(__xludf.DUMMYFUNCTION("""COMPUTED_VALUE"""),"https://csumb.edu/international/programs/semester-at/admissions/")</f>
        <v>https://csumb.edu/international/programs/semester-at/admissions/</v>
      </c>
      <c r="O307" s="3" t="str">
        <f>IFERROR(__xludf.DUMMYFUNCTION("""COMPUTED_VALUE"""),"Más información / Informazio gehigarria")</f>
        <v>Más información / Informazio gehigarria</v>
      </c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30.0" customHeight="1">
      <c r="A308" s="2" t="str">
        <f>IFERROR(__xludf.DUMMYFUNCTION("""COMPUTED_VALUE"""),"Estados Unidos")</f>
        <v>Estados Unidos</v>
      </c>
      <c r="B308" s="2" t="str">
        <f>IFERROR(__xludf.DUMMYFUNCTION("""COMPUTED_VALUE"""),"USA SEAID01")</f>
        <v>USA SEAID01</v>
      </c>
      <c r="C308" s="3" t="str">
        <f>IFERROR(__xludf.DUMMYFUNCTION("""COMPUTED_VALUE"""),"California State University Monterey Bay")</f>
        <v>California State University Monterey Bay</v>
      </c>
      <c r="D308" s="2" t="str">
        <f>IFERROR(__xludf.DUMMYFUNCTION("""COMPUTED_VALUE"""),"Ac. Bilaterales (no Erasmus)")</f>
        <v>Ac. Bilaterales (no Erasmus)</v>
      </c>
      <c r="E308" s="2" t="str">
        <f>IFERROR(__xludf.DUMMYFUNCTION("""COMPUTED_VALUE"""),"Convenio Marco")</f>
        <v>Convenio Marco</v>
      </c>
      <c r="F308" s="2" t="str">
        <f>IFERROR(__xludf.DUMMYFUNCTION("""COMPUTED_VALUE"""),"Anual")</f>
        <v>Anual</v>
      </c>
      <c r="G308" s="2" t="str">
        <f>IFERROR(__xludf.DUMMYFUNCTION("""COMPUTED_VALUE"""),"Bilbao")</f>
        <v>Bilbao</v>
      </c>
      <c r="H308" s="2" t="str">
        <f>IFERROR(__xludf.DUMMYFUNCTION("""COMPUTED_VALUE"""),"Ciencias Sociales y Humanas")</f>
        <v>Ciencias Sociales y Humanas</v>
      </c>
      <c r="I308" s="2" t="str">
        <f>IFERROR(__xludf.DUMMYFUNCTION("""COMPUTED_VALUE"""),"Lenguas Modernas, Lengua y Cultura Vasca + Lenguas Modernas, Lenguas Modernas y Gestión, Euskal Hizkuntza eta Kultura")</f>
        <v>Lenguas Modernas, Lengua y Cultura Vasca + Lenguas Modernas, Lenguas Modernas y Gestión, Euskal Hizkuntza eta Kultura</v>
      </c>
      <c r="J308" s="2" t="str">
        <f>IFERROR(__xludf.DUMMYFUNCTION("""COMPUTED_VALUE"""),"Grado")</f>
        <v>Grado</v>
      </c>
      <c r="K308" s="2" t="str">
        <f>IFERROR(__xludf.DUMMYFUNCTION("""COMPUTED_VALUE"""),"Inglés")</f>
        <v>Inglés</v>
      </c>
      <c r="L308" s="2" t="str">
        <f>IFERROR(__xludf.DUMMYFUNCTION("""COMPUTED_VALUE"""),"B2")</f>
        <v>B2</v>
      </c>
      <c r="M308" s="2" t="str">
        <f>IFERROR(__xludf.DUMMYFUNCTION("""COMPUTED_VALUE"""),"Sí")</f>
        <v>Sí</v>
      </c>
      <c r="N308" s="3" t="str">
        <f>IFERROR(__xludf.DUMMYFUNCTION("""COMPUTED_VALUE"""),"https://csumb.edu/international/programs/semester-at/admissions/")</f>
        <v>https://csumb.edu/international/programs/semester-at/admissions/</v>
      </c>
      <c r="O308" s="3" t="str">
        <f>IFERROR(__xludf.DUMMYFUNCTION("""COMPUTED_VALUE"""),"Más información / Informazio gehigarria")</f>
        <v>Más información / Informazio gehigarria</v>
      </c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30.0" customHeight="1">
      <c r="A309" s="2" t="str">
        <f>IFERROR(__xludf.DUMMYFUNCTION("""COMPUTED_VALUE"""),"Estados Unidos")</f>
        <v>Estados Unidos</v>
      </c>
      <c r="B309" s="2" t="str">
        <f>IFERROR(__xludf.DUMMYFUNCTION("""COMPUTED_VALUE"""),"USA SEAID01")</f>
        <v>USA SEAID01</v>
      </c>
      <c r="C309" s="3" t="str">
        <f>IFERROR(__xludf.DUMMYFUNCTION("""COMPUTED_VALUE"""),"California State University Monterey Bay")</f>
        <v>California State University Monterey Bay</v>
      </c>
      <c r="D309" s="2" t="str">
        <f>IFERROR(__xludf.DUMMYFUNCTION("""COMPUTED_VALUE"""),"Ac. Bilaterales (no Erasmus)")</f>
        <v>Ac. Bilaterales (no Erasmus)</v>
      </c>
      <c r="E309" s="2" t="str">
        <f>IFERROR(__xludf.DUMMYFUNCTION("""COMPUTED_VALUE"""),"Convenio Marco")</f>
        <v>Convenio Marco</v>
      </c>
      <c r="F309" s="2" t="str">
        <f>IFERROR(__xludf.DUMMYFUNCTION("""COMPUTED_VALUE"""),"Anual")</f>
        <v>Anual</v>
      </c>
      <c r="G309" s="2" t="str">
        <f>IFERROR(__xludf.DUMMYFUNCTION("""COMPUTED_VALUE"""),"Bilbao")</f>
        <v>Bilbao</v>
      </c>
      <c r="H309" s="2" t="str">
        <f>IFERROR(__xludf.DUMMYFUNCTION("""COMPUTED_VALUE"""),"Ciencias de la Salud")</f>
        <v>Ciencias de la Salud</v>
      </c>
      <c r="I309" s="2" t="str">
        <f>IFERROR(__xludf.DUMMYFUNCTION("""COMPUTED_VALUE"""),"Psicología")</f>
        <v>Psicología</v>
      </c>
      <c r="J309" s="2" t="str">
        <f>IFERROR(__xludf.DUMMYFUNCTION("""COMPUTED_VALUE"""),"Grado")</f>
        <v>Grado</v>
      </c>
      <c r="K309" s="2" t="str">
        <f>IFERROR(__xludf.DUMMYFUNCTION("""COMPUTED_VALUE"""),"Inglés")</f>
        <v>Inglés</v>
      </c>
      <c r="L309" s="2" t="str">
        <f>IFERROR(__xludf.DUMMYFUNCTION("""COMPUTED_VALUE"""),"B2")</f>
        <v>B2</v>
      </c>
      <c r="M309" s="2" t="str">
        <f>IFERROR(__xludf.DUMMYFUNCTION("""COMPUTED_VALUE"""),"Sí")</f>
        <v>Sí</v>
      </c>
      <c r="N309" s="3" t="str">
        <f>IFERROR(__xludf.DUMMYFUNCTION("""COMPUTED_VALUE"""),"https://csumb.edu/international/programs/semester-at/admissions/")</f>
        <v>https://csumb.edu/international/programs/semester-at/admissions/</v>
      </c>
      <c r="O309" s="3" t="str">
        <f>IFERROR(__xludf.DUMMYFUNCTION("""COMPUTED_VALUE"""),"Más información / Informazio gehigarria")</f>
        <v>Más información / Informazio gehigarria</v>
      </c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30.0" customHeight="1">
      <c r="A310" s="2" t="str">
        <f>IFERROR(__xludf.DUMMYFUNCTION("""COMPUTED_VALUE"""),"Estados Unidos")</f>
        <v>Estados Unidos</v>
      </c>
      <c r="B310" s="2" t="str">
        <f>IFERROR(__xludf.DUMMYFUNCTION("""COMPUTED_VALUE"""),"USA SEAID01")</f>
        <v>USA SEAID01</v>
      </c>
      <c r="C310" s="3" t="str">
        <f>IFERROR(__xludf.DUMMYFUNCTION("""COMPUTED_VALUE"""),"California State University Monterey Bay")</f>
        <v>California State University Monterey Bay</v>
      </c>
      <c r="D310" s="2" t="str">
        <f>IFERROR(__xludf.DUMMYFUNCTION("""COMPUTED_VALUE"""),"Ac. Bilaterales (no Erasmus)")</f>
        <v>Ac. Bilaterales (no Erasmus)</v>
      </c>
      <c r="E310" s="2" t="str">
        <f>IFERROR(__xludf.DUMMYFUNCTION("""COMPUTED_VALUE"""),"Convenio Marco")</f>
        <v>Convenio Marco</v>
      </c>
      <c r="F310" s="2" t="str">
        <f>IFERROR(__xludf.DUMMYFUNCTION("""COMPUTED_VALUE"""),"Anual")</f>
        <v>Anual</v>
      </c>
      <c r="G310" s="2" t="str">
        <f>IFERROR(__xludf.DUMMYFUNCTION("""COMPUTED_VALUE"""),"Bilbao")</f>
        <v>Bilbao</v>
      </c>
      <c r="H310" s="2" t="str">
        <f>IFERROR(__xludf.DUMMYFUNCTION("""COMPUTED_VALUE"""),"Ciencias Sociales y Humanas")</f>
        <v>Ciencias Sociales y Humanas</v>
      </c>
      <c r="I310" s="2" t="str">
        <f>IFERROR(__xludf.DUMMYFUNCTION("""COMPUTED_VALUE"""),"Relaciones Internacionales, Relaciones Internacionales + Derecho")</f>
        <v>Relaciones Internacionales, Relaciones Internacionales + Derecho</v>
      </c>
      <c r="J310" s="2" t="str">
        <f>IFERROR(__xludf.DUMMYFUNCTION("""COMPUTED_VALUE"""),"Grado")</f>
        <v>Grado</v>
      </c>
      <c r="K310" s="2" t="str">
        <f>IFERROR(__xludf.DUMMYFUNCTION("""COMPUTED_VALUE"""),"Inglés")</f>
        <v>Inglés</v>
      </c>
      <c r="L310" s="2" t="str">
        <f>IFERROR(__xludf.DUMMYFUNCTION("""COMPUTED_VALUE"""),"B2")</f>
        <v>B2</v>
      </c>
      <c r="M310" s="2" t="str">
        <f>IFERROR(__xludf.DUMMYFUNCTION("""COMPUTED_VALUE"""),"Sí")</f>
        <v>Sí</v>
      </c>
      <c r="N310" s="3" t="str">
        <f>IFERROR(__xludf.DUMMYFUNCTION("""COMPUTED_VALUE"""),"https://csumb.edu/international/programs/semester-at/admissions/")</f>
        <v>https://csumb.edu/international/programs/semester-at/admissions/</v>
      </c>
      <c r="O310" s="3" t="str">
        <f>IFERROR(__xludf.DUMMYFUNCTION("""COMPUTED_VALUE"""),"Más información / Informazio gehigarria")</f>
        <v>Más información / Informazio gehigarria</v>
      </c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30.0" customHeight="1">
      <c r="A311" s="2" t="str">
        <f>IFERROR(__xludf.DUMMYFUNCTION("""COMPUTED_VALUE"""),"Estados Unidos")</f>
        <v>Estados Unidos</v>
      </c>
      <c r="B311" s="2"/>
      <c r="C311" s="3" t="str">
        <f>IFERROR(__xludf.DUMMYFUNCTION("""COMPUTED_VALUE"""),"Creighton University")</f>
        <v>Creighton University</v>
      </c>
      <c r="D311" s="2" t="str">
        <f>IFERROR(__xludf.DUMMYFUNCTION("""COMPUTED_VALUE"""),"Ac. Bilaterales (no Erasmus)")</f>
        <v>Ac. Bilaterales (no Erasmus)</v>
      </c>
      <c r="E311" s="2">
        <f>IFERROR(__xludf.DUMMYFUNCTION("""COMPUTED_VALUE"""),1.0)</f>
        <v>1</v>
      </c>
      <c r="F311" s="2" t="str">
        <f>IFERROR(__xludf.DUMMYFUNCTION("""COMPUTED_VALUE"""),"Ambos semestres")</f>
        <v>Ambos semestres</v>
      </c>
      <c r="G311" s="2" t="str">
        <f>IFERROR(__xludf.DUMMYFUNCTION("""COMPUTED_VALUE"""),"Bilbao")</f>
        <v>Bilbao</v>
      </c>
      <c r="H311" s="2" t="str">
        <f>IFERROR(__xludf.DUMMYFUNCTION("""COMPUTED_VALUE"""),"Deusto Business School")</f>
        <v>Deusto Business School</v>
      </c>
      <c r="I311" s="2" t="str">
        <f>IFERROR(__xludf.DUMMYFUNCTION("""COMPUTED_VALUE"""),"Administración y Dirección de Empresas")</f>
        <v>Administración y Dirección de Empresas</v>
      </c>
      <c r="J311" s="2" t="str">
        <f>IFERROR(__xludf.DUMMYFUNCTION("""COMPUTED_VALUE"""),"Grado")</f>
        <v>Grado</v>
      </c>
      <c r="K311" s="2" t="str">
        <f>IFERROR(__xludf.DUMMYFUNCTION("""COMPUTED_VALUE"""),"Inglés")</f>
        <v>Inglés</v>
      </c>
      <c r="L311" s="2" t="str">
        <f>IFERROR(__xludf.DUMMYFUNCTION("""COMPUTED_VALUE"""),"C1")</f>
        <v>C1</v>
      </c>
      <c r="M311" s="2" t="str">
        <f>IFERROR(__xludf.DUMMYFUNCTION("""COMPUTED_VALUE"""),"Sí")</f>
        <v>Sí</v>
      </c>
      <c r="N311" s="3" t="str">
        <f>IFERROR(__xludf.DUMMYFUNCTION("""COMPUTED_VALUE"""),"https://www.creighton.edu/geo/internationalstudents/exchangestudents#:~:text=Must%20reach%20a%20minimum%20TOEFL,otherwise%20in%20the%20exchange%20agreement).")</f>
        <v>https://www.creighton.edu/geo/internationalstudents/exchangestudents#:~:text=Must%20reach%20a%20minimum%20TOEFL,otherwise%20in%20the%20exchange%20agreement).</v>
      </c>
      <c r="O311" s="3" t="str">
        <f>IFERROR(__xludf.DUMMYFUNCTION("""COMPUTED_VALUE"""),"Más información / Informazio gehigarria")</f>
        <v>Más información / Informazio gehigarria</v>
      </c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30.0" customHeight="1">
      <c r="A312" s="2" t="str">
        <f>IFERROR(__xludf.DUMMYFUNCTION("""COMPUTED_VALUE"""),"Estados Unidos")</f>
        <v>Estados Unidos</v>
      </c>
      <c r="B312" s="2"/>
      <c r="C312" s="3" t="str">
        <f>IFERROR(__xludf.DUMMYFUNCTION("""COMPUTED_VALUE"""),"Creighton University")</f>
        <v>Creighton University</v>
      </c>
      <c r="D312" s="2" t="str">
        <f>IFERROR(__xludf.DUMMYFUNCTION("""COMPUTED_VALUE"""),"Ac. Bilaterales (no Erasmus)")</f>
        <v>Ac. Bilaterales (no Erasmus)</v>
      </c>
      <c r="E312" s="2" t="str">
        <f>IFERROR(__xludf.DUMMYFUNCTION("""COMPUTED_VALUE"""),"Convenio Marco")</f>
        <v>Convenio Marco</v>
      </c>
      <c r="F312" s="2" t="str">
        <f>IFERROR(__xludf.DUMMYFUNCTION("""COMPUTED_VALUE"""),"Semestre")</f>
        <v>Semestre</v>
      </c>
      <c r="G312" s="2" t="str">
        <f>IFERROR(__xludf.DUMMYFUNCTION("""COMPUTED_VALUE"""),"Ambos")</f>
        <v>Ambos</v>
      </c>
      <c r="H312" s="2" t="str">
        <f>IFERROR(__xludf.DUMMYFUNCTION("""COMPUTED_VALUE"""),"Ingeniería")</f>
        <v>Ingeniería</v>
      </c>
      <c r="I312" s="2" t="str">
        <f>IFERROR(__xludf.DUMMYFUNCTION("""COMPUTED_VALUE"""),"Ingeniería Informática, Diseño Industrial, Organización Industrial, Ciencia de Datos e IA + Ingeniería Informática, Diseño Industrial + Ingeniería Mecánica, Ingeniería Informática + Videojuegos")</f>
        <v>Ingeniería Informática, Diseño Industrial, Organización Industrial, Ciencia de Datos e IA + Ingeniería Informática, Diseño Industrial + Ingeniería Mecánica, Ingeniería Informática + Videojuegos</v>
      </c>
      <c r="J312" s="2" t="str">
        <f>IFERROR(__xludf.DUMMYFUNCTION("""COMPUTED_VALUE"""),"Grado")</f>
        <v>Grado</v>
      </c>
      <c r="K312" s="2" t="str">
        <f>IFERROR(__xludf.DUMMYFUNCTION("""COMPUTED_VALUE"""),"Inglés")</f>
        <v>Inglés</v>
      </c>
      <c r="L312" s="2" t="str">
        <f>IFERROR(__xludf.DUMMYFUNCTION("""COMPUTED_VALUE"""),"B2")</f>
        <v>B2</v>
      </c>
      <c r="M312" s="2" t="str">
        <f>IFERROR(__xludf.DUMMYFUNCTION("""COMPUTED_VALUE"""),"Sí")</f>
        <v>Sí</v>
      </c>
      <c r="N312" s="3" t="str">
        <f>IFERROR(__xludf.DUMMYFUNCTION("""COMPUTED_VALUE"""),"https://www.creighton.edu/geo/internationalstudents/exchangestudents#:~:text=Must%20reach%20a%20minimum%20TOEFL,otherwise%20in%20the%20exchange%20agreement).")</f>
        <v>https://www.creighton.edu/geo/internationalstudents/exchangestudents#:~:text=Must%20reach%20a%20minimum%20TOEFL,otherwise%20in%20the%20exchange%20agreement).</v>
      </c>
      <c r="O312" s="3" t="str">
        <f>IFERROR(__xludf.DUMMYFUNCTION("""COMPUTED_VALUE"""),"Más información / Informazio gehigarria")</f>
        <v>Más información / Informazio gehigarria</v>
      </c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30.0" customHeight="1">
      <c r="A313" s="2" t="str">
        <f>IFERROR(__xludf.DUMMYFUNCTION("""COMPUTED_VALUE"""),"Estados Unidos")</f>
        <v>Estados Unidos</v>
      </c>
      <c r="B313" s="2"/>
      <c r="C313" s="3" t="str">
        <f>IFERROR(__xludf.DUMMYFUNCTION("""COMPUTED_VALUE"""),"Creighton University")</f>
        <v>Creighton University</v>
      </c>
      <c r="D313" s="2" t="str">
        <f>IFERROR(__xludf.DUMMYFUNCTION("""COMPUTED_VALUE"""),"Ac. Bilaterales (no Erasmus)")</f>
        <v>Ac. Bilaterales (no Erasmus)</v>
      </c>
      <c r="E313" s="2" t="str">
        <f>IFERROR(__xludf.DUMMYFUNCTION("""COMPUTED_VALUE"""),"Convenio Marco")</f>
        <v>Convenio Marco</v>
      </c>
      <c r="F313" s="2" t="str">
        <f>IFERROR(__xludf.DUMMYFUNCTION("""COMPUTED_VALUE"""),"Anual")</f>
        <v>Anual</v>
      </c>
      <c r="G313" s="2" t="str">
        <f>IFERROR(__xludf.DUMMYFUNCTION("""COMPUTED_VALUE"""),"Bilbao")</f>
        <v>Bilbao</v>
      </c>
      <c r="H313" s="2" t="str">
        <f>IFERROR(__xludf.DUMMYFUNCTION("""COMPUTED_VALUE"""),"Ciencias Sociales y Humanas")</f>
        <v>Ciencias Sociales y Humanas</v>
      </c>
      <c r="I313" s="2" t="str">
        <f>IFERROR(__xludf.DUMMYFUNCTION("""COMPUTED_VALUE"""),"Relaciones Internacionales, Relaciones Internacionales + Derecho")</f>
        <v>Relaciones Internacionales, Relaciones Internacionales + Derecho</v>
      </c>
      <c r="J313" s="2" t="str">
        <f>IFERROR(__xludf.DUMMYFUNCTION("""COMPUTED_VALUE"""),"Grado")</f>
        <v>Grado</v>
      </c>
      <c r="K313" s="2" t="str">
        <f>IFERROR(__xludf.DUMMYFUNCTION("""COMPUTED_VALUE"""),"Inglés")</f>
        <v>Inglés</v>
      </c>
      <c r="L313" s="2" t="str">
        <f>IFERROR(__xludf.DUMMYFUNCTION("""COMPUTED_VALUE"""),"B2")</f>
        <v>B2</v>
      </c>
      <c r="M313" s="2" t="str">
        <f>IFERROR(__xludf.DUMMYFUNCTION("""COMPUTED_VALUE"""),"Sí")</f>
        <v>Sí</v>
      </c>
      <c r="N313" s="3" t="str">
        <f>IFERROR(__xludf.DUMMYFUNCTION("""COMPUTED_VALUE"""),"https://www.creighton.edu/geo/internationalstudents/exchangestudents#:~:text=Must%20reach%20a%20minimum%20TOEFL,otherwise%20in%20the%20exchange%20agreement).")</f>
        <v>https://www.creighton.edu/geo/internationalstudents/exchangestudents#:~:text=Must%20reach%20a%20minimum%20TOEFL,otherwise%20in%20the%20exchange%20agreement).</v>
      </c>
      <c r="O313" s="3" t="str">
        <f>IFERROR(__xludf.DUMMYFUNCTION("""COMPUTED_VALUE"""),"Más información / Informazio gehigarria")</f>
        <v>Más información / Informazio gehigarria</v>
      </c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30.0" customHeight="1">
      <c r="A314" s="2" t="str">
        <f>IFERROR(__xludf.DUMMYFUNCTION("""COMPUTED_VALUE"""),"Estados Unidos")</f>
        <v>Estados Unidos</v>
      </c>
      <c r="B314" s="2" t="str">
        <f>IFERROR(__xludf.DUMMYFUNCTION("""COMPUTED_VALUE"""),"USAN.YORK04")</f>
        <v>USAN.YORK04</v>
      </c>
      <c r="C314" s="3" t="str">
        <f>IFERROR(__xludf.DUMMYFUNCTION("""COMPUTED_VALUE"""),"Fordham University")</f>
        <v>Fordham University</v>
      </c>
      <c r="D314" s="2" t="str">
        <f>IFERROR(__xludf.DUMMYFUNCTION("""COMPUTED_VALUE"""),"Ac. Bilaterales (no Erasmus)")</f>
        <v>Ac. Bilaterales (no Erasmus)</v>
      </c>
      <c r="E314" s="2">
        <f>IFERROR(__xludf.DUMMYFUNCTION("""COMPUTED_VALUE"""),2.0)</f>
        <v>2</v>
      </c>
      <c r="F314" s="2" t="str">
        <f>IFERROR(__xludf.DUMMYFUNCTION("""COMPUTED_VALUE"""),"Ambos semestres")</f>
        <v>Ambos semestres</v>
      </c>
      <c r="G314" s="2" t="str">
        <f>IFERROR(__xludf.DUMMYFUNCTION("""COMPUTED_VALUE"""),"Bilbao")</f>
        <v>Bilbao</v>
      </c>
      <c r="H314" s="2" t="str">
        <f>IFERROR(__xludf.DUMMYFUNCTION("""COMPUTED_VALUE"""),"Deusto Business School")</f>
        <v>Deusto Business School</v>
      </c>
      <c r="I314" s="2" t="str">
        <f>IFERROR(__xludf.DUMMYFUNCTION("""COMPUTED_VALUE"""),"Administración y Dirección de Empresas")</f>
        <v>Administración y Dirección de Empresas</v>
      </c>
      <c r="J314" s="2" t="str">
        <f>IFERROR(__xludf.DUMMYFUNCTION("""COMPUTED_VALUE"""),"Grado")</f>
        <v>Grado</v>
      </c>
      <c r="K314" s="2" t="str">
        <f>IFERROR(__xludf.DUMMYFUNCTION("""COMPUTED_VALUE"""),"Inglés")</f>
        <v>Inglés</v>
      </c>
      <c r="L314" s="2" t="str">
        <f>IFERROR(__xludf.DUMMYFUNCTION("""COMPUTED_VALUE"""),"C1")</f>
        <v>C1</v>
      </c>
      <c r="M314" s="2" t="str">
        <f>IFERROR(__xludf.DUMMYFUNCTION("""COMPUTED_VALUE"""),"Sí")</f>
        <v>Sí</v>
      </c>
      <c r="N314" s="3" t="str">
        <f>IFERROR(__xludf.DUMMYFUNCTION("""COMPUTED_VALUE"""),"https://www.fordham.edu/IncomingExchange/")</f>
        <v>https://www.fordham.edu/IncomingExchange/</v>
      </c>
      <c r="O314" s="3" t="str">
        <f>IFERROR(__xludf.DUMMYFUNCTION("""COMPUTED_VALUE"""),"Más información / Informazio gehigarria")</f>
        <v>Más información / Informazio gehigarria</v>
      </c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30.0" customHeight="1">
      <c r="A315" s="2" t="str">
        <f>IFERROR(__xludf.DUMMYFUNCTION("""COMPUTED_VALUE"""),"Estados Unidos")</f>
        <v>Estados Unidos</v>
      </c>
      <c r="B315" s="2" t="str">
        <f>IFERROR(__xludf.DUMMYFUNCTION("""COMPUTED_VALUE"""),"USAN.YORK04")</f>
        <v>USAN.YORK04</v>
      </c>
      <c r="C315" s="3" t="str">
        <f>IFERROR(__xludf.DUMMYFUNCTION("""COMPUTED_VALUE"""),"Fordham University")</f>
        <v>Fordham University</v>
      </c>
      <c r="D315" s="2" t="str">
        <f>IFERROR(__xludf.DUMMYFUNCTION("""COMPUTED_VALUE"""),"Ac. Bilaterales (no Erasmus)")</f>
        <v>Ac. Bilaterales (no Erasmus)</v>
      </c>
      <c r="E315" s="2">
        <f>IFERROR(__xludf.DUMMYFUNCTION("""COMPUTED_VALUE"""),2.0)</f>
        <v>2</v>
      </c>
      <c r="F315" s="2" t="str">
        <f>IFERROR(__xludf.DUMMYFUNCTION("""COMPUTED_VALUE"""),"Anual")</f>
        <v>Anual</v>
      </c>
      <c r="G315" s="2" t="str">
        <f>IFERROR(__xludf.DUMMYFUNCTION("""COMPUTED_VALUE"""),"Bilbao")</f>
        <v>Bilbao</v>
      </c>
      <c r="H315" s="2" t="str">
        <f>IFERROR(__xludf.DUMMYFUNCTION("""COMPUTED_VALUE"""),"Ciencias de la Salud")</f>
        <v>Ciencias de la Salud</v>
      </c>
      <c r="I315" s="2" t="str">
        <f>IFERROR(__xludf.DUMMYFUNCTION("""COMPUTED_VALUE"""),"Psicología")</f>
        <v>Psicología</v>
      </c>
      <c r="J315" s="2" t="str">
        <f>IFERROR(__xludf.DUMMYFUNCTION("""COMPUTED_VALUE"""),"Grado")</f>
        <v>Grado</v>
      </c>
      <c r="K315" s="2" t="str">
        <f>IFERROR(__xludf.DUMMYFUNCTION("""COMPUTED_VALUE"""),"Inglés")</f>
        <v>Inglés</v>
      </c>
      <c r="L315" s="2" t="str">
        <f>IFERROR(__xludf.DUMMYFUNCTION("""COMPUTED_VALUE"""),"C1")</f>
        <v>C1</v>
      </c>
      <c r="M315" s="2" t="str">
        <f>IFERROR(__xludf.DUMMYFUNCTION("""COMPUTED_VALUE"""),"Sí")</f>
        <v>Sí</v>
      </c>
      <c r="N315" s="3" t="str">
        <f>IFERROR(__xludf.DUMMYFUNCTION("""COMPUTED_VALUE"""),"https://www.fordham.edu/study-abroad/programs/other-programs-worldwide/exchange-programs/incoming-exchange-students/")</f>
        <v>https://www.fordham.edu/study-abroad/programs/other-programs-worldwide/exchange-programs/incoming-exchange-students/</v>
      </c>
      <c r="O315" s="3" t="str">
        <f>IFERROR(__xludf.DUMMYFUNCTION("""COMPUTED_VALUE"""),"Más información / Informazio gehigarria")</f>
        <v>Más información / Informazio gehigarria</v>
      </c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30.0" customHeight="1">
      <c r="A316" s="2" t="str">
        <f>IFERROR(__xludf.DUMMYFUNCTION("""COMPUTED_VALUE"""),"Estados Unidos")</f>
        <v>Estados Unidos</v>
      </c>
      <c r="B316" s="2" t="str">
        <f>IFERROR(__xludf.DUMMYFUNCTION("""COMPUTED_VALUE"""),"USAN.YORK04")</f>
        <v>USAN.YORK04</v>
      </c>
      <c r="C316" s="3" t="str">
        <f>IFERROR(__xludf.DUMMYFUNCTION("""COMPUTED_VALUE"""),"Fordham University")</f>
        <v>Fordham University</v>
      </c>
      <c r="D316" s="2" t="str">
        <f>IFERROR(__xludf.DUMMYFUNCTION("""COMPUTED_VALUE"""),"Ac. Bilaterales (no Erasmus)")</f>
        <v>Ac. Bilaterales (no Erasmus)</v>
      </c>
      <c r="E316" s="2">
        <f>IFERROR(__xludf.DUMMYFUNCTION("""COMPUTED_VALUE"""),2.0)</f>
        <v>2</v>
      </c>
      <c r="F316" s="2" t="str">
        <f>IFERROR(__xludf.DUMMYFUNCTION("""COMPUTED_VALUE"""),"Anual")</f>
        <v>Anual</v>
      </c>
      <c r="G316" s="2" t="str">
        <f>IFERROR(__xludf.DUMMYFUNCTION("""COMPUTED_VALUE"""),"Bilbao")</f>
        <v>Bilbao</v>
      </c>
      <c r="H316" s="2" t="str">
        <f>IFERROR(__xludf.DUMMYFUNCTION("""COMPUTED_VALUE"""),"Ciencias Sociales y Humanas")</f>
        <v>Ciencias Sociales y Humanas</v>
      </c>
      <c r="I316" s="2" t="str">
        <f>IFERROR(__xludf.DUMMYFUNCTION("""COMPUTED_VALUE"""),"Relaciones Internacionales, Relaciones Internacionales + Derecho")</f>
        <v>Relaciones Internacionales, Relaciones Internacionales + Derecho</v>
      </c>
      <c r="J316" s="2" t="str">
        <f>IFERROR(__xludf.DUMMYFUNCTION("""COMPUTED_VALUE"""),"Grado")</f>
        <v>Grado</v>
      </c>
      <c r="K316" s="2" t="str">
        <f>IFERROR(__xludf.DUMMYFUNCTION("""COMPUTED_VALUE"""),"Inglés")</f>
        <v>Inglés</v>
      </c>
      <c r="L316" s="2" t="str">
        <f>IFERROR(__xludf.DUMMYFUNCTION("""COMPUTED_VALUE"""),"C1")</f>
        <v>C1</v>
      </c>
      <c r="M316" s="2" t="str">
        <f>IFERROR(__xludf.DUMMYFUNCTION("""COMPUTED_VALUE"""),"Sí")</f>
        <v>Sí</v>
      </c>
      <c r="N316" s="3" t="str">
        <f>IFERROR(__xludf.DUMMYFUNCTION("""COMPUTED_VALUE"""),"https://www.fordham.edu/study-abroad/programs/other-programs-worldwide/exchange-programs/incoming-exchange-students/")</f>
        <v>https://www.fordham.edu/study-abroad/programs/other-programs-worldwide/exchange-programs/incoming-exchange-students/</v>
      </c>
      <c r="O316" s="3" t="str">
        <f>IFERROR(__xludf.DUMMYFUNCTION("""COMPUTED_VALUE"""),"Más información / Informazio gehigarria")</f>
        <v>Más información / Informazio gehigarria</v>
      </c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30.0" customHeight="1">
      <c r="A317" s="2" t="str">
        <f>IFERROR(__xludf.DUMMYFUNCTION("""COMPUTED_VALUE"""),"Estados Unidos")</f>
        <v>Estados Unidos</v>
      </c>
      <c r="B317" s="2" t="str">
        <f>IFERROR(__xludf.DUMMYFUNCTION("""COMPUTED_VALUE"""),"USA ALLEND01")</f>
        <v>USA ALLEND01</v>
      </c>
      <c r="C317" s="3" t="str">
        <f>IFERROR(__xludf.DUMMYFUNCTION("""COMPUTED_VALUE"""),"Grand Valley State University")</f>
        <v>Grand Valley State University</v>
      </c>
      <c r="D317" s="2" t="str">
        <f>IFERROR(__xludf.DUMMYFUNCTION("""COMPUTED_VALUE"""),"Ac. Bilaterales (no Erasmus)")</f>
        <v>Ac. Bilaterales (no Erasmus)</v>
      </c>
      <c r="E317" s="2" t="str">
        <f>IFERROR(__xludf.DUMMYFUNCTION("""COMPUTED_VALUE"""),"Convenio Marco")</f>
        <v>Convenio Marco</v>
      </c>
      <c r="F317" s="2" t="str">
        <f>IFERROR(__xludf.DUMMYFUNCTION("""COMPUTED_VALUE"""),"Semestre")</f>
        <v>Semestre</v>
      </c>
      <c r="G317" s="2" t="str">
        <f>IFERROR(__xludf.DUMMYFUNCTION("""COMPUTED_VALUE"""),"Ambos")</f>
        <v>Ambos</v>
      </c>
      <c r="H317" s="2" t="str">
        <f>IFERROR(__xludf.DUMMYFUNCTION("""COMPUTED_VALUE"""),"Ingeniería")</f>
        <v>Ingeniería</v>
      </c>
      <c r="I317" s="2" t="str">
        <f>IFERROR(__xludf.DUMMYFUNCTION("""COMPUTED_VALUE"""),"Ingeniería Informática, Ingeniería Mecánica, Diseño y Mecánica, Ciencia de Datos e IA + Ingeniería Informática, Diseño Industrial + Ingeniería Mecánica, Ingeniería Informática + Videojuegos")</f>
        <v>Ingeniería Informática, Ingeniería Mecánica, Diseño y Mecánica, Ciencia de Datos e IA + Ingeniería Informática, Diseño Industrial + Ingeniería Mecánica, Ingeniería Informática + Videojuegos</v>
      </c>
      <c r="J317" s="2" t="str">
        <f>IFERROR(__xludf.DUMMYFUNCTION("""COMPUTED_VALUE"""),"Grado")</f>
        <v>Grado</v>
      </c>
      <c r="K317" s="2" t="str">
        <f>IFERROR(__xludf.DUMMYFUNCTION("""COMPUTED_VALUE"""),"Inglés")</f>
        <v>Inglés</v>
      </c>
      <c r="L317" s="2" t="str">
        <f>IFERROR(__xludf.DUMMYFUNCTION("""COMPUTED_VALUE"""),"B2")</f>
        <v>B2</v>
      </c>
      <c r="M317" s="2" t="str">
        <f>IFERROR(__xludf.DUMMYFUNCTION("""COMPUTED_VALUE"""),"Sí")</f>
        <v>Sí</v>
      </c>
      <c r="N317" s="3" t="str">
        <f>IFERROR(__xludf.DUMMYFUNCTION("""COMPUTED_VALUE"""),"https://www.gvsu.edu/admissions/international-undergraduate-admissions-requirements-37.htm#TestScore")</f>
        <v>https://www.gvsu.edu/admissions/international-undergraduate-admissions-requirements-37.htm#TestScore</v>
      </c>
      <c r="O317" s="3" t="str">
        <f>IFERROR(__xludf.DUMMYFUNCTION("""COMPUTED_VALUE"""),"Más información / Informazio gehigarria")</f>
        <v>Más información / Informazio gehigarria</v>
      </c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30.0" customHeight="1">
      <c r="A318" s="2" t="str">
        <f>IFERROR(__xludf.DUMMYFUNCTION("""COMPUTED_VALUE"""),"Estados Unidos")</f>
        <v>Estados Unidos</v>
      </c>
      <c r="B318" s="2" t="str">
        <f>IFERROR(__xludf.DUMMYFUNCTION("""COMPUTED_VALUE"""),"USA ALLEND01")</f>
        <v>USA ALLEND01</v>
      </c>
      <c r="C318" s="3" t="str">
        <f>IFERROR(__xludf.DUMMYFUNCTION("""COMPUTED_VALUE"""),"Grand Valley State University")</f>
        <v>Grand Valley State University</v>
      </c>
      <c r="D318" s="2" t="str">
        <f>IFERROR(__xludf.DUMMYFUNCTION("""COMPUTED_VALUE"""),"Ac. Bilaterales (no Erasmus)")</f>
        <v>Ac. Bilaterales (no Erasmus)</v>
      </c>
      <c r="E318" s="2" t="str">
        <f>IFERROR(__xludf.DUMMYFUNCTION("""COMPUTED_VALUE"""),"Convenio Marco")</f>
        <v>Convenio Marco</v>
      </c>
      <c r="F318" s="2" t="str">
        <f>IFERROR(__xludf.DUMMYFUNCTION("""COMPUTED_VALUE"""),"Anual")</f>
        <v>Anual</v>
      </c>
      <c r="G318" s="2" t="str">
        <f>IFERROR(__xludf.DUMMYFUNCTION("""COMPUTED_VALUE"""),"Bilbao")</f>
        <v>Bilbao</v>
      </c>
      <c r="H318" s="2" t="str">
        <f>IFERROR(__xludf.DUMMYFUNCTION("""COMPUTED_VALUE"""),"Ciencias Sociales y Humanas")</f>
        <v>Ciencias Sociales y Humanas</v>
      </c>
      <c r="I318" s="2" t="str">
        <f>IFERROR(__xludf.DUMMYFUNCTION("""COMPUTED_VALUE"""),"Lenguas Modernas, Lengua y Cultura Vasca + Lenguas Modernas, Lenguas Modernas y Gestión, Euskal Hizkuntza eta Kultura")</f>
        <v>Lenguas Modernas, Lengua y Cultura Vasca + Lenguas Modernas, Lenguas Modernas y Gestión, Euskal Hizkuntza eta Kultura</v>
      </c>
      <c r="J318" s="2" t="str">
        <f>IFERROR(__xludf.DUMMYFUNCTION("""COMPUTED_VALUE"""),"Grado")</f>
        <v>Grado</v>
      </c>
      <c r="K318" s="2" t="str">
        <f>IFERROR(__xludf.DUMMYFUNCTION("""COMPUTED_VALUE"""),"Inglés")</f>
        <v>Inglés</v>
      </c>
      <c r="L318" s="2" t="str">
        <f>IFERROR(__xludf.DUMMYFUNCTION("""COMPUTED_VALUE"""),"B2")</f>
        <v>B2</v>
      </c>
      <c r="M318" s="2" t="str">
        <f>IFERROR(__xludf.DUMMYFUNCTION("""COMPUTED_VALUE"""),"Sí")</f>
        <v>Sí</v>
      </c>
      <c r="N318" s="3" t="str">
        <f>IFERROR(__xludf.DUMMYFUNCTION("""COMPUTED_VALUE"""),"https://www.gvsu.edu/admissions/international-undergraduate-admissions-requirements-37.htm#TestScore")</f>
        <v>https://www.gvsu.edu/admissions/international-undergraduate-admissions-requirements-37.htm#TestScore</v>
      </c>
      <c r="O318" s="3" t="str">
        <f>IFERROR(__xludf.DUMMYFUNCTION("""COMPUTED_VALUE"""),"Más información / Informazio gehigarria")</f>
        <v>Más información / Informazio gehigarria</v>
      </c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30.0" customHeight="1">
      <c r="A319" s="2" t="str">
        <f>IFERROR(__xludf.DUMMYFUNCTION("""COMPUTED_VALUE"""),"Estados Unidos")</f>
        <v>Estados Unidos</v>
      </c>
      <c r="B319" s="2" t="str">
        <f>IFERROR(__xludf.DUMMYFUNCTION("""COMPUTED_VALUE"""),"USA ALLEND01")</f>
        <v>USA ALLEND01</v>
      </c>
      <c r="C319" s="3" t="str">
        <f>IFERROR(__xludf.DUMMYFUNCTION("""COMPUTED_VALUE"""),"Grand Valley State University")</f>
        <v>Grand Valley State University</v>
      </c>
      <c r="D319" s="2" t="str">
        <f>IFERROR(__xludf.DUMMYFUNCTION("""COMPUTED_VALUE"""),"Ac. Bilaterales (no Erasmus)")</f>
        <v>Ac. Bilaterales (no Erasmus)</v>
      </c>
      <c r="E319" s="2" t="str">
        <f>IFERROR(__xludf.DUMMYFUNCTION("""COMPUTED_VALUE"""),"Convenio Marco")</f>
        <v>Convenio Marco</v>
      </c>
      <c r="F319" s="2" t="str">
        <f>IFERROR(__xludf.DUMMYFUNCTION("""COMPUTED_VALUE"""),"Anual")</f>
        <v>Anual</v>
      </c>
      <c r="G319" s="2" t="str">
        <f>IFERROR(__xludf.DUMMYFUNCTION("""COMPUTED_VALUE"""),"Bilbao")</f>
        <v>Bilbao</v>
      </c>
      <c r="H319" s="2" t="str">
        <f>IFERROR(__xludf.DUMMYFUNCTION("""COMPUTED_VALUE"""),"Ciencias Sociales y Humanas")</f>
        <v>Ciencias Sociales y Humanas</v>
      </c>
      <c r="I319" s="2" t="str">
        <f>IFERROR(__xludf.DUMMYFUNCTION("""COMPUTED_VALUE"""),"Relaciones Internacionales, Relaciones Internacionales + Derecho")</f>
        <v>Relaciones Internacionales, Relaciones Internacionales + Derecho</v>
      </c>
      <c r="J319" s="2" t="str">
        <f>IFERROR(__xludf.DUMMYFUNCTION("""COMPUTED_VALUE"""),"Grado")</f>
        <v>Grado</v>
      </c>
      <c r="K319" s="2" t="str">
        <f>IFERROR(__xludf.DUMMYFUNCTION("""COMPUTED_VALUE"""),"Inglés")</f>
        <v>Inglés</v>
      </c>
      <c r="L319" s="2" t="str">
        <f>IFERROR(__xludf.DUMMYFUNCTION("""COMPUTED_VALUE"""),"B2")</f>
        <v>B2</v>
      </c>
      <c r="M319" s="2" t="str">
        <f>IFERROR(__xludf.DUMMYFUNCTION("""COMPUTED_VALUE"""),"Sí")</f>
        <v>Sí</v>
      </c>
      <c r="N319" s="3" t="str">
        <f>IFERROR(__xludf.DUMMYFUNCTION("""COMPUTED_VALUE"""),"https://www.gvsu.edu/admissions/international-undergraduate-admissions-requirements-37.htm#TestScore")</f>
        <v>https://www.gvsu.edu/admissions/international-undergraduate-admissions-requirements-37.htm#TestScore</v>
      </c>
      <c r="O319" s="3" t="str">
        <f>IFERROR(__xludf.DUMMYFUNCTION("""COMPUTED_VALUE"""),"Más información / Informazio gehigarria")</f>
        <v>Más información / Informazio gehigarria</v>
      </c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30.0" customHeight="1">
      <c r="A320" s="2" t="str">
        <f>IFERROR(__xludf.DUMMYFUNCTION("""COMPUTED_VALUE"""),"Estados Unidos")</f>
        <v>Estados Unidos</v>
      </c>
      <c r="B320" s="2" t="str">
        <f>IFERROR(__xludf.DUMMYFUNCTION("""COMPUTED_VALUE"""),"USA ALLEND01")</f>
        <v>USA ALLEND01</v>
      </c>
      <c r="C320" s="3" t="str">
        <f>IFERROR(__xludf.DUMMYFUNCTION("""COMPUTED_VALUE"""),"Grand Valley State University")</f>
        <v>Grand Valley State University</v>
      </c>
      <c r="D320" s="2" t="str">
        <f>IFERROR(__xludf.DUMMYFUNCTION("""COMPUTED_VALUE"""),"Ac. Bilaterales (no Erasmus)")</f>
        <v>Ac. Bilaterales (no Erasmus)</v>
      </c>
      <c r="E320" s="2" t="str">
        <f>IFERROR(__xludf.DUMMYFUNCTION("""COMPUTED_VALUE"""),"Convenio Marco")</f>
        <v>Convenio Marco</v>
      </c>
      <c r="F320" s="2" t="str">
        <f>IFERROR(__xludf.DUMMYFUNCTION("""COMPUTED_VALUE"""),"Semestre")</f>
        <v>Semestre</v>
      </c>
      <c r="G320" s="2" t="str">
        <f>IFERROR(__xludf.DUMMYFUNCTION("""COMPUTED_VALUE"""),"Bilbao")</f>
        <v>Bilbao</v>
      </c>
      <c r="H320" s="2" t="str">
        <f>IFERROR(__xludf.DUMMYFUNCTION("""COMPUTED_VALUE"""),"Ciencias Sociales y Humanas")</f>
        <v>Ciencias Sociales y Humanas</v>
      </c>
      <c r="I320" s="2" t="str">
        <f>IFERROR(__xludf.DUMMYFUNCTION("""COMPUTED_VALUE"""),"Turismo")</f>
        <v>Turismo</v>
      </c>
      <c r="J320" s="2" t="str">
        <f>IFERROR(__xludf.DUMMYFUNCTION("""COMPUTED_VALUE"""),"Grado")</f>
        <v>Grado</v>
      </c>
      <c r="K320" s="2" t="str">
        <f>IFERROR(__xludf.DUMMYFUNCTION("""COMPUTED_VALUE"""),"Inglés")</f>
        <v>Inglés</v>
      </c>
      <c r="L320" s="2" t="str">
        <f>IFERROR(__xludf.DUMMYFUNCTION("""COMPUTED_VALUE"""),"B2")</f>
        <v>B2</v>
      </c>
      <c r="M320" s="2" t="str">
        <f>IFERROR(__xludf.DUMMYFUNCTION("""COMPUTED_VALUE"""),"Sí")</f>
        <v>Sí</v>
      </c>
      <c r="N320" s="3" t="str">
        <f>IFERROR(__xludf.DUMMYFUNCTION("""COMPUTED_VALUE"""),"https://www.gvsu.edu/admissions/international-undergraduate-admissions-requirements-37.htm#TestScore")</f>
        <v>https://www.gvsu.edu/admissions/international-undergraduate-admissions-requirements-37.htm#TestScore</v>
      </c>
      <c r="O320" s="3" t="str">
        <f>IFERROR(__xludf.DUMMYFUNCTION("""COMPUTED_VALUE"""),"Más información / Informazio gehigarria")</f>
        <v>Más información / Informazio gehigarria</v>
      </c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30.0" customHeight="1">
      <c r="A321" s="2" t="str">
        <f>IFERROR(__xludf.DUMMYFUNCTION("""COMPUTED_VALUE"""),"Estados Unidos")</f>
        <v>Estados Unidos</v>
      </c>
      <c r="B321" s="2" t="str">
        <f>IFERROR(__xludf.DUMMYFUNCTION("""COMPUTED_VALUE"""),"USA CHICAGO01")</f>
        <v>USA CHICAGO01</v>
      </c>
      <c r="C321" s="3" t="str">
        <f>IFERROR(__xludf.DUMMYFUNCTION("""COMPUTED_VALUE"""),"Loyola University Chicago")</f>
        <v>Loyola University Chicago</v>
      </c>
      <c r="D321" s="2" t="str">
        <f>IFERROR(__xludf.DUMMYFUNCTION("""COMPUTED_VALUE"""),"Ac. Bilaterales (no Erasmus)")</f>
        <v>Ac. Bilaterales (no Erasmus)</v>
      </c>
      <c r="E321" s="2">
        <f>IFERROR(__xludf.DUMMYFUNCTION("""COMPUTED_VALUE"""),2.0)</f>
        <v>2</v>
      </c>
      <c r="F321" s="2" t="str">
        <f>IFERROR(__xludf.DUMMYFUNCTION("""COMPUTED_VALUE"""),"Ambos semestres")</f>
        <v>Ambos semestres</v>
      </c>
      <c r="G321" s="2" t="str">
        <f>IFERROR(__xludf.DUMMYFUNCTION("""COMPUTED_VALUE"""),"Bilbao")</f>
        <v>Bilbao</v>
      </c>
      <c r="H321" s="2" t="str">
        <f>IFERROR(__xludf.DUMMYFUNCTION("""COMPUTED_VALUE"""),"Deusto Business School")</f>
        <v>Deusto Business School</v>
      </c>
      <c r="I321" s="2" t="str">
        <f>IFERROR(__xludf.DUMMYFUNCTION("""COMPUTED_VALUE"""),"Administración y Dirección de Empresas")</f>
        <v>Administración y Dirección de Empresas</v>
      </c>
      <c r="J321" s="2" t="str">
        <f>IFERROR(__xludf.DUMMYFUNCTION("""COMPUTED_VALUE"""),"Grado")</f>
        <v>Grado</v>
      </c>
      <c r="K321" s="2" t="str">
        <f>IFERROR(__xludf.DUMMYFUNCTION("""COMPUTED_VALUE"""),"Inglés")</f>
        <v>Inglés</v>
      </c>
      <c r="L321" s="2" t="str">
        <f>IFERROR(__xludf.DUMMYFUNCTION("""COMPUTED_VALUE"""),"C1")</f>
        <v>C1</v>
      </c>
      <c r="M321" s="2" t="str">
        <f>IFERROR(__xludf.DUMMYFUNCTION("""COMPUTED_VALUE"""),"Sí")</f>
        <v>Sí</v>
      </c>
      <c r="N321" s="3" t="str">
        <f>IFERROR(__xludf.DUMMYFUNCTION("""COMPUTED_VALUE"""),"https://www.luc.edu/isss/studentresources/j-1exchangestudents/#:~:text=Language%3A%20If%20your%20native%20language,score%20for%20IELTS%20is%206.5.")</f>
        <v>https://www.luc.edu/isss/studentresources/j-1exchangestudents/#:~:text=Language%3A%20If%20your%20native%20language,score%20for%20IELTS%20is%206.5.</v>
      </c>
      <c r="O321" s="3" t="str">
        <f>IFERROR(__xludf.DUMMYFUNCTION("""COMPUTED_VALUE"""),"Más información / Informazio gehigarria")</f>
        <v>Más información / Informazio gehigarria</v>
      </c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30.0" customHeight="1">
      <c r="A322" s="2" t="str">
        <f>IFERROR(__xludf.DUMMYFUNCTION("""COMPUTED_VALUE"""),"Estados Unidos")</f>
        <v>Estados Unidos</v>
      </c>
      <c r="B322" s="2" t="str">
        <f>IFERROR(__xludf.DUMMYFUNCTION("""COMPUTED_VALUE"""),"USA CHICAGO01")</f>
        <v>USA CHICAGO01</v>
      </c>
      <c r="C322" s="3" t="str">
        <f>IFERROR(__xludf.DUMMYFUNCTION("""COMPUTED_VALUE"""),"Loyola University Chicago")</f>
        <v>Loyola University Chicago</v>
      </c>
      <c r="D322" s="2" t="str">
        <f>IFERROR(__xludf.DUMMYFUNCTION("""COMPUTED_VALUE"""),"Ac. Bilaterales (no Erasmus)")</f>
        <v>Ac. Bilaterales (no Erasmus)</v>
      </c>
      <c r="E322" s="2" t="str">
        <f>IFERROR(__xludf.DUMMYFUNCTION("""COMPUTED_VALUE"""),"Convenio Marco")</f>
        <v>Convenio Marco</v>
      </c>
      <c r="F322" s="2" t="str">
        <f>IFERROR(__xludf.DUMMYFUNCTION("""COMPUTED_VALUE"""),"Semestre")</f>
        <v>Semestre</v>
      </c>
      <c r="G322" s="2" t="str">
        <f>IFERROR(__xludf.DUMMYFUNCTION("""COMPUTED_VALUE"""),"Ambos")</f>
        <v>Ambos</v>
      </c>
      <c r="H322" s="2" t="str">
        <f>IFERROR(__xludf.DUMMYFUNCTION("""COMPUTED_VALUE"""),"Ciencias Sociales y Humanas")</f>
        <v>Ciencias Sociales y Humanas</v>
      </c>
      <c r="I322" s="2" t="str">
        <f>IFERROR(__xludf.DUMMYFUNCTION("""COMPUTED_VALUE"""),"Trabajo Social")</f>
        <v>Trabajo Social</v>
      </c>
      <c r="J322" s="2" t="str">
        <f>IFERROR(__xludf.DUMMYFUNCTION("""COMPUTED_VALUE"""),"Grado")</f>
        <v>Grado</v>
      </c>
      <c r="K322" s="2" t="str">
        <f>IFERROR(__xludf.DUMMYFUNCTION("""COMPUTED_VALUE"""),"Inglés")</f>
        <v>Inglés</v>
      </c>
      <c r="L322" s="2" t="str">
        <f>IFERROR(__xludf.DUMMYFUNCTION("""COMPUTED_VALUE"""),"B2")</f>
        <v>B2</v>
      </c>
      <c r="M322" s="2" t="str">
        <f>IFERROR(__xludf.DUMMYFUNCTION("""COMPUTED_VALUE"""),"No")</f>
        <v>No</v>
      </c>
      <c r="N322" s="3" t="str">
        <f>IFERROR(__xludf.DUMMYFUNCTION("""COMPUTED_VALUE"""),"https://www.luc.edu/isss/studentresources/j-1exchangestudents/#:~:text=Language%3A%20If%20your%20native%20language,score%20for%20IELTS%20is%206.5.")</f>
        <v>https://www.luc.edu/isss/studentresources/j-1exchangestudents/#:~:text=Language%3A%20If%20your%20native%20language,score%20for%20IELTS%20is%206.5.</v>
      </c>
      <c r="O322" s="3" t="str">
        <f>IFERROR(__xludf.DUMMYFUNCTION("""COMPUTED_VALUE"""),"Más información / Informazio gehigarria")</f>
        <v>Más información / Informazio gehigarria</v>
      </c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30.0" customHeight="1">
      <c r="A323" s="2" t="str">
        <f>IFERROR(__xludf.DUMMYFUNCTION("""COMPUTED_VALUE"""),"Estados Unidos")</f>
        <v>Estados Unidos</v>
      </c>
      <c r="B323" s="2" t="str">
        <f>IFERROR(__xludf.DUMMYFUNCTION("""COMPUTED_VALUE"""),"USA MANKAT01")</f>
        <v>USA MANKAT01</v>
      </c>
      <c r="C323" s="3" t="str">
        <f>IFERROR(__xludf.DUMMYFUNCTION("""COMPUTED_VALUE"""),"Minnesota State University Mankato")</f>
        <v>Minnesota State University Mankato</v>
      </c>
      <c r="D323" s="2" t="str">
        <f>IFERROR(__xludf.DUMMYFUNCTION("""COMPUTED_VALUE"""),"Ac. Bilaterales (no Erasmus)")</f>
        <v>Ac. Bilaterales (no Erasmus)</v>
      </c>
      <c r="E323" s="2">
        <f>IFERROR(__xludf.DUMMYFUNCTION("""COMPUTED_VALUE"""),2.0)</f>
        <v>2</v>
      </c>
      <c r="F323" s="2" t="str">
        <f>IFERROR(__xludf.DUMMYFUNCTION("""COMPUTED_VALUE"""),"Anual")</f>
        <v>Anual</v>
      </c>
      <c r="G323" s="2" t="str">
        <f>IFERROR(__xludf.DUMMYFUNCTION("""COMPUTED_VALUE"""),"Bilbao")</f>
        <v>Bilbao</v>
      </c>
      <c r="H323" s="2" t="str">
        <f>IFERROR(__xludf.DUMMYFUNCTION("""COMPUTED_VALUE"""),"Ciencias Sociales y Humanas")</f>
        <v>Ciencias Sociales y Humanas</v>
      </c>
      <c r="I323" s="2" t="str">
        <f>IFERROR(__xludf.DUMMYFUNCTION("""COMPUTED_VALUE"""),"Lenguas Modernas, Lengua y Cultura Vasca + Lenguas Modernas, Lenguas Modernas y Gestión, Euskal Hizkuntza eta Kultura")</f>
        <v>Lenguas Modernas, Lengua y Cultura Vasca + Lenguas Modernas, Lenguas Modernas y Gestión, Euskal Hizkuntza eta Kultura</v>
      </c>
      <c r="J323" s="2" t="str">
        <f>IFERROR(__xludf.DUMMYFUNCTION("""COMPUTED_VALUE"""),"Grado")</f>
        <v>Grado</v>
      </c>
      <c r="K323" s="2" t="str">
        <f>IFERROR(__xludf.DUMMYFUNCTION("""COMPUTED_VALUE"""),"Inglés")</f>
        <v>Inglés</v>
      </c>
      <c r="L323" s="2" t="str">
        <f>IFERROR(__xludf.DUMMYFUNCTION("""COMPUTED_VALUE"""),"B2")</f>
        <v>B2</v>
      </c>
      <c r="M323" s="2" t="str">
        <f>IFERROR(__xludf.DUMMYFUNCTION("""COMPUTED_VALUE"""),"No")</f>
        <v>No</v>
      </c>
      <c r="N323" s="3" t="str">
        <f>IFERROR(__xludf.DUMMYFUNCTION("""COMPUTED_VALUE"""),"https://www.mnsu.edu/future-students/international-admissions/international-bachelors-students/international-admissions-checklist/")</f>
        <v>https://www.mnsu.edu/future-students/international-admissions/international-bachelors-students/international-admissions-checklist/</v>
      </c>
      <c r="O323" s="3" t="str">
        <f>IFERROR(__xludf.DUMMYFUNCTION("""COMPUTED_VALUE"""),"Más información / Informazio gehigarria")</f>
        <v>Más información / Informazio gehigarria</v>
      </c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30.0" customHeight="1">
      <c r="A324" s="2" t="str">
        <f>IFERROR(__xludf.DUMMYFUNCTION("""COMPUTED_VALUE"""),"Estados Unidos")</f>
        <v>Estados Unidos</v>
      </c>
      <c r="B324" s="2" t="str">
        <f>IFERROR(__xludf.DUMMYFUNCTION("""COMPUTED_VALUE"""),"USA MANKAT01")</f>
        <v>USA MANKAT01</v>
      </c>
      <c r="C324" s="3" t="str">
        <f>IFERROR(__xludf.DUMMYFUNCTION("""COMPUTED_VALUE"""),"Minnesota State University Mankato")</f>
        <v>Minnesota State University Mankato</v>
      </c>
      <c r="D324" s="2" t="str">
        <f>IFERROR(__xludf.DUMMYFUNCTION("""COMPUTED_VALUE"""),"Ac. Bilaterales (no Erasmus)")</f>
        <v>Ac. Bilaterales (no Erasmus)</v>
      </c>
      <c r="E324" s="2">
        <f>IFERROR(__xludf.DUMMYFUNCTION("""COMPUTED_VALUE"""),2.0)</f>
        <v>2</v>
      </c>
      <c r="F324" s="2" t="str">
        <f>IFERROR(__xludf.DUMMYFUNCTION("""COMPUTED_VALUE"""),"Anual")</f>
        <v>Anual</v>
      </c>
      <c r="G324" s="2" t="str">
        <f>IFERROR(__xludf.DUMMYFUNCTION("""COMPUTED_VALUE"""),"Bilbao")</f>
        <v>Bilbao</v>
      </c>
      <c r="H324" s="2" t="str">
        <f>IFERROR(__xludf.DUMMYFUNCTION("""COMPUTED_VALUE"""),"Ciencias Sociales y Humanas")</f>
        <v>Ciencias Sociales y Humanas</v>
      </c>
      <c r="I324" s="2" t="str">
        <f>IFERROR(__xludf.DUMMYFUNCTION("""COMPUTED_VALUE"""),"Relaciones Internacionales, Relaciones Internacionales + Derecho")</f>
        <v>Relaciones Internacionales, Relaciones Internacionales + Derecho</v>
      </c>
      <c r="J324" s="2" t="str">
        <f>IFERROR(__xludf.DUMMYFUNCTION("""COMPUTED_VALUE"""),"Grado")</f>
        <v>Grado</v>
      </c>
      <c r="K324" s="2" t="str">
        <f>IFERROR(__xludf.DUMMYFUNCTION("""COMPUTED_VALUE"""),"Inglés")</f>
        <v>Inglés</v>
      </c>
      <c r="L324" s="2" t="str">
        <f>IFERROR(__xludf.DUMMYFUNCTION("""COMPUTED_VALUE"""),"B2")</f>
        <v>B2</v>
      </c>
      <c r="M324" s="2" t="str">
        <f>IFERROR(__xludf.DUMMYFUNCTION("""COMPUTED_VALUE"""),"Sí")</f>
        <v>Sí</v>
      </c>
      <c r="N324" s="3" t="str">
        <f>IFERROR(__xludf.DUMMYFUNCTION("""COMPUTED_VALUE"""),"https://www.mnsu.edu/future-students/international-admissions/international-bachelors-students/international-admissions-checklist/")</f>
        <v>https://www.mnsu.edu/future-students/international-admissions/international-bachelors-students/international-admissions-checklist/</v>
      </c>
      <c r="O324" s="3" t="str">
        <f>IFERROR(__xludf.DUMMYFUNCTION("""COMPUTED_VALUE"""),"Más información / Informazio gehigarria")</f>
        <v>Más información / Informazio gehigarria</v>
      </c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30.0" customHeight="1">
      <c r="A325" s="2" t="str">
        <f>IFERROR(__xludf.DUMMYFUNCTION("""COMPUTED_VALUE"""),"Estados Unidos")</f>
        <v>Estados Unidos</v>
      </c>
      <c r="B325" s="2" t="str">
        <f>IFERROR(__xludf.DUMMYFUNCTION("""COMPUTED_VALUE"""),"USA MANKAT01")</f>
        <v>USA MANKAT01</v>
      </c>
      <c r="C325" s="3" t="str">
        <f>IFERROR(__xludf.DUMMYFUNCTION("""COMPUTED_VALUE"""),"Minnesota State University Mankato")</f>
        <v>Minnesota State University Mankato</v>
      </c>
      <c r="D325" s="2" t="str">
        <f>IFERROR(__xludf.DUMMYFUNCTION("""COMPUTED_VALUE"""),"Ac. Bilaterales (no Erasmus)")</f>
        <v>Ac. Bilaterales (no Erasmus)</v>
      </c>
      <c r="E325" s="2">
        <f>IFERROR(__xludf.DUMMYFUNCTION("""COMPUTED_VALUE"""),2.0)</f>
        <v>2</v>
      </c>
      <c r="F325" s="2" t="str">
        <f>IFERROR(__xludf.DUMMYFUNCTION("""COMPUTED_VALUE"""),"Semestre")</f>
        <v>Semestre</v>
      </c>
      <c r="G325" s="2" t="str">
        <f>IFERROR(__xludf.DUMMYFUNCTION("""COMPUTED_VALUE"""),"Ambos")</f>
        <v>Ambos</v>
      </c>
      <c r="H325" s="2" t="str">
        <f>IFERROR(__xludf.DUMMYFUNCTION("""COMPUTED_VALUE"""),"Ingeniería")</f>
        <v>Ingeniería</v>
      </c>
      <c r="I325" s="2" t="str">
        <f>IFERROR(__xludf.DUMMYFUNCTION("""COMPUTED_VALUE"""),"Tecnologías Industriales, Ingeniería Mecánica, Ingeniería Informática, Organización Industrial, Ciencia de Datos e IA, Ciencia de Datos e IA + Ingeniería Informática, Diseño Industrial + Ingeniería Mecánica, Ingeniería Informática + Videojuegos")</f>
        <v>Tecnologías Industriales, Ingeniería Mecánica, Ingeniería Informática, Organización Industrial, Ciencia de Datos e IA, Ciencia de Datos e IA + Ingeniería Informática, Diseño Industrial + Ingeniería Mecánica, Ingeniería Informática + Videojuegos</v>
      </c>
      <c r="J325" s="2" t="str">
        <f>IFERROR(__xludf.DUMMYFUNCTION("""COMPUTED_VALUE"""),"Grado")</f>
        <v>Grado</v>
      </c>
      <c r="K325" s="2" t="str">
        <f>IFERROR(__xludf.DUMMYFUNCTION("""COMPUTED_VALUE"""),"Inglés")</f>
        <v>Inglés</v>
      </c>
      <c r="L325" s="2" t="str">
        <f>IFERROR(__xludf.DUMMYFUNCTION("""COMPUTED_VALUE"""),"B2")</f>
        <v>B2</v>
      </c>
      <c r="M325" s="2" t="str">
        <f>IFERROR(__xludf.DUMMYFUNCTION("""COMPUTED_VALUE"""),"Sí")</f>
        <v>Sí</v>
      </c>
      <c r="N325" s="3" t="str">
        <f>IFERROR(__xludf.DUMMYFUNCTION("""COMPUTED_VALUE"""),"https://www.mnsu.edu/future-students/international-admissions/international-bachelors-students/international-admissions-checklist/")</f>
        <v>https://www.mnsu.edu/future-students/international-admissions/international-bachelors-students/international-admissions-checklist/</v>
      </c>
      <c r="O325" s="3" t="str">
        <f>IFERROR(__xludf.DUMMYFUNCTION("""COMPUTED_VALUE"""),"Más información / Informazio gehigarria")</f>
        <v>Más información / Informazio gehigarria</v>
      </c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30.0" customHeight="1">
      <c r="A326" s="2" t="str">
        <f>IFERROR(__xludf.DUMMYFUNCTION("""COMPUTED_VALUE"""),"Estados Unidos")</f>
        <v>Estados Unidos</v>
      </c>
      <c r="B326" s="2"/>
      <c r="C326" s="3" t="str">
        <f>IFERROR(__xludf.DUMMYFUNCTION("""COMPUTED_VALUE"""),"Regents of the University of Michigan")</f>
        <v>Regents of the University of Michigan</v>
      </c>
      <c r="D326" s="2" t="str">
        <f>IFERROR(__xludf.DUMMYFUNCTION("""COMPUTED_VALUE"""),"Ac. Bilaterales (no Erasmus)")</f>
        <v>Ac. Bilaterales (no Erasmus)</v>
      </c>
      <c r="E326" s="2">
        <f>IFERROR(__xludf.DUMMYFUNCTION("""COMPUTED_VALUE"""),3.0)</f>
        <v>3</v>
      </c>
      <c r="F326" s="2" t="str">
        <f>IFERROR(__xludf.DUMMYFUNCTION("""COMPUTED_VALUE"""),"2do Semestre")</f>
        <v>2do Semestre</v>
      </c>
      <c r="G326" s="2" t="str">
        <f>IFERROR(__xludf.DUMMYFUNCTION("""COMPUTED_VALUE"""),"Bilbao")</f>
        <v>Bilbao</v>
      </c>
      <c r="H326" s="2" t="str">
        <f>IFERROR(__xludf.DUMMYFUNCTION("""COMPUTED_VALUE"""),"Deusto Business School")</f>
        <v>Deusto Business School</v>
      </c>
      <c r="I326" s="2" t="str">
        <f>IFERROR(__xludf.DUMMYFUNCTION("""COMPUTED_VALUE"""),"Administración y Dirección de Empresas")</f>
        <v>Administración y Dirección de Empresas</v>
      </c>
      <c r="J326" s="2" t="str">
        <f>IFERROR(__xludf.DUMMYFUNCTION("""COMPUTED_VALUE"""),"Grado")</f>
        <v>Grado</v>
      </c>
      <c r="K326" s="2" t="str">
        <f>IFERROR(__xludf.DUMMYFUNCTION("""COMPUTED_VALUE"""),"Inglés")</f>
        <v>Inglés</v>
      </c>
      <c r="L326" s="2" t="str">
        <f>IFERROR(__xludf.DUMMYFUNCTION("""COMPUTED_VALUE"""),"C1")</f>
        <v>C1</v>
      </c>
      <c r="M326" s="2" t="str">
        <f>IFERROR(__xludf.DUMMYFUNCTION("""COMPUTED_VALUE"""),"Sí")</f>
        <v>Sí</v>
      </c>
      <c r="N326" s="3" t="str">
        <f>IFERROR(__xludf.DUMMYFUNCTION("""COMPUTED_VALUE"""),"https://admissions.umich.edu/apply/international-applicants/exams-visas")</f>
        <v>https://admissions.umich.edu/apply/international-applicants/exams-visas</v>
      </c>
      <c r="O326" s="3" t="str">
        <f>IFERROR(__xludf.DUMMYFUNCTION("""COMPUTED_VALUE"""),"Más información / Informazio gehigarria")</f>
        <v>Más información / Informazio gehigarria</v>
      </c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30.0" customHeight="1">
      <c r="A327" s="2" t="str">
        <f>IFERROR(__xludf.DUMMYFUNCTION("""COMPUTED_VALUE"""),"Estados Unidos")</f>
        <v>Estados Unidos</v>
      </c>
      <c r="B327" s="2" t="str">
        <f>IFERROR(__xludf.DUMMYFUNCTION("""COMPUTED_VALUE"""),"USA NEWJER01")</f>
        <v>USA NEWJER01</v>
      </c>
      <c r="C327" s="3" t="str">
        <f>IFERROR(__xludf.DUMMYFUNCTION("""COMPUTED_VALUE"""),"Saint Peter's University")</f>
        <v>Saint Peter's University</v>
      </c>
      <c r="D327" s="2" t="str">
        <f>IFERROR(__xludf.DUMMYFUNCTION("""COMPUTED_VALUE"""),"Ac. Bilaterales (no Erasmus)")</f>
        <v>Ac. Bilaterales (no Erasmus)</v>
      </c>
      <c r="E327" s="2">
        <f>IFERROR(__xludf.DUMMYFUNCTION("""COMPUTED_VALUE"""),1.0)</f>
        <v>1</v>
      </c>
      <c r="F327" s="2" t="str">
        <f>IFERROR(__xludf.DUMMYFUNCTION("""COMPUTED_VALUE"""),"Ambos semestres")</f>
        <v>Ambos semestres</v>
      </c>
      <c r="G327" s="2" t="str">
        <f>IFERROR(__xludf.DUMMYFUNCTION("""COMPUTED_VALUE"""),"Bilbao")</f>
        <v>Bilbao</v>
      </c>
      <c r="H327" s="2" t="str">
        <f>IFERROR(__xludf.DUMMYFUNCTION("""COMPUTED_VALUE"""),"Deusto Business School")</f>
        <v>Deusto Business School</v>
      </c>
      <c r="I327" s="2" t="str">
        <f>IFERROR(__xludf.DUMMYFUNCTION("""COMPUTED_VALUE"""),"Administración y Dirección de Empresas")</f>
        <v>Administración y Dirección de Empresas</v>
      </c>
      <c r="J327" s="2" t="str">
        <f>IFERROR(__xludf.DUMMYFUNCTION("""COMPUTED_VALUE"""),"Grado")</f>
        <v>Grado</v>
      </c>
      <c r="K327" s="2" t="str">
        <f>IFERROR(__xludf.DUMMYFUNCTION("""COMPUTED_VALUE"""),"Inglés")</f>
        <v>Inglés</v>
      </c>
      <c r="L327" s="2" t="str">
        <f>IFERROR(__xludf.DUMMYFUNCTION("""COMPUTED_VALUE"""),"C1")</f>
        <v>C1</v>
      </c>
      <c r="M327" s="2" t="str">
        <f>IFERROR(__xludf.DUMMYFUNCTION("""COMPUTED_VALUE"""),"Sí")</f>
        <v>Sí</v>
      </c>
      <c r="N327" s="3" t="str">
        <f>IFERROR(__xludf.DUMMYFUNCTION("""COMPUTED_VALUE"""),"https://www.saintpeters.edu/international/apply-to-an-undergraduate-program/")</f>
        <v>https://www.saintpeters.edu/international/apply-to-an-undergraduate-program/</v>
      </c>
      <c r="O327" s="3" t="str">
        <f>IFERROR(__xludf.DUMMYFUNCTION("""COMPUTED_VALUE"""),"Más información / Informazio gehigarria")</f>
        <v>Más información / Informazio gehigarria</v>
      </c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30.0" customHeight="1">
      <c r="A328" s="2" t="str">
        <f>IFERROR(__xludf.DUMMYFUNCTION("""COMPUTED_VALUE"""),"Estados Unidos")</f>
        <v>Estados Unidos</v>
      </c>
      <c r="B328" s="2" t="str">
        <f>IFERROR(__xludf.DUMMYFUNCTION("""COMPUTED_VALUE"""),"USA NEWJER01")</f>
        <v>USA NEWJER01</v>
      </c>
      <c r="C328" s="3" t="str">
        <f>IFERROR(__xludf.DUMMYFUNCTION("""COMPUTED_VALUE"""),"Saint Peter's University")</f>
        <v>Saint Peter's University</v>
      </c>
      <c r="D328" s="2" t="str">
        <f>IFERROR(__xludf.DUMMYFUNCTION("""COMPUTED_VALUE"""),"Ac. Bilaterales (no Erasmus)")</f>
        <v>Ac. Bilaterales (no Erasmus)</v>
      </c>
      <c r="E328" s="2" t="str">
        <f>IFERROR(__xludf.DUMMYFUNCTION("""COMPUTED_VALUE"""),"Convenio Marco")</f>
        <v>Convenio Marco</v>
      </c>
      <c r="F328" s="2" t="str">
        <f>IFERROR(__xludf.DUMMYFUNCTION("""COMPUTED_VALUE"""),"Semestre")</f>
        <v>Semestre</v>
      </c>
      <c r="G328" s="2" t="str">
        <f>IFERROR(__xludf.DUMMYFUNCTION("""COMPUTED_VALUE"""),"Bilbao")</f>
        <v>Bilbao</v>
      </c>
      <c r="H328" s="2" t="str">
        <f>IFERROR(__xludf.DUMMYFUNCTION("""COMPUTED_VALUE"""),"Educación y Deporte")</f>
        <v>Educación y Deporte</v>
      </c>
      <c r="I328" s="2" t="str">
        <f>IFERROR(__xludf.DUMMYFUNCTION("""COMPUTED_VALUE"""),"CAFyD")</f>
        <v>CAFyD</v>
      </c>
      <c r="J328" s="2" t="str">
        <f>IFERROR(__xludf.DUMMYFUNCTION("""COMPUTED_VALUE"""),"Grado")</f>
        <v>Grado</v>
      </c>
      <c r="K328" s="2" t="str">
        <f>IFERROR(__xludf.DUMMYFUNCTION("""COMPUTED_VALUE"""),"Inglés")</f>
        <v>Inglés</v>
      </c>
      <c r="L328" s="2" t="str">
        <f>IFERROR(__xludf.DUMMYFUNCTION("""COMPUTED_VALUE"""),"B2")</f>
        <v>B2</v>
      </c>
      <c r="M328" s="2" t="str">
        <f>IFERROR(__xludf.DUMMYFUNCTION("""COMPUTED_VALUE"""),"Sí")</f>
        <v>Sí</v>
      </c>
      <c r="N328" s="3" t="str">
        <f>IFERROR(__xludf.DUMMYFUNCTION("""COMPUTED_VALUE"""),"https://www.saintpeters.edu/international/apply-to-an-undergraduate-program/")</f>
        <v>https://www.saintpeters.edu/international/apply-to-an-undergraduate-program/</v>
      </c>
      <c r="O328" s="3" t="str">
        <f>IFERROR(__xludf.DUMMYFUNCTION("""COMPUTED_VALUE"""),"Más información / Informazio gehigarria")</f>
        <v>Más información / Informazio gehigarria</v>
      </c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30.0" customHeight="1">
      <c r="A329" s="2" t="str">
        <f>IFERROR(__xludf.DUMMYFUNCTION("""COMPUTED_VALUE"""),"Estados Unidos")</f>
        <v>Estados Unidos</v>
      </c>
      <c r="B329" s="2" t="str">
        <f>IFERROR(__xludf.DUMMYFUNCTION("""COMPUTED_VALUE"""),"USA NEWJER01")</f>
        <v>USA NEWJER01</v>
      </c>
      <c r="C329" s="3" t="str">
        <f>IFERROR(__xludf.DUMMYFUNCTION("""COMPUTED_VALUE"""),"Saint Peter's University")</f>
        <v>Saint Peter's University</v>
      </c>
      <c r="D329" s="2" t="str">
        <f>IFERROR(__xludf.DUMMYFUNCTION("""COMPUTED_VALUE"""),"Ac. Bilaterales (no Erasmus)")</f>
        <v>Ac. Bilaterales (no Erasmus)</v>
      </c>
      <c r="E329" s="2" t="str">
        <f>IFERROR(__xludf.DUMMYFUNCTION("""COMPUTED_VALUE"""),"Convenio Marco")</f>
        <v>Convenio Marco</v>
      </c>
      <c r="F329" s="2" t="str">
        <f>IFERROR(__xludf.DUMMYFUNCTION("""COMPUTED_VALUE"""),"Semestre")</f>
        <v>Semestre</v>
      </c>
      <c r="G329" s="2" t="str">
        <f>IFERROR(__xludf.DUMMYFUNCTION("""COMPUTED_VALUE"""),"Bilbao")</f>
        <v>Bilbao</v>
      </c>
      <c r="H329" s="2" t="str">
        <f>IFERROR(__xludf.DUMMYFUNCTION("""COMPUTED_VALUE"""),"Derecho")</f>
        <v>Derecho</v>
      </c>
      <c r="I329" s="2" t="str">
        <f>IFERROR(__xludf.DUMMYFUNCTION("""COMPUTED_VALUE"""),"Derecho, Derecho + Relaciones Laborales")</f>
        <v>Derecho, Derecho + Relaciones Laborales</v>
      </c>
      <c r="J329" s="2" t="str">
        <f>IFERROR(__xludf.DUMMYFUNCTION("""COMPUTED_VALUE"""),"Grado")</f>
        <v>Grado</v>
      </c>
      <c r="K329" s="2" t="str">
        <f>IFERROR(__xludf.DUMMYFUNCTION("""COMPUTED_VALUE"""),"Inglés")</f>
        <v>Inglés</v>
      </c>
      <c r="L329" s="2" t="str">
        <f>IFERROR(__xludf.DUMMYFUNCTION("""COMPUTED_VALUE"""),"B2")</f>
        <v>B2</v>
      </c>
      <c r="M329" s="2" t="str">
        <f>IFERROR(__xludf.DUMMYFUNCTION("""COMPUTED_VALUE"""),"Sí")</f>
        <v>Sí</v>
      </c>
      <c r="N329" s="3" t="str">
        <f>IFERROR(__xludf.DUMMYFUNCTION("""COMPUTED_VALUE"""),"https://www.saintpeters.edu/international/apply-to-an-undergraduate-program/")</f>
        <v>https://www.saintpeters.edu/international/apply-to-an-undergraduate-program/</v>
      </c>
      <c r="O329" s="3" t="str">
        <f>IFERROR(__xludf.DUMMYFUNCTION("""COMPUTED_VALUE"""),"Más información / Informazio gehigarria")</f>
        <v>Más información / Informazio gehigarria</v>
      </c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30.0" customHeight="1">
      <c r="A330" s="2" t="str">
        <f>IFERROR(__xludf.DUMMYFUNCTION("""COMPUTED_VALUE"""),"Estados Unidos")</f>
        <v>Estados Unidos</v>
      </c>
      <c r="B330" s="2" t="str">
        <f>IFERROR(__xludf.DUMMYFUNCTION("""COMPUTED_VALUE"""),"USA NEWJER01")</f>
        <v>USA NEWJER01</v>
      </c>
      <c r="C330" s="3" t="str">
        <f>IFERROR(__xludf.DUMMYFUNCTION("""COMPUTED_VALUE"""),"Saint Peter's University")</f>
        <v>Saint Peter's University</v>
      </c>
      <c r="D330" s="2" t="str">
        <f>IFERROR(__xludf.DUMMYFUNCTION("""COMPUTED_VALUE"""),"Ac. Bilaterales (no Erasmus)")</f>
        <v>Ac. Bilaterales (no Erasmus)</v>
      </c>
      <c r="E330" s="2" t="str">
        <f>IFERROR(__xludf.DUMMYFUNCTION("""COMPUTED_VALUE"""),"Convenio Marco")</f>
        <v>Convenio Marco</v>
      </c>
      <c r="F330" s="2" t="str">
        <f>IFERROR(__xludf.DUMMYFUNCTION("""COMPUTED_VALUE"""),"Semestre")</f>
        <v>Semestre</v>
      </c>
      <c r="G330" s="2" t="str">
        <f>IFERROR(__xludf.DUMMYFUNCTION("""COMPUTED_VALUE"""),"Ambos")</f>
        <v>Ambos</v>
      </c>
      <c r="H330" s="2" t="str">
        <f>IFERROR(__xludf.DUMMYFUNCTION("""COMPUTED_VALUE"""),"Educación y Deporte")</f>
        <v>Educación y Deporte</v>
      </c>
      <c r="I330" s="2" t="str">
        <f>IFERROR(__xludf.DUMMYFUNCTION("""COMPUTED_VALUE"""),"Educación Primaria")</f>
        <v>Educación Primaria</v>
      </c>
      <c r="J330" s="2" t="str">
        <f>IFERROR(__xludf.DUMMYFUNCTION("""COMPUTED_VALUE"""),"Grado")</f>
        <v>Grado</v>
      </c>
      <c r="K330" s="2" t="str">
        <f>IFERROR(__xludf.DUMMYFUNCTION("""COMPUTED_VALUE"""),"Inglés")</f>
        <v>Inglés</v>
      </c>
      <c r="L330" s="2" t="str">
        <f>IFERROR(__xludf.DUMMYFUNCTION("""COMPUTED_VALUE"""),"B2")</f>
        <v>B2</v>
      </c>
      <c r="M330" s="2" t="str">
        <f>IFERROR(__xludf.DUMMYFUNCTION("""COMPUTED_VALUE"""),"Sí")</f>
        <v>Sí</v>
      </c>
      <c r="N330" s="3" t="str">
        <f>IFERROR(__xludf.DUMMYFUNCTION("""COMPUTED_VALUE"""),"https://www.saintpeters.edu/international/apply-to-an-undergraduate-program/")</f>
        <v>https://www.saintpeters.edu/international/apply-to-an-undergraduate-program/</v>
      </c>
      <c r="O330" s="3" t="str">
        <f>IFERROR(__xludf.DUMMYFUNCTION("""COMPUTED_VALUE"""),"Más información / Informazio gehigarria")</f>
        <v>Más información / Informazio gehigarria</v>
      </c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30.0" customHeight="1">
      <c r="A331" s="2" t="str">
        <f>IFERROR(__xludf.DUMMYFUNCTION("""COMPUTED_VALUE"""),"Estados Unidos")</f>
        <v>Estados Unidos</v>
      </c>
      <c r="B331" s="2" t="str">
        <f>IFERROR(__xludf.DUMMYFUNCTION("""COMPUTED_VALUE"""),"USA NEWJER01")</f>
        <v>USA NEWJER01</v>
      </c>
      <c r="C331" s="3" t="str">
        <f>IFERROR(__xludf.DUMMYFUNCTION("""COMPUTED_VALUE"""),"Saint Peter's University")</f>
        <v>Saint Peter's University</v>
      </c>
      <c r="D331" s="2" t="str">
        <f>IFERROR(__xludf.DUMMYFUNCTION("""COMPUTED_VALUE"""),"Ac. Bilaterales (no Erasmus)")</f>
        <v>Ac. Bilaterales (no Erasmus)</v>
      </c>
      <c r="E331" s="2" t="str">
        <f>IFERROR(__xludf.DUMMYFUNCTION("""COMPUTED_VALUE"""),"Convenio Marco")</f>
        <v>Convenio Marco</v>
      </c>
      <c r="F331" s="2" t="str">
        <f>IFERROR(__xludf.DUMMYFUNCTION("""COMPUTED_VALUE"""),"Semestre")</f>
        <v>Semestre</v>
      </c>
      <c r="G331" s="2" t="str">
        <f>IFERROR(__xludf.DUMMYFUNCTION("""COMPUTED_VALUE"""),"Ambos")</f>
        <v>Ambos</v>
      </c>
      <c r="H331" s="2" t="str">
        <f>IFERROR(__xludf.DUMMYFUNCTION("""COMPUTED_VALUE"""),"Ingeniería")</f>
        <v>Ingeniería</v>
      </c>
      <c r="I331" s="2" t="str">
        <f>IFERROR(__xludf.DUMMYFUNCTION("""COMPUTED_VALUE"""),"Ingeniería Informática, Diseño Industrial, Ciencia de Datos e IA + Ingeniería Informática, Diseño Industrial + Ingeniería Mecánica, Ingeniería Informática + Videojuegos")</f>
        <v>Ingeniería Informática, Diseño Industrial, Ciencia de Datos e IA + Ingeniería Informática, Diseño Industrial + Ingeniería Mecánica, Ingeniería Informática + Videojuegos</v>
      </c>
      <c r="J331" s="2" t="str">
        <f>IFERROR(__xludf.DUMMYFUNCTION("""COMPUTED_VALUE"""),"Grado")</f>
        <v>Grado</v>
      </c>
      <c r="K331" s="2" t="str">
        <f>IFERROR(__xludf.DUMMYFUNCTION("""COMPUTED_VALUE"""),"Inglés")</f>
        <v>Inglés</v>
      </c>
      <c r="L331" s="2" t="str">
        <f>IFERROR(__xludf.DUMMYFUNCTION("""COMPUTED_VALUE"""),"B2")</f>
        <v>B2</v>
      </c>
      <c r="M331" s="2" t="str">
        <f>IFERROR(__xludf.DUMMYFUNCTION("""COMPUTED_VALUE"""),"Sí")</f>
        <v>Sí</v>
      </c>
      <c r="N331" s="3" t="str">
        <f>IFERROR(__xludf.DUMMYFUNCTION("""COMPUTED_VALUE"""),"https://www.saintpeters.edu/international/apply-to-an-undergraduate-program/")</f>
        <v>https://www.saintpeters.edu/international/apply-to-an-undergraduate-program/</v>
      </c>
      <c r="O331" s="3" t="str">
        <f>IFERROR(__xludf.DUMMYFUNCTION("""COMPUTED_VALUE"""),"Más información / Informazio gehigarria")</f>
        <v>Más información / Informazio gehigarria</v>
      </c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30.0" customHeight="1">
      <c r="A332" s="2" t="str">
        <f>IFERROR(__xludf.DUMMYFUNCTION("""COMPUTED_VALUE"""),"Estados Unidos")</f>
        <v>Estados Unidos</v>
      </c>
      <c r="B332" s="2" t="str">
        <f>IFERROR(__xludf.DUMMYFUNCTION("""COMPUTED_VALUE"""),"USA NEWJER01")</f>
        <v>USA NEWJER01</v>
      </c>
      <c r="C332" s="3" t="str">
        <f>IFERROR(__xludf.DUMMYFUNCTION("""COMPUTED_VALUE"""),"Saint Peter's University")</f>
        <v>Saint Peter's University</v>
      </c>
      <c r="D332" s="2" t="str">
        <f>IFERROR(__xludf.DUMMYFUNCTION("""COMPUTED_VALUE"""),"Ac. Bilaterales (no Erasmus)")</f>
        <v>Ac. Bilaterales (no Erasmus)</v>
      </c>
      <c r="E332" s="2" t="str">
        <f>IFERROR(__xludf.DUMMYFUNCTION("""COMPUTED_VALUE"""),"Convenio Marco")</f>
        <v>Convenio Marco</v>
      </c>
      <c r="F332" s="2" t="str">
        <f>IFERROR(__xludf.DUMMYFUNCTION("""COMPUTED_VALUE"""),"Anual")</f>
        <v>Anual</v>
      </c>
      <c r="G332" s="2" t="str">
        <f>IFERROR(__xludf.DUMMYFUNCTION("""COMPUTED_VALUE"""),"Bilbao")</f>
        <v>Bilbao</v>
      </c>
      <c r="H332" s="2" t="str">
        <f>IFERROR(__xludf.DUMMYFUNCTION("""COMPUTED_VALUE"""),"Ciencias de la Salud")</f>
        <v>Ciencias de la Salud</v>
      </c>
      <c r="I332" s="2" t="str">
        <f>IFERROR(__xludf.DUMMYFUNCTION("""COMPUTED_VALUE"""),"Psicología")</f>
        <v>Psicología</v>
      </c>
      <c r="J332" s="2" t="str">
        <f>IFERROR(__xludf.DUMMYFUNCTION("""COMPUTED_VALUE"""),"Grado")</f>
        <v>Grado</v>
      </c>
      <c r="K332" s="2" t="str">
        <f>IFERROR(__xludf.DUMMYFUNCTION("""COMPUTED_VALUE"""),"Inglés")</f>
        <v>Inglés</v>
      </c>
      <c r="L332" s="2" t="str">
        <f>IFERROR(__xludf.DUMMYFUNCTION("""COMPUTED_VALUE"""),"B2")</f>
        <v>B2</v>
      </c>
      <c r="M332" s="2" t="str">
        <f>IFERROR(__xludf.DUMMYFUNCTION("""COMPUTED_VALUE"""),"Sí")</f>
        <v>Sí</v>
      </c>
      <c r="N332" s="3" t="str">
        <f>IFERROR(__xludf.DUMMYFUNCTION("""COMPUTED_VALUE"""),"https://www.saintpeters.edu/international/apply-to-an-undergraduate-program/")</f>
        <v>https://www.saintpeters.edu/international/apply-to-an-undergraduate-program/</v>
      </c>
      <c r="O332" s="3" t="str">
        <f>IFERROR(__xludf.DUMMYFUNCTION("""COMPUTED_VALUE"""),"Más información / Informazio gehigarria")</f>
        <v>Más información / Informazio gehigarria</v>
      </c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30.0" customHeight="1">
      <c r="A333" s="2" t="str">
        <f>IFERROR(__xludf.DUMMYFUNCTION("""COMPUTED_VALUE"""),"Estados Unidos")</f>
        <v>Estados Unidos</v>
      </c>
      <c r="B333" s="2" t="str">
        <f>IFERROR(__xludf.DUMMYFUNCTION("""COMPUTED_VALUE"""),"USA NEWJER01")</f>
        <v>USA NEWJER01</v>
      </c>
      <c r="C333" s="3" t="str">
        <f>IFERROR(__xludf.DUMMYFUNCTION("""COMPUTED_VALUE"""),"Saint Peter's University")</f>
        <v>Saint Peter's University</v>
      </c>
      <c r="D333" s="2" t="str">
        <f>IFERROR(__xludf.DUMMYFUNCTION("""COMPUTED_VALUE"""),"Ac. Bilaterales (no Erasmus)")</f>
        <v>Ac. Bilaterales (no Erasmus)</v>
      </c>
      <c r="E333" s="2" t="str">
        <f>IFERROR(__xludf.DUMMYFUNCTION("""COMPUTED_VALUE"""),"Convenio Marco")</f>
        <v>Convenio Marco</v>
      </c>
      <c r="F333" s="2" t="str">
        <f>IFERROR(__xludf.DUMMYFUNCTION("""COMPUTED_VALUE"""),"Anual")</f>
        <v>Anual</v>
      </c>
      <c r="G333" s="2" t="str">
        <f>IFERROR(__xludf.DUMMYFUNCTION("""COMPUTED_VALUE"""),"Bilbao")</f>
        <v>Bilbao</v>
      </c>
      <c r="H333" s="2" t="str">
        <f>IFERROR(__xludf.DUMMYFUNCTION("""COMPUTED_VALUE"""),"Ciencias Sociales y Humanas")</f>
        <v>Ciencias Sociales y Humanas</v>
      </c>
      <c r="I333" s="2" t="str">
        <f>IFERROR(__xludf.DUMMYFUNCTION("""COMPUTED_VALUE"""),"Relaciones Internacionales, Relaciones Internacionales + Derecho")</f>
        <v>Relaciones Internacionales, Relaciones Internacionales + Derecho</v>
      </c>
      <c r="J333" s="2" t="str">
        <f>IFERROR(__xludf.DUMMYFUNCTION("""COMPUTED_VALUE"""),"Grado")</f>
        <v>Grado</v>
      </c>
      <c r="K333" s="2" t="str">
        <f>IFERROR(__xludf.DUMMYFUNCTION("""COMPUTED_VALUE"""),"Inglés")</f>
        <v>Inglés</v>
      </c>
      <c r="L333" s="2" t="str">
        <f>IFERROR(__xludf.DUMMYFUNCTION("""COMPUTED_VALUE"""),"B2")</f>
        <v>B2</v>
      </c>
      <c r="M333" s="2" t="str">
        <f>IFERROR(__xludf.DUMMYFUNCTION("""COMPUTED_VALUE"""),"Sí")</f>
        <v>Sí</v>
      </c>
      <c r="N333" s="3" t="str">
        <f>IFERROR(__xludf.DUMMYFUNCTION("""COMPUTED_VALUE"""),"https://www.saintpeters.edu/international/apply-to-an-undergraduate-program/")</f>
        <v>https://www.saintpeters.edu/international/apply-to-an-undergraduate-program/</v>
      </c>
      <c r="O333" s="3" t="str">
        <f>IFERROR(__xludf.DUMMYFUNCTION("""COMPUTED_VALUE"""),"Más información / Informazio gehigarria")</f>
        <v>Más información / Informazio gehigarria</v>
      </c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30.0" customHeight="1">
      <c r="A334" s="2" t="str">
        <f>IFERROR(__xludf.DUMMYFUNCTION("""COMPUTED_VALUE"""),"Estados Unidos")</f>
        <v>Estados Unidos</v>
      </c>
      <c r="B334" s="2"/>
      <c r="C334" s="3" t="str">
        <f>IFERROR(__xludf.DUMMYFUNCTION("""COMPUTED_VALUE"""),"University at Texas at Austin")</f>
        <v>University at Texas at Austin</v>
      </c>
      <c r="D334" s="2" t="str">
        <f>IFERROR(__xludf.DUMMYFUNCTION("""COMPUTED_VALUE"""),"Ac. Bilaterales (no Erasmus)")</f>
        <v>Ac. Bilaterales (no Erasmus)</v>
      </c>
      <c r="E334" s="2">
        <f>IFERROR(__xludf.DUMMYFUNCTION("""COMPUTED_VALUE"""),5.0)</f>
        <v>5</v>
      </c>
      <c r="F334" s="2" t="str">
        <f>IFERROR(__xludf.DUMMYFUNCTION("""COMPUTED_VALUE"""),"Semestre")</f>
        <v>Semestre</v>
      </c>
      <c r="G334" s="2" t="str">
        <f>IFERROR(__xludf.DUMMYFUNCTION("""COMPUTED_VALUE"""),"Bilbao")</f>
        <v>Bilbao</v>
      </c>
      <c r="H334" s="2" t="str">
        <f>IFERROR(__xludf.DUMMYFUNCTION("""COMPUTED_VALUE"""),"Deusto Business School")</f>
        <v>Deusto Business School</v>
      </c>
      <c r="I334" s="2" t="str">
        <f>IFERROR(__xludf.DUMMYFUNCTION("""COMPUTED_VALUE"""),"Administración y Dirección de Empresas")</f>
        <v>Administración y Dirección de Empresas</v>
      </c>
      <c r="J334" s="2" t="str">
        <f>IFERROR(__xludf.DUMMYFUNCTION("""COMPUTED_VALUE"""),"Grado")</f>
        <v>Grado</v>
      </c>
      <c r="K334" s="2" t="str">
        <f>IFERROR(__xludf.DUMMYFUNCTION("""COMPUTED_VALUE"""),"Inglés")</f>
        <v>Inglés</v>
      </c>
      <c r="L334" s="2" t="str">
        <f>IFERROR(__xludf.DUMMYFUNCTION("""COMPUTED_VALUE"""),"C1")</f>
        <v>C1</v>
      </c>
      <c r="M334" s="2" t="str">
        <f>IFERROR(__xludf.DUMMYFUNCTION("""COMPUTED_VALUE"""),"Sí")</f>
        <v>Sí</v>
      </c>
      <c r="N334" s="3" t="str">
        <f>IFERROR(__xludf.DUMMYFUNCTION("""COMPUTED_VALUE"""),"https://admissions.utexas.edu/info-for/international-students/")</f>
        <v>https://admissions.utexas.edu/info-for/international-students/</v>
      </c>
      <c r="O334" s="3" t="str">
        <f>IFERROR(__xludf.DUMMYFUNCTION("""COMPUTED_VALUE"""),"Más información / Informazio gehigarria")</f>
        <v>Más información / Informazio gehigarria</v>
      </c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30.0" customHeight="1">
      <c r="A335" s="2" t="str">
        <f>IFERROR(__xludf.DUMMYFUNCTION("""COMPUTED_VALUE"""),"Estados Unidos")</f>
        <v>Estados Unidos</v>
      </c>
      <c r="B335" s="2"/>
      <c r="C335" s="3" t="str">
        <f>IFERROR(__xludf.DUMMYFUNCTION("""COMPUTED_VALUE"""),"University of Cincinnati")</f>
        <v>University of Cincinnati</v>
      </c>
      <c r="D335" s="2" t="str">
        <f>IFERROR(__xludf.DUMMYFUNCTION("""COMPUTED_VALUE"""),"Ac. Bilaterales (no Erasmus)")</f>
        <v>Ac. Bilaterales (no Erasmus)</v>
      </c>
      <c r="E335" s="2">
        <f>IFERROR(__xludf.DUMMYFUNCTION("""COMPUTED_VALUE"""),2.0)</f>
        <v>2</v>
      </c>
      <c r="F335" s="2" t="str">
        <f>IFERROR(__xludf.DUMMYFUNCTION("""COMPUTED_VALUE"""),"Semestre")</f>
        <v>Semestre</v>
      </c>
      <c r="G335" s="2" t="str">
        <f>IFERROR(__xludf.DUMMYFUNCTION("""COMPUTED_VALUE"""),"Bilbao")</f>
        <v>Bilbao</v>
      </c>
      <c r="H335" s="2" t="str">
        <f>IFERROR(__xludf.DUMMYFUNCTION("""COMPUTED_VALUE"""),"Deusto Business School")</f>
        <v>Deusto Business School</v>
      </c>
      <c r="I335" s="2" t="str">
        <f>IFERROR(__xludf.DUMMYFUNCTION("""COMPUTED_VALUE"""),"Administración y Dirección de Empresas")</f>
        <v>Administración y Dirección de Empresas</v>
      </c>
      <c r="J335" s="2" t="str">
        <f>IFERROR(__xludf.DUMMYFUNCTION("""COMPUTED_VALUE"""),"Grado")</f>
        <v>Grado</v>
      </c>
      <c r="K335" s="2" t="str">
        <f>IFERROR(__xludf.DUMMYFUNCTION("""COMPUTED_VALUE"""),"Inglés")</f>
        <v>Inglés</v>
      </c>
      <c r="L335" s="2"/>
      <c r="M335" s="2"/>
      <c r="N335" s="3" t="str">
        <f>IFERROR(__xludf.DUMMYFUNCTION("""COMPUTED_VALUE"""),"https://www.uc.edu/")</f>
        <v>https://www.uc.edu/</v>
      </c>
      <c r="O335" s="3" t="str">
        <f>IFERROR(__xludf.DUMMYFUNCTION("""COMPUTED_VALUE"""),"Más información / Informazio gehigarria")</f>
        <v>Más información / Informazio gehigarria</v>
      </c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30.0" customHeight="1">
      <c r="A336" s="2" t="str">
        <f>IFERROR(__xludf.DUMMYFUNCTION("""COMPUTED_VALUE"""),"Estados Unidos")</f>
        <v>Estados Unidos</v>
      </c>
      <c r="B336" s="2" t="str">
        <f>IFERROR(__xludf.DUMMYFUNCTION("""COMPUTED_VALUE"""),"USADAYTON01")</f>
        <v>USADAYTON01</v>
      </c>
      <c r="C336" s="3" t="str">
        <f>IFERROR(__xludf.DUMMYFUNCTION("""COMPUTED_VALUE"""),"University of Dayton")</f>
        <v>University of Dayton</v>
      </c>
      <c r="D336" s="2" t="str">
        <f>IFERROR(__xludf.DUMMYFUNCTION("""COMPUTED_VALUE"""),"Ac. Bilaterales (no Erasmus)")</f>
        <v>Ac. Bilaterales (no Erasmus)</v>
      </c>
      <c r="E336" s="2">
        <f>IFERROR(__xludf.DUMMYFUNCTION("""COMPUTED_VALUE"""),6.0)</f>
        <v>6</v>
      </c>
      <c r="F336" s="2" t="str">
        <f>IFERROR(__xludf.DUMMYFUNCTION("""COMPUTED_VALUE"""),"Semestre")</f>
        <v>Semestre</v>
      </c>
      <c r="G336" s="2" t="str">
        <f>IFERROR(__xludf.DUMMYFUNCTION("""COMPUTED_VALUE"""),"San Sebastián")</f>
        <v>San Sebastián</v>
      </c>
      <c r="H336" s="2" t="str">
        <f>IFERROR(__xludf.DUMMYFUNCTION("""COMPUTED_VALUE"""),"Deusto Business School")</f>
        <v>Deusto Business School</v>
      </c>
      <c r="I336" s="2" t="str">
        <f>IFERROR(__xludf.DUMMYFUNCTION("""COMPUTED_VALUE"""),"Administración y Dirección de Empresas")</f>
        <v>Administración y Dirección de Empresas</v>
      </c>
      <c r="J336" s="2" t="str">
        <f>IFERROR(__xludf.DUMMYFUNCTION("""COMPUTED_VALUE"""),"Grado")</f>
        <v>Grado</v>
      </c>
      <c r="K336" s="2" t="str">
        <f>IFERROR(__xludf.DUMMYFUNCTION("""COMPUTED_VALUE"""),"Inglés")</f>
        <v>Inglés</v>
      </c>
      <c r="L336" s="2" t="str">
        <f>IFERROR(__xludf.DUMMYFUNCTION("""COMPUTED_VALUE"""),"B2")</f>
        <v>B2</v>
      </c>
      <c r="M336" s="2" t="str">
        <f>IFERROR(__xludf.DUMMYFUNCTION("""COMPUTED_VALUE"""),"Sí")</f>
        <v>Sí</v>
      </c>
      <c r="N336" s="3" t="str">
        <f>IFERROR(__xludf.DUMMYFUNCTION("""COMPUTED_VALUE"""),"https://udayton.edu/apply/international/index.php")</f>
        <v>https://udayton.edu/apply/international/index.php</v>
      </c>
      <c r="O336" s="3" t="str">
        <f>IFERROR(__xludf.DUMMYFUNCTION("""COMPUTED_VALUE"""),"Más información / Informazio gehigarria")</f>
        <v>Más información / Informazio gehigarria</v>
      </c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30.0" customHeight="1">
      <c r="A337" s="2" t="str">
        <f>IFERROR(__xludf.DUMMYFUNCTION("""COMPUTED_VALUE"""),"Estados Unidos")</f>
        <v>Estados Unidos</v>
      </c>
      <c r="B337" s="2" t="str">
        <f>IFERROR(__xludf.DUMMYFUNCTION("""COMPUTED_VALUE"""),"USAOXFORD01")</f>
        <v>USAOXFORD01</v>
      </c>
      <c r="C337" s="3" t="str">
        <f>IFERROR(__xludf.DUMMYFUNCTION("""COMPUTED_VALUE"""),"University of Mississippi")</f>
        <v>University of Mississippi</v>
      </c>
      <c r="D337" s="2" t="str">
        <f>IFERROR(__xludf.DUMMYFUNCTION("""COMPUTED_VALUE"""),"Ac. Bilaterales (no Erasmus)")</f>
        <v>Ac. Bilaterales (no Erasmus)</v>
      </c>
      <c r="E337" s="2">
        <f>IFERROR(__xludf.DUMMYFUNCTION("""COMPUTED_VALUE"""),3.0)</f>
        <v>3</v>
      </c>
      <c r="F337" s="2" t="str">
        <f>IFERROR(__xludf.DUMMYFUNCTION("""COMPUTED_VALUE"""),"Semestre")</f>
        <v>Semestre</v>
      </c>
      <c r="G337" s="2" t="str">
        <f>IFERROR(__xludf.DUMMYFUNCTION("""COMPUTED_VALUE"""),"Bilbao")</f>
        <v>Bilbao</v>
      </c>
      <c r="H337" s="2" t="str">
        <f>IFERROR(__xludf.DUMMYFUNCTION("""COMPUTED_VALUE"""),"Ciencias Sociales y Humanas")</f>
        <v>Ciencias Sociales y Humanas</v>
      </c>
      <c r="I337" s="2" t="str">
        <f>IFERROR(__xludf.DUMMYFUNCTION("""COMPUTED_VALUE"""),"Lenguas Modernas, Lengua y Cultura Vasca + Lenguas Modernas, Lenguas Modernas y Gestión, Euskal Hizkuntza eta Kultura")</f>
        <v>Lenguas Modernas, Lengua y Cultura Vasca + Lenguas Modernas, Lenguas Modernas y Gestión, Euskal Hizkuntza eta Kultura</v>
      </c>
      <c r="J337" s="2" t="str">
        <f>IFERROR(__xludf.DUMMYFUNCTION("""COMPUTED_VALUE"""),"Grado")</f>
        <v>Grado</v>
      </c>
      <c r="K337" s="2" t="str">
        <f>IFERROR(__xludf.DUMMYFUNCTION("""COMPUTED_VALUE"""),"Inglés")</f>
        <v>Inglés</v>
      </c>
      <c r="L337" s="2" t="str">
        <f>IFERROR(__xludf.DUMMYFUNCTION("""COMPUTED_VALUE"""),"B2")</f>
        <v>B2</v>
      </c>
      <c r="M337" s="2" t="str">
        <f>IFERROR(__xludf.DUMMYFUNCTION("""COMPUTED_VALUE"""),"Sí")</f>
        <v>Sí</v>
      </c>
      <c r="N337" s="3" t="str">
        <f>IFERROR(__xludf.DUMMYFUNCTION("""COMPUTED_VALUE"""),"https://international.olemiss.edu/english-proficiency-requirements-11-2019/")</f>
        <v>https://international.olemiss.edu/english-proficiency-requirements-11-2019/</v>
      </c>
      <c r="O337" s="3" t="str">
        <f>IFERROR(__xludf.DUMMYFUNCTION("""COMPUTED_VALUE"""),"Más información / Informazio gehigarria")</f>
        <v>Más información / Informazio gehigarria</v>
      </c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30.0" customHeight="1">
      <c r="A338" s="2" t="str">
        <f>IFERROR(__xludf.DUMMYFUNCTION("""COMPUTED_VALUE"""),"Estados Unidos")</f>
        <v>Estados Unidos</v>
      </c>
      <c r="B338" s="2" t="str">
        <f>IFERROR(__xludf.DUMMYFUNCTION("""COMPUTED_VALUE"""),"USAOXFORD01")</f>
        <v>USAOXFORD01</v>
      </c>
      <c r="C338" s="3" t="str">
        <f>IFERROR(__xludf.DUMMYFUNCTION("""COMPUTED_VALUE"""),"University of Mississippi")</f>
        <v>University of Mississippi</v>
      </c>
      <c r="D338" s="2" t="str">
        <f>IFERROR(__xludf.DUMMYFUNCTION("""COMPUTED_VALUE"""),"Ac. Bilaterales (no Erasmus)")</f>
        <v>Ac. Bilaterales (no Erasmus)</v>
      </c>
      <c r="E338" s="2">
        <f>IFERROR(__xludf.DUMMYFUNCTION("""COMPUTED_VALUE"""),3.0)</f>
        <v>3</v>
      </c>
      <c r="F338" s="2" t="str">
        <f>IFERROR(__xludf.DUMMYFUNCTION("""COMPUTED_VALUE"""),"Semestre")</f>
        <v>Semestre</v>
      </c>
      <c r="G338" s="2" t="str">
        <f>IFERROR(__xludf.DUMMYFUNCTION("""COMPUTED_VALUE"""),"Bilbao")</f>
        <v>Bilbao</v>
      </c>
      <c r="H338" s="2" t="str">
        <f>IFERROR(__xludf.DUMMYFUNCTION("""COMPUTED_VALUE"""),"Ciencias Sociales y Humanas")</f>
        <v>Ciencias Sociales y Humanas</v>
      </c>
      <c r="I338" s="2" t="str">
        <f>IFERROR(__xludf.DUMMYFUNCTION("""COMPUTED_VALUE"""),"Turismo")</f>
        <v>Turismo</v>
      </c>
      <c r="J338" s="2" t="str">
        <f>IFERROR(__xludf.DUMMYFUNCTION("""COMPUTED_VALUE"""),"Grado")</f>
        <v>Grado</v>
      </c>
      <c r="K338" s="2" t="str">
        <f>IFERROR(__xludf.DUMMYFUNCTION("""COMPUTED_VALUE"""),"Inglés")</f>
        <v>Inglés</v>
      </c>
      <c r="L338" s="2" t="str">
        <f>IFERROR(__xludf.DUMMYFUNCTION("""COMPUTED_VALUE"""),"B2")</f>
        <v>B2</v>
      </c>
      <c r="M338" s="2" t="str">
        <f>IFERROR(__xludf.DUMMYFUNCTION("""COMPUTED_VALUE"""),"Sí")</f>
        <v>Sí</v>
      </c>
      <c r="N338" s="3" t="str">
        <f>IFERROR(__xludf.DUMMYFUNCTION("""COMPUTED_VALUE"""),"https://international.olemiss.edu/english-proficiency-requirements-11-2019/")</f>
        <v>https://international.olemiss.edu/english-proficiency-requirements-11-2019/</v>
      </c>
      <c r="O338" s="3" t="str">
        <f>IFERROR(__xludf.DUMMYFUNCTION("""COMPUTED_VALUE"""),"Más información / Informazio gehigarria")</f>
        <v>Más información / Informazio gehigarria</v>
      </c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30.0" customHeight="1">
      <c r="A339" s="2" t="str">
        <f>IFERROR(__xludf.DUMMYFUNCTION("""COMPUTED_VALUE"""),"Estados Unidos")</f>
        <v>Estados Unidos</v>
      </c>
      <c r="B339" s="2" t="str">
        <f>IFERROR(__xludf.DUMMYFUNCTION("""COMPUTED_VALUE"""),"USAOXFORD01")</f>
        <v>USAOXFORD01</v>
      </c>
      <c r="C339" s="3" t="str">
        <f>IFERROR(__xludf.DUMMYFUNCTION("""COMPUTED_VALUE"""),"University of Mississippi")</f>
        <v>University of Mississippi</v>
      </c>
      <c r="D339" s="2" t="str">
        <f>IFERROR(__xludf.DUMMYFUNCTION("""COMPUTED_VALUE"""),"Ac. Bilaterales (no Erasmus)")</f>
        <v>Ac. Bilaterales (no Erasmus)</v>
      </c>
      <c r="E339" s="2">
        <f>IFERROR(__xludf.DUMMYFUNCTION("""COMPUTED_VALUE"""),3.0)</f>
        <v>3</v>
      </c>
      <c r="F339" s="2" t="str">
        <f>IFERROR(__xludf.DUMMYFUNCTION("""COMPUTED_VALUE"""),"Semestre")</f>
        <v>Semestre</v>
      </c>
      <c r="G339" s="2" t="str">
        <f>IFERROR(__xludf.DUMMYFUNCTION("""COMPUTED_VALUE"""),"Bilbao")</f>
        <v>Bilbao</v>
      </c>
      <c r="H339" s="2" t="str">
        <f>IFERROR(__xludf.DUMMYFUNCTION("""COMPUTED_VALUE"""),"Ciencias de la Salud")</f>
        <v>Ciencias de la Salud</v>
      </c>
      <c r="I339" s="2" t="str">
        <f>IFERROR(__xludf.DUMMYFUNCTION("""COMPUTED_VALUE"""),"Psicología")</f>
        <v>Psicología</v>
      </c>
      <c r="J339" s="2" t="str">
        <f>IFERROR(__xludf.DUMMYFUNCTION("""COMPUTED_VALUE"""),"Grado")</f>
        <v>Grado</v>
      </c>
      <c r="K339" s="2" t="str">
        <f>IFERROR(__xludf.DUMMYFUNCTION("""COMPUTED_VALUE"""),"Inglés")</f>
        <v>Inglés</v>
      </c>
      <c r="L339" s="2" t="str">
        <f>IFERROR(__xludf.DUMMYFUNCTION("""COMPUTED_VALUE"""),"B2")</f>
        <v>B2</v>
      </c>
      <c r="M339" s="2" t="str">
        <f>IFERROR(__xludf.DUMMYFUNCTION("""COMPUTED_VALUE"""),"Sí")</f>
        <v>Sí</v>
      </c>
      <c r="N339" s="3" t="str">
        <f>IFERROR(__xludf.DUMMYFUNCTION("""COMPUTED_VALUE"""),"https://international.olemiss.edu/english-proficiency-requirements-11-2019/")</f>
        <v>https://international.olemiss.edu/english-proficiency-requirements-11-2019/</v>
      </c>
      <c r="O339" s="3" t="str">
        <f>IFERROR(__xludf.DUMMYFUNCTION("""COMPUTED_VALUE"""),"Más información / Informazio gehigarria")</f>
        <v>Más información / Informazio gehigarria</v>
      </c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30.0" customHeight="1">
      <c r="A340" s="2" t="str">
        <f>IFERROR(__xludf.DUMMYFUNCTION("""COMPUTED_VALUE"""),"Estados Unidos")</f>
        <v>Estados Unidos</v>
      </c>
      <c r="B340" s="2" t="str">
        <f>IFERROR(__xludf.DUMMYFUNCTION("""COMPUTED_VALUE"""),"USAOXFORD01")</f>
        <v>USAOXFORD01</v>
      </c>
      <c r="C340" s="3" t="str">
        <f>IFERROR(__xludf.DUMMYFUNCTION("""COMPUTED_VALUE"""),"University of Mississippi")</f>
        <v>University of Mississippi</v>
      </c>
      <c r="D340" s="2" t="str">
        <f>IFERROR(__xludf.DUMMYFUNCTION("""COMPUTED_VALUE"""),"Ac. Bilaterales (no Erasmus)")</f>
        <v>Ac. Bilaterales (no Erasmus)</v>
      </c>
      <c r="E340" s="2">
        <f>IFERROR(__xludf.DUMMYFUNCTION("""COMPUTED_VALUE"""),3.0)</f>
        <v>3</v>
      </c>
      <c r="F340" s="2" t="str">
        <f>IFERROR(__xludf.DUMMYFUNCTION("""COMPUTED_VALUE"""),"Semestre")</f>
        <v>Semestre</v>
      </c>
      <c r="G340" s="2" t="str">
        <f>IFERROR(__xludf.DUMMYFUNCTION("""COMPUTED_VALUE"""),"Bilbao")</f>
        <v>Bilbao</v>
      </c>
      <c r="H340" s="2" t="str">
        <f>IFERROR(__xludf.DUMMYFUNCTION("""COMPUTED_VALUE"""),"Ciencias Sociales y Humanas")</f>
        <v>Ciencias Sociales y Humanas</v>
      </c>
      <c r="I340" s="2" t="str">
        <f>IFERROR(__xludf.DUMMYFUNCTION("""COMPUTED_VALUE"""),"Relaciones Internacionales, Relaciones Internacionales + Derecho")</f>
        <v>Relaciones Internacionales, Relaciones Internacionales + Derecho</v>
      </c>
      <c r="J340" s="2" t="str">
        <f>IFERROR(__xludf.DUMMYFUNCTION("""COMPUTED_VALUE"""),"Grado")</f>
        <v>Grado</v>
      </c>
      <c r="K340" s="2" t="str">
        <f>IFERROR(__xludf.DUMMYFUNCTION("""COMPUTED_VALUE"""),"Inglés")</f>
        <v>Inglés</v>
      </c>
      <c r="L340" s="2" t="str">
        <f>IFERROR(__xludf.DUMMYFUNCTION("""COMPUTED_VALUE"""),"B2")</f>
        <v>B2</v>
      </c>
      <c r="M340" s="2" t="str">
        <f>IFERROR(__xludf.DUMMYFUNCTION("""COMPUTED_VALUE"""),"Sí")</f>
        <v>Sí</v>
      </c>
      <c r="N340" s="3" t="str">
        <f>IFERROR(__xludf.DUMMYFUNCTION("""COMPUTED_VALUE"""),"https://international.olemiss.edu/english-proficiency-requirements-11-2019/")</f>
        <v>https://international.olemiss.edu/english-proficiency-requirements-11-2019/</v>
      </c>
      <c r="O340" s="3" t="str">
        <f>IFERROR(__xludf.DUMMYFUNCTION("""COMPUTED_VALUE"""),"Más información / Informazio gehigarria")</f>
        <v>Más información / Informazio gehigarria</v>
      </c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30.0" customHeight="1">
      <c r="A341" s="2" t="str">
        <f>IFERROR(__xludf.DUMMYFUNCTION("""COMPUTED_VALUE"""),"Estados Unidos")</f>
        <v>Estados Unidos</v>
      </c>
      <c r="B341" s="2"/>
      <c r="C341" s="3" t="str">
        <f>IFERROR(__xludf.DUMMYFUNCTION("""COMPUTED_VALUE"""),"University of Richmond")</f>
        <v>University of Richmond</v>
      </c>
      <c r="D341" s="2" t="str">
        <f>IFERROR(__xludf.DUMMYFUNCTION("""COMPUTED_VALUE"""),"Ac. Bilaterales (no Erasmus)")</f>
        <v>Ac. Bilaterales (no Erasmus)</v>
      </c>
      <c r="E341" s="2">
        <f>IFERROR(__xludf.DUMMYFUNCTION("""COMPUTED_VALUE"""),3.0)</f>
        <v>3</v>
      </c>
      <c r="F341" s="2" t="str">
        <f>IFERROR(__xludf.DUMMYFUNCTION("""COMPUTED_VALUE"""),"Anual")</f>
        <v>Anual</v>
      </c>
      <c r="G341" s="2" t="str">
        <f>IFERROR(__xludf.DUMMYFUNCTION("""COMPUTED_VALUE"""),"Bilbao")</f>
        <v>Bilbao</v>
      </c>
      <c r="H341" s="2" t="str">
        <f>IFERROR(__xludf.DUMMYFUNCTION("""COMPUTED_VALUE"""),"Ciencias Sociales y Humanas")</f>
        <v>Ciencias Sociales y Humanas</v>
      </c>
      <c r="I341" s="2" t="str">
        <f>IFERROR(__xludf.DUMMYFUNCTION("""COMPUTED_VALUE"""),"Relaciones Internacionales, Relaciones Internacionales + Derecho")</f>
        <v>Relaciones Internacionales, Relaciones Internacionales + Derecho</v>
      </c>
      <c r="J341" s="2" t="str">
        <f>IFERROR(__xludf.DUMMYFUNCTION("""COMPUTED_VALUE"""),"Grado")</f>
        <v>Grado</v>
      </c>
      <c r="K341" s="2" t="str">
        <f>IFERROR(__xludf.DUMMYFUNCTION("""COMPUTED_VALUE"""),"Inglés")</f>
        <v>Inglés</v>
      </c>
      <c r="L341" s="2" t="str">
        <f>IFERROR(__xludf.DUMMYFUNCTION("""COMPUTED_VALUE"""),"B2")</f>
        <v>B2</v>
      </c>
      <c r="M341" s="2" t="str">
        <f>IFERROR(__xludf.DUMMYFUNCTION("""COMPUTED_VALUE"""),"No")</f>
        <v>No</v>
      </c>
      <c r="N341" s="3" t="str">
        <f>IFERROR(__xludf.DUMMYFUNCTION("""COMPUTED_VALUE"""),"https://international.richmond.edu/international-students/apply/exchange.html#:~:text=Exchange%20Student%20Program,be%20admitted%20as%20exchange%20students.")</f>
        <v>https://international.richmond.edu/international-students/apply/exchange.html#:~:text=Exchange%20Student%20Program,be%20admitted%20as%20exchange%20students.</v>
      </c>
      <c r="O341" s="3" t="str">
        <f>IFERROR(__xludf.DUMMYFUNCTION("""COMPUTED_VALUE"""),"Más información / Informazio gehigarria")</f>
        <v>Más información / Informazio gehigarria</v>
      </c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30.0" customHeight="1">
      <c r="A342" s="2" t="str">
        <f>IFERROR(__xludf.DUMMYFUNCTION("""COMPUTED_VALUE"""),"Estados Unidos")</f>
        <v>Estados Unidos</v>
      </c>
      <c r="B342" s="2"/>
      <c r="C342" s="3" t="str">
        <f>IFERROR(__xludf.DUMMYFUNCTION("""COMPUTED_VALUE"""),"University of Richmond")</f>
        <v>University of Richmond</v>
      </c>
      <c r="D342" s="2" t="str">
        <f>IFERROR(__xludf.DUMMYFUNCTION("""COMPUTED_VALUE"""),"Ac. Bilaterales (no Erasmus)")</f>
        <v>Ac. Bilaterales (no Erasmus)</v>
      </c>
      <c r="E342" s="2">
        <f>IFERROR(__xludf.DUMMYFUNCTION("""COMPUTED_VALUE"""),2.0)</f>
        <v>2</v>
      </c>
      <c r="F342" s="2" t="str">
        <f>IFERROR(__xludf.DUMMYFUNCTION("""COMPUTED_VALUE"""),"Semestre")</f>
        <v>Semestre</v>
      </c>
      <c r="G342" s="2" t="str">
        <f>IFERROR(__xludf.DUMMYFUNCTION("""COMPUTED_VALUE"""),"Bilbao")</f>
        <v>Bilbao</v>
      </c>
      <c r="H342" s="2" t="str">
        <f>IFERROR(__xludf.DUMMYFUNCTION("""COMPUTED_VALUE"""),"Deusto Business School")</f>
        <v>Deusto Business School</v>
      </c>
      <c r="I342" s="2" t="str">
        <f>IFERROR(__xludf.DUMMYFUNCTION("""COMPUTED_VALUE"""),"Administración y Dirección de Empresas")</f>
        <v>Administración y Dirección de Empresas</v>
      </c>
      <c r="J342" s="2" t="str">
        <f>IFERROR(__xludf.DUMMYFUNCTION("""COMPUTED_VALUE"""),"Grado")</f>
        <v>Grado</v>
      </c>
      <c r="K342" s="2" t="str">
        <f>IFERROR(__xludf.DUMMYFUNCTION("""COMPUTED_VALUE"""),"Inglés")</f>
        <v>Inglés</v>
      </c>
      <c r="L342" s="2" t="str">
        <f>IFERROR(__xludf.DUMMYFUNCTION("""COMPUTED_VALUE"""),"C1")</f>
        <v>C1</v>
      </c>
      <c r="M342" s="2"/>
      <c r="N342" s="2"/>
      <c r="O342" s="2" t="str">
        <f>IFERROR(__xludf.DUMMYFUNCTION("""COMPUTED_VALUE"""),"Más información / Informazio gehigarria")</f>
        <v>Más información / Informazio gehigarria</v>
      </c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30.0" customHeight="1">
      <c r="A343" s="2" t="str">
        <f>IFERROR(__xludf.DUMMYFUNCTION("""COMPUTED_VALUE"""),"Estados Unidos")</f>
        <v>Estados Unidos</v>
      </c>
      <c r="B343" s="2"/>
      <c r="C343" s="3" t="str">
        <f>IFERROR(__xludf.DUMMYFUNCTION("""COMPUTED_VALUE"""),"University of Richmond")</f>
        <v>University of Richmond</v>
      </c>
      <c r="D343" s="2" t="str">
        <f>IFERROR(__xludf.DUMMYFUNCTION("""COMPUTED_VALUE"""),"Ac. Bilaterales (no Erasmus)")</f>
        <v>Ac. Bilaterales (no Erasmus)</v>
      </c>
      <c r="E343" s="2">
        <f>IFERROR(__xludf.DUMMYFUNCTION("""COMPUTED_VALUE"""),6.0)</f>
        <v>6</v>
      </c>
      <c r="F343" s="2" t="str">
        <f>IFERROR(__xludf.DUMMYFUNCTION("""COMPUTED_VALUE"""),"Semestre")</f>
        <v>Semestre</v>
      </c>
      <c r="G343" s="2" t="str">
        <f>IFERROR(__xludf.DUMMYFUNCTION("""COMPUTED_VALUE"""),"Bilbao")</f>
        <v>Bilbao</v>
      </c>
      <c r="H343" s="2" t="str">
        <f>IFERROR(__xludf.DUMMYFUNCTION("""COMPUTED_VALUE"""),"Derecho")</f>
        <v>Derecho</v>
      </c>
      <c r="I343" s="2" t="str">
        <f>IFERROR(__xludf.DUMMYFUNCTION("""COMPUTED_VALUE"""),"Derecho, Derecho + Relaciones Laborales")</f>
        <v>Derecho, Derecho + Relaciones Laborales</v>
      </c>
      <c r="J343" s="2" t="str">
        <f>IFERROR(__xludf.DUMMYFUNCTION("""COMPUTED_VALUE"""),"Grado")</f>
        <v>Grado</v>
      </c>
      <c r="K343" s="2" t="str">
        <f>IFERROR(__xludf.DUMMYFUNCTION("""COMPUTED_VALUE"""),"Inglés")</f>
        <v>Inglés</v>
      </c>
      <c r="L343" s="2" t="str">
        <f>IFERROR(__xludf.DUMMYFUNCTION("""COMPUTED_VALUE"""),"B2")</f>
        <v>B2</v>
      </c>
      <c r="M343" s="2" t="str">
        <f>IFERROR(__xludf.DUMMYFUNCTION("""COMPUTED_VALUE"""),"No")</f>
        <v>No</v>
      </c>
      <c r="N343" s="3" t="str">
        <f>IFERROR(__xludf.DUMMYFUNCTION("""COMPUTED_VALUE"""),"https://international.richmond.edu/international-students/apply/exchange.html#:~:text=Exchange%20Student%20Program,be%20admitted%20as%20exchange%20students.")</f>
        <v>https://international.richmond.edu/international-students/apply/exchange.html#:~:text=Exchange%20Student%20Program,be%20admitted%20as%20exchange%20students.</v>
      </c>
      <c r="O343" s="3" t="str">
        <f>IFERROR(__xludf.DUMMYFUNCTION("""COMPUTED_VALUE"""),"Más información / Informazio gehigarria")</f>
        <v>Más información / Informazio gehigarria</v>
      </c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30.0" customHeight="1">
      <c r="A344" s="2" t="str">
        <f>IFERROR(__xludf.DUMMYFUNCTION("""COMPUTED_VALUE"""),"Estados Unidos")</f>
        <v>Estados Unidos</v>
      </c>
      <c r="B344" s="2"/>
      <c r="C344" s="3" t="str">
        <f>IFERROR(__xludf.DUMMYFUNCTION("""COMPUTED_VALUE"""),"University of Santa Clara")</f>
        <v>University of Santa Clara</v>
      </c>
      <c r="D344" s="2" t="str">
        <f>IFERROR(__xludf.DUMMYFUNCTION("""COMPUTED_VALUE"""),"Ac. Bilaterales (no Erasmus)")</f>
        <v>Ac. Bilaterales (no Erasmus)</v>
      </c>
      <c r="E344" s="2">
        <f>IFERROR(__xludf.DUMMYFUNCTION("""COMPUTED_VALUE"""),6.0)</f>
        <v>6</v>
      </c>
      <c r="F344" s="2" t="str">
        <f>IFERROR(__xludf.DUMMYFUNCTION("""COMPUTED_VALUE"""),"Semestre")</f>
        <v>Semestre</v>
      </c>
      <c r="G344" s="2" t="str">
        <f>IFERROR(__xludf.DUMMYFUNCTION("""COMPUTED_VALUE"""),"San Sebastián")</f>
        <v>San Sebastián</v>
      </c>
      <c r="H344" s="2" t="str">
        <f>IFERROR(__xludf.DUMMYFUNCTION("""COMPUTED_VALUE"""),"Deusto Business School")</f>
        <v>Deusto Business School</v>
      </c>
      <c r="I344" s="2" t="str">
        <f>IFERROR(__xludf.DUMMYFUNCTION("""COMPUTED_VALUE"""),"Administración y Dirección de Empresas")</f>
        <v>Administración y Dirección de Empresas</v>
      </c>
      <c r="J344" s="2" t="str">
        <f>IFERROR(__xludf.DUMMYFUNCTION("""COMPUTED_VALUE"""),"Grado")</f>
        <v>Grado</v>
      </c>
      <c r="K344" s="2" t="str">
        <f>IFERROR(__xludf.DUMMYFUNCTION("""COMPUTED_VALUE"""),"Inglés")</f>
        <v>Inglés</v>
      </c>
      <c r="L344" s="2" t="str">
        <f>IFERROR(__xludf.DUMMYFUNCTION("""COMPUTED_VALUE"""),"B2")</f>
        <v>B2</v>
      </c>
      <c r="M344" s="2" t="str">
        <f>IFERROR(__xludf.DUMMYFUNCTION("""COMPUTED_VALUE"""),"Sí")</f>
        <v>Sí</v>
      </c>
      <c r="N344" s="3" t="str">
        <f>IFERROR(__xludf.DUMMYFUNCTION("""COMPUTED_VALUE"""),"https://www.scu.edu/globalengagement/study-abroad/incoming-exchange/")</f>
        <v>https://www.scu.edu/globalengagement/study-abroad/incoming-exchange/</v>
      </c>
      <c r="O344" s="3" t="str">
        <f>IFERROR(__xludf.DUMMYFUNCTION("""COMPUTED_VALUE"""),"Más información / Informazio gehigarria")</f>
        <v>Más información / Informazio gehigarria</v>
      </c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30.0" customHeight="1">
      <c r="A345" s="2" t="str">
        <f>IFERROR(__xludf.DUMMYFUNCTION("""COMPUTED_VALUE"""),"Estados Unidos")</f>
        <v>Estados Unidos</v>
      </c>
      <c r="B345" s="2"/>
      <c r="C345" s="3" t="str">
        <f>IFERROR(__xludf.DUMMYFUNCTION("""COMPUTED_VALUE"""),"University of Santa Clara")</f>
        <v>University of Santa Clara</v>
      </c>
      <c r="D345" s="2" t="str">
        <f>IFERROR(__xludf.DUMMYFUNCTION("""COMPUTED_VALUE"""),"Ac. Bilaterales (no Erasmus)")</f>
        <v>Ac. Bilaterales (no Erasmus)</v>
      </c>
      <c r="E345" s="2">
        <f>IFERROR(__xludf.DUMMYFUNCTION("""COMPUTED_VALUE"""),3.0)</f>
        <v>3</v>
      </c>
      <c r="F345" s="2" t="str">
        <f>IFERROR(__xludf.DUMMYFUNCTION("""COMPUTED_VALUE"""),"Semestre")</f>
        <v>Semestre</v>
      </c>
      <c r="G345" s="2" t="str">
        <f>IFERROR(__xludf.DUMMYFUNCTION("""COMPUTED_VALUE"""),"San Sebastián")</f>
        <v>San Sebastián</v>
      </c>
      <c r="H345" s="2" t="str">
        <f>IFERROR(__xludf.DUMMYFUNCTION("""COMPUTED_VALUE"""),"Ciencias Sociales y Humanas")</f>
        <v>Ciencias Sociales y Humanas</v>
      </c>
      <c r="I345" s="2" t="str">
        <f>IFERROR(__xludf.DUMMYFUNCTION("""COMPUTED_VALUE"""),"Comunicación")</f>
        <v>Comunicación</v>
      </c>
      <c r="J345" s="2" t="str">
        <f>IFERROR(__xludf.DUMMYFUNCTION("""COMPUTED_VALUE"""),"Grado")</f>
        <v>Grado</v>
      </c>
      <c r="K345" s="2" t="str">
        <f>IFERROR(__xludf.DUMMYFUNCTION("""COMPUTED_VALUE"""),"Inglés")</f>
        <v>Inglés</v>
      </c>
      <c r="L345" s="2" t="str">
        <f>IFERROR(__xludf.DUMMYFUNCTION("""COMPUTED_VALUE"""),"B2")</f>
        <v>B2</v>
      </c>
      <c r="M345" s="2" t="str">
        <f>IFERROR(__xludf.DUMMYFUNCTION("""COMPUTED_VALUE"""),"Sí")</f>
        <v>Sí</v>
      </c>
      <c r="N345" s="3" t="str">
        <f>IFERROR(__xludf.DUMMYFUNCTION("""COMPUTED_VALUE"""),"https://www.scu.edu/globalengagement/study-abroad/incoming-exchange/")</f>
        <v>https://www.scu.edu/globalengagement/study-abroad/incoming-exchange/</v>
      </c>
      <c r="O345" s="3" t="str">
        <f>IFERROR(__xludf.DUMMYFUNCTION("""COMPUTED_VALUE"""),"Más información / Informazio gehigarria")</f>
        <v>Más información / Informazio gehigarria</v>
      </c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30.0" customHeight="1">
      <c r="A346" s="2" t="str">
        <f>IFERROR(__xludf.DUMMYFUNCTION("""COMPUTED_VALUE"""),"Estados Unidos")</f>
        <v>Estados Unidos</v>
      </c>
      <c r="B346" s="2"/>
      <c r="C346" s="3" t="str">
        <f>IFERROR(__xludf.DUMMYFUNCTION("""COMPUTED_VALUE"""),"University of St Thomas")</f>
        <v>University of St Thomas</v>
      </c>
      <c r="D346" s="2" t="str">
        <f>IFERROR(__xludf.DUMMYFUNCTION("""COMPUTED_VALUE"""),"Ac. Bilaterales (no Erasmus)")</f>
        <v>Ac. Bilaterales (no Erasmus)</v>
      </c>
      <c r="E346" s="2">
        <f>IFERROR(__xludf.DUMMYFUNCTION("""COMPUTED_VALUE"""),4.0)</f>
        <v>4</v>
      </c>
      <c r="F346" s="2" t="str">
        <f>IFERROR(__xludf.DUMMYFUNCTION("""COMPUTED_VALUE"""),"Semestre")</f>
        <v>Semestre</v>
      </c>
      <c r="G346" s="2" t="str">
        <f>IFERROR(__xludf.DUMMYFUNCTION("""COMPUTED_VALUE"""),"Bilbao")</f>
        <v>Bilbao</v>
      </c>
      <c r="H346" s="2" t="str">
        <f>IFERROR(__xludf.DUMMYFUNCTION("""COMPUTED_VALUE"""),"Educación y Deporte")</f>
        <v>Educación y Deporte</v>
      </c>
      <c r="I346" s="2" t="str">
        <f>IFERROR(__xludf.DUMMYFUNCTION("""COMPUTED_VALUE"""),"CAFyD")</f>
        <v>CAFyD</v>
      </c>
      <c r="J346" s="2" t="str">
        <f>IFERROR(__xludf.DUMMYFUNCTION("""COMPUTED_VALUE"""),"Grado")</f>
        <v>Grado</v>
      </c>
      <c r="K346" s="2" t="str">
        <f>IFERROR(__xludf.DUMMYFUNCTION("""COMPUTED_VALUE"""),"Inglés")</f>
        <v>Inglés</v>
      </c>
      <c r="L346" s="2" t="str">
        <f>IFERROR(__xludf.DUMMYFUNCTION("""COMPUTED_VALUE"""),"B2")</f>
        <v>B2</v>
      </c>
      <c r="M346" s="2" t="str">
        <f>IFERROR(__xludf.DUMMYFUNCTION("""COMPUTED_VALUE"""),"Sí")</f>
        <v>Sí</v>
      </c>
      <c r="N346" s="3" t="str">
        <f>IFERROR(__xludf.DUMMYFUNCTION("""COMPUTED_VALUE"""),"https://international.olemiss.edu/english-proficiency-requirements-11-2019/")</f>
        <v>https://international.olemiss.edu/english-proficiency-requirements-11-2019/</v>
      </c>
      <c r="O346" s="3" t="str">
        <f>IFERROR(__xludf.DUMMYFUNCTION("""COMPUTED_VALUE"""),"Más información / Informazio gehigarria")</f>
        <v>Más información / Informazio gehigarria</v>
      </c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30.0" customHeight="1">
      <c r="A347" s="2" t="str">
        <f>IFERROR(__xludf.DUMMYFUNCTION("""COMPUTED_VALUE"""),"Estados Unidos")</f>
        <v>Estados Unidos</v>
      </c>
      <c r="B347" s="2"/>
      <c r="C347" s="3" t="str">
        <f>IFERROR(__xludf.DUMMYFUNCTION("""COMPUTED_VALUE"""),"University of St Thomas")</f>
        <v>University of St Thomas</v>
      </c>
      <c r="D347" s="2" t="str">
        <f>IFERROR(__xludf.DUMMYFUNCTION("""COMPUTED_VALUE"""),"Ac. Bilaterales (no Erasmus)")</f>
        <v>Ac. Bilaterales (no Erasmus)</v>
      </c>
      <c r="E347" s="2">
        <f>IFERROR(__xludf.DUMMYFUNCTION("""COMPUTED_VALUE"""),4.0)</f>
        <v>4</v>
      </c>
      <c r="F347" s="2" t="str">
        <f>IFERROR(__xludf.DUMMYFUNCTION("""COMPUTED_VALUE"""),"Semestre")</f>
        <v>Semestre</v>
      </c>
      <c r="G347" s="2" t="str">
        <f>IFERROR(__xludf.DUMMYFUNCTION("""COMPUTED_VALUE"""),"Ambos")</f>
        <v>Ambos</v>
      </c>
      <c r="H347" s="2" t="str">
        <f>IFERROR(__xludf.DUMMYFUNCTION("""COMPUTED_VALUE"""),"Educación y Deporte")</f>
        <v>Educación y Deporte</v>
      </c>
      <c r="I347" s="2" t="str">
        <f>IFERROR(__xludf.DUMMYFUNCTION("""COMPUTED_VALUE"""),"Educación Primaria")</f>
        <v>Educación Primaria</v>
      </c>
      <c r="J347" s="2" t="str">
        <f>IFERROR(__xludf.DUMMYFUNCTION("""COMPUTED_VALUE"""),"Grado")</f>
        <v>Grado</v>
      </c>
      <c r="K347" s="2" t="str">
        <f>IFERROR(__xludf.DUMMYFUNCTION("""COMPUTED_VALUE"""),"Inglés")</f>
        <v>Inglés</v>
      </c>
      <c r="L347" s="2" t="str">
        <f>IFERROR(__xludf.DUMMYFUNCTION("""COMPUTED_VALUE"""),"B2")</f>
        <v>B2</v>
      </c>
      <c r="M347" s="2" t="str">
        <f>IFERROR(__xludf.DUMMYFUNCTION("""COMPUTED_VALUE"""),"Sí")</f>
        <v>Sí</v>
      </c>
      <c r="N347" s="3" t="str">
        <f>IFERROR(__xludf.DUMMYFUNCTION("""COMPUTED_VALUE"""),"https://international.olemiss.edu/english-proficiency-requirements-11-2019/")</f>
        <v>https://international.olemiss.edu/english-proficiency-requirements-11-2019/</v>
      </c>
      <c r="O347" s="3" t="str">
        <f>IFERROR(__xludf.DUMMYFUNCTION("""COMPUTED_VALUE"""),"Más información / Informazio gehigarria")</f>
        <v>Más información / Informazio gehigarria</v>
      </c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30.0" customHeight="1">
      <c r="A348" s="2" t="str">
        <f>IFERROR(__xludf.DUMMYFUNCTION("""COMPUTED_VALUE"""),"Estados Unidos")</f>
        <v>Estados Unidos</v>
      </c>
      <c r="B348" s="2"/>
      <c r="C348" s="3" t="str">
        <f>IFERROR(__xludf.DUMMYFUNCTION("""COMPUTED_VALUE"""),"University of St Thomas")</f>
        <v>University of St Thomas</v>
      </c>
      <c r="D348" s="2" t="str">
        <f>IFERROR(__xludf.DUMMYFUNCTION("""COMPUTED_VALUE"""),"Ac. Bilaterales (no Erasmus)")</f>
        <v>Ac. Bilaterales (no Erasmus)</v>
      </c>
      <c r="E348" s="2">
        <f>IFERROR(__xludf.DUMMYFUNCTION("""COMPUTED_VALUE"""),2.0)</f>
        <v>2</v>
      </c>
      <c r="F348" s="2" t="str">
        <f>IFERROR(__xludf.DUMMYFUNCTION("""COMPUTED_VALUE"""),"Anual")</f>
        <v>Anual</v>
      </c>
      <c r="G348" s="2" t="str">
        <f>IFERROR(__xludf.DUMMYFUNCTION("""COMPUTED_VALUE"""),"Bilbao")</f>
        <v>Bilbao</v>
      </c>
      <c r="H348" s="2" t="str">
        <f>IFERROR(__xludf.DUMMYFUNCTION("""COMPUTED_VALUE"""),"Ciencias de la Salud")</f>
        <v>Ciencias de la Salud</v>
      </c>
      <c r="I348" s="2" t="str">
        <f>IFERROR(__xludf.DUMMYFUNCTION("""COMPUTED_VALUE"""),"Psicología")</f>
        <v>Psicología</v>
      </c>
      <c r="J348" s="2" t="str">
        <f>IFERROR(__xludf.DUMMYFUNCTION("""COMPUTED_VALUE"""),"Grado")</f>
        <v>Grado</v>
      </c>
      <c r="K348" s="2" t="str">
        <f>IFERROR(__xludf.DUMMYFUNCTION("""COMPUTED_VALUE"""),"Inglés")</f>
        <v>Inglés</v>
      </c>
      <c r="L348" s="2" t="str">
        <f>IFERROR(__xludf.DUMMYFUNCTION("""COMPUTED_VALUE"""),"B2")</f>
        <v>B2</v>
      </c>
      <c r="M348" s="2" t="str">
        <f>IFERROR(__xludf.DUMMYFUNCTION("""COMPUTED_VALUE"""),"Sí")</f>
        <v>Sí</v>
      </c>
      <c r="N348" s="3" t="str">
        <f>IFERROR(__xludf.DUMMYFUNCTION("""COMPUTED_VALUE"""),"https://international.olemiss.edu/english-proficiency-requirements-11-2019/")</f>
        <v>https://international.olemiss.edu/english-proficiency-requirements-11-2019/</v>
      </c>
      <c r="O348" s="3" t="str">
        <f>IFERROR(__xludf.DUMMYFUNCTION("""COMPUTED_VALUE"""),"Más información / Informazio gehigarria")</f>
        <v>Más información / Informazio gehigarria</v>
      </c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30.0" customHeight="1">
      <c r="A349" s="2" t="str">
        <f>IFERROR(__xludf.DUMMYFUNCTION("""COMPUTED_VALUE"""),"Estados Unidos")</f>
        <v>Estados Unidos</v>
      </c>
      <c r="B349" s="2"/>
      <c r="C349" s="3" t="str">
        <f>IFERROR(__xludf.DUMMYFUNCTION("""COMPUTED_VALUE"""),"University of St Thomas")</f>
        <v>University of St Thomas</v>
      </c>
      <c r="D349" s="2" t="str">
        <f>IFERROR(__xludf.DUMMYFUNCTION("""COMPUTED_VALUE"""),"Ac. Bilaterales (no Erasmus)")</f>
        <v>Ac. Bilaterales (no Erasmus)</v>
      </c>
      <c r="E349" s="2">
        <f>IFERROR(__xludf.DUMMYFUNCTION("""COMPUTED_VALUE"""),2.0)</f>
        <v>2</v>
      </c>
      <c r="F349" s="2" t="str">
        <f>IFERROR(__xludf.DUMMYFUNCTION("""COMPUTED_VALUE"""),"Semestre")</f>
        <v>Semestre</v>
      </c>
      <c r="G349" s="2" t="str">
        <f>IFERROR(__xludf.DUMMYFUNCTION("""COMPUTED_VALUE"""),"Bilbao")</f>
        <v>Bilbao</v>
      </c>
      <c r="H349" s="2" t="str">
        <f>IFERROR(__xludf.DUMMYFUNCTION("""COMPUTED_VALUE"""),"Deusto Business School")</f>
        <v>Deusto Business School</v>
      </c>
      <c r="I349" s="2" t="str">
        <f>IFERROR(__xludf.DUMMYFUNCTION("""COMPUTED_VALUE"""),"Administración y Dirección de Empresas")</f>
        <v>Administración y Dirección de Empresas</v>
      </c>
      <c r="J349" s="2" t="str">
        <f>IFERROR(__xludf.DUMMYFUNCTION("""COMPUTED_VALUE"""),"Grado")</f>
        <v>Grado</v>
      </c>
      <c r="K349" s="2" t="str">
        <f>IFERROR(__xludf.DUMMYFUNCTION("""COMPUTED_VALUE"""),"Inglés")</f>
        <v>Inglés</v>
      </c>
      <c r="L349" s="2" t="str">
        <f>IFERROR(__xludf.DUMMYFUNCTION("""COMPUTED_VALUE"""),"C1")</f>
        <v>C1</v>
      </c>
      <c r="M349" s="2" t="str">
        <f>IFERROR(__xludf.DUMMYFUNCTION("""COMPUTED_VALUE"""),"Sí")</f>
        <v>Sí</v>
      </c>
      <c r="N349" s="3" t="str">
        <f>IFERROR(__xludf.DUMMYFUNCTION("""COMPUTED_VALUE"""),"https://international.olemiss.edu/english-proficiency-requirements-11-2019/")</f>
        <v>https://international.olemiss.edu/english-proficiency-requirements-11-2019/</v>
      </c>
      <c r="O349" s="3" t="str">
        <f>IFERROR(__xludf.DUMMYFUNCTION("""COMPUTED_VALUE"""),"Más información / Informazio gehigarria")</f>
        <v>Más información / Informazio gehigarria</v>
      </c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30.0" customHeight="1">
      <c r="A350" s="2" t="str">
        <f>IFERROR(__xludf.DUMMYFUNCTION("""COMPUTED_VALUE"""),"Estados Unidos")</f>
        <v>Estados Unidos</v>
      </c>
      <c r="B350" s="2"/>
      <c r="C350" s="3" t="str">
        <f>IFERROR(__xludf.DUMMYFUNCTION("""COMPUTED_VALUE"""),"University of St Thomas")</f>
        <v>University of St Thomas</v>
      </c>
      <c r="D350" s="2" t="str">
        <f>IFERROR(__xludf.DUMMYFUNCTION("""COMPUTED_VALUE"""),"Ac. Bilaterales (no Erasmus)")</f>
        <v>Ac. Bilaterales (no Erasmus)</v>
      </c>
      <c r="E350" s="2">
        <f>IFERROR(__xludf.DUMMYFUNCTION("""COMPUTED_VALUE"""),4.0)</f>
        <v>4</v>
      </c>
      <c r="F350" s="2" t="str">
        <f>IFERROR(__xludf.DUMMYFUNCTION("""COMPUTED_VALUE"""),"Anual")</f>
        <v>Anual</v>
      </c>
      <c r="G350" s="2" t="str">
        <f>IFERROR(__xludf.DUMMYFUNCTION("""COMPUTED_VALUE"""),"Bilbao")</f>
        <v>Bilbao</v>
      </c>
      <c r="H350" s="2" t="str">
        <f>IFERROR(__xludf.DUMMYFUNCTION("""COMPUTED_VALUE"""),"Ciencias Sociales y Humanas")</f>
        <v>Ciencias Sociales y Humanas</v>
      </c>
      <c r="I350" s="2" t="str">
        <f>IFERROR(__xludf.DUMMYFUNCTION("""COMPUTED_VALUE"""),"Relaciones Internacionales, Relaciones Internacionales + Derecho")</f>
        <v>Relaciones Internacionales, Relaciones Internacionales + Derecho</v>
      </c>
      <c r="J350" s="2" t="str">
        <f>IFERROR(__xludf.DUMMYFUNCTION("""COMPUTED_VALUE"""),"Grado")</f>
        <v>Grado</v>
      </c>
      <c r="K350" s="2" t="str">
        <f>IFERROR(__xludf.DUMMYFUNCTION("""COMPUTED_VALUE"""),"Inglés")</f>
        <v>Inglés</v>
      </c>
      <c r="L350" s="2" t="str">
        <f>IFERROR(__xludf.DUMMYFUNCTION("""COMPUTED_VALUE"""),"B2")</f>
        <v>B2</v>
      </c>
      <c r="M350" s="2" t="str">
        <f>IFERROR(__xludf.DUMMYFUNCTION("""COMPUTED_VALUE"""),"Sí")</f>
        <v>Sí</v>
      </c>
      <c r="N350" s="3" t="str">
        <f>IFERROR(__xludf.DUMMYFUNCTION("""COMPUTED_VALUE"""),"https://international.olemiss.edu/english-proficiency-requirements-11-2019/")</f>
        <v>https://international.olemiss.edu/english-proficiency-requirements-11-2019/</v>
      </c>
      <c r="O350" s="3" t="str">
        <f>IFERROR(__xludf.DUMMYFUNCTION("""COMPUTED_VALUE"""),"Más información / Informazio gehigarria")</f>
        <v>Más información / Informazio gehigarria</v>
      </c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30.0" customHeight="1">
      <c r="A351" s="2" t="str">
        <f>IFERROR(__xludf.DUMMYFUNCTION("""COMPUTED_VALUE"""),"Estados Unidos")</f>
        <v>Estados Unidos</v>
      </c>
      <c r="B351" s="2" t="str">
        <f>IFERROR(__xludf.DUMMYFUNCTION("""COMPUTED_VALUE"""),"USA VIR01")</f>
        <v>USA VIR01</v>
      </c>
      <c r="C351" s="3" t="str">
        <f>IFERROR(__xludf.DUMMYFUNCTION("""COMPUTED_VALUE"""),"Virginia Commonwealth University")</f>
        <v>Virginia Commonwealth University</v>
      </c>
      <c r="D351" s="2" t="str">
        <f>IFERROR(__xludf.DUMMYFUNCTION("""COMPUTED_VALUE"""),"Ac. Bilaterales (no Erasmus)")</f>
        <v>Ac. Bilaterales (no Erasmus)</v>
      </c>
      <c r="E351" s="2">
        <f>IFERROR(__xludf.DUMMYFUNCTION("""COMPUTED_VALUE"""),1.0)</f>
        <v>1</v>
      </c>
      <c r="F351" s="2" t="str">
        <f>IFERROR(__xludf.DUMMYFUNCTION("""COMPUTED_VALUE"""),"Anual")</f>
        <v>Anual</v>
      </c>
      <c r="G351" s="2" t="str">
        <f>IFERROR(__xludf.DUMMYFUNCTION("""COMPUTED_VALUE"""),"Bilbao")</f>
        <v>Bilbao</v>
      </c>
      <c r="H351" s="2" t="str">
        <f>IFERROR(__xludf.DUMMYFUNCTION("""COMPUTED_VALUE"""),"Ciencias Sociales y Humanas")</f>
        <v>Ciencias Sociales y Humanas</v>
      </c>
      <c r="I351" s="2" t="str">
        <f>IFERROR(__xludf.DUMMYFUNCTION("""COMPUTED_VALUE"""),"Relaciones Internacionales, Relaciones Internacionales + Derecho")</f>
        <v>Relaciones Internacionales, Relaciones Internacionales + Derecho</v>
      </c>
      <c r="J351" s="2" t="str">
        <f>IFERROR(__xludf.DUMMYFUNCTION("""COMPUTED_VALUE"""),"Grado")</f>
        <v>Grado</v>
      </c>
      <c r="K351" s="2" t="str">
        <f>IFERROR(__xludf.DUMMYFUNCTION("""COMPUTED_VALUE"""),"Inglés")</f>
        <v>Inglés</v>
      </c>
      <c r="L351" s="2" t="str">
        <f>IFERROR(__xludf.DUMMYFUNCTION("""COMPUTED_VALUE"""),"C1")</f>
        <v>C1</v>
      </c>
      <c r="M351" s="2" t="str">
        <f>IFERROR(__xludf.DUMMYFUNCTION("""COMPUTED_VALUE"""),"Sí")</f>
        <v>Sí</v>
      </c>
      <c r="N351" s="3" t="str">
        <f>IFERROR(__xludf.DUMMYFUNCTION("""COMPUTED_VALUE"""),"https://admissions.vcu.edu/apply-to-vcu/international/undergraduate/")</f>
        <v>https://admissions.vcu.edu/apply-to-vcu/international/undergraduate/</v>
      </c>
      <c r="O351" s="3" t="str">
        <f>IFERROR(__xludf.DUMMYFUNCTION("""COMPUTED_VALUE"""),"Más información / Informazio gehigarria")</f>
        <v>Más información / Informazio gehigarria</v>
      </c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30.0" customHeight="1">
      <c r="A352" s="2" t="str">
        <f>IFERROR(__xludf.DUMMYFUNCTION("""COMPUTED_VALUE"""),"Estados Unidos")</f>
        <v>Estados Unidos</v>
      </c>
      <c r="B352" s="2" t="str">
        <f>IFERROR(__xludf.DUMMYFUNCTION("""COMPUTED_VALUE"""),"USA VIR01")</f>
        <v>USA VIR01</v>
      </c>
      <c r="C352" s="3" t="str">
        <f>IFERROR(__xludf.DUMMYFUNCTION("""COMPUTED_VALUE"""),"Virginia Commonwealth University")</f>
        <v>Virginia Commonwealth University</v>
      </c>
      <c r="D352" s="2" t="str">
        <f>IFERROR(__xludf.DUMMYFUNCTION("""COMPUTED_VALUE"""),"Ac. Bilaterales (no Erasmus)")</f>
        <v>Ac. Bilaterales (no Erasmus)</v>
      </c>
      <c r="E352" s="2">
        <f>IFERROR(__xludf.DUMMYFUNCTION("""COMPUTED_VALUE"""),1.0)</f>
        <v>1</v>
      </c>
      <c r="F352" s="2" t="str">
        <f>IFERROR(__xludf.DUMMYFUNCTION("""COMPUTED_VALUE"""),"Semestre")</f>
        <v>Semestre</v>
      </c>
      <c r="G352" s="2" t="str">
        <f>IFERROR(__xludf.DUMMYFUNCTION("""COMPUTED_VALUE"""),"Ambos")</f>
        <v>Ambos</v>
      </c>
      <c r="H352" s="2" t="str">
        <f>IFERROR(__xludf.DUMMYFUNCTION("""COMPUTED_VALUE"""),"Ciencias Sociales y Humanas")</f>
        <v>Ciencias Sociales y Humanas</v>
      </c>
      <c r="I352" s="2" t="str">
        <f>IFERROR(__xludf.DUMMYFUNCTION("""COMPUTED_VALUE"""),"Trabajo Social")</f>
        <v>Trabajo Social</v>
      </c>
      <c r="J352" s="2" t="str">
        <f>IFERROR(__xludf.DUMMYFUNCTION("""COMPUTED_VALUE"""),"Grado")</f>
        <v>Grado</v>
      </c>
      <c r="K352" s="2" t="str">
        <f>IFERROR(__xludf.DUMMYFUNCTION("""COMPUTED_VALUE"""),"Inglés")</f>
        <v>Inglés</v>
      </c>
      <c r="L352" s="2" t="str">
        <f>IFERROR(__xludf.DUMMYFUNCTION("""COMPUTED_VALUE"""),"C1")</f>
        <v>C1</v>
      </c>
      <c r="M352" s="2" t="str">
        <f>IFERROR(__xludf.DUMMYFUNCTION("""COMPUTED_VALUE"""),"Sí")</f>
        <v>Sí</v>
      </c>
      <c r="N352" s="3" t="str">
        <f>IFERROR(__xludf.DUMMYFUNCTION("""COMPUTED_VALUE"""),"https://admissions.vcu.edu/apply-to-vcu/international/undergraduate/")</f>
        <v>https://admissions.vcu.edu/apply-to-vcu/international/undergraduate/</v>
      </c>
      <c r="O352" s="3" t="str">
        <f>IFERROR(__xludf.DUMMYFUNCTION("""COMPUTED_VALUE"""),"Más información / Informazio gehigarria")</f>
        <v>Más información / Informazio gehigarria</v>
      </c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30.0" customHeight="1">
      <c r="A353" s="2" t="str">
        <f>IFERROR(__xludf.DUMMYFUNCTION("""COMPUTED_VALUE"""),"Estados Unidos")</f>
        <v>Estados Unidos</v>
      </c>
      <c r="B353" s="2" t="str">
        <f>IFERROR(__xludf.DUMMYFUNCTION("""COMPUTED_VALUE"""),"USAWICHIT01")</f>
        <v>USAWICHIT01</v>
      </c>
      <c r="C353" s="3" t="str">
        <f>IFERROR(__xludf.DUMMYFUNCTION("""COMPUTED_VALUE"""),"Wichita State University")</f>
        <v>Wichita State University</v>
      </c>
      <c r="D353" s="2" t="str">
        <f>IFERROR(__xludf.DUMMYFUNCTION("""COMPUTED_VALUE"""),"Ac. Bilaterales (no Erasmus)")</f>
        <v>Ac. Bilaterales (no Erasmus)</v>
      </c>
      <c r="E353" s="2">
        <f>IFERROR(__xludf.DUMMYFUNCTION("""COMPUTED_VALUE"""),10.0)</f>
        <v>10</v>
      </c>
      <c r="F353" s="2" t="str">
        <f>IFERROR(__xludf.DUMMYFUNCTION("""COMPUTED_VALUE"""),"Semestre")</f>
        <v>Semestre</v>
      </c>
      <c r="G353" s="2" t="str">
        <f>IFERROR(__xludf.DUMMYFUNCTION("""COMPUTED_VALUE"""),"Bilbao")</f>
        <v>Bilbao</v>
      </c>
      <c r="H353" s="2" t="str">
        <f>IFERROR(__xludf.DUMMYFUNCTION("""COMPUTED_VALUE"""),"Educación y Deporte")</f>
        <v>Educación y Deporte</v>
      </c>
      <c r="I353" s="2" t="str">
        <f>IFERROR(__xludf.DUMMYFUNCTION("""COMPUTED_VALUE"""),"CAFyD")</f>
        <v>CAFyD</v>
      </c>
      <c r="J353" s="2" t="str">
        <f>IFERROR(__xludf.DUMMYFUNCTION("""COMPUTED_VALUE"""),"Grado")</f>
        <v>Grado</v>
      </c>
      <c r="K353" s="2" t="str">
        <f>IFERROR(__xludf.DUMMYFUNCTION("""COMPUTED_VALUE"""),"Inglés")</f>
        <v>Inglés</v>
      </c>
      <c r="L353" s="2" t="str">
        <f>IFERROR(__xludf.DUMMYFUNCTION("""COMPUTED_VALUE"""),"B2")</f>
        <v>B2</v>
      </c>
      <c r="M353" s="2" t="str">
        <f>IFERROR(__xludf.DUMMYFUNCTION("""COMPUTED_VALUE"""),"Sí")</f>
        <v>Sí</v>
      </c>
      <c r="N353" s="3" t="str">
        <f>IFERROR(__xludf.DUMMYFUNCTION("""COMPUTED_VALUE"""),"https://www.wichita.edu/admissions/international/toefl_ielts_req.php")</f>
        <v>https://www.wichita.edu/admissions/international/toefl_ielts_req.php</v>
      </c>
      <c r="O353" s="3" t="str">
        <f>IFERROR(__xludf.DUMMYFUNCTION("""COMPUTED_VALUE"""),"Más información / Informazio gehigarria")</f>
        <v>Más información / Informazio gehigarria</v>
      </c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30.0" customHeight="1">
      <c r="A354" s="2" t="str">
        <f>IFERROR(__xludf.DUMMYFUNCTION("""COMPUTED_VALUE"""),"Estados Unidos")</f>
        <v>Estados Unidos</v>
      </c>
      <c r="B354" s="2" t="str">
        <f>IFERROR(__xludf.DUMMYFUNCTION("""COMPUTED_VALUE"""),"USAWICHIT01")</f>
        <v>USAWICHIT01</v>
      </c>
      <c r="C354" s="3" t="str">
        <f>IFERROR(__xludf.DUMMYFUNCTION("""COMPUTED_VALUE"""),"Wichita State University")</f>
        <v>Wichita State University</v>
      </c>
      <c r="D354" s="2" t="str">
        <f>IFERROR(__xludf.DUMMYFUNCTION("""COMPUTED_VALUE"""),"Ac. Bilaterales (no Erasmus)")</f>
        <v>Ac. Bilaterales (no Erasmus)</v>
      </c>
      <c r="E354" s="2">
        <f>IFERROR(__xludf.DUMMYFUNCTION("""COMPUTED_VALUE"""),10.0)</f>
        <v>10</v>
      </c>
      <c r="F354" s="2" t="str">
        <f>IFERROR(__xludf.DUMMYFUNCTION("""COMPUTED_VALUE"""),"Semestre")</f>
        <v>Semestre</v>
      </c>
      <c r="G354" s="2" t="str">
        <f>IFERROR(__xludf.DUMMYFUNCTION("""COMPUTED_VALUE"""),"Bilbao")</f>
        <v>Bilbao</v>
      </c>
      <c r="H354" s="2" t="str">
        <f>IFERROR(__xludf.DUMMYFUNCTION("""COMPUTED_VALUE"""),"Begoñako Andramari, BAM")</f>
        <v>Begoñako Andramari, BAM</v>
      </c>
      <c r="I354" s="2" t="str">
        <f>IFERROR(__xludf.DUMMYFUNCTION("""COMPUTED_VALUE"""),"Educación Primaria, Educación Infantil")</f>
        <v>Educación Primaria, Educación Infantil</v>
      </c>
      <c r="J354" s="2" t="str">
        <f>IFERROR(__xludf.DUMMYFUNCTION("""COMPUTED_VALUE"""),"Grado")</f>
        <v>Grado</v>
      </c>
      <c r="K354" s="2" t="str">
        <f>IFERROR(__xludf.DUMMYFUNCTION("""COMPUTED_VALUE"""),"Inglés")</f>
        <v>Inglés</v>
      </c>
      <c r="L354" s="2" t="str">
        <f>IFERROR(__xludf.DUMMYFUNCTION("""COMPUTED_VALUE"""),"B2")</f>
        <v>B2</v>
      </c>
      <c r="M354" s="2" t="str">
        <f>IFERROR(__xludf.DUMMYFUNCTION("""COMPUTED_VALUE"""),"Sí")</f>
        <v>Sí</v>
      </c>
      <c r="N354" s="3" t="str">
        <f>IFERROR(__xludf.DUMMYFUNCTION("""COMPUTED_VALUE"""),"https://www.wichita.edu/admissions/international/toefl_ielts_req.php")</f>
        <v>https://www.wichita.edu/admissions/international/toefl_ielts_req.php</v>
      </c>
      <c r="O354" s="3" t="str">
        <f>IFERROR(__xludf.DUMMYFUNCTION("""COMPUTED_VALUE"""),"Más información / Informazio gehigarria")</f>
        <v>Más información / Informazio gehigarria</v>
      </c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30.0" customHeight="1">
      <c r="A355" s="2" t="str">
        <f>IFERROR(__xludf.DUMMYFUNCTION("""COMPUTED_VALUE"""),"Estados Unidos")</f>
        <v>Estados Unidos</v>
      </c>
      <c r="B355" s="2" t="str">
        <f>IFERROR(__xludf.DUMMYFUNCTION("""COMPUTED_VALUE"""),"USAWICHIT01")</f>
        <v>USAWICHIT01</v>
      </c>
      <c r="C355" s="3" t="str">
        <f>IFERROR(__xludf.DUMMYFUNCTION("""COMPUTED_VALUE"""),"Wichita State University")</f>
        <v>Wichita State University</v>
      </c>
      <c r="D355" s="2" t="str">
        <f>IFERROR(__xludf.DUMMYFUNCTION("""COMPUTED_VALUE"""),"Ac. Bilaterales (no Erasmus)")</f>
        <v>Ac. Bilaterales (no Erasmus)</v>
      </c>
      <c r="E355" s="2">
        <f>IFERROR(__xludf.DUMMYFUNCTION("""COMPUTED_VALUE"""),10.0)</f>
        <v>10</v>
      </c>
      <c r="F355" s="2" t="str">
        <f>IFERROR(__xludf.DUMMYFUNCTION("""COMPUTED_VALUE"""),"Anual")</f>
        <v>Anual</v>
      </c>
      <c r="G355" s="2" t="str">
        <f>IFERROR(__xludf.DUMMYFUNCTION("""COMPUTED_VALUE"""),"Bilbao")</f>
        <v>Bilbao</v>
      </c>
      <c r="H355" s="2" t="str">
        <f>IFERROR(__xludf.DUMMYFUNCTION("""COMPUTED_VALUE"""),"Ciencias Sociales y Humanas")</f>
        <v>Ciencias Sociales y Humanas</v>
      </c>
      <c r="I355" s="2" t="str">
        <f>IFERROR(__xludf.DUMMYFUNCTION("""COMPUTED_VALUE"""),"Relaciones Internacionales, Relaciones Internacionales + Derecho")</f>
        <v>Relaciones Internacionales, Relaciones Internacionales + Derecho</v>
      </c>
      <c r="J355" s="2" t="str">
        <f>IFERROR(__xludf.DUMMYFUNCTION("""COMPUTED_VALUE"""),"Grado")</f>
        <v>Grado</v>
      </c>
      <c r="K355" s="2" t="str">
        <f>IFERROR(__xludf.DUMMYFUNCTION("""COMPUTED_VALUE"""),"Inglés")</f>
        <v>Inglés</v>
      </c>
      <c r="L355" s="2" t="str">
        <f>IFERROR(__xludf.DUMMYFUNCTION("""COMPUTED_VALUE"""),"B2")</f>
        <v>B2</v>
      </c>
      <c r="M355" s="2" t="str">
        <f>IFERROR(__xludf.DUMMYFUNCTION("""COMPUTED_VALUE"""),"Sí")</f>
        <v>Sí</v>
      </c>
      <c r="N355" s="3" t="str">
        <f>IFERROR(__xludf.DUMMYFUNCTION("""COMPUTED_VALUE"""),"https://www.wichita.edu/admissions/international/toefl_ielts_req.php")</f>
        <v>https://www.wichita.edu/admissions/international/toefl_ielts_req.php</v>
      </c>
      <c r="O355" s="3" t="str">
        <f>IFERROR(__xludf.DUMMYFUNCTION("""COMPUTED_VALUE"""),"Más información / Informazio gehigarria")</f>
        <v>Más información / Informazio gehigarria</v>
      </c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30.0" customHeight="1">
      <c r="A356" s="2" t="str">
        <f>IFERROR(__xludf.DUMMYFUNCTION("""COMPUTED_VALUE"""),"Estados Unidos")</f>
        <v>Estados Unidos</v>
      </c>
      <c r="B356" s="2" t="str">
        <f>IFERROR(__xludf.DUMMYFUNCTION("""COMPUTED_VALUE"""),"USAWICHIT01")</f>
        <v>USAWICHIT01</v>
      </c>
      <c r="C356" s="3" t="str">
        <f>IFERROR(__xludf.DUMMYFUNCTION("""COMPUTED_VALUE"""),"Wichita State University")</f>
        <v>Wichita State University</v>
      </c>
      <c r="D356" s="2" t="str">
        <f>IFERROR(__xludf.DUMMYFUNCTION("""COMPUTED_VALUE"""),"Ac. Bilaterales (no Erasmus)")</f>
        <v>Ac. Bilaterales (no Erasmus)</v>
      </c>
      <c r="E356" s="2">
        <f>IFERROR(__xludf.DUMMYFUNCTION("""COMPUTED_VALUE"""),10.0)</f>
        <v>10</v>
      </c>
      <c r="F356" s="2" t="str">
        <f>IFERROR(__xludf.DUMMYFUNCTION("""COMPUTED_VALUE"""),"Semestre")</f>
        <v>Semestre</v>
      </c>
      <c r="G356" s="2" t="str">
        <f>IFERROR(__xludf.DUMMYFUNCTION("""COMPUTED_VALUE"""),"Ambos")</f>
        <v>Ambos</v>
      </c>
      <c r="H356" s="2" t="str">
        <f>IFERROR(__xludf.DUMMYFUNCTION("""COMPUTED_VALUE"""),"Ingeniería")</f>
        <v>Ingeniería</v>
      </c>
      <c r="I356" s="2" t="str">
        <f>IFERROR(__xludf.DUMMYFUNCTION("""COMPUTED_VALUE"""),"Tecnologías Industriales, Ingeniería Mecánica, Ingeniería Informática, Electrónica y Automática, Organización Industrial, Diseño Industrial, Diseño y Mecánica, Ingeniería Robótica, Ciencia de Datos e IA, Industria Digital, Ciencia de Datos e IA + Ingenier"&amp;"ía Informática, Diseño Industrial + Ingeniería Mecánica, Ingeniería Informática + Videojuegos")</f>
        <v>Tecnologías Industriales, Ingeniería Mecánica, Ingeniería Informática, Electrónica y Automática, Organización Industrial, Diseño Industrial, Diseño y Mecánica, Ingeniería Robótica, Ciencia de Datos e IA, Industria Digital, Ciencia de Datos e IA + Ingeniería Informática, Diseño Industrial + Ingeniería Mecánica, Ingeniería Informática + Videojuegos</v>
      </c>
      <c r="J356" s="2" t="str">
        <f>IFERROR(__xludf.DUMMYFUNCTION("""COMPUTED_VALUE"""),"Grado")</f>
        <v>Grado</v>
      </c>
      <c r="K356" s="2" t="str">
        <f>IFERROR(__xludf.DUMMYFUNCTION("""COMPUTED_VALUE"""),"Inglés")</f>
        <v>Inglés</v>
      </c>
      <c r="L356" s="2" t="str">
        <f>IFERROR(__xludf.DUMMYFUNCTION("""COMPUTED_VALUE"""),"B2")</f>
        <v>B2</v>
      </c>
      <c r="M356" s="2" t="str">
        <f>IFERROR(__xludf.DUMMYFUNCTION("""COMPUTED_VALUE"""),"Sí")</f>
        <v>Sí</v>
      </c>
      <c r="N356" s="3" t="str">
        <f>IFERROR(__xludf.DUMMYFUNCTION("""COMPUTED_VALUE"""),"https://www.wichita.edu/admissions/international/toefl_ielts_req.php")</f>
        <v>https://www.wichita.edu/admissions/international/toefl_ielts_req.php</v>
      </c>
      <c r="O356" s="3" t="str">
        <f>IFERROR(__xludf.DUMMYFUNCTION("""COMPUTED_VALUE"""),"Más información / Informazio gehigarria")</f>
        <v>Más información / Informazio gehigarria</v>
      </c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30.0" customHeight="1">
      <c r="A357" s="2" t="str">
        <f>IFERROR(__xludf.DUMMYFUNCTION("""COMPUTED_VALUE"""),"Estados Unidos")</f>
        <v>Estados Unidos</v>
      </c>
      <c r="B357" s="2" t="str">
        <f>IFERROR(__xludf.DUMMYFUNCTION("""COMPUTED_VALUE"""),"USAWICHIT01")</f>
        <v>USAWICHIT01</v>
      </c>
      <c r="C357" s="3" t="str">
        <f>IFERROR(__xludf.DUMMYFUNCTION("""COMPUTED_VALUE"""),"Wichita State University")</f>
        <v>Wichita State University</v>
      </c>
      <c r="D357" s="2" t="str">
        <f>IFERROR(__xludf.DUMMYFUNCTION("""COMPUTED_VALUE"""),"Ac. Bilaterales (no Erasmus)")</f>
        <v>Ac. Bilaterales (no Erasmus)</v>
      </c>
      <c r="E357" s="2">
        <f>IFERROR(__xludf.DUMMYFUNCTION("""COMPUTED_VALUE"""),4.0)</f>
        <v>4</v>
      </c>
      <c r="F357" s="2" t="str">
        <f>IFERROR(__xludf.DUMMYFUNCTION("""COMPUTED_VALUE"""),"Semestre")</f>
        <v>Semestre</v>
      </c>
      <c r="G357" s="2" t="str">
        <f>IFERROR(__xludf.DUMMYFUNCTION("""COMPUTED_VALUE"""),"San Sebastián")</f>
        <v>San Sebastián</v>
      </c>
      <c r="H357" s="2" t="str">
        <f>IFERROR(__xludf.DUMMYFUNCTION("""COMPUTED_VALUE"""),"Deusto Business School")</f>
        <v>Deusto Business School</v>
      </c>
      <c r="I357" s="2" t="str">
        <f>IFERROR(__xludf.DUMMYFUNCTION("""COMPUTED_VALUE"""),"Administración y Dirección de Empresas")</f>
        <v>Administración y Dirección de Empresas</v>
      </c>
      <c r="J357" s="2" t="str">
        <f>IFERROR(__xludf.DUMMYFUNCTION("""COMPUTED_VALUE"""),"Grado")</f>
        <v>Grado</v>
      </c>
      <c r="K357" s="2" t="str">
        <f>IFERROR(__xludf.DUMMYFUNCTION("""COMPUTED_VALUE"""),"Inglés")</f>
        <v>Inglés</v>
      </c>
      <c r="L357" s="2" t="str">
        <f>IFERROR(__xludf.DUMMYFUNCTION("""COMPUTED_VALUE"""),"B2")</f>
        <v>B2</v>
      </c>
      <c r="M357" s="2" t="str">
        <f>IFERROR(__xludf.DUMMYFUNCTION("""COMPUTED_VALUE"""),"Sí")</f>
        <v>Sí</v>
      </c>
      <c r="N357" s="3" t="str">
        <f>IFERROR(__xludf.DUMMYFUNCTION("""COMPUTED_VALUE"""),"https://www.wichita.edu/admissions/international/toefl_ielts_req.php")</f>
        <v>https://www.wichita.edu/admissions/international/toefl_ielts_req.php</v>
      </c>
      <c r="O357" s="3" t="str">
        <f>IFERROR(__xludf.DUMMYFUNCTION("""COMPUTED_VALUE"""),"Más información / Informazio gehigarria")</f>
        <v>Más información / Informazio gehigarria</v>
      </c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30.0" customHeight="1">
      <c r="A358" s="2" t="str">
        <f>IFERROR(__xludf.DUMMYFUNCTION("""COMPUTED_VALUE"""),"Estados Unidos")</f>
        <v>Estados Unidos</v>
      </c>
      <c r="B358" s="2"/>
      <c r="C358" s="3" t="str">
        <f>IFERROR(__xludf.DUMMYFUNCTION("""COMPUTED_VALUE"""),"Winona State University")</f>
        <v>Winona State University</v>
      </c>
      <c r="D358" s="2" t="str">
        <f>IFERROR(__xludf.DUMMYFUNCTION("""COMPUTED_VALUE"""),"Ac. Bilaterales (no Erasmus)")</f>
        <v>Ac. Bilaterales (no Erasmus)</v>
      </c>
      <c r="E358" s="2">
        <f>IFERROR(__xludf.DUMMYFUNCTION("""COMPUTED_VALUE"""),2.0)</f>
        <v>2</v>
      </c>
      <c r="F358" s="2" t="str">
        <f>IFERROR(__xludf.DUMMYFUNCTION("""COMPUTED_VALUE"""),"Anual")</f>
        <v>Anual</v>
      </c>
      <c r="G358" s="2" t="str">
        <f>IFERROR(__xludf.DUMMYFUNCTION("""COMPUTED_VALUE"""),"Bilbao")</f>
        <v>Bilbao</v>
      </c>
      <c r="H358" s="2" t="str">
        <f>IFERROR(__xludf.DUMMYFUNCTION("""COMPUTED_VALUE"""),"Ciencias Sociales y Humanas")</f>
        <v>Ciencias Sociales y Humanas</v>
      </c>
      <c r="I358" s="2" t="str">
        <f>IFERROR(__xludf.DUMMYFUNCTION("""COMPUTED_VALUE"""),"Lenguas Modernas, Lengua y Cultura Vasca + Lenguas Modernas, Lenguas Modernas y Gestión, Euskal Hizkuntza eta Kultura")</f>
        <v>Lenguas Modernas, Lengua y Cultura Vasca + Lenguas Modernas, Lenguas Modernas y Gestión, Euskal Hizkuntza eta Kultura</v>
      </c>
      <c r="J358" s="2" t="str">
        <f>IFERROR(__xludf.DUMMYFUNCTION("""COMPUTED_VALUE"""),"Grado")</f>
        <v>Grado</v>
      </c>
      <c r="K358" s="2" t="str">
        <f>IFERROR(__xludf.DUMMYFUNCTION("""COMPUTED_VALUE"""),"Inglés")</f>
        <v>Inglés</v>
      </c>
      <c r="L358" s="2" t="str">
        <f>IFERROR(__xludf.DUMMYFUNCTION("""COMPUTED_VALUE"""),"B2")</f>
        <v>B2</v>
      </c>
      <c r="M358" s="2" t="str">
        <f>IFERROR(__xludf.DUMMYFUNCTION("""COMPUTED_VALUE"""),"Sí")</f>
        <v>Sí</v>
      </c>
      <c r="N358" s="3" t="str">
        <f>IFERROR(__xludf.DUMMYFUNCTION("""COMPUTED_VALUE"""),"https://www.winona.edu/admissions/apply/international/")</f>
        <v>https://www.winona.edu/admissions/apply/international/</v>
      </c>
      <c r="O358" s="3" t="str">
        <f>IFERROR(__xludf.DUMMYFUNCTION("""COMPUTED_VALUE"""),"Más información / Informazio gehigarria")</f>
        <v>Más información / Informazio gehigarria</v>
      </c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30.0" customHeight="1">
      <c r="A359" s="2" t="str">
        <f>IFERROR(__xludf.DUMMYFUNCTION("""COMPUTED_VALUE"""),"Estados Unidos")</f>
        <v>Estados Unidos</v>
      </c>
      <c r="B359" s="2"/>
      <c r="C359" s="2" t="str">
        <f>IFERROR(__xludf.DUMMYFUNCTION("""COMPUTED_VALUE"""),"University of Louisville (**)")</f>
        <v>University of Louisville (**)</v>
      </c>
      <c r="D359" s="2" t="str">
        <f>IFERROR(__xludf.DUMMYFUNCTION("""COMPUTED_VALUE"""),"Ac. Bilaterales (no Erasmus)")</f>
        <v>Ac. Bilaterales (no Erasmus)</v>
      </c>
      <c r="E359" s="2">
        <f>IFERROR(__xludf.DUMMYFUNCTION("""COMPUTED_VALUE"""),4.0)</f>
        <v>4</v>
      </c>
      <c r="F359" s="2" t="str">
        <f>IFERROR(__xludf.DUMMYFUNCTION("""COMPUTED_VALUE"""),"Semestre")</f>
        <v>Semestre</v>
      </c>
      <c r="G359" s="2" t="str">
        <f>IFERROR(__xludf.DUMMYFUNCTION("""COMPUTED_VALUE"""),"Bilbao")</f>
        <v>Bilbao</v>
      </c>
      <c r="H359" s="2" t="str">
        <f>IFERROR(__xludf.DUMMYFUNCTION("""COMPUTED_VALUE"""),"Ingeniería")</f>
        <v>Ingeniería</v>
      </c>
      <c r="I359" s="2" t="str">
        <f>IFERROR(__xludf.DUMMYFUNCTION("""COMPUTED_VALUE"""),"Ingeniería Biomédica")</f>
        <v>Ingeniería Biomédica</v>
      </c>
      <c r="J359" s="2" t="str">
        <f>IFERROR(__xludf.DUMMYFUNCTION("""COMPUTED_VALUE"""),"Grado")</f>
        <v>Grado</v>
      </c>
      <c r="K359" s="2" t="str">
        <f>IFERROR(__xludf.DUMMYFUNCTION("""COMPUTED_VALUE"""),"Inglés")</f>
        <v>Inglés</v>
      </c>
      <c r="L359" s="2"/>
      <c r="M359" s="2"/>
      <c r="N359" s="2"/>
      <c r="O359" s="2" t="str">
        <f>IFERROR(__xludf.DUMMYFUNCTION("""COMPUTED_VALUE"""),"Más información / Informazio gehigarria")</f>
        <v>Más información / Informazio gehigarria</v>
      </c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30.0" customHeight="1">
      <c r="A360" s="2" t="str">
        <f>IFERROR(__xludf.DUMMYFUNCTION("""COMPUTED_VALUE"""),"Estonia")</f>
        <v>Estonia</v>
      </c>
      <c r="B360" s="2" t="str">
        <f>IFERROR(__xludf.DUMMYFUNCTION("""COMPUTED_VALUE"""),"EE TALLINN02")</f>
        <v>EE TALLINN02</v>
      </c>
      <c r="C360" s="3" t="str">
        <f>IFERROR(__xludf.DUMMYFUNCTION("""COMPUTED_VALUE"""),"Estonian Business School")</f>
        <v>Estonian Business School</v>
      </c>
      <c r="D360" s="2" t="str">
        <f>IFERROR(__xludf.DUMMYFUNCTION("""COMPUTED_VALUE"""),"Erasmus+")</f>
        <v>Erasmus+</v>
      </c>
      <c r="E360" s="2">
        <f>IFERROR(__xludf.DUMMYFUNCTION("""COMPUTED_VALUE"""),2.0)</f>
        <v>2</v>
      </c>
      <c r="F360" s="2" t="str">
        <f>IFERROR(__xludf.DUMMYFUNCTION("""COMPUTED_VALUE"""),"2do Semestre")</f>
        <v>2do Semestre</v>
      </c>
      <c r="G360" s="2" t="str">
        <f>IFERROR(__xludf.DUMMYFUNCTION("""COMPUTED_VALUE"""),"Bilbao")</f>
        <v>Bilbao</v>
      </c>
      <c r="H360" s="2" t="str">
        <f>IFERROR(__xludf.DUMMYFUNCTION("""COMPUTED_VALUE"""),"Deusto Business School")</f>
        <v>Deusto Business School</v>
      </c>
      <c r="I360" s="2" t="str">
        <f>IFERROR(__xludf.DUMMYFUNCTION("""COMPUTED_VALUE"""),"Administración y Dirección de Empresas")</f>
        <v>Administración y Dirección de Empresas</v>
      </c>
      <c r="J360" s="2" t="str">
        <f>IFERROR(__xludf.DUMMYFUNCTION("""COMPUTED_VALUE"""),"Grado")</f>
        <v>Grado</v>
      </c>
      <c r="K360" s="2" t="str">
        <f>IFERROR(__xludf.DUMMYFUNCTION("""COMPUTED_VALUE"""),"Inglés")</f>
        <v>Inglés</v>
      </c>
      <c r="L360" s="2" t="str">
        <f>IFERROR(__xludf.DUMMYFUNCTION("""COMPUTED_VALUE"""),"C1")</f>
        <v>C1</v>
      </c>
      <c r="M360" s="2" t="str">
        <f>IFERROR(__xludf.DUMMYFUNCTION("""COMPUTED_VALUE"""),"Sí")</f>
        <v>Sí</v>
      </c>
      <c r="N360" s="3" t="str">
        <f>IFERROR(__xludf.DUMMYFUNCTION("""COMPUTED_VALUE"""),"https://ebs.ee/en/international/incoming-students")</f>
        <v>https://ebs.ee/en/international/incoming-students</v>
      </c>
      <c r="O360" s="3" t="str">
        <f>IFERROR(__xludf.DUMMYFUNCTION("""COMPUTED_VALUE"""),"Más información / Informazio gehigarria")</f>
        <v>Más información / Informazio gehigarria</v>
      </c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30.0" customHeight="1">
      <c r="A361" s="2" t="str">
        <f>IFERROR(__xludf.DUMMYFUNCTION("""COMPUTED_VALUE"""),"Estonia")</f>
        <v>Estonia</v>
      </c>
      <c r="B361" s="2" t="str">
        <f>IFERROR(__xludf.DUMMYFUNCTION("""COMPUTED_VALUE"""),"EE TARTU02")</f>
        <v>EE TARTU02</v>
      </c>
      <c r="C361" s="3" t="str">
        <f>IFERROR(__xludf.DUMMYFUNCTION("""COMPUTED_VALUE"""),"University of Tartu")</f>
        <v>University of Tartu</v>
      </c>
      <c r="D361" s="2" t="str">
        <f>IFERROR(__xludf.DUMMYFUNCTION("""COMPUTED_VALUE"""),"Erasmus+")</f>
        <v>Erasmus+</v>
      </c>
      <c r="E361" s="2">
        <f>IFERROR(__xludf.DUMMYFUNCTION("""COMPUTED_VALUE"""),2.0)</f>
        <v>2</v>
      </c>
      <c r="F361" s="2" t="str">
        <f>IFERROR(__xludf.DUMMYFUNCTION("""COMPUTED_VALUE"""),"Semestre")</f>
        <v>Semestre</v>
      </c>
      <c r="G361" s="2" t="str">
        <f>IFERROR(__xludf.DUMMYFUNCTION("""COMPUTED_VALUE"""),"Bilbao")</f>
        <v>Bilbao</v>
      </c>
      <c r="H361" s="2" t="str">
        <f>IFERROR(__xludf.DUMMYFUNCTION("""COMPUTED_VALUE"""),"Derecho")</f>
        <v>Derecho</v>
      </c>
      <c r="I361" s="2" t="str">
        <f>IFERROR(__xludf.DUMMYFUNCTION("""COMPUTED_VALUE"""),"Derecho, Derecho + Relaciones Laborales")</f>
        <v>Derecho, Derecho + Relaciones Laborales</v>
      </c>
      <c r="J361" s="2" t="str">
        <f>IFERROR(__xludf.DUMMYFUNCTION("""COMPUTED_VALUE"""),"Grado")</f>
        <v>Grado</v>
      </c>
      <c r="K361" s="2" t="str">
        <f>IFERROR(__xludf.DUMMYFUNCTION("""COMPUTED_VALUE"""),"Inglés")</f>
        <v>Inglés</v>
      </c>
      <c r="L361" s="2" t="str">
        <f>IFERROR(__xludf.DUMMYFUNCTION("""COMPUTED_VALUE"""),"B2")</f>
        <v>B2</v>
      </c>
      <c r="M361" s="2" t="str">
        <f>IFERROR(__xludf.DUMMYFUNCTION("""COMPUTED_VALUE"""),"Sí")</f>
        <v>Sí</v>
      </c>
      <c r="N361" s="3" t="str">
        <f>IFERROR(__xludf.DUMMYFUNCTION("""COMPUTED_VALUE"""),"https://ut.ee/en/english-language-requirements")</f>
        <v>https://ut.ee/en/english-language-requirements</v>
      </c>
      <c r="O361" s="3" t="str">
        <f>IFERROR(__xludf.DUMMYFUNCTION("""COMPUTED_VALUE"""),"Más información / Informazio gehigarria")</f>
        <v>Más información / Informazio gehigarria</v>
      </c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30.0" customHeight="1">
      <c r="A362" s="2" t="str">
        <f>IFERROR(__xludf.DUMMYFUNCTION("""COMPUTED_VALUE"""),"Estonia")</f>
        <v>Estonia</v>
      </c>
      <c r="B362" s="2" t="str">
        <f>IFERROR(__xludf.DUMMYFUNCTION("""COMPUTED_VALUE"""),"EE TARTU02")</f>
        <v>EE TARTU02</v>
      </c>
      <c r="C362" s="3" t="str">
        <f>IFERROR(__xludf.DUMMYFUNCTION("""COMPUTED_VALUE"""),"University of Tartu")</f>
        <v>University of Tartu</v>
      </c>
      <c r="D362" s="2" t="str">
        <f>IFERROR(__xludf.DUMMYFUNCTION("""COMPUTED_VALUE"""),"Erasmus+")</f>
        <v>Erasmus+</v>
      </c>
      <c r="E362" s="2">
        <f>IFERROR(__xludf.DUMMYFUNCTION("""COMPUTED_VALUE"""),2.0)</f>
        <v>2</v>
      </c>
      <c r="F362" s="2" t="str">
        <f>IFERROR(__xludf.DUMMYFUNCTION("""COMPUTED_VALUE"""),"Semestre")</f>
        <v>Semestre</v>
      </c>
      <c r="G362" s="2" t="str">
        <f>IFERROR(__xludf.DUMMYFUNCTION("""COMPUTED_VALUE"""),"Bilbao")</f>
        <v>Bilbao</v>
      </c>
      <c r="H362" s="2" t="str">
        <f>IFERROR(__xludf.DUMMYFUNCTION("""COMPUTED_VALUE"""),"Begoñako Andramari, BAM")</f>
        <v>Begoñako Andramari, BAM</v>
      </c>
      <c r="I362" s="2" t="str">
        <f>IFERROR(__xludf.DUMMYFUNCTION("""COMPUTED_VALUE"""),"Educación Primaria, Educación Infantil")</f>
        <v>Educación Primaria, Educación Infantil</v>
      </c>
      <c r="J362" s="2" t="str">
        <f>IFERROR(__xludf.DUMMYFUNCTION("""COMPUTED_VALUE"""),"Grado")</f>
        <v>Grado</v>
      </c>
      <c r="K362" s="2" t="str">
        <f>IFERROR(__xludf.DUMMYFUNCTION("""COMPUTED_VALUE"""),"Inglés")</f>
        <v>Inglés</v>
      </c>
      <c r="L362" s="2" t="str">
        <f>IFERROR(__xludf.DUMMYFUNCTION("""COMPUTED_VALUE"""),"B2")</f>
        <v>B2</v>
      </c>
      <c r="M362" s="2" t="str">
        <f>IFERROR(__xludf.DUMMYFUNCTION("""COMPUTED_VALUE"""),"Sí")</f>
        <v>Sí</v>
      </c>
      <c r="N362" s="3" t="str">
        <f>IFERROR(__xludf.DUMMYFUNCTION("""COMPUTED_VALUE"""),"https://ut.ee/en/english-language-requirements")</f>
        <v>https://ut.ee/en/english-language-requirements</v>
      </c>
      <c r="O362" s="3" t="str">
        <f>IFERROR(__xludf.DUMMYFUNCTION("""COMPUTED_VALUE"""),"Más información / Informazio gehigarria")</f>
        <v>Más información / Informazio gehigarria</v>
      </c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30.0" customHeight="1">
      <c r="A363" s="2" t="str">
        <f>IFERROR(__xludf.DUMMYFUNCTION("""COMPUTED_VALUE"""),"Filipinas")</f>
        <v>Filipinas</v>
      </c>
      <c r="B363" s="2" t="str">
        <f>IFERROR(__xludf.DUMMYFUNCTION("""COMPUTED_VALUE"""),"PI MANILA01")</f>
        <v>PI MANILA01</v>
      </c>
      <c r="C363" s="3" t="str">
        <f>IFERROR(__xludf.DUMMYFUNCTION("""COMPUTED_VALUE"""),"Ateneo de Manila")</f>
        <v>Ateneo de Manila</v>
      </c>
      <c r="D363" s="2" t="str">
        <f>IFERROR(__xludf.DUMMYFUNCTION("""COMPUTED_VALUE"""),"Ac. Bilaterales (no Erasmus)")</f>
        <v>Ac. Bilaterales (no Erasmus)</v>
      </c>
      <c r="E363" s="2">
        <f>IFERROR(__xludf.DUMMYFUNCTION("""COMPUTED_VALUE"""),2.0)</f>
        <v>2</v>
      </c>
      <c r="F363" s="2" t="str">
        <f>IFERROR(__xludf.DUMMYFUNCTION("""COMPUTED_VALUE"""),"Semestre")</f>
        <v>Semestre</v>
      </c>
      <c r="G363" s="2" t="str">
        <f>IFERROR(__xludf.DUMMYFUNCTION("""COMPUTED_VALUE"""),"Ambos")</f>
        <v>Ambos</v>
      </c>
      <c r="H363" s="2" t="str">
        <f>IFERROR(__xludf.DUMMYFUNCTION("""COMPUTED_VALUE"""),"Derecho")</f>
        <v>Derecho</v>
      </c>
      <c r="I363" s="2" t="str">
        <f>IFERROR(__xludf.DUMMYFUNCTION("""COMPUTED_VALUE"""),"Derecho, Derecho + Relaciones Laborales")</f>
        <v>Derecho, Derecho + Relaciones Laborales</v>
      </c>
      <c r="J363" s="2" t="str">
        <f>IFERROR(__xludf.DUMMYFUNCTION("""COMPUTED_VALUE"""),"Grado")</f>
        <v>Grado</v>
      </c>
      <c r="K363" s="2" t="str">
        <f>IFERROR(__xludf.DUMMYFUNCTION("""COMPUTED_VALUE"""),"Inglés")</f>
        <v>Inglés</v>
      </c>
      <c r="L363" s="2" t="str">
        <f>IFERROR(__xludf.DUMMYFUNCTION("""COMPUTED_VALUE"""),"B2")</f>
        <v>B2</v>
      </c>
      <c r="M363" s="2" t="str">
        <f>IFERROR(__xludf.DUMMYFUNCTION("""COMPUTED_VALUE"""),"Sí")</f>
        <v>Sí</v>
      </c>
      <c r="N363" s="3" t="str">
        <f>IFERROR(__xludf.DUMMYFUNCTION("""COMPUTED_VALUE"""),"https://global.ateneo.edu/partnerships/office-of-university-and-global-relations/internationalization-opportunities/student-mobility")</f>
        <v>https://global.ateneo.edu/partnerships/office-of-university-and-global-relations/internationalization-opportunities/student-mobility</v>
      </c>
      <c r="O363" s="3" t="str">
        <f>IFERROR(__xludf.DUMMYFUNCTION("""COMPUTED_VALUE"""),"Más información / Informazio gehigarria")</f>
        <v>Más información / Informazio gehigarria</v>
      </c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30.0" customHeight="1">
      <c r="A364" s="2" t="str">
        <f>IFERROR(__xludf.DUMMYFUNCTION("""COMPUTED_VALUE"""),"Filipinas")</f>
        <v>Filipinas</v>
      </c>
      <c r="B364" s="2" t="str">
        <f>IFERROR(__xludf.DUMMYFUNCTION("""COMPUTED_VALUE"""),"PI MANILA01")</f>
        <v>PI MANILA01</v>
      </c>
      <c r="C364" s="3" t="str">
        <f>IFERROR(__xludf.DUMMYFUNCTION("""COMPUTED_VALUE"""),"Ateneo de Manila")</f>
        <v>Ateneo de Manila</v>
      </c>
      <c r="D364" s="2" t="str">
        <f>IFERROR(__xludf.DUMMYFUNCTION("""COMPUTED_VALUE"""),"Ac. Bilaterales (no Erasmus)")</f>
        <v>Ac. Bilaterales (no Erasmus)</v>
      </c>
      <c r="E364" s="2">
        <f>IFERROR(__xludf.DUMMYFUNCTION("""COMPUTED_VALUE"""),2.0)</f>
        <v>2</v>
      </c>
      <c r="F364" s="2" t="str">
        <f>IFERROR(__xludf.DUMMYFUNCTION("""COMPUTED_VALUE"""),"Anual")</f>
        <v>Anual</v>
      </c>
      <c r="G364" s="2" t="str">
        <f>IFERROR(__xludf.DUMMYFUNCTION("""COMPUTED_VALUE"""),"Bilbao")</f>
        <v>Bilbao</v>
      </c>
      <c r="H364" s="2" t="str">
        <f>IFERROR(__xludf.DUMMYFUNCTION("""COMPUTED_VALUE"""),"Ciencias Sociales y Humanas")</f>
        <v>Ciencias Sociales y Humanas</v>
      </c>
      <c r="I364" s="2" t="str">
        <f>IFERROR(__xludf.DUMMYFUNCTION("""COMPUTED_VALUE"""),"Relaciones Internacionales, Relaciones Internacionales + Derecho")</f>
        <v>Relaciones Internacionales, Relaciones Internacionales + Derecho</v>
      </c>
      <c r="J364" s="2" t="str">
        <f>IFERROR(__xludf.DUMMYFUNCTION("""COMPUTED_VALUE"""),"Grado")</f>
        <v>Grado</v>
      </c>
      <c r="K364" s="2" t="str">
        <f>IFERROR(__xludf.DUMMYFUNCTION("""COMPUTED_VALUE"""),"Inglés")</f>
        <v>Inglés</v>
      </c>
      <c r="L364" s="2" t="str">
        <f>IFERROR(__xludf.DUMMYFUNCTION("""COMPUTED_VALUE"""),"B2")</f>
        <v>B2</v>
      </c>
      <c r="M364" s="2" t="str">
        <f>IFERROR(__xludf.DUMMYFUNCTION("""COMPUTED_VALUE"""),"Sí")</f>
        <v>Sí</v>
      </c>
      <c r="N364" s="3" t="str">
        <f>IFERROR(__xludf.DUMMYFUNCTION("""COMPUTED_VALUE"""),"https://global.ateneo.edu/partnerships/office-of-university-and-global-relations/internationalization-opportunities/student-mobility")</f>
        <v>https://global.ateneo.edu/partnerships/office-of-university-and-global-relations/internationalization-opportunities/student-mobility</v>
      </c>
      <c r="O364" s="3" t="str">
        <f>IFERROR(__xludf.DUMMYFUNCTION("""COMPUTED_VALUE"""),"Más información / Informazio gehigarria")</f>
        <v>Más información / Informazio gehigarria</v>
      </c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30.0" customHeight="1">
      <c r="A365" s="2" t="str">
        <f>IFERROR(__xludf.DUMMYFUNCTION("""COMPUTED_VALUE"""),"Filipinas")</f>
        <v>Filipinas</v>
      </c>
      <c r="B365" s="2"/>
      <c r="C365" s="3" t="str">
        <f>IFERROR(__xludf.DUMMYFUNCTION("""COMPUTED_VALUE"""),"Xavier University")</f>
        <v>Xavier University</v>
      </c>
      <c r="D365" s="2" t="str">
        <f>IFERROR(__xludf.DUMMYFUNCTION("""COMPUTED_VALUE"""),"Ac. Bilaterales (no Erasmus)")</f>
        <v>Ac. Bilaterales (no Erasmus)</v>
      </c>
      <c r="E365" s="2">
        <f>IFERROR(__xludf.DUMMYFUNCTION("""COMPUTED_VALUE"""),1.0)</f>
        <v>1</v>
      </c>
      <c r="F365" s="2" t="str">
        <f>IFERROR(__xludf.DUMMYFUNCTION("""COMPUTED_VALUE"""),"Anual")</f>
        <v>Anual</v>
      </c>
      <c r="G365" s="2" t="str">
        <f>IFERROR(__xludf.DUMMYFUNCTION("""COMPUTED_VALUE"""),"Ambos")</f>
        <v>Ambos</v>
      </c>
      <c r="H365" s="2" t="str">
        <f>IFERROR(__xludf.DUMMYFUNCTION("""COMPUTED_VALUE"""),"Ciencias Sociales y Humanas")</f>
        <v>Ciencias Sociales y Humanas</v>
      </c>
      <c r="I365" s="2" t="str">
        <f>IFERROR(__xludf.DUMMYFUNCTION("""COMPUTED_VALUE"""),"Relaciones Internacionales")</f>
        <v>Relaciones Internacionales</v>
      </c>
      <c r="J365" s="2" t="str">
        <f>IFERROR(__xludf.DUMMYFUNCTION("""COMPUTED_VALUE"""),"Grado")</f>
        <v>Grado</v>
      </c>
      <c r="K365" s="2" t="str">
        <f>IFERROR(__xludf.DUMMYFUNCTION("""COMPUTED_VALUE"""),"Inglés")</f>
        <v>Inglés</v>
      </c>
      <c r="L365" s="2"/>
      <c r="M365" s="2"/>
      <c r="N365" s="3" t="str">
        <f>IFERROR(__xludf.DUMMYFUNCTION("""COMPUTED_VALUE"""),"https://www.xu.edu.ph/")</f>
        <v>https://www.xu.edu.ph/</v>
      </c>
      <c r="O365" s="3" t="str">
        <f>IFERROR(__xludf.DUMMYFUNCTION("""COMPUTED_VALUE"""),"Más información / Informazio gehigarria")</f>
        <v>Más información / Informazio gehigarria</v>
      </c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30.0" customHeight="1">
      <c r="A366" s="2" t="str">
        <f>IFERROR(__xludf.DUMMYFUNCTION("""COMPUTED_VALUE"""),"Filipinas")</f>
        <v>Filipinas</v>
      </c>
      <c r="B366" s="2"/>
      <c r="C366" s="3" t="str">
        <f>IFERROR(__xludf.DUMMYFUNCTION("""COMPUTED_VALUE"""),"Xavier University")</f>
        <v>Xavier University</v>
      </c>
      <c r="D366" s="2" t="str">
        <f>IFERROR(__xludf.DUMMYFUNCTION("""COMPUTED_VALUE"""),"Ac. Bilaterales (no Erasmus)")</f>
        <v>Ac. Bilaterales (no Erasmus)</v>
      </c>
      <c r="E366" s="2">
        <f>IFERROR(__xludf.DUMMYFUNCTION("""COMPUTED_VALUE"""),3.0)</f>
        <v>3</v>
      </c>
      <c r="F366" s="2" t="str">
        <f>IFERROR(__xludf.DUMMYFUNCTION("""COMPUTED_VALUE"""),"Semestre")</f>
        <v>Semestre</v>
      </c>
      <c r="G366" s="2" t="str">
        <f>IFERROR(__xludf.DUMMYFUNCTION("""COMPUTED_VALUE"""),"Ambos")</f>
        <v>Ambos</v>
      </c>
      <c r="H366" s="2" t="str">
        <f>IFERROR(__xludf.DUMMYFUNCTION("""COMPUTED_VALUE"""),"Ciencias Sociales y Humanas")</f>
        <v>Ciencias Sociales y Humanas</v>
      </c>
      <c r="I366" s="2" t="str">
        <f>IFERROR(__xludf.DUMMYFUNCTION("""COMPUTED_VALUE"""),"Relaciones Internacionales + Derecho")</f>
        <v>Relaciones Internacionales + Derecho</v>
      </c>
      <c r="J366" s="2" t="str">
        <f>IFERROR(__xludf.DUMMYFUNCTION("""COMPUTED_VALUE"""),"Grado")</f>
        <v>Grado</v>
      </c>
      <c r="K366" s="2" t="str">
        <f>IFERROR(__xludf.DUMMYFUNCTION("""COMPUTED_VALUE"""),"Inglés")</f>
        <v>Inglés</v>
      </c>
      <c r="L366" s="2"/>
      <c r="M366" s="2"/>
      <c r="N366" s="3" t="str">
        <f>IFERROR(__xludf.DUMMYFUNCTION("""COMPUTED_VALUE"""),"https://www.xu.edu.ph/")</f>
        <v>https://www.xu.edu.ph/</v>
      </c>
      <c r="O366" s="3" t="str">
        <f>IFERROR(__xludf.DUMMYFUNCTION("""COMPUTED_VALUE"""),"Más información / Informazio gehigarria")</f>
        <v>Más información / Informazio gehigarria</v>
      </c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30.0" customHeight="1">
      <c r="A367" s="2" t="str">
        <f>IFERROR(__xludf.DUMMYFUNCTION("""COMPUTED_VALUE"""),"Finlandia")</f>
        <v>Finlandia</v>
      </c>
      <c r="B367" s="2" t="str">
        <f>IFERROR(__xludf.DUMMYFUNCTION("""COMPUTED_VALUE"""),"SF TURKU02")</f>
        <v>SF TURKU02</v>
      </c>
      <c r="C367" s="3" t="str">
        <f>IFERROR(__xludf.DUMMYFUNCTION("""COMPUTED_VALUE"""),"Abo Akademi University")</f>
        <v>Abo Akademi University</v>
      </c>
      <c r="D367" s="2" t="str">
        <f>IFERROR(__xludf.DUMMYFUNCTION("""COMPUTED_VALUE"""),"Erasmus+")</f>
        <v>Erasmus+</v>
      </c>
      <c r="E367" s="2">
        <f>IFERROR(__xludf.DUMMYFUNCTION("""COMPUTED_VALUE"""),4.0)</f>
        <v>4</v>
      </c>
      <c r="F367" s="2" t="str">
        <f>IFERROR(__xludf.DUMMYFUNCTION("""COMPUTED_VALUE"""),"Semestre")</f>
        <v>Semestre</v>
      </c>
      <c r="G367" s="2" t="str">
        <f>IFERROR(__xludf.DUMMYFUNCTION("""COMPUTED_VALUE"""),"Bilbao")</f>
        <v>Bilbao</v>
      </c>
      <c r="H367" s="2" t="str">
        <f>IFERROR(__xludf.DUMMYFUNCTION("""COMPUTED_VALUE"""),"Derecho")</f>
        <v>Derecho</v>
      </c>
      <c r="I367" s="2" t="str">
        <f>IFERROR(__xludf.DUMMYFUNCTION("""COMPUTED_VALUE"""),"Derecho, Derecho + Relaciones Laborales")</f>
        <v>Derecho, Derecho + Relaciones Laborales</v>
      </c>
      <c r="J367" s="2" t="str">
        <f>IFERROR(__xludf.DUMMYFUNCTION("""COMPUTED_VALUE"""),"Grado")</f>
        <v>Grado</v>
      </c>
      <c r="K367" s="2" t="str">
        <f>IFERROR(__xludf.DUMMYFUNCTION("""COMPUTED_VALUE"""),"Inglés")</f>
        <v>Inglés</v>
      </c>
      <c r="L367" s="2" t="str">
        <f>IFERROR(__xludf.DUMMYFUNCTION("""COMPUTED_VALUE"""),"B2")</f>
        <v>B2</v>
      </c>
      <c r="M367" s="2" t="str">
        <f>IFERROR(__xludf.DUMMYFUNCTION("""COMPUTED_VALUE"""),"No")</f>
        <v>No</v>
      </c>
      <c r="N367" s="3" t="str">
        <f>IFERROR(__xludf.DUMMYFUNCTION("""COMPUTED_VALUE"""),"https://www.abo.fi/en/study/study-abroad/exchange-students/how-to-apply/")</f>
        <v>https://www.abo.fi/en/study/study-abroad/exchange-students/how-to-apply/</v>
      </c>
      <c r="O367" s="3" t="str">
        <f>IFERROR(__xludf.DUMMYFUNCTION("""COMPUTED_VALUE"""),"Más información / Informazio gehigarria")</f>
        <v>Más información / Informazio gehigarria</v>
      </c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30.0" customHeight="1">
      <c r="A368" s="2" t="str">
        <f>IFERROR(__xludf.DUMMYFUNCTION("""COMPUTED_VALUE"""),"Finlandia")</f>
        <v>Finlandia</v>
      </c>
      <c r="B368" s="2" t="str">
        <f>IFERROR(__xludf.DUMMYFUNCTION("""COMPUTED_VALUE"""),"SF HELSINK40")</f>
        <v>SF HELSINK40</v>
      </c>
      <c r="C368" s="3" t="str">
        <f>IFERROR(__xludf.DUMMYFUNCTION("""COMPUTED_VALUE"""),"Haaga-Helia University of Applied Sciences")</f>
        <v>Haaga-Helia University of Applied Sciences</v>
      </c>
      <c r="D368" s="2" t="str">
        <f>IFERROR(__xludf.DUMMYFUNCTION("""COMPUTED_VALUE"""),"Erasmus+")</f>
        <v>Erasmus+</v>
      </c>
      <c r="E368" s="2">
        <f>IFERROR(__xludf.DUMMYFUNCTION("""COMPUTED_VALUE"""),2.0)</f>
        <v>2</v>
      </c>
      <c r="F368" s="2" t="str">
        <f>IFERROR(__xludf.DUMMYFUNCTION("""COMPUTED_VALUE"""),"Semestre")</f>
        <v>Semestre</v>
      </c>
      <c r="G368" s="2" t="str">
        <f>IFERROR(__xludf.DUMMYFUNCTION("""COMPUTED_VALUE"""),"Bilbao")</f>
        <v>Bilbao</v>
      </c>
      <c r="H368" s="2" t="str">
        <f>IFERROR(__xludf.DUMMYFUNCTION("""COMPUTED_VALUE"""),"Ciencias Sociales y Humanas")</f>
        <v>Ciencias Sociales y Humanas</v>
      </c>
      <c r="I368" s="2" t="str">
        <f>IFERROR(__xludf.DUMMYFUNCTION("""COMPUTED_VALUE"""),"Turismo")</f>
        <v>Turismo</v>
      </c>
      <c r="J368" s="2" t="str">
        <f>IFERROR(__xludf.DUMMYFUNCTION("""COMPUTED_VALUE"""),"Grado")</f>
        <v>Grado</v>
      </c>
      <c r="K368" s="2" t="str">
        <f>IFERROR(__xludf.DUMMYFUNCTION("""COMPUTED_VALUE"""),"Inglés")</f>
        <v>Inglés</v>
      </c>
      <c r="L368" s="2" t="str">
        <f>IFERROR(__xludf.DUMMYFUNCTION("""COMPUTED_VALUE"""),"B2")</f>
        <v>B2</v>
      </c>
      <c r="M368" s="2" t="str">
        <f>IFERROR(__xludf.DUMMYFUNCTION("""COMPUTED_VALUE"""),"Sí")</f>
        <v>Sí</v>
      </c>
      <c r="N368" s="3" t="str">
        <f>IFERROR(__xludf.DUMMYFUNCTION("""COMPUTED_VALUE"""),"https://www.haaga-helia.fi/en/how-apply-student-exchange-haaga-helia")</f>
        <v>https://www.haaga-helia.fi/en/how-apply-student-exchange-haaga-helia</v>
      </c>
      <c r="O368" s="3" t="str">
        <f>IFERROR(__xludf.DUMMYFUNCTION("""COMPUTED_VALUE"""),"Más información / Informazio gehigarria")</f>
        <v>Más información / Informazio gehigarria</v>
      </c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30.0" customHeight="1">
      <c r="A369" s="2" t="str">
        <f>IFERROR(__xludf.DUMMYFUNCTION("""COMPUTED_VALUE"""),"Finlandia")</f>
        <v>Finlandia</v>
      </c>
      <c r="B369" s="2" t="str">
        <f>IFERROR(__xludf.DUMMYFUNCTION("""COMPUTED_VALUE"""),"SF JOENSUU09")</f>
        <v>SF JOENSUU09</v>
      </c>
      <c r="C369" s="3" t="str">
        <f>IFERROR(__xludf.DUMMYFUNCTION("""COMPUTED_VALUE"""),"Karelia University of Applied Sciences")</f>
        <v>Karelia University of Applied Sciences</v>
      </c>
      <c r="D369" s="2" t="str">
        <f>IFERROR(__xludf.DUMMYFUNCTION("""COMPUTED_VALUE"""),"Erasmus+")</f>
        <v>Erasmus+</v>
      </c>
      <c r="E369" s="2">
        <f>IFERROR(__xludf.DUMMYFUNCTION("""COMPUTED_VALUE"""),2.0)</f>
        <v>2</v>
      </c>
      <c r="F369" s="2" t="str">
        <f>IFERROR(__xludf.DUMMYFUNCTION("""COMPUTED_VALUE"""),"Semestre")</f>
        <v>Semestre</v>
      </c>
      <c r="G369" s="2" t="str">
        <f>IFERROR(__xludf.DUMMYFUNCTION("""COMPUTED_VALUE"""),"San Sebastián")</f>
        <v>San Sebastián</v>
      </c>
      <c r="H369" s="2" t="str">
        <f>IFERROR(__xludf.DUMMYFUNCTION("""COMPUTED_VALUE"""),"Deusto Business School")</f>
        <v>Deusto Business School</v>
      </c>
      <c r="I369" s="2" t="str">
        <f>IFERROR(__xludf.DUMMYFUNCTION("""COMPUTED_VALUE"""),"Administración y Dirección de Empresas")</f>
        <v>Administración y Dirección de Empresas</v>
      </c>
      <c r="J369" s="2" t="str">
        <f>IFERROR(__xludf.DUMMYFUNCTION("""COMPUTED_VALUE"""),"Grado")</f>
        <v>Grado</v>
      </c>
      <c r="K369" s="2" t="str">
        <f>IFERROR(__xludf.DUMMYFUNCTION("""COMPUTED_VALUE"""),"Inglés")</f>
        <v>Inglés</v>
      </c>
      <c r="L369" s="2" t="str">
        <f>IFERROR(__xludf.DUMMYFUNCTION("""COMPUTED_VALUE"""),"B2")</f>
        <v>B2</v>
      </c>
      <c r="M369" s="2" t="str">
        <f>IFERROR(__xludf.DUMMYFUNCTION("""COMPUTED_VALUE"""),"Sí")</f>
        <v>Sí</v>
      </c>
      <c r="N369" s="3" t="str">
        <f>IFERROR(__xludf.DUMMYFUNCTION("""COMPUTED_VALUE"""),"https://www.karelia.fi/en/new-students/exchange-students/")</f>
        <v>https://www.karelia.fi/en/new-students/exchange-students/</v>
      </c>
      <c r="O369" s="3" t="str">
        <f>IFERROR(__xludf.DUMMYFUNCTION("""COMPUTED_VALUE"""),"Más información / Informazio gehigarria")</f>
        <v>Más información / Informazio gehigarria</v>
      </c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30.0" customHeight="1">
      <c r="A370" s="2" t="str">
        <f>IFERROR(__xludf.DUMMYFUNCTION("""COMPUTED_VALUE"""),"Finlandia")</f>
        <v>Finlandia</v>
      </c>
      <c r="B370" s="2" t="str">
        <f>IFERROR(__xludf.DUMMYFUNCTION("""COMPUTED_VALUE"""),"SF LAPPEEN01")</f>
        <v>SF LAPPEEN01</v>
      </c>
      <c r="C370" s="3" t="str">
        <f>IFERROR(__xludf.DUMMYFUNCTION("""COMPUTED_VALUE"""),"Lappeenranta LUT University of Technology")</f>
        <v>Lappeenranta LUT University of Technology</v>
      </c>
      <c r="D370" s="2" t="str">
        <f>IFERROR(__xludf.DUMMYFUNCTION("""COMPUTED_VALUE"""),"Erasmus+")</f>
        <v>Erasmus+</v>
      </c>
      <c r="E370" s="2">
        <f>IFERROR(__xludf.DUMMYFUNCTION("""COMPUTED_VALUE"""),3.0)</f>
        <v>3</v>
      </c>
      <c r="F370" s="2" t="str">
        <f>IFERROR(__xludf.DUMMYFUNCTION("""COMPUTED_VALUE"""),"Semestre")</f>
        <v>Semestre</v>
      </c>
      <c r="G370" s="2" t="str">
        <f>IFERROR(__xludf.DUMMYFUNCTION("""COMPUTED_VALUE"""),"Ambos")</f>
        <v>Ambos</v>
      </c>
      <c r="H370" s="2" t="str">
        <f>IFERROR(__xludf.DUMMYFUNCTION("""COMPUTED_VALUE"""),"Ingeniería")</f>
        <v>Ingeniería</v>
      </c>
      <c r="I370" s="2" t="str">
        <f>IFERROR(__xludf.DUMMYFUNCTION("""COMPUTED_VALUE"""),"Ingeniería Informática, Tecnologías Industriales, Electrónica y Automática, Ciencia de Datos e IA + Ingeniería Informática, Ingeniería Informática + Videojuegos")</f>
        <v>Ingeniería Informática, Tecnologías Industriales, Electrónica y Automática, Ciencia de Datos e IA + Ingeniería Informática, Ingeniería Informática + Videojuegos</v>
      </c>
      <c r="J370" s="2" t="str">
        <f>IFERROR(__xludf.DUMMYFUNCTION("""COMPUTED_VALUE"""),"Grado")</f>
        <v>Grado</v>
      </c>
      <c r="K370" s="2" t="str">
        <f>IFERROR(__xludf.DUMMYFUNCTION("""COMPUTED_VALUE"""),"Inglés")</f>
        <v>Inglés</v>
      </c>
      <c r="L370" s="2" t="str">
        <f>IFERROR(__xludf.DUMMYFUNCTION("""COMPUTED_VALUE"""),"B2")</f>
        <v>B2</v>
      </c>
      <c r="M370" s="2" t="str">
        <f>IFERROR(__xludf.DUMMYFUNCTION("""COMPUTED_VALUE"""),"Sí")</f>
        <v>Sí</v>
      </c>
      <c r="N370" s="3" t="str">
        <f>IFERROR(__xludf.DUMMYFUNCTION("""COMPUTED_VALUE"""),"https://www.lut.fi/en/studies/apply-lut/applying-exchange-studies")</f>
        <v>https://www.lut.fi/en/studies/apply-lut/applying-exchange-studies</v>
      </c>
      <c r="O370" s="3" t="str">
        <f>IFERROR(__xludf.DUMMYFUNCTION("""COMPUTED_VALUE"""),"Más información / Informazio gehigarria")</f>
        <v>Más información / Informazio gehigarria</v>
      </c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30.0" customHeight="1">
      <c r="A371" s="2" t="str">
        <f>IFERROR(__xludf.DUMMYFUNCTION("""COMPUTED_VALUE"""),"Finlandia")</f>
        <v>Finlandia</v>
      </c>
      <c r="B371" s="2" t="str">
        <f>IFERROR(__xludf.DUMMYFUNCTION("""COMPUTED_VALUE"""),"SF LAPPEEN01")</f>
        <v>SF LAPPEEN01</v>
      </c>
      <c r="C371" s="3" t="str">
        <f>IFERROR(__xludf.DUMMYFUNCTION("""COMPUTED_VALUE"""),"Lappeenranta LUT University of Technology")</f>
        <v>Lappeenranta LUT University of Technology</v>
      </c>
      <c r="D371" s="2" t="str">
        <f>IFERROR(__xludf.DUMMYFUNCTION("""COMPUTED_VALUE"""),"Erasmus+")</f>
        <v>Erasmus+</v>
      </c>
      <c r="E371" s="2">
        <f>IFERROR(__xludf.DUMMYFUNCTION("""COMPUTED_VALUE"""),2.0)</f>
        <v>2</v>
      </c>
      <c r="F371" s="2" t="str">
        <f>IFERROR(__xludf.DUMMYFUNCTION("""COMPUTED_VALUE"""),"Semestre")</f>
        <v>Semestre</v>
      </c>
      <c r="G371" s="2" t="str">
        <f>IFERROR(__xludf.DUMMYFUNCTION("""COMPUTED_VALUE"""),"Bilbao")</f>
        <v>Bilbao</v>
      </c>
      <c r="H371" s="2" t="str">
        <f>IFERROR(__xludf.DUMMYFUNCTION("""COMPUTED_VALUE"""),"Deusto Business School")</f>
        <v>Deusto Business School</v>
      </c>
      <c r="I371" s="2" t="str">
        <f>IFERROR(__xludf.DUMMYFUNCTION("""COMPUTED_VALUE"""),"Administración y Dirección de Empresas")</f>
        <v>Administración y Dirección de Empresas</v>
      </c>
      <c r="J371" s="2" t="str">
        <f>IFERROR(__xludf.DUMMYFUNCTION("""COMPUTED_VALUE"""),"Grado")</f>
        <v>Grado</v>
      </c>
      <c r="K371" s="2" t="str">
        <f>IFERROR(__xludf.DUMMYFUNCTION("""COMPUTED_VALUE"""),"Inglés")</f>
        <v>Inglés</v>
      </c>
      <c r="L371" s="2" t="str">
        <f>IFERROR(__xludf.DUMMYFUNCTION("""COMPUTED_VALUE"""),"C1")</f>
        <v>C1</v>
      </c>
      <c r="M371" s="2"/>
      <c r="N371" s="3" t="str">
        <f>IFERROR(__xludf.DUMMYFUNCTION("""COMPUTED_VALUE"""),"https://www.lut.fi/en/studies/apply-lut/applying-exchange-studies")</f>
        <v>https://www.lut.fi/en/studies/apply-lut/applying-exchange-studies</v>
      </c>
      <c r="O371" s="3" t="str">
        <f>IFERROR(__xludf.DUMMYFUNCTION("""COMPUTED_VALUE"""),"Más información / Informazio gehigarria")</f>
        <v>Más información / Informazio gehigarria</v>
      </c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30.0" customHeight="1">
      <c r="A372" s="2" t="str">
        <f>IFERROR(__xludf.DUMMYFUNCTION("""COMPUTED_VALUE"""),"Finlandia")</f>
        <v>Finlandia</v>
      </c>
      <c r="B372" s="2" t="str">
        <f>IFERROR(__xludf.DUMMYFUNCTION("""COMPUTED_VALUE"""),"SF HELSINK01")</f>
        <v>SF HELSINK01</v>
      </c>
      <c r="C372" s="3" t="str">
        <f>IFERROR(__xludf.DUMMYFUNCTION("""COMPUTED_VALUE"""),"University of Helsinki")</f>
        <v>University of Helsinki</v>
      </c>
      <c r="D372" s="2" t="str">
        <f>IFERROR(__xludf.DUMMYFUNCTION("""COMPUTED_VALUE"""),"Erasmus+")</f>
        <v>Erasmus+</v>
      </c>
      <c r="E372" s="2">
        <f>IFERROR(__xludf.DUMMYFUNCTION("""COMPUTED_VALUE"""),1.0)</f>
        <v>1</v>
      </c>
      <c r="F372" s="2" t="str">
        <f>IFERROR(__xludf.DUMMYFUNCTION("""COMPUTED_VALUE"""),"Semestre")</f>
        <v>Semestre</v>
      </c>
      <c r="G372" s="2" t="str">
        <f>IFERROR(__xludf.DUMMYFUNCTION("""COMPUTED_VALUE"""),"Bilbao")</f>
        <v>Bilbao</v>
      </c>
      <c r="H372" s="2" t="str">
        <f>IFERROR(__xludf.DUMMYFUNCTION("""COMPUTED_VALUE"""),"Ciencias Sociales y Humanas")</f>
        <v>Ciencias Sociales y Humanas</v>
      </c>
      <c r="I372" s="2" t="str">
        <f>IFERROR(__xludf.DUMMYFUNCTION("""COMPUTED_VALUE"""),"Lenguas Modernas, Lengua y Cultura Vasca + Lenguas Modernas, Lenguas Modernas y Gestión, Euskal Hizkuntza eta Kultura")</f>
        <v>Lenguas Modernas, Lengua y Cultura Vasca + Lenguas Modernas, Lenguas Modernas y Gestión, Euskal Hizkuntza eta Kultura</v>
      </c>
      <c r="J372" s="2" t="str">
        <f>IFERROR(__xludf.DUMMYFUNCTION("""COMPUTED_VALUE"""),"Grado")</f>
        <v>Grado</v>
      </c>
      <c r="K372" s="2" t="str">
        <f>IFERROR(__xludf.DUMMYFUNCTION("""COMPUTED_VALUE"""),"Inglés")</f>
        <v>Inglés</v>
      </c>
      <c r="L372" s="2" t="str">
        <f>IFERROR(__xludf.DUMMYFUNCTION("""COMPUTED_VALUE"""),"B2")</f>
        <v>B2</v>
      </c>
      <c r="M372" s="2" t="str">
        <f>IFERROR(__xludf.DUMMYFUNCTION("""COMPUTED_VALUE"""),"No")</f>
        <v>No</v>
      </c>
      <c r="N372" s="3" t="str">
        <f>IFERROR(__xludf.DUMMYFUNCTION("""COMPUTED_VALUE"""),"https://studies.helsinki.fi/instructions/article/how-apply-exchange-student")</f>
        <v>https://studies.helsinki.fi/instructions/article/how-apply-exchange-student</v>
      </c>
      <c r="O372" s="3" t="str">
        <f>IFERROR(__xludf.DUMMYFUNCTION("""COMPUTED_VALUE"""),"Más información / Informazio gehigarria")</f>
        <v>Más información / Informazio gehigarria</v>
      </c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30.0" customHeight="1">
      <c r="A373" s="2" t="str">
        <f>IFERROR(__xludf.DUMMYFUNCTION("""COMPUTED_VALUE"""),"Finlandia")</f>
        <v>Finlandia</v>
      </c>
      <c r="B373" s="2" t="str">
        <f>IFERROR(__xludf.DUMMYFUNCTION("""COMPUTED_VALUE"""),"SF OULU01")</f>
        <v>SF OULU01</v>
      </c>
      <c r="C373" s="3" t="str">
        <f>IFERROR(__xludf.DUMMYFUNCTION("""COMPUTED_VALUE"""),"University Of Oulu")</f>
        <v>University Of Oulu</v>
      </c>
      <c r="D373" s="2" t="str">
        <f>IFERROR(__xludf.DUMMYFUNCTION("""COMPUTED_VALUE"""),"Erasmus+")</f>
        <v>Erasmus+</v>
      </c>
      <c r="E373" s="2">
        <f>IFERROR(__xludf.DUMMYFUNCTION("""COMPUTED_VALUE"""),2.0)</f>
        <v>2</v>
      </c>
      <c r="F373" s="2" t="str">
        <f>IFERROR(__xludf.DUMMYFUNCTION("""COMPUTED_VALUE"""),"Semestre")</f>
        <v>Semestre</v>
      </c>
      <c r="G373" s="2" t="str">
        <f>IFERROR(__xludf.DUMMYFUNCTION("""COMPUTED_VALUE"""),"Ambos")</f>
        <v>Ambos</v>
      </c>
      <c r="H373" s="2" t="str">
        <f>IFERROR(__xludf.DUMMYFUNCTION("""COMPUTED_VALUE"""),"Ingeniería")</f>
        <v>Ingeniería</v>
      </c>
      <c r="I373" s="2" t="str">
        <f>IFERROR(__xludf.DUMMYFUNCTION("""COMPUTED_VALUE"""),"Ingeniería Informática, Ingeniería Informática + Videojuegos, Ciencia de Datos e IA + Ingeniería Informática")</f>
        <v>Ingeniería Informática, Ingeniería Informática + Videojuegos, Ciencia de Datos e IA + Ingeniería Informática</v>
      </c>
      <c r="J373" s="2" t="str">
        <f>IFERROR(__xludf.DUMMYFUNCTION("""COMPUTED_VALUE"""),"Grado")</f>
        <v>Grado</v>
      </c>
      <c r="K373" s="2" t="str">
        <f>IFERROR(__xludf.DUMMYFUNCTION("""COMPUTED_VALUE"""),"Inglés")</f>
        <v>Inglés</v>
      </c>
      <c r="L373" s="2" t="str">
        <f>IFERROR(__xludf.DUMMYFUNCTION("""COMPUTED_VALUE"""),"B2")</f>
        <v>B2</v>
      </c>
      <c r="M373" s="2" t="str">
        <f>IFERROR(__xludf.DUMMYFUNCTION("""COMPUTED_VALUE"""),"Sí")</f>
        <v>Sí</v>
      </c>
      <c r="N373" s="3" t="str">
        <f>IFERROR(__xludf.DUMMYFUNCTION("""COMPUTED_VALUE"""),"https://www.oulu.fi/en/for-students/incoming-student-exchange#:~:text=Fill%20out%20your%20application%20and%20upload%20all%20required%20enclosures%20to%20the%20system.&amp;text=CV-,Certificate%20of%20English%20Language%20Competence%3A%20Mandatory%20for%20all%"&amp;"20non%2Dnative,language%20test%20is%20not%20required.")</f>
        <v>https://www.oulu.fi/en/for-students/incoming-student-exchange#:~:text=Fill%20out%20your%20application%20and%20upload%20all%20required%20enclosures%20to%20the%20system.&amp;text=CV-,Certificate%20of%20English%20Language%20Competence%3A%20Mandatory%20for%20all%20non%2Dnative,language%20test%20is%20not%20required.</v>
      </c>
      <c r="O373" s="3" t="str">
        <f>IFERROR(__xludf.DUMMYFUNCTION("""COMPUTED_VALUE"""),"Más información / Informazio gehigarria")</f>
        <v>Más información / Informazio gehigarria</v>
      </c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30.0" customHeight="1">
      <c r="A374" s="2" t="str">
        <f>IFERROR(__xludf.DUMMYFUNCTION("""COMPUTED_VALUE"""),"Finlandia")</f>
        <v>Finlandia</v>
      </c>
      <c r="B374" s="2" t="str">
        <f>IFERROR(__xludf.DUMMYFUNCTION("""COMPUTED_VALUE"""),"SF OULU01")</f>
        <v>SF OULU01</v>
      </c>
      <c r="C374" s="3" t="str">
        <f>IFERROR(__xludf.DUMMYFUNCTION("""COMPUTED_VALUE"""),"University Of Oulu")</f>
        <v>University Of Oulu</v>
      </c>
      <c r="D374" s="2" t="str">
        <f>IFERROR(__xludf.DUMMYFUNCTION("""COMPUTED_VALUE"""),"Erasmus+")</f>
        <v>Erasmus+</v>
      </c>
      <c r="E374" s="2">
        <f>IFERROR(__xludf.DUMMYFUNCTION("""COMPUTED_VALUE"""),2.0)</f>
        <v>2</v>
      </c>
      <c r="F374" s="2" t="str">
        <f>IFERROR(__xludf.DUMMYFUNCTION("""COMPUTED_VALUE"""),"Semestre")</f>
        <v>Semestre</v>
      </c>
      <c r="G374" s="2" t="str">
        <f>IFERROR(__xludf.DUMMYFUNCTION("""COMPUTED_VALUE"""),"Bilbao")</f>
        <v>Bilbao</v>
      </c>
      <c r="H374" s="2" t="str">
        <f>IFERROR(__xludf.DUMMYFUNCTION("""COMPUTED_VALUE"""),"Ingeniería")</f>
        <v>Ingeniería</v>
      </c>
      <c r="I374" s="2" t="str">
        <f>IFERROR(__xludf.DUMMYFUNCTION("""COMPUTED_VALUE"""),"Ingeniería Biomédica")</f>
        <v>Ingeniería Biomédica</v>
      </c>
      <c r="J374" s="2" t="str">
        <f>IFERROR(__xludf.DUMMYFUNCTION("""COMPUTED_VALUE"""),"Grado")</f>
        <v>Grado</v>
      </c>
      <c r="K374" s="2" t="str">
        <f>IFERROR(__xludf.DUMMYFUNCTION("""COMPUTED_VALUE"""),"Inglés")</f>
        <v>Inglés</v>
      </c>
      <c r="L374" s="2" t="str">
        <f>IFERROR(__xludf.DUMMYFUNCTION("""COMPUTED_VALUE"""),"B2")</f>
        <v>B2</v>
      </c>
      <c r="M374" s="2" t="str">
        <f>IFERROR(__xludf.DUMMYFUNCTION("""COMPUTED_VALUE"""),"Sí")</f>
        <v>Sí</v>
      </c>
      <c r="N374" s="3" t="str">
        <f>IFERROR(__xludf.DUMMYFUNCTION("""COMPUTED_VALUE"""),"https://www.oulu.fi/en/for-students/incoming-student-exchange#:~:text=Fill%20out%20your%20application%20and%20upload%20all%20required%20enclosures%20to%20the%20system.&amp;text=CV-,Certificate%20of%20English%20Language%20Competence%3A%20Mandatory%20for%20all%"&amp;"20non%2Dnative,language%20test%20is%20not%20required.")</f>
        <v>https://www.oulu.fi/en/for-students/incoming-student-exchange#:~:text=Fill%20out%20your%20application%20and%20upload%20all%20required%20enclosures%20to%20the%20system.&amp;text=CV-,Certificate%20of%20English%20Language%20Competence%3A%20Mandatory%20for%20all%20non%2Dnative,language%20test%20is%20not%20required.</v>
      </c>
      <c r="O374" s="3" t="str">
        <f>IFERROR(__xludf.DUMMYFUNCTION("""COMPUTED_VALUE"""),"Más información / Informazio gehigarria")</f>
        <v>Más información / Informazio gehigarria</v>
      </c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30.0" customHeight="1">
      <c r="A375" s="2" t="str">
        <f>IFERROR(__xludf.DUMMYFUNCTION("""COMPUTED_VALUE"""),"Finlandia")</f>
        <v>Finlandia</v>
      </c>
      <c r="B375" s="2" t="str">
        <f>IFERROR(__xludf.DUMMYFUNCTION("""COMPUTED_VALUE"""),"SF OULU01")</f>
        <v>SF OULU01</v>
      </c>
      <c r="C375" s="3" t="str">
        <f>IFERROR(__xludf.DUMMYFUNCTION("""COMPUTED_VALUE"""),"University Of Oulu")</f>
        <v>University Of Oulu</v>
      </c>
      <c r="D375" s="2" t="str">
        <f>IFERROR(__xludf.DUMMYFUNCTION("""COMPUTED_VALUE"""),"Erasmus+")</f>
        <v>Erasmus+</v>
      </c>
      <c r="E375" s="2">
        <f>IFERROR(__xludf.DUMMYFUNCTION("""COMPUTED_VALUE"""),2.0)</f>
        <v>2</v>
      </c>
      <c r="F375" s="2" t="str">
        <f>IFERROR(__xludf.DUMMYFUNCTION("""COMPUTED_VALUE"""),"Semestre")</f>
        <v>Semestre</v>
      </c>
      <c r="G375" s="2" t="str">
        <f>IFERROR(__xludf.DUMMYFUNCTION("""COMPUTED_VALUE"""),"Bilbao")</f>
        <v>Bilbao</v>
      </c>
      <c r="H375" s="2" t="str">
        <f>IFERROR(__xludf.DUMMYFUNCTION("""COMPUTED_VALUE"""),"Educación y Deporte")</f>
        <v>Educación y Deporte</v>
      </c>
      <c r="I375" s="2" t="str">
        <f>IFERROR(__xludf.DUMMYFUNCTION("""COMPUTED_VALUE"""),"Educación Primaria")</f>
        <v>Educación Primaria</v>
      </c>
      <c r="J375" s="2" t="str">
        <f>IFERROR(__xludf.DUMMYFUNCTION("""COMPUTED_VALUE"""),"Grado")</f>
        <v>Grado</v>
      </c>
      <c r="K375" s="2" t="str">
        <f>IFERROR(__xludf.DUMMYFUNCTION("""COMPUTED_VALUE"""),"Inglés")</f>
        <v>Inglés</v>
      </c>
      <c r="L375" s="2" t="str">
        <f>IFERROR(__xludf.DUMMYFUNCTION("""COMPUTED_VALUE"""),"B2")</f>
        <v>B2</v>
      </c>
      <c r="M375" s="2" t="str">
        <f>IFERROR(__xludf.DUMMYFUNCTION("""COMPUTED_VALUE"""),"Sí")</f>
        <v>Sí</v>
      </c>
      <c r="N375" s="3" t="str">
        <f>IFERROR(__xludf.DUMMYFUNCTION("""COMPUTED_VALUE"""),"https://www.oulu.fi/en/for-students/incoming-student-exchange#:~:text=Fill%20out%20your%20application%20and%20upload%20all%20required%20enclosures%20to%20the%20system.&amp;text=CV-,Certificate%20of%20English%20Language%20Competence%3A%20Mandatory%20for%20all%"&amp;"20non%2Dnative,language%20test%20is%20not%20required.")</f>
        <v>https://www.oulu.fi/en/for-students/incoming-student-exchange#:~:text=Fill%20out%20your%20application%20and%20upload%20all%20required%20enclosures%20to%20the%20system.&amp;text=CV-,Certificate%20of%20English%20Language%20Competence%3A%20Mandatory%20for%20all%20non%2Dnative,language%20test%20is%20not%20required.</v>
      </c>
      <c r="O375" s="3" t="str">
        <f>IFERROR(__xludf.DUMMYFUNCTION("""COMPUTED_VALUE"""),"Más información / Informazio gehigarria")</f>
        <v>Más información / Informazio gehigarria</v>
      </c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30.0" customHeight="1">
      <c r="A376" s="2" t="str">
        <f>IFERROR(__xludf.DUMMYFUNCTION("""COMPUTED_VALUE"""),"Finlandia")</f>
        <v>Finlandia</v>
      </c>
      <c r="B376" s="2" t="str">
        <f>IFERROR(__xludf.DUMMYFUNCTION("""COMPUTED_VALUE"""),"SF TURKU01")</f>
        <v>SF TURKU01</v>
      </c>
      <c r="C376" s="3" t="str">
        <f>IFERROR(__xludf.DUMMYFUNCTION("""COMPUTED_VALUE"""),"University of Turku")</f>
        <v>University of Turku</v>
      </c>
      <c r="D376" s="2" t="str">
        <f>IFERROR(__xludf.DUMMYFUNCTION("""COMPUTED_VALUE"""),"Erasmus+")</f>
        <v>Erasmus+</v>
      </c>
      <c r="E376" s="2">
        <f>IFERROR(__xludf.DUMMYFUNCTION("""COMPUTED_VALUE"""),2.0)</f>
        <v>2</v>
      </c>
      <c r="F376" s="2" t="str">
        <f>IFERROR(__xludf.DUMMYFUNCTION("""COMPUTED_VALUE"""),"Semestre")</f>
        <v>Semestre</v>
      </c>
      <c r="G376" s="2" t="str">
        <f>IFERROR(__xludf.DUMMYFUNCTION("""COMPUTED_VALUE"""),"San Sebastián")</f>
        <v>San Sebastián</v>
      </c>
      <c r="H376" s="2" t="str">
        <f>IFERROR(__xludf.DUMMYFUNCTION("""COMPUTED_VALUE"""),"Deusto Business School")</f>
        <v>Deusto Business School</v>
      </c>
      <c r="I376" s="2" t="str">
        <f>IFERROR(__xludf.DUMMYFUNCTION("""COMPUTED_VALUE"""),"Administración y Dirección de Empresas")</f>
        <v>Administración y Dirección de Empresas</v>
      </c>
      <c r="J376" s="2" t="str">
        <f>IFERROR(__xludf.DUMMYFUNCTION("""COMPUTED_VALUE"""),"Grado")</f>
        <v>Grado</v>
      </c>
      <c r="K376" s="2" t="str">
        <f>IFERROR(__xludf.DUMMYFUNCTION("""COMPUTED_VALUE"""),"Inglés")</f>
        <v>Inglés</v>
      </c>
      <c r="L376" s="2" t="str">
        <f>IFERROR(__xludf.DUMMYFUNCTION("""COMPUTED_VALUE"""),"C1")</f>
        <v>C1</v>
      </c>
      <c r="M376" s="2" t="str">
        <f>IFERROR(__xludf.DUMMYFUNCTION("""COMPUTED_VALUE"""),"Sí")</f>
        <v>Sí</v>
      </c>
      <c r="N376" s="3" t="str">
        <f>IFERROR(__xludf.DUMMYFUNCTION("""COMPUTED_VALUE"""),"https://www.utu.fi/en/study-at-utu/how-to-apply-for-exchange-studies")</f>
        <v>https://www.utu.fi/en/study-at-utu/how-to-apply-for-exchange-studies</v>
      </c>
      <c r="O376" s="3" t="str">
        <f>IFERROR(__xludf.DUMMYFUNCTION("""COMPUTED_VALUE"""),"Más información / Informazio gehigarria")</f>
        <v>Más información / Informazio gehigarria</v>
      </c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30.0" customHeight="1">
      <c r="A377" s="2" t="str">
        <f>IFERROR(__xludf.DUMMYFUNCTION("""COMPUTED_VALUE"""),"Finlandia")</f>
        <v>Finlandia</v>
      </c>
      <c r="B377" s="2" t="str">
        <f>IFERROR(__xludf.DUMMYFUNCTION("""COMPUTED_VALUE"""),"SF TURKU01")</f>
        <v>SF TURKU01</v>
      </c>
      <c r="C377" s="3" t="str">
        <f>IFERROR(__xludf.DUMMYFUNCTION("""COMPUTED_VALUE"""),"University of Turku")</f>
        <v>University of Turku</v>
      </c>
      <c r="D377" s="2" t="str">
        <f>IFERROR(__xludf.DUMMYFUNCTION("""COMPUTED_VALUE"""),"Erasmus+")</f>
        <v>Erasmus+</v>
      </c>
      <c r="E377" s="2">
        <f>IFERROR(__xludf.DUMMYFUNCTION("""COMPUTED_VALUE"""),2.0)</f>
        <v>2</v>
      </c>
      <c r="F377" s="2" t="str">
        <f>IFERROR(__xludf.DUMMYFUNCTION("""COMPUTED_VALUE"""),"Ambos semestres")</f>
        <v>Ambos semestres</v>
      </c>
      <c r="G377" s="2" t="str">
        <f>IFERROR(__xludf.DUMMYFUNCTION("""COMPUTED_VALUE"""),"Bilbao")</f>
        <v>Bilbao</v>
      </c>
      <c r="H377" s="2" t="str">
        <f>IFERROR(__xludf.DUMMYFUNCTION("""COMPUTED_VALUE"""),"Deusto Business School")</f>
        <v>Deusto Business School</v>
      </c>
      <c r="I377" s="2" t="str">
        <f>IFERROR(__xludf.DUMMYFUNCTION("""COMPUTED_VALUE"""),"Administración y Dirección de Empresas")</f>
        <v>Administración y Dirección de Empresas</v>
      </c>
      <c r="J377" s="2" t="str">
        <f>IFERROR(__xludf.DUMMYFUNCTION("""COMPUTED_VALUE"""),"Grado")</f>
        <v>Grado</v>
      </c>
      <c r="K377" s="2" t="str">
        <f>IFERROR(__xludf.DUMMYFUNCTION("""COMPUTED_VALUE"""),"Inglés")</f>
        <v>Inglés</v>
      </c>
      <c r="L377" s="2" t="str">
        <f>IFERROR(__xludf.DUMMYFUNCTION("""COMPUTED_VALUE"""),"C1")</f>
        <v>C1</v>
      </c>
      <c r="M377" s="2" t="str">
        <f>IFERROR(__xludf.DUMMYFUNCTION("""COMPUTED_VALUE"""),"Sí")</f>
        <v>Sí</v>
      </c>
      <c r="N377" s="3" t="str">
        <f>IFERROR(__xludf.DUMMYFUNCTION("""COMPUTED_VALUE"""),"https://www.utu.fi/en/study-at-utu/how-to-apply-for-exchange-studies")</f>
        <v>https://www.utu.fi/en/study-at-utu/how-to-apply-for-exchange-studies</v>
      </c>
      <c r="O377" s="3" t="str">
        <f>IFERROR(__xludf.DUMMYFUNCTION("""COMPUTED_VALUE"""),"Más información / Informazio gehigarria")</f>
        <v>Más información / Informazio gehigarria</v>
      </c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30.0" customHeight="1">
      <c r="A378" s="2" t="str">
        <f>IFERROR(__xludf.DUMMYFUNCTION("""COMPUTED_VALUE"""),"Francia")</f>
        <v>Francia</v>
      </c>
      <c r="B378" s="2" t="str">
        <f>IFERROR(__xludf.DUMMYFUNCTION("""COMPUTED_VALUE"""),"F LIMOGES20")</f>
        <v>F LIMOGES20</v>
      </c>
      <c r="C378" s="3" t="str">
        <f>IFERROR(__xludf.DUMMYFUNCTION("""COMPUTED_VALUE"""),"3iL Ingenieurs")</f>
        <v>3iL Ingenieurs</v>
      </c>
      <c r="D378" s="2" t="str">
        <f>IFERROR(__xludf.DUMMYFUNCTION("""COMPUTED_VALUE"""),"Erasmus+")</f>
        <v>Erasmus+</v>
      </c>
      <c r="E378" s="2">
        <f>IFERROR(__xludf.DUMMYFUNCTION("""COMPUTED_VALUE"""),2.0)</f>
        <v>2</v>
      </c>
      <c r="F378" s="2" t="str">
        <f>IFERROR(__xludf.DUMMYFUNCTION("""COMPUTED_VALUE"""),"Semestre")</f>
        <v>Semestre</v>
      </c>
      <c r="G378" s="2" t="str">
        <f>IFERROR(__xludf.DUMMYFUNCTION("""COMPUTED_VALUE"""),"Ambos")</f>
        <v>Ambos</v>
      </c>
      <c r="H378" s="2" t="str">
        <f>IFERROR(__xludf.DUMMYFUNCTION("""COMPUTED_VALUE"""),"Ingeniería")</f>
        <v>Ingeniería</v>
      </c>
      <c r="I378" s="2" t="str">
        <f>IFERROR(__xludf.DUMMYFUNCTION("""COMPUTED_VALUE"""),"Ingeniería Informática, Ciencia de Datos e IA + Ingeniería Informática, Ingeniería Informática + Videojuegos")</f>
        <v>Ingeniería Informática, Ciencia de Datos e IA + Ingeniería Informática, Ingeniería Informática + Videojuegos</v>
      </c>
      <c r="J378" s="2" t="str">
        <f>IFERROR(__xludf.DUMMYFUNCTION("""COMPUTED_VALUE"""),"Grado")</f>
        <v>Grado</v>
      </c>
      <c r="K378" s="2" t="str">
        <f>IFERROR(__xludf.DUMMYFUNCTION("""COMPUTED_VALUE"""),"Francés")</f>
        <v>Francés</v>
      </c>
      <c r="L378" s="2" t="str">
        <f>IFERROR(__xludf.DUMMYFUNCTION("""COMPUTED_VALUE"""),"B2")</f>
        <v>B2</v>
      </c>
      <c r="M378" s="2" t="str">
        <f>IFERROR(__xludf.DUMMYFUNCTION("""COMPUTED_VALUE"""),"Sí")</f>
        <v>Sí</v>
      </c>
      <c r="N378" s="3" t="str">
        <f>IFERROR(__xludf.DUMMYFUNCTION("""COMPUTED_VALUE"""),"https://www.3il-ingenieurs.fr/en/erasmus-incoming-students/")</f>
        <v>https://www.3il-ingenieurs.fr/en/erasmus-incoming-students/</v>
      </c>
      <c r="O378" s="3" t="str">
        <f>IFERROR(__xludf.DUMMYFUNCTION("""COMPUTED_VALUE"""),"Más información / Informazio gehigarria")</f>
        <v>Más información / Informazio gehigarria</v>
      </c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30.0" customHeight="1">
      <c r="A379" s="2" t="str">
        <f>IFERROR(__xludf.DUMMYFUNCTION("""COMPUTED_VALUE"""),"Francia")</f>
        <v>Francia</v>
      </c>
      <c r="B379" s="2" t="str">
        <f>IFERROR(__xludf.DUMMYFUNCTION("""COMPUTED_VALUE"""),"F MARSEIL84")</f>
        <v>F MARSEIL84</v>
      </c>
      <c r="C379" s="3" t="str">
        <f>IFERROR(__xludf.DUMMYFUNCTION("""COMPUTED_VALUE"""),"Aix Marseille Université")</f>
        <v>Aix Marseille Université</v>
      </c>
      <c r="D379" s="2" t="str">
        <f>IFERROR(__xludf.DUMMYFUNCTION("""COMPUTED_VALUE"""),"Erasmus+")</f>
        <v>Erasmus+</v>
      </c>
      <c r="E379" s="2">
        <f>IFERROR(__xludf.DUMMYFUNCTION("""COMPUTED_VALUE"""),2.0)</f>
        <v>2</v>
      </c>
      <c r="F379" s="2" t="str">
        <f>IFERROR(__xludf.DUMMYFUNCTION("""COMPUTED_VALUE"""),"Semestre")</f>
        <v>Semestre</v>
      </c>
      <c r="G379" s="2" t="str">
        <f>IFERROR(__xludf.DUMMYFUNCTION("""COMPUTED_VALUE"""),"Bilbao")</f>
        <v>Bilbao</v>
      </c>
      <c r="H379" s="2" t="str">
        <f>IFERROR(__xludf.DUMMYFUNCTION("""COMPUTED_VALUE"""),"Derecho")</f>
        <v>Derecho</v>
      </c>
      <c r="I379" s="2" t="str">
        <f>IFERROR(__xludf.DUMMYFUNCTION("""COMPUTED_VALUE"""),"Derecho, Derecho + Relaciones Laborales")</f>
        <v>Derecho, Derecho + Relaciones Laborales</v>
      </c>
      <c r="J379" s="2" t="str">
        <f>IFERROR(__xludf.DUMMYFUNCTION("""COMPUTED_VALUE"""),"Grado")</f>
        <v>Grado</v>
      </c>
      <c r="K379" s="2" t="str">
        <f>IFERROR(__xludf.DUMMYFUNCTION("""COMPUTED_VALUE"""),"Francés")</f>
        <v>Francés</v>
      </c>
      <c r="L379" s="2" t="str">
        <f>IFERROR(__xludf.DUMMYFUNCTION("""COMPUTED_VALUE"""),"B2")</f>
        <v>B2</v>
      </c>
      <c r="M379" s="2" t="str">
        <f>IFERROR(__xludf.DUMMYFUNCTION("""COMPUTED_VALUE"""),"No")</f>
        <v>No</v>
      </c>
      <c r="N379" s="3" t="str">
        <f>IFERROR(__xludf.DUMMYFUNCTION("""COMPUTED_VALUE"""),"https://www.univ-amu.fr/en/public/study-amu-part-exchange-program")</f>
        <v>https://www.univ-amu.fr/en/public/study-amu-part-exchange-program</v>
      </c>
      <c r="O379" s="3" t="str">
        <f>IFERROR(__xludf.DUMMYFUNCTION("""COMPUTED_VALUE"""),"Más información / Informazio gehigarria")</f>
        <v>Más información / Informazio gehigarria</v>
      </c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30.0" customHeight="1">
      <c r="A380" s="2" t="str">
        <f>IFERROR(__xludf.DUMMYFUNCTION("""COMPUTED_VALUE"""),"Francia")</f>
        <v>Francia</v>
      </c>
      <c r="B380" s="2" t="str">
        <f>IFERROR(__xludf.DUMMYFUNCTION("""COMPUTED_VALUE"""),"F NANTES12")</f>
        <v>F NANTES12</v>
      </c>
      <c r="C380" s="3" t="str">
        <f>IFERROR(__xludf.DUMMYFUNCTION("""COMPUTED_VALUE"""),"Audencia Nantes. Ecole de Management")</f>
        <v>Audencia Nantes. Ecole de Management</v>
      </c>
      <c r="D380" s="2" t="str">
        <f>IFERROR(__xludf.DUMMYFUNCTION("""COMPUTED_VALUE"""),"Erasmus+")</f>
        <v>Erasmus+</v>
      </c>
      <c r="E380" s="2">
        <f>IFERROR(__xludf.DUMMYFUNCTION("""COMPUTED_VALUE"""),2.0)</f>
        <v>2</v>
      </c>
      <c r="F380" s="2" t="str">
        <f>IFERROR(__xludf.DUMMYFUNCTION("""COMPUTED_VALUE"""),"Ambos semestres")</f>
        <v>Ambos semestres</v>
      </c>
      <c r="G380" s="2" t="str">
        <f>IFERROR(__xludf.DUMMYFUNCTION("""COMPUTED_VALUE"""),"Bilbao")</f>
        <v>Bilbao</v>
      </c>
      <c r="H380" s="2" t="str">
        <f>IFERROR(__xludf.DUMMYFUNCTION("""COMPUTED_VALUE"""),"Deusto Business School")</f>
        <v>Deusto Business School</v>
      </c>
      <c r="I380" s="2" t="str">
        <f>IFERROR(__xludf.DUMMYFUNCTION("""COMPUTED_VALUE"""),"Administración y Dirección de Empresas")</f>
        <v>Administración y Dirección de Empresas</v>
      </c>
      <c r="J380" s="2" t="str">
        <f>IFERROR(__xludf.DUMMYFUNCTION("""COMPUTED_VALUE"""),"Grado")</f>
        <v>Grado</v>
      </c>
      <c r="K380" s="2" t="str">
        <f>IFERROR(__xludf.DUMMYFUNCTION("""COMPUTED_VALUE"""),"Inglés")</f>
        <v>Inglés</v>
      </c>
      <c r="L380" s="2" t="str">
        <f>IFERROR(__xludf.DUMMYFUNCTION("""COMPUTED_VALUE"""),"C1")</f>
        <v>C1</v>
      </c>
      <c r="M380" s="2" t="str">
        <f>IFERROR(__xludf.DUMMYFUNCTION("""COMPUTED_VALUE"""),"No")</f>
        <v>No</v>
      </c>
      <c r="N380" s="3" t="str">
        <f>IFERROR(__xludf.DUMMYFUNCTION("""COMPUTED_VALUE"""),"https://international.audencia.com/exchange-programmes/")</f>
        <v>https://international.audencia.com/exchange-programmes/</v>
      </c>
      <c r="O380" s="3" t="str">
        <f>IFERROR(__xludf.DUMMYFUNCTION("""COMPUTED_VALUE"""),"Más información / Informazio gehigarria")</f>
        <v>Más información / Informazio gehigarria</v>
      </c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30.0" customHeight="1">
      <c r="A381" s="2" t="str">
        <f>IFERROR(__xludf.DUMMYFUNCTION("""COMPUTED_VALUE"""),"Francia")</f>
        <v>Francia</v>
      </c>
      <c r="B381" s="2" t="str">
        <f>IFERROR(__xludf.DUMMYFUNCTION("""COMPUTED_VALUE"""),"F BORDEAU54")</f>
        <v>F BORDEAU54</v>
      </c>
      <c r="C381" s="3" t="str">
        <f>IFERROR(__xludf.DUMMYFUNCTION("""COMPUTED_VALUE"""),"Bordeaux INP - Enseirb Matmeca")</f>
        <v>Bordeaux INP - Enseirb Matmeca</v>
      </c>
      <c r="D381" s="2" t="str">
        <f>IFERROR(__xludf.DUMMYFUNCTION("""COMPUTED_VALUE"""),"Erasmus+")</f>
        <v>Erasmus+</v>
      </c>
      <c r="E381" s="2">
        <f>IFERROR(__xludf.DUMMYFUNCTION("""COMPUTED_VALUE"""),2.0)</f>
        <v>2</v>
      </c>
      <c r="F381" s="2" t="str">
        <f>IFERROR(__xludf.DUMMYFUNCTION("""COMPUTED_VALUE"""),"Semestre")</f>
        <v>Semestre</v>
      </c>
      <c r="G381" s="2" t="str">
        <f>IFERROR(__xludf.DUMMYFUNCTION("""COMPUTED_VALUE"""),"Ambos")</f>
        <v>Ambos</v>
      </c>
      <c r="H381" s="2" t="str">
        <f>IFERROR(__xludf.DUMMYFUNCTION("""COMPUTED_VALUE"""),"Ingeniería")</f>
        <v>Ingeniería</v>
      </c>
      <c r="I381" s="2" t="str">
        <f>IFERROR(__xludf.DUMMYFUNCTION("""COMPUTED_VALUE"""),"Ingeniería Informática, Electrónica y Automática, Ingeniería Mecánica, Ciencia de Datos e IA + Ingeniería Informática, Diseño Industrial + Ingeniería Mecánica, Ingeniería Informática + Videojuegos")</f>
        <v>Ingeniería Informática, Electrónica y Automática, Ingeniería Mecánica, Ciencia de Datos e IA + Ingeniería Informática, Diseño Industrial + Ingeniería Mecánica, Ingeniería Informática + Videojuegos</v>
      </c>
      <c r="J381" s="2" t="str">
        <f>IFERROR(__xludf.DUMMYFUNCTION("""COMPUTED_VALUE"""),"Grado")</f>
        <v>Grado</v>
      </c>
      <c r="K381" s="2" t="str">
        <f>IFERROR(__xludf.DUMMYFUNCTION("""COMPUTED_VALUE"""),"Francés")</f>
        <v>Francés</v>
      </c>
      <c r="L381" s="2" t="str">
        <f>IFERROR(__xludf.DUMMYFUNCTION("""COMPUTED_VALUE"""),"B2")</f>
        <v>B2</v>
      </c>
      <c r="M381" s="2" t="str">
        <f>IFERROR(__xludf.DUMMYFUNCTION("""COMPUTED_VALUE"""),"No")</f>
        <v>No</v>
      </c>
      <c r="N381" s="3" t="str">
        <f>IFERROR(__xludf.DUMMYFUNCTION("""COMPUTED_VALUE"""),"https://eurep.auth.gr/sites/default/files/fact_sheets/F%20BORDEAU54_Factsheet_2022-2023.pdf")</f>
        <v>https://eurep.auth.gr/sites/default/files/fact_sheets/F%20BORDEAU54_Factsheet_2022-2023.pdf</v>
      </c>
      <c r="O381" s="3" t="str">
        <f>IFERROR(__xludf.DUMMYFUNCTION("""COMPUTED_VALUE"""),"Más información / Informazio gehigarria")</f>
        <v>Más información / Informazio gehigarria</v>
      </c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30.0" customHeight="1">
      <c r="A382" s="2" t="str">
        <f>IFERROR(__xludf.DUMMYFUNCTION("""COMPUTED_VALUE"""),"Francia")</f>
        <v>Francia</v>
      </c>
      <c r="B382" s="2" t="str">
        <f>IFERROR(__xludf.DUMMYFUNCTION("""COMPUTED_VALUE"""),"F BORDEAU54")</f>
        <v>F BORDEAU54</v>
      </c>
      <c r="C382" s="2" t="str">
        <f>IFERROR(__xludf.DUMMYFUNCTION("""COMPUTED_VALUE"""),"Bordeaux INP - Enseirb Matmeca (*)")</f>
        <v>Bordeaux INP - Enseirb Matmeca (*)</v>
      </c>
      <c r="D382" s="2" t="str">
        <f>IFERROR(__xludf.DUMMYFUNCTION("""COMPUTED_VALUE"""),"Erasmus+")</f>
        <v>Erasmus+</v>
      </c>
      <c r="E382" s="2">
        <f>IFERROR(__xludf.DUMMYFUNCTION("""COMPUTED_VALUE"""),2.0)</f>
        <v>2</v>
      </c>
      <c r="F382" s="2" t="str">
        <f>IFERROR(__xludf.DUMMYFUNCTION("""COMPUTED_VALUE"""),"Semestre")</f>
        <v>Semestre</v>
      </c>
      <c r="G382" s="2" t="str">
        <f>IFERROR(__xludf.DUMMYFUNCTION("""COMPUTED_VALUE"""),"Bilbao")</f>
        <v>Bilbao</v>
      </c>
      <c r="H382" s="2" t="str">
        <f>IFERROR(__xludf.DUMMYFUNCTION("""COMPUTED_VALUE"""),"Ingeniería")</f>
        <v>Ingeniería</v>
      </c>
      <c r="I382" s="2" t="str">
        <f>IFERROR(__xludf.DUMMYFUNCTION("""COMPUTED_VALUE"""),"Ingeniería Biomédica")</f>
        <v>Ingeniería Biomédica</v>
      </c>
      <c r="J382" s="2" t="str">
        <f>IFERROR(__xludf.DUMMYFUNCTION("""COMPUTED_VALUE"""),"Grado")</f>
        <v>Grado</v>
      </c>
      <c r="K382" s="2" t="str">
        <f>IFERROR(__xludf.DUMMYFUNCTION("""COMPUTED_VALUE"""),"Francés")</f>
        <v>Francés</v>
      </c>
      <c r="L382" s="2" t="str">
        <f>IFERROR(__xludf.DUMMYFUNCTION("""COMPUTED_VALUE"""),"B2")</f>
        <v>B2</v>
      </c>
      <c r="M382" s="2" t="str">
        <f>IFERROR(__xludf.DUMMYFUNCTION("""COMPUTED_VALUE"""),"No")</f>
        <v>No</v>
      </c>
      <c r="N382" s="3" t="str">
        <f>IFERROR(__xludf.DUMMYFUNCTION("""COMPUTED_VALUE"""),"https://eurep.auth.gr/sites/default/files/fact_sheets/F%20BORDEAU54_Factsheet_2022-2023.pdf")</f>
        <v>https://eurep.auth.gr/sites/default/files/fact_sheets/F%20BORDEAU54_Factsheet_2022-2023.pdf</v>
      </c>
      <c r="O382" s="3" t="str">
        <f>IFERROR(__xludf.DUMMYFUNCTION("""COMPUTED_VALUE"""),"Más información / Informazio gehigarria")</f>
        <v>Más información / Informazio gehigarria</v>
      </c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30.0" customHeight="1">
      <c r="A383" s="2" t="str">
        <f>IFERROR(__xludf.DUMMYFUNCTION("""COMPUTED_VALUE"""),"Francia")</f>
        <v>Francia</v>
      </c>
      <c r="B383" s="2" t="str">
        <f>IFERROR(__xludf.DUMMYFUNCTION("""COMPUTED_VALUE"""),"F AUBIERE04")</f>
        <v>F AUBIERE04</v>
      </c>
      <c r="C383" s="3" t="str">
        <f>IFERROR(__xludf.DUMMYFUNCTION("""COMPUTED_VALUE"""),"Clermond Auvergne INP")</f>
        <v>Clermond Auvergne INP</v>
      </c>
      <c r="D383" s="2" t="str">
        <f>IFERROR(__xludf.DUMMYFUNCTION("""COMPUTED_VALUE"""),"Erasmus+")</f>
        <v>Erasmus+</v>
      </c>
      <c r="E383" s="2">
        <f>IFERROR(__xludf.DUMMYFUNCTION("""COMPUTED_VALUE"""),4.0)</f>
        <v>4</v>
      </c>
      <c r="F383" s="2" t="str">
        <f>IFERROR(__xludf.DUMMYFUNCTION("""COMPUTED_VALUE"""),"Semestre")</f>
        <v>Semestre</v>
      </c>
      <c r="G383" s="2" t="str">
        <f>IFERROR(__xludf.DUMMYFUNCTION("""COMPUTED_VALUE"""),"Bilbao")</f>
        <v>Bilbao</v>
      </c>
      <c r="H383" s="2" t="str">
        <f>IFERROR(__xludf.DUMMYFUNCTION("""COMPUTED_VALUE"""),"Ingeniería")</f>
        <v>Ingeniería</v>
      </c>
      <c r="I383" s="2" t="str">
        <f>IFERROR(__xludf.DUMMYFUNCTION("""COMPUTED_VALUE"""),"Electrónica y Automática")</f>
        <v>Electrónica y Automática</v>
      </c>
      <c r="J383" s="2" t="str">
        <f>IFERROR(__xludf.DUMMYFUNCTION("""COMPUTED_VALUE"""),"Grado")</f>
        <v>Grado</v>
      </c>
      <c r="K383" s="2" t="str">
        <f>IFERROR(__xludf.DUMMYFUNCTION("""COMPUTED_VALUE"""),"Francés / Inglés")</f>
        <v>Francés / Inglés</v>
      </c>
      <c r="L383" s="2" t="str">
        <f>IFERROR(__xludf.DUMMYFUNCTION("""COMPUTED_VALUE"""),"B2")</f>
        <v>B2</v>
      </c>
      <c r="M383" s="2" t="str">
        <f>IFERROR(__xludf.DUMMYFUNCTION("""COMPUTED_VALUE"""),"Sí")</f>
        <v>Sí</v>
      </c>
      <c r="N383" s="3" t="str">
        <f>IFERROR(__xludf.DUMMYFUNCTION("""COMPUTED_VALUE"""),"https://www.clermont-auvergne-inp.fr/en/exchange-studies/")</f>
        <v>https://www.clermont-auvergne-inp.fr/en/exchange-studies/</v>
      </c>
      <c r="O383" s="3" t="str">
        <f>IFERROR(__xludf.DUMMYFUNCTION("""COMPUTED_VALUE"""),"Más información / Informazio gehigarria")</f>
        <v>Más información / Informazio gehigarria</v>
      </c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30.0" customHeight="1">
      <c r="A384" s="2" t="str">
        <f>IFERROR(__xludf.DUMMYFUNCTION("""COMPUTED_VALUE"""),"Francia")</f>
        <v>Francia</v>
      </c>
      <c r="B384" s="2" t="str">
        <f>IFERROR(__xludf.DUMMYFUNCTION("""COMPUTED_VALUE"""),"F LYON23")</f>
        <v>F LYON23</v>
      </c>
      <c r="C384" s="3" t="str">
        <f>IFERROR(__xludf.DUMMYFUNCTION("""COMPUTED_VALUE"""),"E.M. Lyon")</f>
        <v>E.M. Lyon</v>
      </c>
      <c r="D384" s="2" t="str">
        <f>IFERROR(__xludf.DUMMYFUNCTION("""COMPUTED_VALUE"""),"Erasmus+")</f>
        <v>Erasmus+</v>
      </c>
      <c r="E384" s="2">
        <f>IFERROR(__xludf.DUMMYFUNCTION("""COMPUTED_VALUE"""),6.0)</f>
        <v>6</v>
      </c>
      <c r="F384" s="2" t="str">
        <f>IFERROR(__xludf.DUMMYFUNCTION("""COMPUTED_VALUE"""),"Semestre")</f>
        <v>Semestre</v>
      </c>
      <c r="G384" s="2" t="str">
        <f>IFERROR(__xludf.DUMMYFUNCTION("""COMPUTED_VALUE"""),"San Sebastián")</f>
        <v>San Sebastián</v>
      </c>
      <c r="H384" s="2" t="str">
        <f>IFERROR(__xludf.DUMMYFUNCTION("""COMPUTED_VALUE"""),"Deusto Business School")</f>
        <v>Deusto Business School</v>
      </c>
      <c r="I384" s="2" t="str">
        <f>IFERROR(__xludf.DUMMYFUNCTION("""COMPUTED_VALUE"""),"Administración y Dirección de Empresas")</f>
        <v>Administración y Dirección de Empresas</v>
      </c>
      <c r="J384" s="2" t="str">
        <f>IFERROR(__xludf.DUMMYFUNCTION("""COMPUTED_VALUE"""),"Grado")</f>
        <v>Grado</v>
      </c>
      <c r="K384" s="2" t="str">
        <f>IFERROR(__xludf.DUMMYFUNCTION("""COMPUTED_VALUE"""),"Inglés")</f>
        <v>Inglés</v>
      </c>
      <c r="L384" s="2" t="str">
        <f>IFERROR(__xludf.DUMMYFUNCTION("""COMPUTED_VALUE"""),"B2")</f>
        <v>B2</v>
      </c>
      <c r="M384" s="2" t="str">
        <f>IFERROR(__xludf.DUMMYFUNCTION("""COMPUTED_VALUE"""),"Sí")</f>
        <v>Sí</v>
      </c>
      <c r="N384" s="3" t="str">
        <f>IFERROR(__xludf.DUMMYFUNCTION("""COMPUTED_VALUE"""),"https://masters.em-lyon.com/en/study-abroad/study-abroad-application-fees#:~:text=Language%20requirements,score%20is%20required%20(DELF).")</f>
        <v>https://masters.em-lyon.com/en/study-abroad/study-abroad-application-fees#:~:text=Language%20requirements,score%20is%20required%20(DELF).</v>
      </c>
      <c r="O384" s="3" t="str">
        <f>IFERROR(__xludf.DUMMYFUNCTION("""COMPUTED_VALUE"""),"Más información / Informazio gehigarria")</f>
        <v>Más información / Informazio gehigarria</v>
      </c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30.0" customHeight="1">
      <c r="A385" s="2" t="str">
        <f>IFERROR(__xludf.DUMMYFUNCTION("""COMPUTED_VALUE"""),"Francia")</f>
        <v>Francia</v>
      </c>
      <c r="B385" s="2" t="str">
        <f>IFERROR(__xludf.DUMMYFUNCTION("""COMPUTED_VALUE"""),"F LYON23")</f>
        <v>F LYON23</v>
      </c>
      <c r="C385" s="3" t="str">
        <f>IFERROR(__xludf.DUMMYFUNCTION("""COMPUTED_VALUE"""),"E.M. Lyon")</f>
        <v>E.M. Lyon</v>
      </c>
      <c r="D385" s="2" t="str">
        <f>IFERROR(__xludf.DUMMYFUNCTION("""COMPUTED_VALUE"""),"Erasmus+")</f>
        <v>Erasmus+</v>
      </c>
      <c r="E385" s="2">
        <f>IFERROR(__xludf.DUMMYFUNCTION("""COMPUTED_VALUE"""),2.0)</f>
        <v>2</v>
      </c>
      <c r="F385" s="2" t="str">
        <f>IFERROR(__xludf.DUMMYFUNCTION("""COMPUTED_VALUE"""),"Ambos semestres")</f>
        <v>Ambos semestres</v>
      </c>
      <c r="G385" s="2" t="str">
        <f>IFERROR(__xludf.DUMMYFUNCTION("""COMPUTED_VALUE"""),"Bilbao")</f>
        <v>Bilbao</v>
      </c>
      <c r="H385" s="2" t="str">
        <f>IFERROR(__xludf.DUMMYFUNCTION("""COMPUTED_VALUE"""),"Deusto Business School")</f>
        <v>Deusto Business School</v>
      </c>
      <c r="I385" s="2" t="str">
        <f>IFERROR(__xludf.DUMMYFUNCTION("""COMPUTED_VALUE"""),"Administración y Dirección de Empresas")</f>
        <v>Administración y Dirección de Empresas</v>
      </c>
      <c r="J385" s="2" t="str">
        <f>IFERROR(__xludf.DUMMYFUNCTION("""COMPUTED_VALUE"""),"Grado")</f>
        <v>Grado</v>
      </c>
      <c r="K385" s="2" t="str">
        <f>IFERROR(__xludf.DUMMYFUNCTION("""COMPUTED_VALUE"""),"Francés")</f>
        <v>Francés</v>
      </c>
      <c r="L385" s="2" t="str">
        <f>IFERROR(__xludf.DUMMYFUNCTION("""COMPUTED_VALUE"""),"B2")</f>
        <v>B2</v>
      </c>
      <c r="M385" s="2" t="str">
        <f>IFERROR(__xludf.DUMMYFUNCTION("""COMPUTED_VALUE"""),"Sí")</f>
        <v>Sí</v>
      </c>
      <c r="N385" s="3" t="str">
        <f>IFERROR(__xludf.DUMMYFUNCTION("""COMPUTED_VALUE"""),"https://masters.em-lyon.com/en/study-abroad/study-abroad-application-fees#:~:text=Language%20requirements,score%20is%20required%20(DELF).")</f>
        <v>https://masters.em-lyon.com/en/study-abroad/study-abroad-application-fees#:~:text=Language%20requirements,score%20is%20required%20(DELF).</v>
      </c>
      <c r="O385" s="3" t="str">
        <f>IFERROR(__xludf.DUMMYFUNCTION("""COMPUTED_VALUE"""),"Más información / Informazio gehigarria")</f>
        <v>Más información / Informazio gehigarria</v>
      </c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30.0" customHeight="1">
      <c r="A386" s="2" t="str">
        <f>IFERROR(__xludf.DUMMYFUNCTION("""COMPUTED_VALUE"""),"Francia")</f>
        <v>Francia</v>
      </c>
      <c r="B386" s="2" t="str">
        <f>IFERROR(__xludf.DUMMYFUNCTION("""COMPUTED_VALUE"""),"F ORLEANS01")</f>
        <v>F ORLEANS01</v>
      </c>
      <c r="C386" s="3" t="str">
        <f>IFERROR(__xludf.DUMMYFUNCTION("""COMPUTED_VALUE"""),"Ecole Polytechnique de l'Université d'Orléans")</f>
        <v>Ecole Polytechnique de l'Université d'Orléans</v>
      </c>
      <c r="D386" s="2" t="str">
        <f>IFERROR(__xludf.DUMMYFUNCTION("""COMPUTED_VALUE"""),"Erasmus+")</f>
        <v>Erasmus+</v>
      </c>
      <c r="E386" s="2">
        <f>IFERROR(__xludf.DUMMYFUNCTION("""COMPUTED_VALUE"""),3.0)</f>
        <v>3</v>
      </c>
      <c r="F386" s="2" t="str">
        <f>IFERROR(__xludf.DUMMYFUNCTION("""COMPUTED_VALUE"""),"Semestre")</f>
        <v>Semestre</v>
      </c>
      <c r="G386" s="2" t="str">
        <f>IFERROR(__xludf.DUMMYFUNCTION("""COMPUTED_VALUE"""),"Bilbao")</f>
        <v>Bilbao</v>
      </c>
      <c r="H386" s="2" t="str">
        <f>IFERROR(__xludf.DUMMYFUNCTION("""COMPUTED_VALUE"""),"Ingeniería")</f>
        <v>Ingeniería</v>
      </c>
      <c r="I386" s="2" t="str">
        <f>IFERROR(__xludf.DUMMYFUNCTION("""COMPUTED_VALUE"""),"Tecnologías Industriales, Electrónica y Automática")</f>
        <v>Tecnologías Industriales, Electrónica y Automática</v>
      </c>
      <c r="J386" s="2" t="str">
        <f>IFERROR(__xludf.DUMMYFUNCTION("""COMPUTED_VALUE"""),"Grado")</f>
        <v>Grado</v>
      </c>
      <c r="K386" s="2" t="str">
        <f>IFERROR(__xludf.DUMMYFUNCTION("""COMPUTED_VALUE"""),"Francés / Inglés")</f>
        <v>Francés / Inglés</v>
      </c>
      <c r="L386" s="2" t="str">
        <f>IFERROR(__xludf.DUMMYFUNCTION("""COMPUTED_VALUE"""),"B2")</f>
        <v>B2</v>
      </c>
      <c r="M386" s="2" t="str">
        <f>IFERROR(__xludf.DUMMYFUNCTION("""COMPUTED_VALUE"""),"No")</f>
        <v>No</v>
      </c>
      <c r="N386" s="3" t="str">
        <f>IFERROR(__xludf.DUMMYFUNCTION("""COMPUTED_VALUE"""),"https://www.univ-orleans.fr/upload/public/2024-04/F%20ORLEANS01_Fact%20sheet%20LLSH_2024-2025.pdf")</f>
        <v>https://www.univ-orleans.fr/upload/public/2024-04/F%20ORLEANS01_Fact%20sheet%20LLSH_2024-2025.pdf</v>
      </c>
      <c r="O386" s="3" t="str">
        <f>IFERROR(__xludf.DUMMYFUNCTION("""COMPUTED_VALUE"""),"Más información / Informazio gehigarria")</f>
        <v>Más información / Informazio gehigarria</v>
      </c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30.0" customHeight="1">
      <c r="A387" s="2" t="str">
        <f>IFERROR(__xludf.DUMMYFUNCTION("""COMPUTED_VALUE"""),"Francia")</f>
        <v>Francia</v>
      </c>
      <c r="B387" s="2" t="str">
        <f>IFERROR(__xludf.DUMMYFUNCTION("""COMPUTED_VALUE"""),"F LEHAVR04")</f>
        <v>F LEHAVR04</v>
      </c>
      <c r="C387" s="3" t="str">
        <f>IFERROR(__xludf.DUMMYFUNCTION("""COMPUTED_VALUE"""),"École Supérieure de Commerce du Havre")</f>
        <v>École Supérieure de Commerce du Havre</v>
      </c>
      <c r="D387" s="2" t="str">
        <f>IFERROR(__xludf.DUMMYFUNCTION("""COMPUTED_VALUE"""),"Erasmus+")</f>
        <v>Erasmus+</v>
      </c>
      <c r="E387" s="2">
        <f>IFERROR(__xludf.DUMMYFUNCTION("""COMPUTED_VALUE"""),2.0)</f>
        <v>2</v>
      </c>
      <c r="F387" s="2" t="str">
        <f>IFERROR(__xludf.DUMMYFUNCTION("""COMPUTED_VALUE"""),"Ambos semestres")</f>
        <v>Ambos semestres</v>
      </c>
      <c r="G387" s="2" t="str">
        <f>IFERROR(__xludf.DUMMYFUNCTION("""COMPUTED_VALUE"""),"Bilbao")</f>
        <v>Bilbao</v>
      </c>
      <c r="H387" s="2" t="str">
        <f>IFERROR(__xludf.DUMMYFUNCTION("""COMPUTED_VALUE"""),"Deusto Business School")</f>
        <v>Deusto Business School</v>
      </c>
      <c r="I387" s="2" t="str">
        <f>IFERROR(__xludf.DUMMYFUNCTION("""COMPUTED_VALUE"""),"Administración y Dirección de Empresas")</f>
        <v>Administración y Dirección de Empresas</v>
      </c>
      <c r="J387" s="2" t="str">
        <f>IFERROR(__xludf.DUMMYFUNCTION("""COMPUTED_VALUE"""),"Grado")</f>
        <v>Grado</v>
      </c>
      <c r="K387" s="2" t="str">
        <f>IFERROR(__xludf.DUMMYFUNCTION("""COMPUTED_VALUE"""),"Francés")</f>
        <v>Francés</v>
      </c>
      <c r="L387" s="2" t="str">
        <f>IFERROR(__xludf.DUMMYFUNCTION("""COMPUTED_VALUE"""),"B2")</f>
        <v>B2</v>
      </c>
      <c r="M387" s="2" t="str">
        <f>IFERROR(__xludf.DUMMYFUNCTION("""COMPUTED_VALUE"""),"Sí")</f>
        <v>Sí</v>
      </c>
      <c r="N387" s="3" t="str">
        <f>IFERROR(__xludf.DUMMYFUNCTION("""COMPUTED_VALUE"""),"https://www.em-normandie.com/en/bachelor-business-administration-bba")</f>
        <v>https://www.em-normandie.com/en/bachelor-business-administration-bba</v>
      </c>
      <c r="O387" s="3" t="str">
        <f>IFERROR(__xludf.DUMMYFUNCTION("""COMPUTED_VALUE"""),"Más información / Informazio gehigarria")</f>
        <v>Más información / Informazio gehigarria</v>
      </c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30.0" customHeight="1">
      <c r="A388" s="2" t="str">
        <f>IFERROR(__xludf.DUMMYFUNCTION("""COMPUTED_VALUE"""),"Francia")</f>
        <v>Francia</v>
      </c>
      <c r="B388" s="2" t="str">
        <f>IFERROR(__xludf.DUMMYFUNCTION("""COMPUTED_VALUE"""),"F PARIS270")</f>
        <v>F PARIS270</v>
      </c>
      <c r="C388" s="3" t="str">
        <f>IFERROR(__xludf.DUMMYFUNCTION("""COMPUTED_VALUE"""),"Pôle Universitaire Léonard de Vinci - EMLV Business School")</f>
        <v>Pôle Universitaire Léonard de Vinci - EMLV Business School</v>
      </c>
      <c r="D388" s="2" t="str">
        <f>IFERROR(__xludf.DUMMYFUNCTION("""COMPUTED_VALUE"""),"Erasmus+")</f>
        <v>Erasmus+</v>
      </c>
      <c r="E388" s="2">
        <f>IFERROR(__xludf.DUMMYFUNCTION("""COMPUTED_VALUE"""),2.0)</f>
        <v>2</v>
      </c>
      <c r="F388" s="2" t="str">
        <f>IFERROR(__xludf.DUMMYFUNCTION("""COMPUTED_VALUE"""),"Semestre")</f>
        <v>Semestre</v>
      </c>
      <c r="G388" s="2" t="str">
        <f>IFERROR(__xludf.DUMMYFUNCTION("""COMPUTED_VALUE"""),"Bilbao")</f>
        <v>Bilbao</v>
      </c>
      <c r="H388" s="2" t="str">
        <f>IFERROR(__xludf.DUMMYFUNCTION("""COMPUTED_VALUE"""),"Deusto Business School")</f>
        <v>Deusto Business School</v>
      </c>
      <c r="I388" s="2" t="str">
        <f>IFERROR(__xludf.DUMMYFUNCTION("""COMPUTED_VALUE"""),"Administración y Dirección de Empresas")</f>
        <v>Administración y Dirección de Empresas</v>
      </c>
      <c r="J388" s="2" t="str">
        <f>IFERROR(__xludf.DUMMYFUNCTION("""COMPUTED_VALUE"""),"Grado")</f>
        <v>Grado</v>
      </c>
      <c r="K388" s="2" t="str">
        <f>IFERROR(__xludf.DUMMYFUNCTION("""COMPUTED_VALUE"""),"Inglés")</f>
        <v>Inglés</v>
      </c>
      <c r="L388" s="2" t="str">
        <f>IFERROR(__xludf.DUMMYFUNCTION("""COMPUTED_VALUE"""),"C1")</f>
        <v>C1</v>
      </c>
      <c r="M388" s="2"/>
      <c r="N388" s="2"/>
      <c r="O388" s="2" t="str">
        <f>IFERROR(__xludf.DUMMYFUNCTION("""COMPUTED_VALUE"""),"Más información / Informazio gehigarria")</f>
        <v>Más información / Informazio gehigarria</v>
      </c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30.0" customHeight="1">
      <c r="A389" s="2" t="str">
        <f>IFERROR(__xludf.DUMMYFUNCTION("""COMPUTED_VALUE"""),"Francia")</f>
        <v>Francia</v>
      </c>
      <c r="B389" s="2" t="str">
        <f>IFERROR(__xludf.DUMMYFUNCTION("""COMPUTED_VALUE"""),"F STRASBO48")</f>
        <v>F STRASBO48</v>
      </c>
      <c r="C389" s="3" t="str">
        <f>IFERROR(__xludf.DUMMYFUNCTION("""COMPUTED_VALUE"""),"EM Strasbourg Business School")</f>
        <v>EM Strasbourg Business School</v>
      </c>
      <c r="D389" s="2" t="str">
        <f>IFERROR(__xludf.DUMMYFUNCTION("""COMPUTED_VALUE"""),"Erasmus+")</f>
        <v>Erasmus+</v>
      </c>
      <c r="E389" s="2">
        <f>IFERROR(__xludf.DUMMYFUNCTION("""COMPUTED_VALUE"""),2.0)</f>
        <v>2</v>
      </c>
      <c r="F389" s="2" t="str">
        <f>IFERROR(__xludf.DUMMYFUNCTION("""COMPUTED_VALUE"""),"Semestre")</f>
        <v>Semestre</v>
      </c>
      <c r="G389" s="2" t="str">
        <f>IFERROR(__xludf.DUMMYFUNCTION("""COMPUTED_VALUE"""),"San Sebastián")</f>
        <v>San Sebastián</v>
      </c>
      <c r="H389" s="2" t="str">
        <f>IFERROR(__xludf.DUMMYFUNCTION("""COMPUTED_VALUE"""),"Deusto Business School")</f>
        <v>Deusto Business School</v>
      </c>
      <c r="I389" s="2" t="str">
        <f>IFERROR(__xludf.DUMMYFUNCTION("""COMPUTED_VALUE"""),"Administración y Dirección de Empresas")</f>
        <v>Administración y Dirección de Empresas</v>
      </c>
      <c r="J389" s="2" t="str">
        <f>IFERROR(__xludf.DUMMYFUNCTION("""COMPUTED_VALUE"""),"Grado")</f>
        <v>Grado</v>
      </c>
      <c r="K389" s="2" t="str">
        <f>IFERROR(__xludf.DUMMYFUNCTION("""COMPUTED_VALUE"""),"Francés / Inglés")</f>
        <v>Francés / Inglés</v>
      </c>
      <c r="L389" s="2" t="str">
        <f>IFERROR(__xludf.DUMMYFUNCTION("""COMPUTED_VALUE"""),"B2")</f>
        <v>B2</v>
      </c>
      <c r="M389" s="2" t="str">
        <f>IFERROR(__xludf.DUMMYFUNCTION("""COMPUTED_VALUE"""),"No")</f>
        <v>No</v>
      </c>
      <c r="N389" s="3" t="str">
        <f>IFERROR(__xludf.DUMMYFUNCTION("""COMPUTED_VALUE"""),"https://www.em-strasbourg.com/en/student/university-exchanges/exchanges-programs-for-incoming-students")</f>
        <v>https://www.em-strasbourg.com/en/student/university-exchanges/exchanges-programs-for-incoming-students</v>
      </c>
      <c r="O389" s="3" t="str">
        <f>IFERROR(__xludf.DUMMYFUNCTION("""COMPUTED_VALUE"""),"Más información / Informazio gehigarria")</f>
        <v>Más información / Informazio gehigarria</v>
      </c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30.0" customHeight="1">
      <c r="A390" s="2" t="str">
        <f>IFERROR(__xludf.DUMMYFUNCTION("""COMPUTED_VALUE"""),"Francia")</f>
        <v>Francia</v>
      </c>
      <c r="B390" s="2" t="str">
        <f>IFERROR(__xludf.DUMMYFUNCTION("""COMPUTED_VALUE"""),"F STRASBO48")</f>
        <v>F STRASBO48</v>
      </c>
      <c r="C390" s="3" t="str">
        <f>IFERROR(__xludf.DUMMYFUNCTION("""COMPUTED_VALUE"""),"EM Strasbourg Business School")</f>
        <v>EM Strasbourg Business School</v>
      </c>
      <c r="D390" s="2" t="str">
        <f>IFERROR(__xludf.DUMMYFUNCTION("""COMPUTED_VALUE"""),"Erasmus+")</f>
        <v>Erasmus+</v>
      </c>
      <c r="E390" s="2">
        <f>IFERROR(__xludf.DUMMYFUNCTION("""COMPUTED_VALUE"""),2.0)</f>
        <v>2</v>
      </c>
      <c r="F390" s="2" t="str">
        <f>IFERROR(__xludf.DUMMYFUNCTION("""COMPUTED_VALUE"""),"Ambos semestres")</f>
        <v>Ambos semestres</v>
      </c>
      <c r="G390" s="2" t="str">
        <f>IFERROR(__xludf.DUMMYFUNCTION("""COMPUTED_VALUE"""),"Bilbao")</f>
        <v>Bilbao</v>
      </c>
      <c r="H390" s="2" t="str">
        <f>IFERROR(__xludf.DUMMYFUNCTION("""COMPUTED_VALUE"""),"Deusto Business School")</f>
        <v>Deusto Business School</v>
      </c>
      <c r="I390" s="2" t="str">
        <f>IFERROR(__xludf.DUMMYFUNCTION("""COMPUTED_VALUE"""),"Administración y Dirección de Empresas")</f>
        <v>Administración y Dirección de Empresas</v>
      </c>
      <c r="J390" s="2" t="str">
        <f>IFERROR(__xludf.DUMMYFUNCTION("""COMPUTED_VALUE"""),"Grado")</f>
        <v>Grado</v>
      </c>
      <c r="K390" s="2" t="str">
        <f>IFERROR(__xludf.DUMMYFUNCTION("""COMPUTED_VALUE"""),"Inglés")</f>
        <v>Inglés</v>
      </c>
      <c r="L390" s="2" t="str">
        <f>IFERROR(__xludf.DUMMYFUNCTION("""COMPUTED_VALUE"""),"C1")</f>
        <v>C1</v>
      </c>
      <c r="M390" s="2" t="str">
        <f>IFERROR(__xludf.DUMMYFUNCTION("""COMPUTED_VALUE"""),"No")</f>
        <v>No</v>
      </c>
      <c r="N390" s="3" t="str">
        <f>IFERROR(__xludf.DUMMYFUNCTION("""COMPUTED_VALUE"""),"https://www.em-strasbourg.com/en/student/university-exchanges/exchanges-programs-for-incoming-students")</f>
        <v>https://www.em-strasbourg.com/en/student/university-exchanges/exchanges-programs-for-incoming-students</v>
      </c>
      <c r="O390" s="3" t="str">
        <f>IFERROR(__xludf.DUMMYFUNCTION("""COMPUTED_VALUE"""),"Más información / Informazio gehigarria")</f>
        <v>Más información / Informazio gehigarria</v>
      </c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30.0" customHeight="1">
      <c r="A391" s="2" t="str">
        <f>IFERROR(__xludf.DUMMYFUNCTION("""COMPUTED_VALUE"""),"Francia")</f>
        <v>Francia</v>
      </c>
      <c r="B391" s="2" t="str">
        <f>IFERROR(__xludf.DUMMYFUNCTION("""COMPUTED_VALUE"""),"F ANJOU02")</f>
        <v>F ANJOU02</v>
      </c>
      <c r="C391" s="3" t="str">
        <f>IFERROR(__xludf.DUMMYFUNCTION("""COMPUTED_VALUE"""),"ESAIP Groupe")</f>
        <v>ESAIP Groupe</v>
      </c>
      <c r="D391" s="2" t="str">
        <f>IFERROR(__xludf.DUMMYFUNCTION("""COMPUTED_VALUE"""),"Erasmus+")</f>
        <v>Erasmus+</v>
      </c>
      <c r="E391" s="2">
        <f>IFERROR(__xludf.DUMMYFUNCTION("""COMPUTED_VALUE"""),2.0)</f>
        <v>2</v>
      </c>
      <c r="F391" s="2" t="str">
        <f>IFERROR(__xludf.DUMMYFUNCTION("""COMPUTED_VALUE"""),"Semestre")</f>
        <v>Semestre</v>
      </c>
      <c r="G391" s="2" t="str">
        <f>IFERROR(__xludf.DUMMYFUNCTION("""COMPUTED_VALUE"""),"Ambos")</f>
        <v>Ambos</v>
      </c>
      <c r="H391" s="2" t="str">
        <f>IFERROR(__xludf.DUMMYFUNCTION("""COMPUTED_VALUE"""),"Ingeniería")</f>
        <v>Ingeniería</v>
      </c>
      <c r="I391" s="2" t="str">
        <f>IFERROR(__xludf.DUMMYFUNCTION("""COMPUTED_VALUE"""),"Ingeniería Informática, Ciencia de Datos e IA + Ingeniería Informática, Ingeniería Informática + Videojuegos")</f>
        <v>Ingeniería Informática, Ciencia de Datos e IA + Ingeniería Informática, Ingeniería Informática + Videojuegos</v>
      </c>
      <c r="J391" s="2" t="str">
        <f>IFERROR(__xludf.DUMMYFUNCTION("""COMPUTED_VALUE"""),"Grado")</f>
        <v>Grado</v>
      </c>
      <c r="K391" s="2" t="str">
        <f>IFERROR(__xludf.DUMMYFUNCTION("""COMPUTED_VALUE"""),"Francés / Inglés")</f>
        <v>Francés / Inglés</v>
      </c>
      <c r="L391" s="2" t="str">
        <f>IFERROR(__xludf.DUMMYFUNCTION("""COMPUTED_VALUE"""),"B2")</f>
        <v>B2</v>
      </c>
      <c r="M391" s="2" t="str">
        <f>IFERROR(__xludf.DUMMYFUNCTION("""COMPUTED_VALUE"""),"No")</f>
        <v>No</v>
      </c>
      <c r="N391" s="3" t="str">
        <f>IFERROR(__xludf.DUMMYFUNCTION("""COMPUTED_VALUE"""),"https://drive.google.com/file/d/1H3CKOTB-U9D14-Wap9ozs__cSC9u_5WS/view")</f>
        <v>https://drive.google.com/file/d/1H3CKOTB-U9D14-Wap9ozs__cSC9u_5WS/view</v>
      </c>
      <c r="O391" s="3" t="str">
        <f>IFERROR(__xludf.DUMMYFUNCTION("""COMPUTED_VALUE"""),"Más información / Informazio gehigarria")</f>
        <v>Más información / Informazio gehigarria</v>
      </c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30.0" customHeight="1">
      <c r="A392" s="2" t="str">
        <f>IFERROR(__xludf.DUMMYFUNCTION("""COMPUTED_VALUE"""),"Francia")</f>
        <v>Francia</v>
      </c>
      <c r="B392" s="2" t="str">
        <f>IFERROR(__xludf.DUMMYFUNCTION("""COMPUTED_VALUE"""),"F CLERMON46")</f>
        <v>F CLERMON46</v>
      </c>
      <c r="C392" s="3" t="str">
        <f>IFERROR(__xludf.DUMMYFUNCTION("""COMPUTED_VALUE"""),"ESC Clermont-Ferrand")</f>
        <v>ESC Clermont-Ferrand</v>
      </c>
      <c r="D392" s="2" t="str">
        <f>IFERROR(__xludf.DUMMYFUNCTION("""COMPUTED_VALUE"""),"Erasmus+")</f>
        <v>Erasmus+</v>
      </c>
      <c r="E392" s="2">
        <f>IFERROR(__xludf.DUMMYFUNCTION("""COMPUTED_VALUE"""),2.0)</f>
        <v>2</v>
      </c>
      <c r="F392" s="2" t="str">
        <f>IFERROR(__xludf.DUMMYFUNCTION("""COMPUTED_VALUE"""),"Semestre")</f>
        <v>Semestre</v>
      </c>
      <c r="G392" s="2" t="str">
        <f>IFERROR(__xludf.DUMMYFUNCTION("""COMPUTED_VALUE"""),"San Sebastián")</f>
        <v>San Sebastián</v>
      </c>
      <c r="H392" s="2" t="str">
        <f>IFERROR(__xludf.DUMMYFUNCTION("""COMPUTED_VALUE"""),"Deusto Business School")</f>
        <v>Deusto Business School</v>
      </c>
      <c r="I392" s="2" t="str">
        <f>IFERROR(__xludf.DUMMYFUNCTION("""COMPUTED_VALUE"""),"Administración y Dirección de Empresas")</f>
        <v>Administración y Dirección de Empresas</v>
      </c>
      <c r="J392" s="2" t="str">
        <f>IFERROR(__xludf.DUMMYFUNCTION("""COMPUTED_VALUE"""),"Grado")</f>
        <v>Grado</v>
      </c>
      <c r="K392" s="2" t="str">
        <f>IFERROR(__xludf.DUMMYFUNCTION("""COMPUTED_VALUE"""),"Francés / Inglés")</f>
        <v>Francés / Inglés</v>
      </c>
      <c r="L392" s="2" t="str">
        <f>IFERROR(__xludf.DUMMYFUNCTION("""COMPUTED_VALUE"""),"B1/B2")</f>
        <v>B1/B2</v>
      </c>
      <c r="M392" s="2" t="str">
        <f>IFERROR(__xludf.DUMMYFUNCTION("""COMPUTED_VALUE"""),"No")</f>
        <v>No</v>
      </c>
      <c r="N392" s="3" t="str">
        <f>IFERROR(__xludf.DUMMYFUNCTION("""COMPUTED_VALUE"""),"https://www.esc-clermont.fr/en/freemover-exchangestudent/")</f>
        <v>https://www.esc-clermont.fr/en/freemover-exchangestudent/</v>
      </c>
      <c r="O392" s="3" t="str">
        <f>IFERROR(__xludf.DUMMYFUNCTION("""COMPUTED_VALUE"""),"Más información / Informazio gehigarria")</f>
        <v>Más información / Informazio gehigarria</v>
      </c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30.0" customHeight="1">
      <c r="A393" s="2" t="str">
        <f>IFERROR(__xludf.DUMMYFUNCTION("""COMPUTED_VALUE"""),"Francia")</f>
        <v>Francia</v>
      </c>
      <c r="B393" s="2" t="str">
        <f>IFERROR(__xludf.DUMMYFUNCTION("""COMPUTED_VALUE"""),"F GRENOBL21")</f>
        <v>F GRENOBL21</v>
      </c>
      <c r="C393" s="3" t="str">
        <f>IFERROR(__xludf.DUMMYFUNCTION("""COMPUTED_VALUE"""),"ESC Grenoble")</f>
        <v>ESC Grenoble</v>
      </c>
      <c r="D393" s="2" t="str">
        <f>IFERROR(__xludf.DUMMYFUNCTION("""COMPUTED_VALUE"""),"Erasmus+")</f>
        <v>Erasmus+</v>
      </c>
      <c r="E393" s="2">
        <f>IFERROR(__xludf.DUMMYFUNCTION("""COMPUTED_VALUE"""),2.0)</f>
        <v>2</v>
      </c>
      <c r="F393" s="2" t="str">
        <f>IFERROR(__xludf.DUMMYFUNCTION("""COMPUTED_VALUE"""),"Ambos semestres")</f>
        <v>Ambos semestres</v>
      </c>
      <c r="G393" s="2" t="str">
        <f>IFERROR(__xludf.DUMMYFUNCTION("""COMPUTED_VALUE"""),"Bilbao")</f>
        <v>Bilbao</v>
      </c>
      <c r="H393" s="2" t="str">
        <f>IFERROR(__xludf.DUMMYFUNCTION("""COMPUTED_VALUE"""),"Deusto Business School")</f>
        <v>Deusto Business School</v>
      </c>
      <c r="I393" s="2" t="str">
        <f>IFERROR(__xludf.DUMMYFUNCTION("""COMPUTED_VALUE"""),"Administración y Dirección de Empresas")</f>
        <v>Administración y Dirección de Empresas</v>
      </c>
      <c r="J393" s="2" t="str">
        <f>IFERROR(__xludf.DUMMYFUNCTION("""COMPUTED_VALUE"""),"Grado")</f>
        <v>Grado</v>
      </c>
      <c r="K393" s="2" t="str">
        <f>IFERROR(__xludf.DUMMYFUNCTION("""COMPUTED_VALUE"""),"Inglés")</f>
        <v>Inglés</v>
      </c>
      <c r="L393" s="2" t="str">
        <f>IFERROR(__xludf.DUMMYFUNCTION("""COMPUTED_VALUE"""),"C1")</f>
        <v>C1</v>
      </c>
      <c r="M393" s="2" t="str">
        <f>IFERROR(__xludf.DUMMYFUNCTION("""COMPUTED_VALUE"""),"Sí")</f>
        <v>Sí</v>
      </c>
      <c r="N393" s="3" t="str">
        <f>IFERROR(__xludf.DUMMYFUNCTION("""COMPUTED_VALUE"""),"https://en.grenoble-em.com/sites/default/files/public/kcfinder/fact_sheet.pdf")</f>
        <v>https://en.grenoble-em.com/sites/default/files/public/kcfinder/fact_sheet.pdf</v>
      </c>
      <c r="O393" s="3" t="str">
        <f>IFERROR(__xludf.DUMMYFUNCTION("""COMPUTED_VALUE"""),"Más información / Informazio gehigarria")</f>
        <v>Más información / Informazio gehigarria</v>
      </c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30.0" customHeight="1">
      <c r="A394" s="2" t="str">
        <f>IFERROR(__xludf.DUMMYFUNCTION("""COMPUTED_VALUE"""),"Francia")</f>
        <v>Francia</v>
      </c>
      <c r="B394" s="2" t="str">
        <f>IFERROR(__xludf.DUMMYFUNCTION("""COMPUTED_VALUE"""),"F PARIS100")</f>
        <v>F PARIS100</v>
      </c>
      <c r="C394" s="3" t="str">
        <f>IFERROR(__xludf.DUMMYFUNCTION("""COMPUTED_VALUE"""),"ESCP Business School")</f>
        <v>ESCP Business School</v>
      </c>
      <c r="D394" s="2" t="str">
        <f>IFERROR(__xludf.DUMMYFUNCTION("""COMPUTED_VALUE"""),"Erasmus+")</f>
        <v>Erasmus+</v>
      </c>
      <c r="E394" s="2">
        <f>IFERROR(__xludf.DUMMYFUNCTION("""COMPUTED_VALUE"""),3.0)</f>
        <v>3</v>
      </c>
      <c r="F394" s="2" t="str">
        <f>IFERROR(__xludf.DUMMYFUNCTION("""COMPUTED_VALUE"""),"Semestre")</f>
        <v>Semestre</v>
      </c>
      <c r="G394" s="2" t="str">
        <f>IFERROR(__xludf.DUMMYFUNCTION("""COMPUTED_VALUE"""),"Bilbao")</f>
        <v>Bilbao</v>
      </c>
      <c r="H394" s="2" t="str">
        <f>IFERROR(__xludf.DUMMYFUNCTION("""COMPUTED_VALUE"""),"Deusto Business School")</f>
        <v>Deusto Business School</v>
      </c>
      <c r="I394" s="2" t="str">
        <f>IFERROR(__xludf.DUMMYFUNCTION("""COMPUTED_VALUE"""),"Administración y Dirección de Empresas")</f>
        <v>Administración y Dirección de Empresas</v>
      </c>
      <c r="J394" s="2" t="str">
        <f>IFERROR(__xludf.DUMMYFUNCTION("""COMPUTED_VALUE"""),"Grado")</f>
        <v>Grado</v>
      </c>
      <c r="K394" s="2" t="str">
        <f>IFERROR(__xludf.DUMMYFUNCTION("""COMPUTED_VALUE"""),"Francés / Inglés")</f>
        <v>Francés / Inglés</v>
      </c>
      <c r="L394" s="2" t="str">
        <f>IFERROR(__xludf.DUMMYFUNCTION("""COMPUTED_VALUE"""),"Fr B2 / Eng C1")</f>
        <v>Fr B2 / Eng C1</v>
      </c>
      <c r="M394" s="2" t="str">
        <f>IFERROR(__xludf.DUMMYFUNCTION("""COMPUTED_VALUE"""),"No")</f>
        <v>No</v>
      </c>
      <c r="N394" s="3" t="str">
        <f>IFERROR(__xludf.DUMMYFUNCTION("""COMPUTED_VALUE"""),"https://escp.eu/international/exchange")</f>
        <v>https://escp.eu/international/exchange</v>
      </c>
      <c r="O394" s="3" t="str">
        <f>IFERROR(__xludf.DUMMYFUNCTION("""COMPUTED_VALUE"""),"Más información / Informazio gehigarria")</f>
        <v>Más información / Informazio gehigarria</v>
      </c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30.0" customHeight="1">
      <c r="A395" s="2" t="str">
        <f>IFERROR(__xludf.DUMMYFUNCTION("""COMPUTED_VALUE"""),"Francia")</f>
        <v>Francia</v>
      </c>
      <c r="B395" s="2" t="str">
        <f>IFERROR(__xludf.DUMMYFUNCTION("""COMPUTED_VALUE"""),"F ANGERS10")</f>
        <v>F ANGERS10</v>
      </c>
      <c r="C395" s="3" t="str">
        <f>IFERROR(__xludf.DUMMYFUNCTION("""COMPUTED_VALUE"""),"Groupe ESSCA")</f>
        <v>Groupe ESSCA</v>
      </c>
      <c r="D395" s="2" t="str">
        <f>IFERROR(__xludf.DUMMYFUNCTION("""COMPUTED_VALUE"""),"Erasmus+")</f>
        <v>Erasmus+</v>
      </c>
      <c r="E395" s="2">
        <f>IFERROR(__xludf.DUMMYFUNCTION("""COMPUTED_VALUE"""),4.0)</f>
        <v>4</v>
      </c>
      <c r="F395" s="2" t="str">
        <f>IFERROR(__xludf.DUMMYFUNCTION("""COMPUTED_VALUE"""),"Semestre")</f>
        <v>Semestre</v>
      </c>
      <c r="G395" s="2" t="str">
        <f>IFERROR(__xludf.DUMMYFUNCTION("""COMPUTED_VALUE"""),"San Sebastián")</f>
        <v>San Sebastián</v>
      </c>
      <c r="H395" s="2" t="str">
        <f>IFERROR(__xludf.DUMMYFUNCTION("""COMPUTED_VALUE"""),"Deusto Business School")</f>
        <v>Deusto Business School</v>
      </c>
      <c r="I395" s="2" t="str">
        <f>IFERROR(__xludf.DUMMYFUNCTION("""COMPUTED_VALUE"""),"Administración y Dirección de Empresas")</f>
        <v>Administración y Dirección de Empresas</v>
      </c>
      <c r="J395" s="2" t="str">
        <f>IFERROR(__xludf.DUMMYFUNCTION("""COMPUTED_VALUE"""),"Grado")</f>
        <v>Grado</v>
      </c>
      <c r="K395" s="2" t="str">
        <f>IFERROR(__xludf.DUMMYFUNCTION("""COMPUTED_VALUE"""),"Inglés")</f>
        <v>Inglés</v>
      </c>
      <c r="L395" s="2" t="str">
        <f>IFERROR(__xludf.DUMMYFUNCTION("""COMPUTED_VALUE"""),"B2")</f>
        <v>B2</v>
      </c>
      <c r="M395" s="2" t="str">
        <f>IFERROR(__xludf.DUMMYFUNCTION("""COMPUTED_VALUE"""),"Sí")</f>
        <v>Sí</v>
      </c>
      <c r="N395" s="3" t="str">
        <f>IFERROR(__xludf.DUMMYFUNCTION("""COMPUTED_VALUE"""),"https://www.essca.fr/en/bachelor-in-international-management/admission-bachelor-in-international-management")</f>
        <v>https://www.essca.fr/en/bachelor-in-international-management/admission-bachelor-in-international-management</v>
      </c>
      <c r="O395" s="3" t="str">
        <f>IFERROR(__xludf.DUMMYFUNCTION("""COMPUTED_VALUE"""),"Más información / Informazio gehigarria")</f>
        <v>Más información / Informazio gehigarria</v>
      </c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30.0" customHeight="1">
      <c r="A396" s="2" t="str">
        <f>IFERROR(__xludf.DUMMYFUNCTION("""COMPUTED_VALUE"""),"Francia")</f>
        <v>Francia</v>
      </c>
      <c r="B396" s="2" t="str">
        <f>IFERROR(__xludf.DUMMYFUNCTION("""COMPUTED_VALUE"""),"F ANGERS10")</f>
        <v>F ANGERS10</v>
      </c>
      <c r="C396" s="3" t="str">
        <f>IFERROR(__xludf.DUMMYFUNCTION("""COMPUTED_VALUE"""),"Groupe ESSCA")</f>
        <v>Groupe ESSCA</v>
      </c>
      <c r="D396" s="2" t="str">
        <f>IFERROR(__xludf.DUMMYFUNCTION("""COMPUTED_VALUE"""),"Erasmus+")</f>
        <v>Erasmus+</v>
      </c>
      <c r="E396" s="2">
        <f>IFERROR(__xludf.DUMMYFUNCTION("""COMPUTED_VALUE"""),2.0)</f>
        <v>2</v>
      </c>
      <c r="F396" s="2" t="str">
        <f>IFERROR(__xludf.DUMMYFUNCTION("""COMPUTED_VALUE"""),"Ambos semestres")</f>
        <v>Ambos semestres</v>
      </c>
      <c r="G396" s="2" t="str">
        <f>IFERROR(__xludf.DUMMYFUNCTION("""COMPUTED_VALUE"""),"Bilbao")</f>
        <v>Bilbao</v>
      </c>
      <c r="H396" s="2" t="str">
        <f>IFERROR(__xludf.DUMMYFUNCTION("""COMPUTED_VALUE"""),"Deusto Business School")</f>
        <v>Deusto Business School</v>
      </c>
      <c r="I396" s="2" t="str">
        <f>IFERROR(__xludf.DUMMYFUNCTION("""COMPUTED_VALUE"""),"Administración y Dirección de Empresas")</f>
        <v>Administración y Dirección de Empresas</v>
      </c>
      <c r="J396" s="2" t="str">
        <f>IFERROR(__xludf.DUMMYFUNCTION("""COMPUTED_VALUE"""),"Grado")</f>
        <v>Grado</v>
      </c>
      <c r="K396" s="2" t="str">
        <f>IFERROR(__xludf.DUMMYFUNCTION("""COMPUTED_VALUE"""),"Francés / Inglés")</f>
        <v>Francés / Inglés</v>
      </c>
      <c r="L396" s="2" t="str">
        <f>IFERROR(__xludf.DUMMYFUNCTION("""COMPUTED_VALUE"""),"Fr B2 / Eng C1")</f>
        <v>Fr B2 / Eng C1</v>
      </c>
      <c r="M396" s="2" t="str">
        <f>IFERROR(__xludf.DUMMYFUNCTION("""COMPUTED_VALUE"""),"Sí")</f>
        <v>Sí</v>
      </c>
      <c r="N396" s="3" t="str">
        <f>IFERROR(__xludf.DUMMYFUNCTION("""COMPUTED_VALUE"""),"https://www.essca.fr/en/bachelor-in-international-management/admission-bachelor-in-international-management")</f>
        <v>https://www.essca.fr/en/bachelor-in-international-management/admission-bachelor-in-international-management</v>
      </c>
      <c r="O396" s="3" t="str">
        <f>IFERROR(__xludf.DUMMYFUNCTION("""COMPUTED_VALUE"""),"Más información / Informazio gehigarria")</f>
        <v>Más información / Informazio gehigarria</v>
      </c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30.0" customHeight="1">
      <c r="A397" s="2" t="str">
        <f>IFERROR(__xludf.DUMMYFUNCTION("""COMPUTED_VALUE"""),"Francia")</f>
        <v>Francia</v>
      </c>
      <c r="B397" s="2" t="str">
        <f>IFERROR(__xludf.DUMMYFUNCTION("""COMPUTED_VALUE"""),"F SCEAUX01")</f>
        <v>F SCEAUX01</v>
      </c>
      <c r="C397" s="3" t="str">
        <f>IFERROR(__xludf.DUMMYFUNCTION("""COMPUTED_VALUE"""),"EPF - Ecole d´Ingénieurs")</f>
        <v>EPF - Ecole d´Ingénieurs</v>
      </c>
      <c r="D397" s="2" t="str">
        <f>IFERROR(__xludf.DUMMYFUNCTION("""COMPUTED_VALUE"""),"Erasmus+")</f>
        <v>Erasmus+</v>
      </c>
      <c r="E397" s="2">
        <f>IFERROR(__xludf.DUMMYFUNCTION("""COMPUTED_VALUE"""),2.0)</f>
        <v>2</v>
      </c>
      <c r="F397" s="2" t="str">
        <f>IFERROR(__xludf.DUMMYFUNCTION("""COMPUTED_VALUE"""),"Semestre")</f>
        <v>Semestre</v>
      </c>
      <c r="G397" s="2" t="str">
        <f>IFERROR(__xludf.DUMMYFUNCTION("""COMPUTED_VALUE"""),"Bilbao")</f>
        <v>Bilbao</v>
      </c>
      <c r="H397" s="2" t="str">
        <f>IFERROR(__xludf.DUMMYFUNCTION("""COMPUTED_VALUE"""),"Ingeniería")</f>
        <v>Ingeniería</v>
      </c>
      <c r="I397" s="2" t="str">
        <f>IFERROR(__xludf.DUMMYFUNCTION("""COMPUTED_VALUE"""),"Ingeniería Biomédica")</f>
        <v>Ingeniería Biomédica</v>
      </c>
      <c r="J397" s="2" t="str">
        <f>IFERROR(__xludf.DUMMYFUNCTION("""COMPUTED_VALUE"""),"Grado/Master")</f>
        <v>Grado/Master</v>
      </c>
      <c r="K397" s="2" t="str">
        <f>IFERROR(__xludf.DUMMYFUNCTION("""COMPUTED_VALUE"""),"Francés/Inglés")</f>
        <v>Francés/Inglés</v>
      </c>
      <c r="L397" s="2" t="str">
        <f>IFERROR(__xludf.DUMMYFUNCTION("""COMPUTED_VALUE"""),"Francés B1 / Inglés B2")</f>
        <v>Francés B1 / Inglés B2</v>
      </c>
      <c r="M397" s="2" t="str">
        <f>IFERROR(__xludf.DUMMYFUNCTION("""COMPUTED_VALUE"""),"Sí")</f>
        <v>Sí</v>
      </c>
      <c r="N397" s="3" t="str">
        <f>IFERROR(__xludf.DUMMYFUNCTION("""COMPUTED_VALUE"""),"https://www.epf.fr/en/exchange-students-0")</f>
        <v>https://www.epf.fr/en/exchange-students-0</v>
      </c>
      <c r="O397" s="3" t="str">
        <f>IFERROR(__xludf.DUMMYFUNCTION("""COMPUTED_VALUE"""),"Más información / Informazio gehigarria")</f>
        <v>Más información / Informazio gehigarria</v>
      </c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30.0" customHeight="1">
      <c r="A398" s="2" t="str">
        <f>IFERROR(__xludf.DUMMYFUNCTION("""COMPUTED_VALUE"""),"Francia")</f>
        <v>Francia</v>
      </c>
      <c r="B398" s="2" t="str">
        <f>IFERROR(__xludf.DUMMYFUNCTION("""COMPUTED_VALUE"""),"F LILLE16")</f>
        <v>F LILLE16</v>
      </c>
      <c r="C398" s="3" t="str">
        <f>IFERROR(__xludf.DUMMYFUNCTION("""COMPUTED_VALUE"""),"ICAM - Institut Catholique d'Arts et Métiers")</f>
        <v>ICAM - Institut Catholique d'Arts et Métiers</v>
      </c>
      <c r="D398" s="2" t="str">
        <f>IFERROR(__xludf.DUMMYFUNCTION("""COMPUTED_VALUE"""),"Erasmus+")</f>
        <v>Erasmus+</v>
      </c>
      <c r="E398" s="2">
        <f>IFERROR(__xludf.DUMMYFUNCTION("""COMPUTED_VALUE"""),10.0)</f>
        <v>10</v>
      </c>
      <c r="F398" s="2" t="str">
        <f>IFERROR(__xludf.DUMMYFUNCTION("""COMPUTED_VALUE"""),"Semestre")</f>
        <v>Semestre</v>
      </c>
      <c r="G398" s="2" t="str">
        <f>IFERROR(__xludf.DUMMYFUNCTION("""COMPUTED_VALUE"""),"Bilbao")</f>
        <v>Bilbao</v>
      </c>
      <c r="H398" s="2" t="str">
        <f>IFERROR(__xludf.DUMMYFUNCTION("""COMPUTED_VALUE"""),"Ingeniería")</f>
        <v>Ingeniería</v>
      </c>
      <c r="I398" s="2" t="str">
        <f>IFERROR(__xludf.DUMMYFUNCTION("""COMPUTED_VALUE"""),"Tecnologías Industriales")</f>
        <v>Tecnologías Industriales</v>
      </c>
      <c r="J398" s="2" t="str">
        <f>IFERROR(__xludf.DUMMYFUNCTION("""COMPUTED_VALUE"""),"Grado")</f>
        <v>Grado</v>
      </c>
      <c r="K398" s="2" t="str">
        <f>IFERROR(__xludf.DUMMYFUNCTION("""COMPUTED_VALUE"""),"Francés / Inglés")</f>
        <v>Francés / Inglés</v>
      </c>
      <c r="L398" s="2" t="str">
        <f>IFERROR(__xludf.DUMMYFUNCTION("""COMPUTED_VALUE"""),"B2")</f>
        <v>B2</v>
      </c>
      <c r="M398" s="2" t="str">
        <f>IFERROR(__xludf.DUMMYFUNCTION("""COMPUTED_VALUE"""),"Sí")</f>
        <v>Sí</v>
      </c>
      <c r="N398" s="3" t="str">
        <f>IFERROR(__xludf.DUMMYFUNCTION("""COMPUTED_VALUE"""),"https://en.icam.fr/download/25476/")</f>
        <v>https://en.icam.fr/download/25476/</v>
      </c>
      <c r="O398" s="3" t="str">
        <f>IFERROR(__xludf.DUMMYFUNCTION("""COMPUTED_VALUE"""),"Más información / Informazio gehigarria")</f>
        <v>Más información / Informazio gehigarria</v>
      </c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30.0" customHeight="1">
      <c r="A399" s="2" t="str">
        <f>IFERROR(__xludf.DUMMYFUNCTION("""COMPUTED_VALUE"""),"Francia")</f>
        <v>Francia</v>
      </c>
      <c r="B399" s="2" t="str">
        <f>IFERROR(__xludf.DUMMYFUNCTION("""COMPUTED_VALUE"""),"F LILLE91")</f>
        <v>F LILLE91</v>
      </c>
      <c r="C399" s="3" t="str">
        <f>IFERROR(__xludf.DUMMYFUNCTION("""COMPUTED_VALUE"""),"IMT Lille Douai")</f>
        <v>IMT Lille Douai</v>
      </c>
      <c r="D399" s="2" t="str">
        <f>IFERROR(__xludf.DUMMYFUNCTION("""COMPUTED_VALUE"""),"Erasmus+")</f>
        <v>Erasmus+</v>
      </c>
      <c r="E399" s="2">
        <f>IFERROR(__xludf.DUMMYFUNCTION("""COMPUTED_VALUE"""),2.0)</f>
        <v>2</v>
      </c>
      <c r="F399" s="2" t="str">
        <f>IFERROR(__xludf.DUMMYFUNCTION("""COMPUTED_VALUE"""),"Semestre")</f>
        <v>Semestre</v>
      </c>
      <c r="G399" s="2" t="str">
        <f>IFERROR(__xludf.DUMMYFUNCTION("""COMPUTED_VALUE"""),"Bilbao")</f>
        <v>Bilbao</v>
      </c>
      <c r="H399" s="2" t="str">
        <f>IFERROR(__xludf.DUMMYFUNCTION("""COMPUTED_VALUE"""),"Ingeniería")</f>
        <v>Ingeniería</v>
      </c>
      <c r="I399" s="2" t="str">
        <f>IFERROR(__xludf.DUMMYFUNCTION("""COMPUTED_VALUE"""),"Ingeniería Mecánica, Diseño Industrial, Tecnologías Industriales, Electrónica y Automática, Ingeniería Robótica, Diseño Industrial + Ingeniería Mecánica")</f>
        <v>Ingeniería Mecánica, Diseño Industrial, Tecnologías Industriales, Electrónica y Automática, Ingeniería Robótica, Diseño Industrial + Ingeniería Mecánica</v>
      </c>
      <c r="J399" s="2" t="str">
        <f>IFERROR(__xludf.DUMMYFUNCTION("""COMPUTED_VALUE"""),"Grado")</f>
        <v>Grado</v>
      </c>
      <c r="K399" s="2" t="str">
        <f>IFERROR(__xludf.DUMMYFUNCTION("""COMPUTED_VALUE"""),"Francés / Inglés")</f>
        <v>Francés / Inglés</v>
      </c>
      <c r="L399" s="2" t="str">
        <f>IFERROR(__xludf.DUMMYFUNCTION("""COMPUTED_VALUE"""),"B2")</f>
        <v>B2</v>
      </c>
      <c r="M399" s="2" t="str">
        <f>IFERROR(__xludf.DUMMYFUNCTION("""COMPUTED_VALUE"""),"Sí")</f>
        <v>Sí</v>
      </c>
      <c r="N399" s="3" t="str">
        <f>IFERROR(__xludf.DUMMYFUNCTION("""COMPUTED_VALUE"""),"https://imt-nord-europe.fr/en/trainings-directory/msc-advanced-design-and-management-of-durable-constructions-2/")</f>
        <v>https://imt-nord-europe.fr/en/trainings-directory/msc-advanced-design-and-management-of-durable-constructions-2/</v>
      </c>
      <c r="O399" s="3" t="str">
        <f>IFERROR(__xludf.DUMMYFUNCTION("""COMPUTED_VALUE"""),"Más información / Informazio gehigarria")</f>
        <v>Más información / Informazio gehigarria</v>
      </c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30.0" customHeight="1">
      <c r="A400" s="2" t="str">
        <f>IFERROR(__xludf.DUMMYFUNCTION("""COMPUTED_VALUE"""),"Francia")</f>
        <v>Francia</v>
      </c>
      <c r="B400" s="2" t="str">
        <f>IFERROR(__xludf.DUMMYFUNCTION("""COMPUTED_VALUE"""),"F LILLE103")</f>
        <v>F LILLE103</v>
      </c>
      <c r="C400" s="3" t="str">
        <f>IFERROR(__xludf.DUMMYFUNCTION("""COMPUTED_VALUE"""),"Universitè de Lille")</f>
        <v>Universitè de Lille</v>
      </c>
      <c r="D400" s="2" t="str">
        <f>IFERROR(__xludf.DUMMYFUNCTION("""COMPUTED_VALUE"""),"Erasmus+")</f>
        <v>Erasmus+</v>
      </c>
      <c r="E400" s="2">
        <f>IFERROR(__xludf.DUMMYFUNCTION("""COMPUTED_VALUE"""),2.0)</f>
        <v>2</v>
      </c>
      <c r="F400" s="2" t="str">
        <f>IFERROR(__xludf.DUMMYFUNCTION("""COMPUTED_VALUE"""),"Anual ")</f>
        <v>Anual </v>
      </c>
      <c r="G400" s="2" t="str">
        <f>IFERROR(__xludf.DUMMYFUNCTION("""COMPUTED_VALUE"""),"Ambos")</f>
        <v>Ambos</v>
      </c>
      <c r="H400" s="2" t="str">
        <f>IFERROR(__xludf.DUMMYFUNCTION("""COMPUTED_VALUE"""),"Ciencias Sociales y Humanas")</f>
        <v>Ciencias Sociales y Humanas</v>
      </c>
      <c r="I400" s="2" t="str">
        <f>IFERROR(__xludf.DUMMYFUNCTION("""COMPUTED_VALUE"""),"Relaciones Internacionales")</f>
        <v>Relaciones Internacionales</v>
      </c>
      <c r="J400" s="2" t="str">
        <f>IFERROR(__xludf.DUMMYFUNCTION("""COMPUTED_VALUE"""),"Grado")</f>
        <v>Grado</v>
      </c>
      <c r="K400" s="2" t="str">
        <f>IFERROR(__xludf.DUMMYFUNCTION("""COMPUTED_VALUE""")," Inglés")</f>
        <v> Inglés</v>
      </c>
      <c r="L400" s="2" t="str">
        <f>IFERROR(__xludf.DUMMYFUNCTION("""COMPUTED_VALUE"""),"B2")</f>
        <v>B2</v>
      </c>
      <c r="M400" s="2" t="str">
        <f>IFERROR(__xludf.DUMMYFUNCTION("""COMPUTED_VALUE"""),"Sí")</f>
        <v>Sí</v>
      </c>
      <c r="N400" s="3" t="str">
        <f>IFERROR(__xludf.DUMMYFUNCTION("""COMPUTED_VALUE"""),"https://en.icam.fr/study-in-france/you-are-an-incoming-university-student/generalist-engineer-parcours-ouvert/?_gl=1*1q8gbl6*_up*MQ..*_ga*MjA0OTYxMjkxNS4xNzI2MjMxNjkz*_ga_1MM9DS2H5Y*MTcyNjIzMTY5Mi4xLjAuMTcyNjIzMTY5Mi4wLjAuMTExODA0MjQ0NA..")</f>
        <v>https://en.icam.fr/study-in-france/you-are-an-incoming-university-student/generalist-engineer-parcours-ouvert/?_gl=1*1q8gbl6*_up*MQ..*_ga*MjA0OTYxMjkxNS4xNzI2MjMxNjkz*_ga_1MM9DS2H5Y*MTcyNjIzMTY5Mi4xLjAuMTcyNjIzMTY5Mi4wLjAuMTExODA0MjQ0NA..</v>
      </c>
      <c r="O400" s="3" t="str">
        <f>IFERROR(__xludf.DUMMYFUNCTION("""COMPUTED_VALUE"""),"Más información / Informazio gehigarria")</f>
        <v>Más información / Informazio gehigarria</v>
      </c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30.0" customHeight="1">
      <c r="A401" s="2" t="str">
        <f>IFERROR(__xludf.DUMMYFUNCTION("""COMPUTED_VALUE"""),"Francia")</f>
        <v>Francia</v>
      </c>
      <c r="B401" s="2" t="str">
        <f>IFERROR(__xludf.DUMMYFUNCTION("""COMPUTED_VALUE"""),"F GRENOBL23")</f>
        <v>F GRENOBL23</v>
      </c>
      <c r="C401" s="3" t="str">
        <f>IFERROR(__xludf.DUMMYFUNCTION("""COMPUTED_VALUE"""),"Institut d'Etudes Politiques de Grenoble (Sciences Po Grenoble)")</f>
        <v>Institut d'Etudes Politiques de Grenoble (Sciences Po Grenoble)</v>
      </c>
      <c r="D401" s="2" t="str">
        <f>IFERROR(__xludf.DUMMYFUNCTION("""COMPUTED_VALUE"""),"Erasmus+")</f>
        <v>Erasmus+</v>
      </c>
      <c r="E401" s="2">
        <f>IFERROR(__xludf.DUMMYFUNCTION("""COMPUTED_VALUE"""),2.0)</f>
        <v>2</v>
      </c>
      <c r="F401" s="2" t="str">
        <f>IFERROR(__xludf.DUMMYFUNCTION("""COMPUTED_VALUE"""),"Anual")</f>
        <v>Anual</v>
      </c>
      <c r="G401" s="2" t="str">
        <f>IFERROR(__xludf.DUMMYFUNCTION("""COMPUTED_VALUE"""),"Bilbao")</f>
        <v>Bilbao</v>
      </c>
      <c r="H401" s="2" t="str">
        <f>IFERROR(__xludf.DUMMYFUNCTION("""COMPUTED_VALUE"""),"Ciencias Sociales y Humanas")</f>
        <v>Ciencias Sociales y Humanas</v>
      </c>
      <c r="I401" s="2" t="str">
        <f>IFERROR(__xludf.DUMMYFUNCTION("""COMPUTED_VALUE"""),"Relaciones Internacionales, Relaciones Internacionales + Derecho")</f>
        <v>Relaciones Internacionales, Relaciones Internacionales + Derecho</v>
      </c>
      <c r="J401" s="2" t="str">
        <f>IFERROR(__xludf.DUMMYFUNCTION("""COMPUTED_VALUE"""),"Grado")</f>
        <v>Grado</v>
      </c>
      <c r="K401" s="2" t="str">
        <f>IFERROR(__xludf.DUMMYFUNCTION("""COMPUTED_VALUE""")," Inglés")</f>
        <v> Inglés</v>
      </c>
      <c r="L401" s="2" t="str">
        <f>IFERROR(__xludf.DUMMYFUNCTION("""COMPUTED_VALUE"""),"B2")</f>
        <v>B2</v>
      </c>
      <c r="M401" s="2" t="str">
        <f>IFERROR(__xludf.DUMMYFUNCTION("""COMPUTED_VALUE"""),"Sí")</f>
        <v>Sí</v>
      </c>
      <c r="N401" s="3" t="str">
        <f>IFERROR(__xludf.DUMMYFUNCTION("""COMPUTED_VALUE"""),"http://www.sciencespo-grenoble.fr/ang/admission/international-tracks/")</f>
        <v>http://www.sciencespo-grenoble.fr/ang/admission/international-tracks/</v>
      </c>
      <c r="O401" s="3" t="str">
        <f>IFERROR(__xludf.DUMMYFUNCTION("""COMPUTED_VALUE"""),"Más información / Informazio gehigarria")</f>
        <v>Más información / Informazio gehigarria</v>
      </c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30.0" customHeight="1">
      <c r="A402" s="2" t="str">
        <f>IFERROR(__xludf.DUMMYFUNCTION("""COMPUTED_VALUE"""),"Francia")</f>
        <v>Francia</v>
      </c>
      <c r="B402" s="2" t="str">
        <f>IFERROR(__xludf.DUMMYFUNCTION("""COMPUTED_VALUE"""),"F TOULOUS28")</f>
        <v>F TOULOUS28</v>
      </c>
      <c r="C402" s="3" t="str">
        <f>IFERROR(__xludf.DUMMYFUNCTION("""COMPUTED_VALUE"""),"Institut Nat. Polytech. de Toulouse (INPT)")</f>
        <v>Institut Nat. Polytech. de Toulouse (INPT)</v>
      </c>
      <c r="D402" s="2" t="str">
        <f>IFERROR(__xludf.DUMMYFUNCTION("""COMPUTED_VALUE"""),"Erasmus+")</f>
        <v>Erasmus+</v>
      </c>
      <c r="E402" s="2">
        <f>IFERROR(__xludf.DUMMYFUNCTION("""COMPUTED_VALUE"""),2.0)</f>
        <v>2</v>
      </c>
      <c r="F402" s="2" t="str">
        <f>IFERROR(__xludf.DUMMYFUNCTION("""COMPUTED_VALUE"""),"Semestre")</f>
        <v>Semestre</v>
      </c>
      <c r="G402" s="2" t="str">
        <f>IFERROR(__xludf.DUMMYFUNCTION("""COMPUTED_VALUE"""),"Bilbao")</f>
        <v>Bilbao</v>
      </c>
      <c r="H402" s="2" t="str">
        <f>IFERROR(__xludf.DUMMYFUNCTION("""COMPUTED_VALUE"""),"Ingeniería")</f>
        <v>Ingeniería</v>
      </c>
      <c r="I402" s="2" t="str">
        <f>IFERROR(__xludf.DUMMYFUNCTION("""COMPUTED_VALUE"""),"Organización Industrial, Tecnologías Industriales, Electrónica y Automática")</f>
        <v>Organización Industrial, Tecnologías Industriales, Electrónica y Automática</v>
      </c>
      <c r="J402" s="2" t="str">
        <f>IFERROR(__xludf.DUMMYFUNCTION("""COMPUTED_VALUE"""),"Grado")</f>
        <v>Grado</v>
      </c>
      <c r="K402" s="2" t="str">
        <f>IFERROR(__xludf.DUMMYFUNCTION("""COMPUTED_VALUE"""),"Francés")</f>
        <v>Francés</v>
      </c>
      <c r="L402" s="2" t="str">
        <f>IFERROR(__xludf.DUMMYFUNCTION("""COMPUTED_VALUE"""),"B2")</f>
        <v>B2</v>
      </c>
      <c r="M402" s="2" t="str">
        <f>IFERROR(__xludf.DUMMYFUNCTION("""COMPUTED_VALUE"""),"No")</f>
        <v>No</v>
      </c>
      <c r="N402" s="3" t="str">
        <f>IFERROR(__xludf.DUMMYFUNCTION("""COMPUTED_VALUE"""),"https://www.etsit.upm.es/fileadmin/documentos/imagenes/factsheet_Uni_socias/FactSheet_Enseeiht_22-23.docx")</f>
        <v>https://www.etsit.upm.es/fileadmin/documentos/imagenes/factsheet_Uni_socias/FactSheet_Enseeiht_22-23.docx</v>
      </c>
      <c r="O402" s="3" t="str">
        <f>IFERROR(__xludf.DUMMYFUNCTION("""COMPUTED_VALUE"""),"Más información / Informazio gehigarria")</f>
        <v>Más información / Informazio gehigarria</v>
      </c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30.0" customHeight="1">
      <c r="A403" s="2" t="str">
        <f>IFERROR(__xludf.DUMMYFUNCTION("""COMPUTED_VALUE"""),"Francia")</f>
        <v>Francia</v>
      </c>
      <c r="B403" s="2" t="str">
        <f>IFERROR(__xludf.DUMMYFUNCTION("""COMPUTED_VALUE"""),"F TOULOUS41")</f>
        <v>F TOULOUS41</v>
      </c>
      <c r="C403" s="3" t="str">
        <f>IFERROR(__xludf.DUMMYFUNCTION("""COMPUTED_VALUE"""),"Institute Limayrac")</f>
        <v>Institute Limayrac</v>
      </c>
      <c r="D403" s="2" t="str">
        <f>IFERROR(__xludf.DUMMYFUNCTION("""COMPUTED_VALUE"""),"Erasmus+")</f>
        <v>Erasmus+</v>
      </c>
      <c r="E403" s="2">
        <f>IFERROR(__xludf.DUMMYFUNCTION("""COMPUTED_VALUE"""),2.0)</f>
        <v>2</v>
      </c>
      <c r="F403" s="2" t="str">
        <f>IFERROR(__xludf.DUMMYFUNCTION("""COMPUTED_VALUE"""),"Semestre")</f>
        <v>Semestre</v>
      </c>
      <c r="G403" s="2" t="str">
        <f>IFERROR(__xludf.DUMMYFUNCTION("""COMPUTED_VALUE"""),"Bilbao")</f>
        <v>Bilbao</v>
      </c>
      <c r="H403" s="2" t="str">
        <f>IFERROR(__xludf.DUMMYFUNCTION("""COMPUTED_VALUE"""),"Ciencias Sociales y Humanas")</f>
        <v>Ciencias Sociales y Humanas</v>
      </c>
      <c r="I403" s="2" t="str">
        <f>IFERROR(__xludf.DUMMYFUNCTION("""COMPUTED_VALUE"""),"Turismo")</f>
        <v>Turismo</v>
      </c>
      <c r="J403" s="2" t="str">
        <f>IFERROR(__xludf.DUMMYFUNCTION("""COMPUTED_VALUE"""),"Grado")</f>
        <v>Grado</v>
      </c>
      <c r="K403" s="2" t="str">
        <f>IFERROR(__xludf.DUMMYFUNCTION("""COMPUTED_VALUE"""),"Francés")</f>
        <v>Francés</v>
      </c>
      <c r="L403" s="2" t="str">
        <f>IFERROR(__xludf.DUMMYFUNCTION("""COMPUTED_VALUE"""),"B1")</f>
        <v>B1</v>
      </c>
      <c r="M403" s="2" t="str">
        <f>IFERROR(__xludf.DUMMYFUNCTION("""COMPUTED_VALUE"""),"Sí")</f>
        <v>Sí</v>
      </c>
      <c r="N403" s="3" t="str">
        <f>IFERROR(__xludf.DUMMYFUNCTION("""COMPUTED_VALUE"""),"https://www.limayrac.fr/etudier-a-linstitut/#demarches_pour_etudier_a_limayrac")</f>
        <v>https://www.limayrac.fr/etudier-a-linstitut/#demarches_pour_etudier_a_limayrac</v>
      </c>
      <c r="O403" s="3" t="str">
        <f>IFERROR(__xludf.DUMMYFUNCTION("""COMPUTED_VALUE"""),"Más información / Informazio gehigarria")</f>
        <v>Más información / Informazio gehigarria</v>
      </c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30.0" customHeight="1">
      <c r="A404" s="2" t="str">
        <f>IFERROR(__xludf.DUMMYFUNCTION("""COMPUTED_VALUE"""),"Francia")</f>
        <v>Francia</v>
      </c>
      <c r="B404" s="2" t="str">
        <f>IFERROR(__xludf.DUMMYFUNCTION("""COMPUTED_VALUE"""),"F REIMS25")</f>
        <v>F REIMS25</v>
      </c>
      <c r="C404" s="3" t="str">
        <f>IFERROR(__xludf.DUMMYFUNCTION("""COMPUTED_VALUE"""),"NEOMA Business School")</f>
        <v>NEOMA Business School</v>
      </c>
      <c r="D404" s="2" t="str">
        <f>IFERROR(__xludf.DUMMYFUNCTION("""COMPUTED_VALUE"""),"Erasmus+")</f>
        <v>Erasmus+</v>
      </c>
      <c r="E404" s="2">
        <f>IFERROR(__xludf.DUMMYFUNCTION("""COMPUTED_VALUE"""),4.0)</f>
        <v>4</v>
      </c>
      <c r="F404" s="2" t="str">
        <f>IFERROR(__xludf.DUMMYFUNCTION("""COMPUTED_VALUE"""),"Semestre")</f>
        <v>Semestre</v>
      </c>
      <c r="G404" s="2" t="str">
        <f>IFERROR(__xludf.DUMMYFUNCTION("""COMPUTED_VALUE"""),"San Sebastián")</f>
        <v>San Sebastián</v>
      </c>
      <c r="H404" s="2" t="str">
        <f>IFERROR(__xludf.DUMMYFUNCTION("""COMPUTED_VALUE"""),"Deusto Business School")</f>
        <v>Deusto Business School</v>
      </c>
      <c r="I404" s="2" t="str">
        <f>IFERROR(__xludf.DUMMYFUNCTION("""COMPUTED_VALUE"""),"Administración y Dirección de Empresas")</f>
        <v>Administración y Dirección de Empresas</v>
      </c>
      <c r="J404" s="2" t="str">
        <f>IFERROR(__xludf.DUMMYFUNCTION("""COMPUTED_VALUE"""),"Grado")</f>
        <v>Grado</v>
      </c>
      <c r="K404" s="2" t="str">
        <f>IFERROR(__xludf.DUMMYFUNCTION("""COMPUTED_VALUE"""),"Francés/Inglés")</f>
        <v>Francés/Inglés</v>
      </c>
      <c r="L404" s="2" t="str">
        <f>IFERROR(__xludf.DUMMYFUNCTION("""COMPUTED_VALUE"""),"B2")</f>
        <v>B2</v>
      </c>
      <c r="M404" s="2" t="str">
        <f>IFERROR(__xludf.DUMMYFUNCTION("""COMPUTED_VALUE"""),"No")</f>
        <v>No</v>
      </c>
      <c r="N404" s="3" t="str">
        <f>IFERROR(__xludf.DUMMYFUNCTION("""COMPUTED_VALUE"""),"https://neoma-bs.com/programmes/global-bba-bachelor-in-business-administration/?admissions#diplomeINT")</f>
        <v>https://neoma-bs.com/programmes/global-bba-bachelor-in-business-administration/?admissions#diplomeINT</v>
      </c>
      <c r="O404" s="3" t="str">
        <f>IFERROR(__xludf.DUMMYFUNCTION("""COMPUTED_VALUE"""),"Más información / Informazio gehigarria")</f>
        <v>Más información / Informazio gehigarria</v>
      </c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30.0" customHeight="1">
      <c r="A405" s="2" t="str">
        <f>IFERROR(__xludf.DUMMYFUNCTION("""COMPUTED_VALUE"""),"Francia")</f>
        <v>Francia</v>
      </c>
      <c r="B405" s="2" t="str">
        <f>IFERROR(__xludf.DUMMYFUNCTION("""COMPUTED_VALUE"""),"F REIMS25")</f>
        <v>F REIMS25</v>
      </c>
      <c r="C405" s="3" t="str">
        <f>IFERROR(__xludf.DUMMYFUNCTION("""COMPUTED_VALUE"""),"NEOMA Business School")</f>
        <v>NEOMA Business School</v>
      </c>
      <c r="D405" s="2" t="str">
        <f>IFERROR(__xludf.DUMMYFUNCTION("""COMPUTED_VALUE"""),"Erasmus+")</f>
        <v>Erasmus+</v>
      </c>
      <c r="E405" s="2">
        <f>IFERROR(__xludf.DUMMYFUNCTION("""COMPUTED_VALUE"""),2.0)</f>
        <v>2</v>
      </c>
      <c r="F405" s="2" t="str">
        <f>IFERROR(__xludf.DUMMYFUNCTION("""COMPUTED_VALUE"""),"1er Semestre")</f>
        <v>1er Semestre</v>
      </c>
      <c r="G405" s="2" t="str">
        <f>IFERROR(__xludf.DUMMYFUNCTION("""COMPUTED_VALUE"""),"Bilbao")</f>
        <v>Bilbao</v>
      </c>
      <c r="H405" s="2" t="str">
        <f>IFERROR(__xludf.DUMMYFUNCTION("""COMPUTED_VALUE"""),"Deusto Business School")</f>
        <v>Deusto Business School</v>
      </c>
      <c r="I405" s="2" t="str">
        <f>IFERROR(__xludf.DUMMYFUNCTION("""COMPUTED_VALUE"""),"Administración y Dirección de Empresas")</f>
        <v>Administración y Dirección de Empresas</v>
      </c>
      <c r="J405" s="2" t="str">
        <f>IFERROR(__xludf.DUMMYFUNCTION("""COMPUTED_VALUE"""),"Grado")</f>
        <v>Grado</v>
      </c>
      <c r="K405" s="2" t="str">
        <f>IFERROR(__xludf.DUMMYFUNCTION("""COMPUTED_VALUE"""),"Francés / Inglés")</f>
        <v>Francés / Inglés</v>
      </c>
      <c r="L405" s="2" t="str">
        <f>IFERROR(__xludf.DUMMYFUNCTION("""COMPUTED_VALUE"""),"Fr B2 / Eng C1")</f>
        <v>Fr B2 / Eng C1</v>
      </c>
      <c r="M405" s="2" t="str">
        <f>IFERROR(__xludf.DUMMYFUNCTION("""COMPUTED_VALUE"""),"No")</f>
        <v>No</v>
      </c>
      <c r="N405" s="3" t="str">
        <f>IFERROR(__xludf.DUMMYFUNCTION("""COMPUTED_VALUE"""),"https://neoma-bs.com/programmes/global-bba-bachelor-in-business-administration/?admissions#diplomeINT")</f>
        <v>https://neoma-bs.com/programmes/global-bba-bachelor-in-business-administration/?admissions#diplomeINT</v>
      </c>
      <c r="O405" s="3" t="str">
        <f>IFERROR(__xludf.DUMMYFUNCTION("""COMPUTED_VALUE"""),"Más información / Informazio gehigarria")</f>
        <v>Más información / Informazio gehigarria</v>
      </c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30.0" customHeight="1">
      <c r="A406" s="2" t="str">
        <f>IFERROR(__xludf.DUMMYFUNCTION("""COMPUTED_VALUE"""),"Francia")</f>
        <v>Francia</v>
      </c>
      <c r="B406" s="2" t="str">
        <f>IFERROR(__xludf.DUMMYFUNCTION("""COMPUTED_VALUE"""),"F REIMS25")</f>
        <v>F REIMS25</v>
      </c>
      <c r="C406" s="3" t="str">
        <f>IFERROR(__xludf.DUMMYFUNCTION("""COMPUTED_VALUE"""),"NEOMA Business School")</f>
        <v>NEOMA Business School</v>
      </c>
      <c r="D406" s="2" t="str">
        <f>IFERROR(__xludf.DUMMYFUNCTION("""COMPUTED_VALUE"""),"Erasmus+")</f>
        <v>Erasmus+</v>
      </c>
      <c r="E406" s="2">
        <f>IFERROR(__xludf.DUMMYFUNCTION("""COMPUTED_VALUE"""),1.0)</f>
        <v>1</v>
      </c>
      <c r="F406" s="2" t="str">
        <f>IFERROR(__xludf.DUMMYFUNCTION("""COMPUTED_VALUE"""),"Semestre")</f>
        <v>Semestre</v>
      </c>
      <c r="G406" s="2" t="str">
        <f>IFERROR(__xludf.DUMMYFUNCTION("""COMPUTED_VALUE"""),"Bilbao")</f>
        <v>Bilbao</v>
      </c>
      <c r="H406" s="2" t="str">
        <f>IFERROR(__xludf.DUMMYFUNCTION("""COMPUTED_VALUE"""),"Ciencias Sociales y Humanas")</f>
        <v>Ciencias Sociales y Humanas</v>
      </c>
      <c r="I406" s="2" t="str">
        <f>IFERROR(__xludf.DUMMYFUNCTION("""COMPUTED_VALUE"""),"Filosofía, Política y Economía")</f>
        <v>Filosofía, Política y Economía</v>
      </c>
      <c r="J406" s="2" t="str">
        <f>IFERROR(__xludf.DUMMYFUNCTION("""COMPUTED_VALUE"""),"Grado")</f>
        <v>Grado</v>
      </c>
      <c r="K406" s="2" t="str">
        <f>IFERROR(__xludf.DUMMYFUNCTION("""COMPUTED_VALUE"""),"Francés / Inglés")</f>
        <v>Francés / Inglés</v>
      </c>
      <c r="L406" s="2" t="str">
        <f>IFERROR(__xludf.DUMMYFUNCTION("""COMPUTED_VALUE"""),"B2")</f>
        <v>B2</v>
      </c>
      <c r="M406" s="2" t="str">
        <f>IFERROR(__xludf.DUMMYFUNCTION("""COMPUTED_VALUE"""),"Sí")</f>
        <v>Sí</v>
      </c>
      <c r="N406" s="3" t="str">
        <f>IFERROR(__xludf.DUMMYFUNCTION("""COMPUTED_VALUE"""),"https://neoma-bs.com/programmes/global-bba-bachelor-in-business-administration/?admissions#diplomeINT")</f>
        <v>https://neoma-bs.com/programmes/global-bba-bachelor-in-business-administration/?admissions#diplomeINT</v>
      </c>
      <c r="O406" s="3" t="str">
        <f>IFERROR(__xludf.DUMMYFUNCTION("""COMPUTED_VALUE"""),"Más información / Informazio gehigarria")</f>
        <v>Más información / Informazio gehigarria</v>
      </c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30.0" customHeight="1">
      <c r="A407" s="2" t="str">
        <f>IFERROR(__xludf.DUMMYFUNCTION("""COMPUTED_VALUE"""),"Francia")</f>
        <v>Francia</v>
      </c>
      <c r="B407" s="2" t="str">
        <f>IFERROR(__xludf.DUMMYFUNCTION("""COMPUTED_VALUE"""),"F PONTOIS04")</f>
        <v>F PONTOIS04</v>
      </c>
      <c r="C407" s="3" t="str">
        <f>IFERROR(__xludf.DUMMYFUNCTION("""COMPUTED_VALUE"""),"Paris-Pontoise - ESIEE[IT]")</f>
        <v>Paris-Pontoise - ESIEE[IT]</v>
      </c>
      <c r="D407" s="2" t="str">
        <f>IFERROR(__xludf.DUMMYFUNCTION("""COMPUTED_VALUE"""),"Erasmus+")</f>
        <v>Erasmus+</v>
      </c>
      <c r="E407" s="2">
        <f>IFERROR(__xludf.DUMMYFUNCTION("""COMPUTED_VALUE"""),3.0)</f>
        <v>3</v>
      </c>
      <c r="F407" s="2" t="str">
        <f>IFERROR(__xludf.DUMMYFUNCTION("""COMPUTED_VALUE"""),"Semestre")</f>
        <v>Semestre</v>
      </c>
      <c r="G407" s="2" t="str">
        <f>IFERROR(__xludf.DUMMYFUNCTION("""COMPUTED_VALUE"""),"Ambos")</f>
        <v>Ambos</v>
      </c>
      <c r="H407" s="2" t="str">
        <f>IFERROR(__xludf.DUMMYFUNCTION("""COMPUTED_VALUE"""),"Ingeniería")</f>
        <v>Ingeniería</v>
      </c>
      <c r="I407" s="2" t="str">
        <f>IFERROR(__xludf.DUMMYFUNCTION("""COMPUTED_VALUE"""),"Ingeniería Informática, Ciencia de Datos e IA + Ingeniería Informática, Ingeniería Informática + Videojuegos")</f>
        <v>Ingeniería Informática, Ciencia de Datos e IA + Ingeniería Informática, Ingeniería Informática + Videojuegos</v>
      </c>
      <c r="J407" s="2" t="str">
        <f>IFERROR(__xludf.DUMMYFUNCTION("""COMPUTED_VALUE"""),"Grado")</f>
        <v>Grado</v>
      </c>
      <c r="K407" s="2" t="str">
        <f>IFERROR(__xludf.DUMMYFUNCTION("""COMPUTED_VALUE"""),"Inglés")</f>
        <v>Inglés</v>
      </c>
      <c r="L407" s="2" t="str">
        <f>IFERROR(__xludf.DUMMYFUNCTION("""COMPUTED_VALUE"""),"B2")</f>
        <v>B2</v>
      </c>
      <c r="M407" s="2" t="str">
        <f>IFERROR(__xludf.DUMMYFUNCTION("""COMPUTED_VALUE"""),"No")</f>
        <v>No</v>
      </c>
      <c r="N407" s="3" t="str">
        <f>IFERROR(__xludf.DUMMYFUNCTION("""COMPUTED_VALUE"""),"https://www.esiee-it.fr/en/node/584")</f>
        <v>https://www.esiee-it.fr/en/node/584</v>
      </c>
      <c r="O407" s="3" t="str">
        <f>IFERROR(__xludf.DUMMYFUNCTION("""COMPUTED_VALUE"""),"Más información / Informazio gehigarria")</f>
        <v>Más información / Informazio gehigarria</v>
      </c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30.0" customHeight="1">
      <c r="A408" s="2" t="str">
        <f>IFERROR(__xludf.DUMMYFUNCTION("""COMPUTED_VALUE"""),"Francia")</f>
        <v>Francia</v>
      </c>
      <c r="B408" s="2" t="str">
        <f>IFERROR(__xludf.DUMMYFUNCTION("""COMPUTED_VALUE"""),"F BORDEAU03")</f>
        <v>F BORDEAU03</v>
      </c>
      <c r="C408" s="3" t="str">
        <f>IFERROR(__xludf.DUMMYFUNCTION("""COMPUTED_VALUE"""),"Université Bordeaux Montaigne")</f>
        <v>Université Bordeaux Montaigne</v>
      </c>
      <c r="D408" s="2" t="str">
        <f>IFERROR(__xludf.DUMMYFUNCTION("""COMPUTED_VALUE"""),"Erasmus+")</f>
        <v>Erasmus+</v>
      </c>
      <c r="E408" s="2">
        <f>IFERROR(__xludf.DUMMYFUNCTION("""COMPUTED_VALUE"""),3.0)</f>
        <v>3</v>
      </c>
      <c r="F408" s="2" t="str">
        <f>IFERROR(__xludf.DUMMYFUNCTION("""COMPUTED_VALUE"""),"Semestre")</f>
        <v>Semestre</v>
      </c>
      <c r="G408" s="2" t="str">
        <f>IFERROR(__xludf.DUMMYFUNCTION("""COMPUTED_VALUE"""),"Bilbao")</f>
        <v>Bilbao</v>
      </c>
      <c r="H408" s="2" t="str">
        <f>IFERROR(__xludf.DUMMYFUNCTION("""COMPUTED_VALUE"""),"Ciencias Sociales y Humanas")</f>
        <v>Ciencias Sociales y Humanas</v>
      </c>
      <c r="I408" s="2" t="str">
        <f>IFERROR(__xludf.DUMMYFUNCTION("""COMPUTED_VALUE"""),"Lenguas Modernas, Lengua y Cultura Vasca + Lenguas Modernas, Lenguas Modernas y Gestión, Euskal Hizkuntza eta Kultura")</f>
        <v>Lenguas Modernas, Lengua y Cultura Vasca + Lenguas Modernas, Lenguas Modernas y Gestión, Euskal Hizkuntza eta Kultura</v>
      </c>
      <c r="J408" s="2" t="str">
        <f>IFERROR(__xludf.DUMMYFUNCTION("""COMPUTED_VALUE"""),"Grado")</f>
        <v>Grado</v>
      </c>
      <c r="K408" s="2" t="str">
        <f>IFERROR(__xludf.DUMMYFUNCTION("""COMPUTED_VALUE"""),"Francés")</f>
        <v>Francés</v>
      </c>
      <c r="L408" s="2" t="str">
        <f>IFERROR(__xludf.DUMMYFUNCTION("""COMPUTED_VALUE"""),"B2")</f>
        <v>B2</v>
      </c>
      <c r="M408" s="2" t="str">
        <f>IFERROR(__xludf.DUMMYFUNCTION("""COMPUTED_VALUE"""),"No")</f>
        <v>No</v>
      </c>
      <c r="N408" s="3" t="str">
        <f>IFERROR(__xludf.DUMMYFUNCTION("""COMPUTED_VALUE"""),"https://www.u-bordeaux-montaigne.fr/en/study/application/exchange-program/file-an-application.html")</f>
        <v>https://www.u-bordeaux-montaigne.fr/en/study/application/exchange-program/file-an-application.html</v>
      </c>
      <c r="O408" s="3" t="str">
        <f>IFERROR(__xludf.DUMMYFUNCTION("""COMPUTED_VALUE"""),"Más información / Informazio gehigarria")</f>
        <v>Más información / Informazio gehigarria</v>
      </c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30.0" customHeight="1">
      <c r="A409" s="2" t="str">
        <f>IFERROR(__xludf.DUMMYFUNCTION("""COMPUTED_VALUE"""),"Francia")</f>
        <v>Francia</v>
      </c>
      <c r="B409" s="2" t="str">
        <f>IFERROR(__xludf.DUMMYFUNCTION("""COMPUTED_VALUE"""),"F BORDEAU57")</f>
        <v>F BORDEAU57</v>
      </c>
      <c r="C409" s="3" t="str">
        <f>IFERROR(__xludf.DUMMYFUNCTION("""COMPUTED_VALUE"""),"KEDGE Business School")</f>
        <v>KEDGE Business School</v>
      </c>
      <c r="D409" s="2" t="str">
        <f>IFERROR(__xludf.DUMMYFUNCTION("""COMPUTED_VALUE"""),"Erasmus+")</f>
        <v>Erasmus+</v>
      </c>
      <c r="E409" s="2">
        <f>IFERROR(__xludf.DUMMYFUNCTION("""COMPUTED_VALUE"""),5.0)</f>
        <v>5</v>
      </c>
      <c r="F409" s="2" t="str">
        <f>IFERROR(__xludf.DUMMYFUNCTION("""COMPUTED_VALUE"""),"Semestre")</f>
        <v>Semestre</v>
      </c>
      <c r="G409" s="2" t="str">
        <f>IFERROR(__xludf.DUMMYFUNCTION("""COMPUTED_VALUE"""),"San Sebastián")</f>
        <v>San Sebastián</v>
      </c>
      <c r="H409" s="2" t="str">
        <f>IFERROR(__xludf.DUMMYFUNCTION("""COMPUTED_VALUE"""),"Deusto Business School")</f>
        <v>Deusto Business School</v>
      </c>
      <c r="I409" s="2" t="str">
        <f>IFERROR(__xludf.DUMMYFUNCTION("""COMPUTED_VALUE"""),"Administración y Dirección de Empresas")</f>
        <v>Administración y Dirección de Empresas</v>
      </c>
      <c r="J409" s="2" t="str">
        <f>IFERROR(__xludf.DUMMYFUNCTION("""COMPUTED_VALUE"""),"Grado")</f>
        <v>Grado</v>
      </c>
      <c r="K409" s="2" t="str">
        <f>IFERROR(__xludf.DUMMYFUNCTION("""COMPUTED_VALUE"""),"Francés / Inglés")</f>
        <v>Francés / Inglés</v>
      </c>
      <c r="L409" s="2" t="str">
        <f>IFERROR(__xludf.DUMMYFUNCTION("""COMPUTED_VALUE"""),"B2")</f>
        <v>B2</v>
      </c>
      <c r="M409" s="2" t="str">
        <f>IFERROR(__xludf.DUMMYFUNCTION("""COMPUTED_VALUE"""),"Sí")</f>
        <v>Sí</v>
      </c>
      <c r="N409" s="3" t="str">
        <f>IFERROR(__xludf.DUMMYFUNCTION("""COMPUTED_VALUE"""),"https://student.kedge.edu/student-services/prepare-my-studies-abroad/practical-information/practical-information-for-international-student-in-bordeaux-kedge")</f>
        <v>https://student.kedge.edu/student-services/prepare-my-studies-abroad/practical-information/practical-information-for-international-student-in-bordeaux-kedge</v>
      </c>
      <c r="O409" s="3" t="str">
        <f>IFERROR(__xludf.DUMMYFUNCTION("""COMPUTED_VALUE"""),"Más información / Informazio gehigarria")</f>
        <v>Más información / Informazio gehigarria</v>
      </c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30.0" customHeight="1">
      <c r="A410" s="2" t="str">
        <f>IFERROR(__xludf.DUMMYFUNCTION("""COMPUTED_VALUE"""),"Francia")</f>
        <v>Francia</v>
      </c>
      <c r="B410" s="2" t="str">
        <f>IFERROR(__xludf.DUMMYFUNCTION("""COMPUTED_VALUE"""),"F ANGERS04")</f>
        <v>F ANGERS04</v>
      </c>
      <c r="C410" s="3" t="str">
        <f>IFERROR(__xludf.DUMMYFUNCTION("""COMPUTED_VALUE"""),"Université Catholique de L´Ouest")</f>
        <v>Université Catholique de L´Ouest</v>
      </c>
      <c r="D410" s="2" t="str">
        <f>IFERROR(__xludf.DUMMYFUNCTION("""COMPUTED_VALUE"""),"Erasmus+")</f>
        <v>Erasmus+</v>
      </c>
      <c r="E410" s="2">
        <f>IFERROR(__xludf.DUMMYFUNCTION("""COMPUTED_VALUE"""),2.0)</f>
        <v>2</v>
      </c>
      <c r="F410" s="2" t="str">
        <f>IFERROR(__xludf.DUMMYFUNCTION("""COMPUTED_VALUE"""),"Anual")</f>
        <v>Anual</v>
      </c>
      <c r="G410" s="2" t="str">
        <f>IFERROR(__xludf.DUMMYFUNCTION("""COMPUTED_VALUE"""),"Bilbao")</f>
        <v>Bilbao</v>
      </c>
      <c r="H410" s="2" t="str">
        <f>IFERROR(__xludf.DUMMYFUNCTION("""COMPUTED_VALUE"""),"Ciencias Sociales y Humanas")</f>
        <v>Ciencias Sociales y Humanas</v>
      </c>
      <c r="I410" s="2" t="str">
        <f>IFERROR(__xludf.DUMMYFUNCTION("""COMPUTED_VALUE"""),"Relaciones Internacionales, Relaciones Internacionales + Derecho")</f>
        <v>Relaciones Internacionales, Relaciones Internacionales + Derecho</v>
      </c>
      <c r="J410" s="2" t="str">
        <f>IFERROR(__xludf.DUMMYFUNCTION("""COMPUTED_VALUE"""),"Grado")</f>
        <v>Grado</v>
      </c>
      <c r="K410" s="2" t="str">
        <f>IFERROR(__xludf.DUMMYFUNCTION("""COMPUTED_VALUE"""),"Francés / Inglés")</f>
        <v>Francés / Inglés</v>
      </c>
      <c r="L410" s="2" t="str">
        <f>IFERROR(__xludf.DUMMYFUNCTION("""COMPUTED_VALUE"""),"B2")</f>
        <v>B2</v>
      </c>
      <c r="M410" s="2" t="str">
        <f>IFERROR(__xludf.DUMMYFUNCTION("""COMPUTED_VALUE"""),"No")</f>
        <v>No</v>
      </c>
      <c r="N410" s="3" t="str">
        <f>IFERROR(__xludf.DUMMYFUNCTION("""COMPUTED_VALUE"""),"https://international-uco.com/en")</f>
        <v>https://international-uco.com/en</v>
      </c>
      <c r="O410" s="3" t="str">
        <f>IFERROR(__xludf.DUMMYFUNCTION("""COMPUTED_VALUE"""),"Más información / Informazio gehigarria")</f>
        <v>Más información / Informazio gehigarria</v>
      </c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30.0" customHeight="1">
      <c r="A411" s="2" t="str">
        <f>IFERROR(__xludf.DUMMYFUNCTION("""COMPUTED_VALUE"""),"Francia")</f>
        <v>Francia</v>
      </c>
      <c r="B411" s="2" t="str">
        <f>IFERROR(__xludf.DUMMYFUNCTION("""COMPUTED_VALUE"""),"F LILLE11")</f>
        <v>F LILLE11</v>
      </c>
      <c r="C411" s="3" t="str">
        <f>IFERROR(__xludf.DUMMYFUNCTION("""COMPUTED_VALUE"""),"Université Catholique de Lille - European School of Political and Social Sciences")</f>
        <v>Université Catholique de Lille - European School of Political and Social Sciences</v>
      </c>
      <c r="D411" s="2" t="str">
        <f>IFERROR(__xludf.DUMMYFUNCTION("""COMPUTED_VALUE"""),"Erasmus+")</f>
        <v>Erasmus+</v>
      </c>
      <c r="E411" s="2">
        <f>IFERROR(__xludf.DUMMYFUNCTION("""COMPUTED_VALUE"""),2.0)</f>
        <v>2</v>
      </c>
      <c r="F411" s="2" t="str">
        <f>IFERROR(__xludf.DUMMYFUNCTION("""COMPUTED_VALUE"""),"Anual")</f>
        <v>Anual</v>
      </c>
      <c r="G411" s="2" t="str">
        <f>IFERROR(__xludf.DUMMYFUNCTION("""COMPUTED_VALUE"""),"Bilbao")</f>
        <v>Bilbao</v>
      </c>
      <c r="H411" s="2" t="str">
        <f>IFERROR(__xludf.DUMMYFUNCTION("""COMPUTED_VALUE"""),"Ciencias Sociales y Humanas")</f>
        <v>Ciencias Sociales y Humanas</v>
      </c>
      <c r="I411" s="2" t="str">
        <f>IFERROR(__xludf.DUMMYFUNCTION("""COMPUTED_VALUE"""),"Relaciones Internacionales, Relaciones Internacionales + Derecho")</f>
        <v>Relaciones Internacionales, Relaciones Internacionales + Derecho</v>
      </c>
      <c r="J411" s="2" t="str">
        <f>IFERROR(__xludf.DUMMYFUNCTION("""COMPUTED_VALUE"""),"Grado")</f>
        <v>Grado</v>
      </c>
      <c r="K411" s="2" t="str">
        <f>IFERROR(__xludf.DUMMYFUNCTION("""COMPUTED_VALUE"""),"Francés / Inglés")</f>
        <v>Francés / Inglés</v>
      </c>
      <c r="L411" s="2" t="str">
        <f>IFERROR(__xludf.DUMMYFUNCTION("""COMPUTED_VALUE"""),"B2")</f>
        <v>B2</v>
      </c>
      <c r="M411" s="2" t="str">
        <f>IFERROR(__xludf.DUMMYFUNCTION("""COMPUTED_VALUE"""),"Sí")</f>
        <v>Sí</v>
      </c>
      <c r="N411" s="3" t="str">
        <f>IFERROR(__xludf.DUMMYFUNCTION("""COMPUTED_VALUE"""),"https://espol.school/en/admissions/")</f>
        <v>https://espol.school/en/admissions/</v>
      </c>
      <c r="O411" s="3" t="str">
        <f>IFERROR(__xludf.DUMMYFUNCTION("""COMPUTED_VALUE"""),"Más información / Informazio gehigarria")</f>
        <v>Más información / Informazio gehigarria</v>
      </c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30.0" customHeight="1">
      <c r="A412" s="2" t="str">
        <f>IFERROR(__xludf.DUMMYFUNCTION("""COMPUTED_VALUE"""),"Francia")</f>
        <v>Francia</v>
      </c>
      <c r="B412" s="2" t="str">
        <f>IFERROR(__xludf.DUMMYFUNCTION("""COMPUTED_VALUE"""),"F LILLE11")</f>
        <v>F LILLE11</v>
      </c>
      <c r="C412" s="3" t="str">
        <f>IFERROR(__xludf.DUMMYFUNCTION("""COMPUTED_VALUE"""),"Université Catholique de Lille - Faculté de Droit")</f>
        <v>Université Catholique de Lille - Faculté de Droit</v>
      </c>
      <c r="D412" s="2" t="str">
        <f>IFERROR(__xludf.DUMMYFUNCTION("""COMPUTED_VALUE"""),"Erasmus+")</f>
        <v>Erasmus+</v>
      </c>
      <c r="E412" s="2">
        <f>IFERROR(__xludf.DUMMYFUNCTION("""COMPUTED_VALUE"""),2.0)</f>
        <v>2</v>
      </c>
      <c r="F412" s="2" t="str">
        <f>IFERROR(__xludf.DUMMYFUNCTION("""COMPUTED_VALUE"""),"Semestre")</f>
        <v>Semestre</v>
      </c>
      <c r="G412" s="2" t="str">
        <f>IFERROR(__xludf.DUMMYFUNCTION("""COMPUTED_VALUE"""),"Bilbao")</f>
        <v>Bilbao</v>
      </c>
      <c r="H412" s="2" t="str">
        <f>IFERROR(__xludf.DUMMYFUNCTION("""COMPUTED_VALUE"""),"Derecho")</f>
        <v>Derecho</v>
      </c>
      <c r="I412" s="2" t="str">
        <f>IFERROR(__xludf.DUMMYFUNCTION("""COMPUTED_VALUE"""),"Derecho, Derecho + Relaciones Laborales")</f>
        <v>Derecho, Derecho + Relaciones Laborales</v>
      </c>
      <c r="J412" s="2" t="str">
        <f>IFERROR(__xludf.DUMMYFUNCTION("""COMPUTED_VALUE"""),"Grado")</f>
        <v>Grado</v>
      </c>
      <c r="K412" s="2" t="str">
        <f>IFERROR(__xludf.DUMMYFUNCTION("""COMPUTED_VALUE"""),"Francés / Inglés")</f>
        <v>Francés / Inglés</v>
      </c>
      <c r="L412" s="2" t="str">
        <f>IFERROR(__xludf.DUMMYFUNCTION("""COMPUTED_VALUE"""),"B2")</f>
        <v>B2</v>
      </c>
      <c r="M412" s="2" t="str">
        <f>IFERROR(__xludf.DUMMYFUNCTION("""COMPUTED_VALUE"""),"No")</f>
        <v>No</v>
      </c>
      <c r="N412" s="3" t="str">
        <f>IFERROR(__xludf.DUMMYFUNCTION("""COMPUTED_VALUE"""),"https://www.univ-catholille.fr/en/exchange-programs-academic-calendars/")</f>
        <v>https://www.univ-catholille.fr/en/exchange-programs-academic-calendars/</v>
      </c>
      <c r="O412" s="3" t="str">
        <f>IFERROR(__xludf.DUMMYFUNCTION("""COMPUTED_VALUE"""),"Más información / Informazio gehigarria")</f>
        <v>Más información / Informazio gehigarria</v>
      </c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30.0" customHeight="1">
      <c r="A413" s="2" t="str">
        <f>IFERROR(__xludf.DUMMYFUNCTION("""COMPUTED_VALUE"""),"Francia")</f>
        <v>Francia</v>
      </c>
      <c r="B413" s="2" t="str">
        <f>IFERROR(__xludf.DUMMYFUNCTION("""COMPUTED_VALUE"""),"F LILLE11")</f>
        <v>F LILLE11</v>
      </c>
      <c r="C413" s="3" t="str">
        <f>IFERROR(__xludf.DUMMYFUNCTION("""COMPUTED_VALUE"""),"Universite Catholique de Lille (IESEG)")</f>
        <v>Universite Catholique de Lille (IESEG)</v>
      </c>
      <c r="D413" s="2" t="str">
        <f>IFERROR(__xludf.DUMMYFUNCTION("""COMPUTED_VALUE"""),"Erasmus+")</f>
        <v>Erasmus+</v>
      </c>
      <c r="E413" s="2">
        <f>IFERROR(__xludf.DUMMYFUNCTION("""COMPUTED_VALUE"""),3.0)</f>
        <v>3</v>
      </c>
      <c r="F413" s="2" t="str">
        <f>IFERROR(__xludf.DUMMYFUNCTION("""COMPUTED_VALUE"""),"Semestre")</f>
        <v>Semestre</v>
      </c>
      <c r="G413" s="2" t="str">
        <f>IFERROR(__xludf.DUMMYFUNCTION("""COMPUTED_VALUE"""),"San Sebastián")</f>
        <v>San Sebastián</v>
      </c>
      <c r="H413" s="2" t="str">
        <f>IFERROR(__xludf.DUMMYFUNCTION("""COMPUTED_VALUE"""),"Deusto Business School")</f>
        <v>Deusto Business School</v>
      </c>
      <c r="I413" s="2" t="str">
        <f>IFERROR(__xludf.DUMMYFUNCTION("""COMPUTED_VALUE"""),"Administración y Dirección de Empresas")</f>
        <v>Administración y Dirección de Empresas</v>
      </c>
      <c r="J413" s="2" t="str">
        <f>IFERROR(__xludf.DUMMYFUNCTION("""COMPUTED_VALUE"""),"Grado")</f>
        <v>Grado</v>
      </c>
      <c r="K413" s="2" t="str">
        <f>IFERROR(__xludf.DUMMYFUNCTION("""COMPUTED_VALUE"""),"Inglés")</f>
        <v>Inglés</v>
      </c>
      <c r="L413" s="2" t="str">
        <f>IFERROR(__xludf.DUMMYFUNCTION("""COMPUTED_VALUE"""),"B2")</f>
        <v>B2</v>
      </c>
      <c r="M413" s="2" t="str">
        <f>IFERROR(__xludf.DUMMYFUNCTION("""COMPUTED_VALUE"""),"No")</f>
        <v>No</v>
      </c>
      <c r="N413" s="3" t="str">
        <f>IFERROR(__xludf.DUMMYFUNCTION("""COMPUTED_VALUE"""),"https://www.univ-catholille.fr/en/erasmus-exchange-programs-academic-calendars")</f>
        <v>https://www.univ-catholille.fr/en/erasmus-exchange-programs-academic-calendars</v>
      </c>
      <c r="O413" s="3" t="str">
        <f>IFERROR(__xludf.DUMMYFUNCTION("""COMPUTED_VALUE"""),"Más información / Informazio gehigarria")</f>
        <v>Más información / Informazio gehigarria</v>
      </c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30.0" customHeight="1">
      <c r="A414" s="2" t="str">
        <f>IFERROR(__xludf.DUMMYFUNCTION("""COMPUTED_VALUE"""),"Francia")</f>
        <v>Francia</v>
      </c>
      <c r="B414" s="2" t="str">
        <f>IFERROR(__xludf.DUMMYFUNCTION("""COMPUTED_VALUE"""),"F LILLE11")</f>
        <v>F LILLE11</v>
      </c>
      <c r="C414" s="3" t="str">
        <f>IFERROR(__xludf.DUMMYFUNCTION("""COMPUTED_VALUE"""),"Universite Catholique de Lille (IESEG)")</f>
        <v>Universite Catholique de Lille (IESEG)</v>
      </c>
      <c r="D414" s="2" t="str">
        <f>IFERROR(__xludf.DUMMYFUNCTION("""COMPUTED_VALUE"""),"Erasmus+")</f>
        <v>Erasmus+</v>
      </c>
      <c r="E414" s="2">
        <f>IFERROR(__xludf.DUMMYFUNCTION("""COMPUTED_VALUE"""),2.0)</f>
        <v>2</v>
      </c>
      <c r="F414" s="2" t="str">
        <f>IFERROR(__xludf.DUMMYFUNCTION("""COMPUTED_VALUE"""),"Ambos semestres")</f>
        <v>Ambos semestres</v>
      </c>
      <c r="G414" s="2" t="str">
        <f>IFERROR(__xludf.DUMMYFUNCTION("""COMPUTED_VALUE"""),"Bilbao")</f>
        <v>Bilbao</v>
      </c>
      <c r="H414" s="2" t="str">
        <f>IFERROR(__xludf.DUMMYFUNCTION("""COMPUTED_VALUE"""),"Deusto Business School")</f>
        <v>Deusto Business School</v>
      </c>
      <c r="I414" s="2" t="str">
        <f>IFERROR(__xludf.DUMMYFUNCTION("""COMPUTED_VALUE"""),"Administración y Dirección de Empresas")</f>
        <v>Administración y Dirección de Empresas</v>
      </c>
      <c r="J414" s="2" t="str">
        <f>IFERROR(__xludf.DUMMYFUNCTION("""COMPUTED_VALUE"""),"Grado")</f>
        <v>Grado</v>
      </c>
      <c r="K414" s="2" t="str">
        <f>IFERROR(__xludf.DUMMYFUNCTION("""COMPUTED_VALUE"""),"Inglés")</f>
        <v>Inglés</v>
      </c>
      <c r="L414" s="2" t="str">
        <f>IFERROR(__xludf.DUMMYFUNCTION("""COMPUTED_VALUE"""),"C1")</f>
        <v>C1</v>
      </c>
      <c r="M414" s="2" t="str">
        <f>IFERROR(__xludf.DUMMYFUNCTION("""COMPUTED_VALUE"""),"No")</f>
        <v>No</v>
      </c>
      <c r="N414" s="3" t="str">
        <f>IFERROR(__xludf.DUMMYFUNCTION("""COMPUTED_VALUE"""),"https://www.univ-catholille.fr/en/erasmus-exchange-programs-academic-calendars")</f>
        <v>https://www.univ-catholille.fr/en/erasmus-exchange-programs-academic-calendars</v>
      </c>
      <c r="O414" s="3" t="str">
        <f>IFERROR(__xludf.DUMMYFUNCTION("""COMPUTED_VALUE"""),"Más información / Informazio gehigarria")</f>
        <v>Más información / Informazio gehigarria</v>
      </c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30.0" customHeight="1">
      <c r="A415" s="2" t="str">
        <f>IFERROR(__xludf.DUMMYFUNCTION("""COMPUTED_VALUE"""),"Francia")</f>
        <v>Francia</v>
      </c>
      <c r="B415" s="2" t="str">
        <f>IFERROR(__xludf.DUMMYFUNCTION("""COMPUTED_VALUE"""),"F ANGERS01")</f>
        <v>F ANGERS01</v>
      </c>
      <c r="C415" s="3" t="str">
        <f>IFERROR(__xludf.DUMMYFUNCTION("""COMPUTED_VALUE"""),"Universite d`Angers")</f>
        <v>Universite d`Angers</v>
      </c>
      <c r="D415" s="2" t="str">
        <f>IFERROR(__xludf.DUMMYFUNCTION("""COMPUTED_VALUE"""),"Erasmus+")</f>
        <v>Erasmus+</v>
      </c>
      <c r="E415" s="2">
        <f>IFERROR(__xludf.DUMMYFUNCTION("""COMPUTED_VALUE"""),4.0)</f>
        <v>4</v>
      </c>
      <c r="F415" s="2" t="str">
        <f>IFERROR(__xludf.DUMMYFUNCTION("""COMPUTED_VALUE"""),"Semestre")</f>
        <v>Semestre</v>
      </c>
      <c r="G415" s="2" t="str">
        <f>IFERROR(__xludf.DUMMYFUNCTION("""COMPUTED_VALUE"""),"Bilbao")</f>
        <v>Bilbao</v>
      </c>
      <c r="H415" s="2" t="str">
        <f>IFERROR(__xludf.DUMMYFUNCTION("""COMPUTED_VALUE"""),"Ciencias Sociales y Humanas")</f>
        <v>Ciencias Sociales y Humanas</v>
      </c>
      <c r="I415" s="2" t="str">
        <f>IFERROR(__xludf.DUMMYFUNCTION("""COMPUTED_VALUE"""),"Turismo")</f>
        <v>Turismo</v>
      </c>
      <c r="J415" s="2" t="str">
        <f>IFERROR(__xludf.DUMMYFUNCTION("""COMPUTED_VALUE"""),"Grado")</f>
        <v>Grado</v>
      </c>
      <c r="K415" s="2" t="str">
        <f>IFERROR(__xludf.DUMMYFUNCTION("""COMPUTED_VALUE"""),"Francés")</f>
        <v>Francés</v>
      </c>
      <c r="L415" s="2" t="str">
        <f>IFERROR(__xludf.DUMMYFUNCTION("""COMPUTED_VALUE"""),"B2")</f>
        <v>B2</v>
      </c>
      <c r="M415" s="2" t="str">
        <f>IFERROR(__xludf.DUMMYFUNCTION("""COMPUTED_VALUE"""),"Sí")</f>
        <v>Sí</v>
      </c>
      <c r="N415" s="3" t="str">
        <f>IFERROR(__xludf.DUMMYFUNCTION("""COMPUTED_VALUE"""),"https://www.univ-angers.fr/en/you-are/exchange-student/admissions.html")</f>
        <v>https://www.univ-angers.fr/en/you-are/exchange-student/admissions.html</v>
      </c>
      <c r="O415" s="3" t="str">
        <f>IFERROR(__xludf.DUMMYFUNCTION("""COMPUTED_VALUE"""),"Más información / Informazio gehigarria")</f>
        <v>Más información / Informazio gehigarria</v>
      </c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30.0" customHeight="1">
      <c r="A416" s="2" t="str">
        <f>IFERROR(__xludf.DUMMYFUNCTION("""COMPUTED_VALUE"""),"Francia")</f>
        <v>Francia</v>
      </c>
      <c r="B416" s="2" t="str">
        <f>IFERROR(__xludf.DUMMYFUNCTION("""COMPUTED_VALUE"""),"F BORDEAU58")</f>
        <v>F BORDEAU58</v>
      </c>
      <c r="C416" s="3" t="str">
        <f>IFERROR(__xludf.DUMMYFUNCTION("""COMPUTED_VALUE"""),"Universite de Bordeaux I")</f>
        <v>Universite de Bordeaux I</v>
      </c>
      <c r="D416" s="2" t="str">
        <f>IFERROR(__xludf.DUMMYFUNCTION("""COMPUTED_VALUE"""),"Erasmus+")</f>
        <v>Erasmus+</v>
      </c>
      <c r="E416" s="2">
        <f>IFERROR(__xludf.DUMMYFUNCTION("""COMPUTED_VALUE"""),2.0)</f>
        <v>2</v>
      </c>
      <c r="F416" s="2" t="str">
        <f>IFERROR(__xludf.DUMMYFUNCTION("""COMPUTED_VALUE"""),"Semestre")</f>
        <v>Semestre</v>
      </c>
      <c r="G416" s="2" t="str">
        <f>IFERROR(__xludf.DUMMYFUNCTION("""COMPUTED_VALUE"""),"Ambos")</f>
        <v>Ambos</v>
      </c>
      <c r="H416" s="2" t="str">
        <f>IFERROR(__xludf.DUMMYFUNCTION("""COMPUTED_VALUE"""),"Ingeniería")</f>
        <v>Ingeniería</v>
      </c>
      <c r="I416" s="2" t="str">
        <f>IFERROR(__xludf.DUMMYFUNCTION("""COMPUTED_VALUE"""),"Ingeniería Informática, Ingeniería Informática + Videojuegos")</f>
        <v>Ingeniería Informática, Ingeniería Informática + Videojuegos</v>
      </c>
      <c r="J416" s="2" t="str">
        <f>IFERROR(__xludf.DUMMYFUNCTION("""COMPUTED_VALUE"""),"Grado")</f>
        <v>Grado</v>
      </c>
      <c r="K416" s="2" t="str">
        <f>IFERROR(__xludf.DUMMYFUNCTION("""COMPUTED_VALUE"""),"Francés / Inglés")</f>
        <v>Francés / Inglés</v>
      </c>
      <c r="L416" s="2" t="str">
        <f>IFERROR(__xludf.DUMMYFUNCTION("""COMPUTED_VALUE"""),"B2")</f>
        <v>B2</v>
      </c>
      <c r="M416" s="2" t="str">
        <f>IFERROR(__xludf.DUMMYFUNCTION("""COMPUTED_VALUE"""),"No")</f>
        <v>No</v>
      </c>
      <c r="N416" s="3" t="str">
        <f>IFERROR(__xludf.DUMMYFUNCTION("""COMPUTED_VALUE"""),"https://www.u-bordeaux.fr/en/international/come-to-bordeaux/international-students/exchange-programmes#titre_2")</f>
        <v>https://www.u-bordeaux.fr/en/international/come-to-bordeaux/international-students/exchange-programmes#titre_2</v>
      </c>
      <c r="O416" s="3" t="str">
        <f>IFERROR(__xludf.DUMMYFUNCTION("""COMPUTED_VALUE"""),"Más información / Informazio gehigarria")</f>
        <v>Más información / Informazio gehigarria</v>
      </c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30.0" customHeight="1">
      <c r="A417" s="2" t="str">
        <f>IFERROR(__xludf.DUMMYFUNCTION("""COMPUTED_VALUE"""),"Francia")</f>
        <v>Francia</v>
      </c>
      <c r="B417" s="2" t="str">
        <f>IFERROR(__xludf.DUMMYFUNCTION("""COMPUTED_VALUE"""),"F BORDEAU58")</f>
        <v>F BORDEAU58</v>
      </c>
      <c r="C417" s="2" t="str">
        <f>IFERROR(__xludf.DUMMYFUNCTION("""COMPUTED_VALUE"""),"Université de Bordeaux II - Victor Segalen")</f>
        <v>Université de Bordeaux II - Victor Segalen</v>
      </c>
      <c r="D417" s="2" t="str">
        <f>IFERROR(__xludf.DUMMYFUNCTION("""COMPUTED_VALUE"""),"Erasmus+")</f>
        <v>Erasmus+</v>
      </c>
      <c r="E417" s="2">
        <f>IFERROR(__xludf.DUMMYFUNCTION("""COMPUTED_VALUE"""),3.0)</f>
        <v>3</v>
      </c>
      <c r="F417" s="2" t="str">
        <f>IFERROR(__xludf.DUMMYFUNCTION("""COMPUTED_VALUE"""),"Semestre")</f>
        <v>Semestre</v>
      </c>
      <c r="G417" s="2" t="str">
        <f>IFERROR(__xludf.DUMMYFUNCTION("""COMPUTED_VALUE"""),"Ambos")</f>
        <v>Ambos</v>
      </c>
      <c r="H417" s="2" t="str">
        <f>IFERROR(__xludf.DUMMYFUNCTION("""COMPUTED_VALUE"""),"Derecho")</f>
        <v>Derecho</v>
      </c>
      <c r="I417" s="2" t="str">
        <f>IFERROR(__xludf.DUMMYFUNCTION("""COMPUTED_VALUE"""),"Derecho, Derecho + Relaciones Laborales")</f>
        <v>Derecho, Derecho + Relaciones Laborales</v>
      </c>
      <c r="J417" s="2" t="str">
        <f>IFERROR(__xludf.DUMMYFUNCTION("""COMPUTED_VALUE"""),"Grado")</f>
        <v>Grado</v>
      </c>
      <c r="K417" s="2" t="str">
        <f>IFERROR(__xludf.DUMMYFUNCTION("""COMPUTED_VALUE"""),"Francés / Inglés")</f>
        <v>Francés / Inglés</v>
      </c>
      <c r="L417" s="2" t="str">
        <f>IFERROR(__xludf.DUMMYFUNCTION("""COMPUTED_VALUE"""),"B2")</f>
        <v>B2</v>
      </c>
      <c r="M417" s="2" t="str">
        <f>IFERROR(__xludf.DUMMYFUNCTION("""COMPUTED_VALUE"""),"No")</f>
        <v>No</v>
      </c>
      <c r="N417" s="3" t="str">
        <f>IFERROR(__xludf.DUMMYFUNCTION("""COMPUTED_VALUE"""),"https://www.u-bordeaux.fr/en/international/come-to-bordeaux/international-students/exchange-programmes#titre_2")</f>
        <v>https://www.u-bordeaux.fr/en/international/come-to-bordeaux/international-students/exchange-programmes#titre_2</v>
      </c>
      <c r="O417" s="3" t="str">
        <f>IFERROR(__xludf.DUMMYFUNCTION("""COMPUTED_VALUE"""),"Más información / Informazio gehigarria")</f>
        <v>Más información / Informazio gehigarria</v>
      </c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30.0" customHeight="1">
      <c r="A418" s="2" t="str">
        <f>IFERROR(__xludf.DUMMYFUNCTION("""COMPUTED_VALUE"""),"Francia")</f>
        <v>Francia</v>
      </c>
      <c r="B418" s="2" t="str">
        <f>IFERROR(__xludf.DUMMYFUNCTION("""COMPUTED_VALUE"""),"F BORDEAU58")</f>
        <v>F BORDEAU58</v>
      </c>
      <c r="C418" s="3" t="str">
        <f>IFERROR(__xludf.DUMMYFUNCTION("""COMPUTED_VALUE"""),"Université de Bordeaux II - Victor Segalen")</f>
        <v>Université de Bordeaux II - Victor Segalen</v>
      </c>
      <c r="D418" s="2" t="str">
        <f>IFERROR(__xludf.DUMMYFUNCTION("""COMPUTED_VALUE"""),"Erasmus+")</f>
        <v>Erasmus+</v>
      </c>
      <c r="E418" s="2">
        <f>IFERROR(__xludf.DUMMYFUNCTION("""COMPUTED_VALUE"""),1.0)</f>
        <v>1</v>
      </c>
      <c r="F418" s="2" t="str">
        <f>IFERROR(__xludf.DUMMYFUNCTION("""COMPUTED_VALUE"""),"Anual")</f>
        <v>Anual</v>
      </c>
      <c r="G418" s="2" t="str">
        <f>IFERROR(__xludf.DUMMYFUNCTION("""COMPUTED_VALUE"""),"Bilbao")</f>
        <v>Bilbao</v>
      </c>
      <c r="H418" s="2" t="str">
        <f>IFERROR(__xludf.DUMMYFUNCTION("""COMPUTED_VALUE"""),"Ciencias de la Salud")</f>
        <v>Ciencias de la Salud</v>
      </c>
      <c r="I418" s="2" t="str">
        <f>IFERROR(__xludf.DUMMYFUNCTION("""COMPUTED_VALUE"""),"Psicología")</f>
        <v>Psicología</v>
      </c>
      <c r="J418" s="2" t="str">
        <f>IFERROR(__xludf.DUMMYFUNCTION("""COMPUTED_VALUE"""),"Grado")</f>
        <v>Grado</v>
      </c>
      <c r="K418" s="2" t="str">
        <f>IFERROR(__xludf.DUMMYFUNCTION("""COMPUTED_VALUE"""),"Francés / Inglés")</f>
        <v>Francés / Inglés</v>
      </c>
      <c r="L418" s="2" t="str">
        <f>IFERROR(__xludf.DUMMYFUNCTION("""COMPUTED_VALUE"""),"B2")</f>
        <v>B2</v>
      </c>
      <c r="M418" s="2" t="str">
        <f>IFERROR(__xludf.DUMMYFUNCTION("""COMPUTED_VALUE"""),"Sí")</f>
        <v>Sí</v>
      </c>
      <c r="N418" s="3" t="str">
        <f>IFERROR(__xludf.DUMMYFUNCTION("""COMPUTED_VALUE"""),"https://www.u-bordeaux.fr/en/international/come-to-bordeaux/international-students/exchange-programmes#titre_2")</f>
        <v>https://www.u-bordeaux.fr/en/international/come-to-bordeaux/international-students/exchange-programmes#titre_2</v>
      </c>
      <c r="O418" s="3" t="str">
        <f>IFERROR(__xludf.DUMMYFUNCTION("""COMPUTED_VALUE"""),"Más información / Informazio gehigarria")</f>
        <v>Más información / Informazio gehigarria</v>
      </c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30.0" customHeight="1">
      <c r="A419" s="2" t="str">
        <f>IFERROR(__xludf.DUMMYFUNCTION("""COMPUTED_VALUE"""),"Francia")</f>
        <v>Francia</v>
      </c>
      <c r="B419" s="2" t="str">
        <f>IFERROR(__xludf.DUMMYFUNCTION("""COMPUTED_VALUE"""),"F LIMOGES01")</f>
        <v>F LIMOGES01</v>
      </c>
      <c r="C419" s="3" t="str">
        <f>IFERROR(__xludf.DUMMYFUNCTION("""COMPUTED_VALUE"""),"Université de Limoges")</f>
        <v>Université de Limoges</v>
      </c>
      <c r="D419" s="2" t="str">
        <f>IFERROR(__xludf.DUMMYFUNCTION("""COMPUTED_VALUE"""),"Erasmus+")</f>
        <v>Erasmus+</v>
      </c>
      <c r="E419" s="2">
        <f>IFERROR(__xludf.DUMMYFUNCTION("""COMPUTED_VALUE"""),2.0)</f>
        <v>2</v>
      </c>
      <c r="F419" s="2" t="str">
        <f>IFERROR(__xludf.DUMMYFUNCTION("""COMPUTED_VALUE"""),"Semestre")</f>
        <v>Semestre</v>
      </c>
      <c r="G419" s="2" t="str">
        <f>IFERROR(__xludf.DUMMYFUNCTION("""COMPUTED_VALUE"""),"Bilbao")</f>
        <v>Bilbao</v>
      </c>
      <c r="H419" s="2" t="str">
        <f>IFERROR(__xludf.DUMMYFUNCTION("""COMPUTED_VALUE"""),"Ingeniería")</f>
        <v>Ingeniería</v>
      </c>
      <c r="I419" s="2" t="str">
        <f>IFERROR(__xludf.DUMMYFUNCTION("""COMPUTED_VALUE"""),"Industria Digital")</f>
        <v>Industria Digital</v>
      </c>
      <c r="J419" s="2" t="str">
        <f>IFERROR(__xludf.DUMMYFUNCTION("""COMPUTED_VALUE"""),"Grado")</f>
        <v>Grado</v>
      </c>
      <c r="K419" s="2" t="str">
        <f>IFERROR(__xludf.DUMMYFUNCTION("""COMPUTED_VALUE"""),"Inglés")</f>
        <v>Inglés</v>
      </c>
      <c r="L419" s="2" t="str">
        <f>IFERROR(__xludf.DUMMYFUNCTION("""COMPUTED_VALUE"""),"B2")</f>
        <v>B2</v>
      </c>
      <c r="M419" s="2" t="str">
        <f>IFERROR(__xludf.DUMMYFUNCTION("""COMPUTED_VALUE"""),"No")</f>
        <v>No</v>
      </c>
      <c r="N419" s="3" t="str">
        <f>IFERROR(__xludf.DUMMYFUNCTION("""COMPUTED_VALUE"""),"https://www.univpm.it/Entra/Engine/RAServeFile.php/f/erasmus/2019-2020/universit%C3%A0_straniere/F_LIMOGES01.pdf")</f>
        <v>https://www.univpm.it/Entra/Engine/RAServeFile.php/f/erasmus/2019-2020/universit%C3%A0_straniere/F_LIMOGES01.pdf</v>
      </c>
      <c r="O419" s="3" t="str">
        <f>IFERROR(__xludf.DUMMYFUNCTION("""COMPUTED_VALUE"""),"Más información / Informazio gehigarria")</f>
        <v>Más información / Informazio gehigarria</v>
      </c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30.0" customHeight="1">
      <c r="A420" s="2" t="str">
        <f>IFERROR(__xludf.DUMMYFUNCTION("""COMPUTED_VALUE"""),"Francia")</f>
        <v>Francia</v>
      </c>
      <c r="B420" s="2" t="str">
        <f>IFERROR(__xludf.DUMMYFUNCTION("""COMPUTED_VALUE"""),"F NANCY43")</f>
        <v>F NANCY43</v>
      </c>
      <c r="C420" s="3" t="str">
        <f>IFERROR(__xludf.DUMMYFUNCTION("""COMPUTED_VALUE"""),"Université de Lorraine")</f>
        <v>Université de Lorraine</v>
      </c>
      <c r="D420" s="2" t="str">
        <f>IFERROR(__xludf.DUMMYFUNCTION("""COMPUTED_VALUE"""),"Erasmus+")</f>
        <v>Erasmus+</v>
      </c>
      <c r="E420" s="2">
        <f>IFERROR(__xludf.DUMMYFUNCTION("""COMPUTED_VALUE"""),2.0)</f>
        <v>2</v>
      </c>
      <c r="F420" s="2" t="str">
        <f>IFERROR(__xludf.DUMMYFUNCTION("""COMPUTED_VALUE"""),"Anual")</f>
        <v>Anual</v>
      </c>
      <c r="G420" s="2" t="str">
        <f>IFERROR(__xludf.DUMMYFUNCTION("""COMPUTED_VALUE"""),"Bilbao")</f>
        <v>Bilbao</v>
      </c>
      <c r="H420" s="2" t="str">
        <f>IFERROR(__xludf.DUMMYFUNCTION("""COMPUTED_VALUE"""),"Ciencias Sociales y Humanas")</f>
        <v>Ciencias Sociales y Humanas</v>
      </c>
      <c r="I420" s="2" t="str">
        <f>IFERROR(__xludf.DUMMYFUNCTION("""COMPUTED_VALUE"""),"Lenguas Modernas")</f>
        <v>Lenguas Modernas</v>
      </c>
      <c r="J420" s="2" t="str">
        <f>IFERROR(__xludf.DUMMYFUNCTION("""COMPUTED_VALUE"""),"Grado")</f>
        <v>Grado</v>
      </c>
      <c r="K420" s="2" t="str">
        <f>IFERROR(__xludf.DUMMYFUNCTION("""COMPUTED_VALUE"""),"Francés / Inglés")</f>
        <v>Francés / Inglés</v>
      </c>
      <c r="L420" s="2" t="str">
        <f>IFERROR(__xludf.DUMMYFUNCTION("""COMPUTED_VALUE"""),"B2")</f>
        <v>B2</v>
      </c>
      <c r="M420" s="2" t="str">
        <f>IFERROR(__xludf.DUMMYFUNCTION("""COMPUTED_VALUE"""),"Sí")</f>
        <v>Sí</v>
      </c>
      <c r="N420" s="3" t="str">
        <f>IFERROR(__xludf.DUMMYFUNCTION("""COMPUTED_VALUE"""),"https://www.univ-lorraine.fr/en/education/international-mobility/")</f>
        <v>https://www.univ-lorraine.fr/en/education/international-mobility/</v>
      </c>
      <c r="O420" s="3" t="str">
        <f>IFERROR(__xludf.DUMMYFUNCTION("""COMPUTED_VALUE"""),"Más información / Informazio gehigarria")</f>
        <v>Más información / Informazio gehigarria</v>
      </c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30.0" customHeight="1">
      <c r="A421" s="2" t="str">
        <f>IFERROR(__xludf.DUMMYFUNCTION("""COMPUTED_VALUE"""),"Francia")</f>
        <v>Francia</v>
      </c>
      <c r="B421" s="2" t="str">
        <f>IFERROR(__xludf.DUMMYFUNCTION("""COMPUTED_VALUE"""),"F NANCY43")</f>
        <v>F NANCY43</v>
      </c>
      <c r="C421" s="3" t="str">
        <f>IFERROR(__xludf.DUMMYFUNCTION("""COMPUTED_VALUE"""),"Université de Lorraine")</f>
        <v>Université de Lorraine</v>
      </c>
      <c r="D421" s="2" t="str">
        <f>IFERROR(__xludf.DUMMYFUNCTION("""COMPUTED_VALUE"""),"Erasmus+")</f>
        <v>Erasmus+</v>
      </c>
      <c r="E421" s="2">
        <f>IFERROR(__xludf.DUMMYFUNCTION("""COMPUTED_VALUE"""),2.0)</f>
        <v>2</v>
      </c>
      <c r="F421" s="2" t="str">
        <f>IFERROR(__xludf.DUMMYFUNCTION("""COMPUTED_VALUE"""),"Semestre")</f>
        <v>Semestre</v>
      </c>
      <c r="G421" s="2" t="str">
        <f>IFERROR(__xludf.DUMMYFUNCTION("""COMPUTED_VALUE"""),"Bilbao")</f>
        <v>Bilbao</v>
      </c>
      <c r="H421" s="2" t="str">
        <f>IFERROR(__xludf.DUMMYFUNCTION("""COMPUTED_VALUE"""),"Ciencias Sociales y Humanas")</f>
        <v>Ciencias Sociales y Humanas</v>
      </c>
      <c r="I421" s="2" t="str">
        <f>IFERROR(__xludf.DUMMYFUNCTION("""COMPUTED_VALUE"""),"Lenguas Modernas y Gestión, Lengua y Cultura Vasca + Lenguas Modernas, Euskal Hizkuntza eta Kultura")</f>
        <v>Lenguas Modernas y Gestión, Lengua y Cultura Vasca + Lenguas Modernas, Euskal Hizkuntza eta Kultura</v>
      </c>
      <c r="J421" s="2" t="str">
        <f>IFERROR(__xludf.DUMMYFUNCTION("""COMPUTED_VALUE"""),"Grado")</f>
        <v>Grado</v>
      </c>
      <c r="K421" s="2" t="str">
        <f>IFERROR(__xludf.DUMMYFUNCTION("""COMPUTED_VALUE"""),"Francés / Inglés")</f>
        <v>Francés / Inglés</v>
      </c>
      <c r="L421" s="2" t="str">
        <f>IFERROR(__xludf.DUMMYFUNCTION("""COMPUTED_VALUE"""),"B2")</f>
        <v>B2</v>
      </c>
      <c r="M421" s="2" t="str">
        <f>IFERROR(__xludf.DUMMYFUNCTION("""COMPUTED_VALUE"""),"Sí")</f>
        <v>Sí</v>
      </c>
      <c r="N421" s="3" t="str">
        <f>IFERROR(__xludf.DUMMYFUNCTION("""COMPUTED_VALUE"""),"https://www.univ-lorraine.fr/en/education/international-mobility/")</f>
        <v>https://www.univ-lorraine.fr/en/education/international-mobility/</v>
      </c>
      <c r="O421" s="3" t="str">
        <f>IFERROR(__xludf.DUMMYFUNCTION("""COMPUTED_VALUE"""),"Más información / Informazio gehigarria")</f>
        <v>Más información / Informazio gehigarria</v>
      </c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30.0" customHeight="1">
      <c r="A422" s="2" t="str">
        <f>IFERROR(__xludf.DUMMYFUNCTION("""COMPUTED_VALUE"""),"Francia")</f>
        <v>Francia</v>
      </c>
      <c r="B422" s="2" t="str">
        <f>IFERROR(__xludf.DUMMYFUNCTION("""COMPUTED_VALUE"""),"F PARIS001")</f>
        <v>F PARIS001</v>
      </c>
      <c r="C422" s="3" t="str">
        <f>IFERROR(__xludf.DUMMYFUNCTION("""COMPUTED_VALUE"""),"Université de Paris 1 - Panthéon Sorbonne")</f>
        <v>Université de Paris 1 - Panthéon Sorbonne</v>
      </c>
      <c r="D422" s="2" t="str">
        <f>IFERROR(__xludf.DUMMYFUNCTION("""COMPUTED_VALUE"""),"Erasmus+")</f>
        <v>Erasmus+</v>
      </c>
      <c r="E422" s="2">
        <f>IFERROR(__xludf.DUMMYFUNCTION("""COMPUTED_VALUE"""),3.0)</f>
        <v>3</v>
      </c>
      <c r="F422" s="2" t="str">
        <f>IFERROR(__xludf.DUMMYFUNCTION("""COMPUTED_VALUE"""),"Semestre")</f>
        <v>Semestre</v>
      </c>
      <c r="G422" s="2" t="str">
        <f>IFERROR(__xludf.DUMMYFUNCTION("""COMPUTED_VALUE"""),"Ambos")</f>
        <v>Ambos</v>
      </c>
      <c r="H422" s="2" t="str">
        <f>IFERROR(__xludf.DUMMYFUNCTION("""COMPUTED_VALUE"""),"Derecho")</f>
        <v>Derecho</v>
      </c>
      <c r="I422" s="2" t="str">
        <f>IFERROR(__xludf.DUMMYFUNCTION("""COMPUTED_VALUE"""),"Derecho, Derecho + Relaciones Laborales")</f>
        <v>Derecho, Derecho + Relaciones Laborales</v>
      </c>
      <c r="J422" s="2" t="str">
        <f>IFERROR(__xludf.DUMMYFUNCTION("""COMPUTED_VALUE"""),"Grado")</f>
        <v>Grado</v>
      </c>
      <c r="K422" s="2" t="str">
        <f>IFERROR(__xludf.DUMMYFUNCTION("""COMPUTED_VALUE"""),"Francés / Inglés")</f>
        <v>Francés / Inglés</v>
      </c>
      <c r="L422" s="2" t="str">
        <f>IFERROR(__xludf.DUMMYFUNCTION("""COMPUTED_VALUE"""),"B2")</f>
        <v>B2</v>
      </c>
      <c r="M422" s="2" t="str">
        <f>IFERROR(__xludf.DUMMYFUNCTION("""COMPUTED_VALUE"""),"Sí")</f>
        <v>Sí</v>
      </c>
      <c r="N422" s="3" t="str">
        <f>IFERROR(__xludf.DUMMYFUNCTION("""COMPUTED_VALUE"""),"https://international.pantheonsorbonne.fr/en/join-paris-1-pantheon-sorbonne/exchange-student")</f>
        <v>https://international.pantheonsorbonne.fr/en/join-paris-1-pantheon-sorbonne/exchange-student</v>
      </c>
      <c r="O422" s="3" t="str">
        <f>IFERROR(__xludf.DUMMYFUNCTION("""COMPUTED_VALUE"""),"Más información / Informazio gehigarria")</f>
        <v>Más información / Informazio gehigarria</v>
      </c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30.0" customHeight="1">
      <c r="A423" s="2" t="str">
        <f>IFERROR(__xludf.DUMMYFUNCTION("""COMPUTED_VALUE"""),"Francia")</f>
        <v>Francia</v>
      </c>
      <c r="B423" s="2" t="str">
        <f>IFERROR(__xludf.DUMMYFUNCTION("""COMPUTED_VALUE"""),"F PAU01")</f>
        <v>F PAU01</v>
      </c>
      <c r="C423" s="3" t="str">
        <f>IFERROR(__xludf.DUMMYFUNCTION("""COMPUTED_VALUE"""),"Université de Pau et des Pays de l´Adour")</f>
        <v>Université de Pau et des Pays de l´Adour</v>
      </c>
      <c r="D423" s="2" t="str">
        <f>IFERROR(__xludf.DUMMYFUNCTION("""COMPUTED_VALUE"""),"Erasmus+")</f>
        <v>Erasmus+</v>
      </c>
      <c r="E423" s="2">
        <f>IFERROR(__xludf.DUMMYFUNCTION("""COMPUTED_VALUE"""),1.0)</f>
        <v>1</v>
      </c>
      <c r="F423" s="2" t="str">
        <f>IFERROR(__xludf.DUMMYFUNCTION("""COMPUTED_VALUE"""),"Anual")</f>
        <v>Anual</v>
      </c>
      <c r="G423" s="2" t="str">
        <f>IFERROR(__xludf.DUMMYFUNCTION("""COMPUTED_VALUE"""),"Bilbao")</f>
        <v>Bilbao</v>
      </c>
      <c r="H423" s="2" t="str">
        <f>IFERROR(__xludf.DUMMYFUNCTION("""COMPUTED_VALUE"""),"Ciencias Sociales y Humanas")</f>
        <v>Ciencias Sociales y Humanas</v>
      </c>
      <c r="I423" s="2" t="str">
        <f>IFERROR(__xludf.DUMMYFUNCTION("""COMPUTED_VALUE"""),"Lenguas Modernas, Lengua y Cultura Vasca + Lenguas Modernas, Lenguas Modernas y Gestión, Euskal Hizkuntza eta Kultura")</f>
        <v>Lenguas Modernas, Lengua y Cultura Vasca + Lenguas Modernas, Lenguas Modernas y Gestión, Euskal Hizkuntza eta Kultura</v>
      </c>
      <c r="J423" s="2" t="str">
        <f>IFERROR(__xludf.DUMMYFUNCTION("""COMPUTED_VALUE"""),"Grado")</f>
        <v>Grado</v>
      </c>
      <c r="K423" s="2" t="str">
        <f>IFERROR(__xludf.DUMMYFUNCTION("""COMPUTED_VALUE"""),"Inglés")</f>
        <v>Inglés</v>
      </c>
      <c r="L423" s="2" t="str">
        <f>IFERROR(__xludf.DUMMYFUNCTION("""COMPUTED_VALUE"""),"B2")</f>
        <v>B2</v>
      </c>
      <c r="M423" s="2" t="str">
        <f>IFERROR(__xludf.DUMMYFUNCTION("""COMPUTED_VALUE"""),"No")</f>
        <v>No</v>
      </c>
      <c r="N423" s="3" t="str">
        <f>IFERROR(__xludf.DUMMYFUNCTION("""COMPUTED_VALUE"""),"https://ri.univ-pau.fr/_plugins/flipbook/ri/_attachments-flipbook/international-welcome-desk-article-4/Plaquette%20%C3%A9trangers-Anglais-2022-online.pdf/_contents/ametys-internal%253Asites/ri/ametys-internal%253Acontents/international-welcome-desk-articl"&amp;"e-4/ametys-internal%253Aattachments/Plaquette%20%C3%A9trangers-Anglais-2022-online.pdf/book.html")</f>
        <v>https://ri.univ-pau.fr/_plugins/flipbook/ri/_attachments-flipbook/international-welcome-desk-article-4/Plaquette%20%C3%A9trangers-Anglais-2022-online.pdf/_contents/ametys-internal%253Asites/ri/ametys-internal%253Acontents/international-welcome-desk-article-4/ametys-internal%253Aattachments/Plaquette%20%C3%A9trangers-Anglais-2022-online.pdf/book.html</v>
      </c>
      <c r="O423" s="3" t="str">
        <f>IFERROR(__xludf.DUMMYFUNCTION("""COMPUTED_VALUE"""),"Más información / Informazio gehigarria")</f>
        <v>Más información / Informazio gehigarria</v>
      </c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30.0" customHeight="1">
      <c r="A424" s="2" t="str">
        <f>IFERROR(__xludf.DUMMYFUNCTION("""COMPUTED_VALUE"""),"Francia")</f>
        <v>Francia</v>
      </c>
      <c r="B424" s="2" t="str">
        <f>IFERROR(__xludf.DUMMYFUNCTION("""COMPUTED_VALUE"""),"F CHAMBER01")</f>
        <v>F CHAMBER01</v>
      </c>
      <c r="C424" s="3" t="str">
        <f>IFERROR(__xludf.DUMMYFUNCTION("""COMPUTED_VALUE"""),"Université de Savoie")</f>
        <v>Université de Savoie</v>
      </c>
      <c r="D424" s="2" t="str">
        <f>IFERROR(__xludf.DUMMYFUNCTION("""COMPUTED_VALUE"""),"Erasmus+")</f>
        <v>Erasmus+</v>
      </c>
      <c r="E424" s="2">
        <f>IFERROR(__xludf.DUMMYFUNCTION("""COMPUTED_VALUE"""),2.0)</f>
        <v>2</v>
      </c>
      <c r="F424" s="2" t="str">
        <f>IFERROR(__xludf.DUMMYFUNCTION("""COMPUTED_VALUE"""),"Anual")</f>
        <v>Anual</v>
      </c>
      <c r="G424" s="2" t="str">
        <f>IFERROR(__xludf.DUMMYFUNCTION("""COMPUTED_VALUE"""),"Bilbao")</f>
        <v>Bilbao</v>
      </c>
      <c r="H424" s="2" t="str">
        <f>IFERROR(__xludf.DUMMYFUNCTION("""COMPUTED_VALUE"""),"Ciencias Sociales y Humanas")</f>
        <v>Ciencias Sociales y Humanas</v>
      </c>
      <c r="I424" s="2" t="str">
        <f>IFERROR(__xludf.DUMMYFUNCTION("""COMPUTED_VALUE"""),"Lenguas Modernas, Lengua y Cultura Vasca + Lenguas Modernas, Lenguas Modernas y Gestión, Euskal Hizkuntza eta Kultura")</f>
        <v>Lenguas Modernas, Lengua y Cultura Vasca + Lenguas Modernas, Lenguas Modernas y Gestión, Euskal Hizkuntza eta Kultura</v>
      </c>
      <c r="J424" s="2" t="str">
        <f>IFERROR(__xludf.DUMMYFUNCTION("""COMPUTED_VALUE"""),"Grado")</f>
        <v>Grado</v>
      </c>
      <c r="K424" s="2" t="str">
        <f>IFERROR(__xludf.DUMMYFUNCTION("""COMPUTED_VALUE"""),"Francés")</f>
        <v>Francés</v>
      </c>
      <c r="L424" s="2" t="str">
        <f>IFERROR(__xludf.DUMMYFUNCTION("""COMPUTED_VALUE"""),"B2")</f>
        <v>B2</v>
      </c>
      <c r="M424" s="2" t="str">
        <f>IFERROR(__xludf.DUMMYFUNCTION("""COMPUTED_VALUE"""),"No")</f>
        <v>No</v>
      </c>
      <c r="N424" s="3" t="str">
        <f>IFERROR(__xludf.DUMMYFUNCTION("""COMPUTED_VALUE"""),"https://www.univ-smb.fr/en/international/venir-a-luniversite/")</f>
        <v>https://www.univ-smb.fr/en/international/venir-a-luniversite/</v>
      </c>
      <c r="O424" s="3" t="str">
        <f>IFERROR(__xludf.DUMMYFUNCTION("""COMPUTED_VALUE"""),"Más información / Informazio gehigarria")</f>
        <v>Más información / Informazio gehigarria</v>
      </c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30.0" customHeight="1">
      <c r="A425" s="2" t="str">
        <f>IFERROR(__xludf.DUMMYFUNCTION("""COMPUTED_VALUE"""),"Francia")</f>
        <v>Francia</v>
      </c>
      <c r="B425" s="2" t="str">
        <f>IFERROR(__xludf.DUMMYFUNCTION("""COMPUTED_VALUE"""),"F CHAMBER01")</f>
        <v>F CHAMBER01</v>
      </c>
      <c r="C425" s="3" t="str">
        <f>IFERROR(__xludf.DUMMYFUNCTION("""COMPUTED_VALUE"""),"Université de Savoie")</f>
        <v>Université de Savoie</v>
      </c>
      <c r="D425" s="2" t="str">
        <f>IFERROR(__xludf.DUMMYFUNCTION("""COMPUTED_VALUE"""),"Erasmus+")</f>
        <v>Erasmus+</v>
      </c>
      <c r="E425" s="2">
        <f>IFERROR(__xludf.DUMMYFUNCTION("""COMPUTED_VALUE"""),2.0)</f>
        <v>2</v>
      </c>
      <c r="F425" s="2" t="str">
        <f>IFERROR(__xludf.DUMMYFUNCTION("""COMPUTED_VALUE"""),"Semestre")</f>
        <v>Semestre</v>
      </c>
      <c r="G425" s="2" t="str">
        <f>IFERROR(__xludf.DUMMYFUNCTION("""COMPUTED_VALUE"""),"Bilbao")</f>
        <v>Bilbao</v>
      </c>
      <c r="H425" s="2" t="str">
        <f>IFERROR(__xludf.DUMMYFUNCTION("""COMPUTED_VALUE"""),"Ciencias Sociales y Humanas")</f>
        <v>Ciencias Sociales y Humanas</v>
      </c>
      <c r="I425" s="2" t="str">
        <f>IFERROR(__xludf.DUMMYFUNCTION("""COMPUTED_VALUE"""),"Turismo")</f>
        <v>Turismo</v>
      </c>
      <c r="J425" s="2" t="str">
        <f>IFERROR(__xludf.DUMMYFUNCTION("""COMPUTED_VALUE"""),"Grado")</f>
        <v>Grado</v>
      </c>
      <c r="K425" s="2" t="str">
        <f>IFERROR(__xludf.DUMMYFUNCTION("""COMPUTED_VALUE"""),"Francés")</f>
        <v>Francés</v>
      </c>
      <c r="L425" s="2" t="str">
        <f>IFERROR(__xludf.DUMMYFUNCTION("""COMPUTED_VALUE"""),"B2")</f>
        <v>B2</v>
      </c>
      <c r="M425" s="2" t="str">
        <f>IFERROR(__xludf.DUMMYFUNCTION("""COMPUTED_VALUE"""),"No")</f>
        <v>No</v>
      </c>
      <c r="N425" s="3" t="str">
        <f>IFERROR(__xludf.DUMMYFUNCTION("""COMPUTED_VALUE"""),"https://www.univ-smb.fr/en/international/venir-a-luniversite/")</f>
        <v>https://www.univ-smb.fr/en/international/venir-a-luniversite/</v>
      </c>
      <c r="O425" s="3" t="str">
        <f>IFERROR(__xludf.DUMMYFUNCTION("""COMPUTED_VALUE"""),"Más información / Informazio gehigarria")</f>
        <v>Más información / Informazio gehigarria</v>
      </c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30.0" customHeight="1">
      <c r="A426" s="2" t="str">
        <f>IFERROR(__xludf.DUMMYFUNCTION("""COMPUTED_VALUE"""),"Francia")</f>
        <v>Francia</v>
      </c>
      <c r="B426" s="2" t="str">
        <f>IFERROR(__xludf.DUMMYFUNCTION("""COMPUTED_VALUE"""),"F STRASBO48")</f>
        <v>F STRASBO48</v>
      </c>
      <c r="C426" s="3" t="str">
        <f>IFERROR(__xludf.DUMMYFUNCTION("""COMPUTED_VALUE"""),"Université de Strasbourg")</f>
        <v>Université de Strasbourg</v>
      </c>
      <c r="D426" s="2" t="str">
        <f>IFERROR(__xludf.DUMMYFUNCTION("""COMPUTED_VALUE"""),"Erasmus+")</f>
        <v>Erasmus+</v>
      </c>
      <c r="E426" s="2">
        <f>IFERROR(__xludf.DUMMYFUNCTION("""COMPUTED_VALUE"""),4.0)</f>
        <v>4</v>
      </c>
      <c r="F426" s="2" t="str">
        <f>IFERROR(__xludf.DUMMYFUNCTION("""COMPUTED_VALUE"""),"Semestre")</f>
        <v>Semestre</v>
      </c>
      <c r="G426" s="2" t="str">
        <f>IFERROR(__xludf.DUMMYFUNCTION("""COMPUTED_VALUE"""),"Bilbao")</f>
        <v>Bilbao</v>
      </c>
      <c r="H426" s="2" t="str">
        <f>IFERROR(__xludf.DUMMYFUNCTION("""COMPUTED_VALUE"""),"Derecho")</f>
        <v>Derecho</v>
      </c>
      <c r="I426" s="2" t="str">
        <f>IFERROR(__xludf.DUMMYFUNCTION("""COMPUTED_VALUE"""),"Derecho, Derecho + Relaciones Laborales")</f>
        <v>Derecho, Derecho + Relaciones Laborales</v>
      </c>
      <c r="J426" s="2" t="str">
        <f>IFERROR(__xludf.DUMMYFUNCTION("""COMPUTED_VALUE"""),"Grado")</f>
        <v>Grado</v>
      </c>
      <c r="K426" s="2" t="str">
        <f>IFERROR(__xludf.DUMMYFUNCTION("""COMPUTED_VALUE"""),"Francés")</f>
        <v>Francés</v>
      </c>
      <c r="L426" s="2" t="str">
        <f>IFERROR(__xludf.DUMMYFUNCTION("""COMPUTED_VALUE"""),"B1")</f>
        <v>B1</v>
      </c>
      <c r="M426" s="2" t="str">
        <f>IFERROR(__xludf.DUMMYFUNCTION("""COMPUTED_VALUE"""),"No")</f>
        <v>No</v>
      </c>
      <c r="N426" s="3" t="str">
        <f>IFERROR(__xludf.DUMMYFUNCTION("""COMPUTED_VALUE"""),"https://en.unistra.fr/international/international-student-support/frequently-asked-questions#:~:text=Do%20I%20need%20a%20French,a%20French%20Language%20Proficiency%20test.")</f>
        <v>https://en.unistra.fr/international/international-student-support/frequently-asked-questions#:~:text=Do%20I%20need%20a%20French,a%20French%20Language%20Proficiency%20test.</v>
      </c>
      <c r="O426" s="3" t="str">
        <f>IFERROR(__xludf.DUMMYFUNCTION("""COMPUTED_VALUE"""),"Más información / Informazio gehigarria")</f>
        <v>Más información / Informazio gehigarria</v>
      </c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30.0" customHeight="1">
      <c r="A427" s="2" t="str">
        <f>IFERROR(__xludf.DUMMYFUNCTION("""COMPUTED_VALUE"""),"Francia")</f>
        <v>Francia</v>
      </c>
      <c r="B427" s="2" t="str">
        <f>IFERROR(__xludf.DUMMYFUNCTION("""COMPUTED_VALUE"""),"F TOURS01")</f>
        <v>F TOURS01</v>
      </c>
      <c r="C427" s="3" t="str">
        <f>IFERROR(__xludf.DUMMYFUNCTION("""COMPUTED_VALUE"""),"Université de Tours")</f>
        <v>Université de Tours</v>
      </c>
      <c r="D427" s="2" t="str">
        <f>IFERROR(__xludf.DUMMYFUNCTION("""COMPUTED_VALUE"""),"Erasmus+")</f>
        <v>Erasmus+</v>
      </c>
      <c r="E427" s="2">
        <f>IFERROR(__xludf.DUMMYFUNCTION("""COMPUTED_VALUE"""),4.0)</f>
        <v>4</v>
      </c>
      <c r="F427" s="2" t="str">
        <f>IFERROR(__xludf.DUMMYFUNCTION("""COMPUTED_VALUE"""),"Semestre")</f>
        <v>Semestre</v>
      </c>
      <c r="G427" s="2" t="str">
        <f>IFERROR(__xludf.DUMMYFUNCTION("""COMPUTED_VALUE"""),"Bilbao")</f>
        <v>Bilbao</v>
      </c>
      <c r="H427" s="2" t="str">
        <f>IFERROR(__xludf.DUMMYFUNCTION("""COMPUTED_VALUE"""),"Derecho")</f>
        <v>Derecho</v>
      </c>
      <c r="I427" s="2" t="str">
        <f>IFERROR(__xludf.DUMMYFUNCTION("""COMPUTED_VALUE"""),"Derecho, Derecho + Relaciones Laborales")</f>
        <v>Derecho, Derecho + Relaciones Laborales</v>
      </c>
      <c r="J427" s="2" t="str">
        <f>IFERROR(__xludf.DUMMYFUNCTION("""COMPUTED_VALUE"""),"Grado")</f>
        <v>Grado</v>
      </c>
      <c r="K427" s="2" t="str">
        <f>IFERROR(__xludf.DUMMYFUNCTION("""COMPUTED_VALUE"""),"Francés")</f>
        <v>Francés</v>
      </c>
      <c r="L427" s="2" t="str">
        <f>IFERROR(__xludf.DUMMYFUNCTION("""COMPUTED_VALUE"""),"B2")</f>
        <v>B2</v>
      </c>
      <c r="M427" s="2" t="str">
        <f>IFERROR(__xludf.DUMMYFUNCTION("""COMPUTED_VALUE"""),"No")</f>
        <v>No</v>
      </c>
      <c r="N427" s="3" t="str">
        <f>IFERROR(__xludf.DUMMYFUNCTION("""COMPUTED_VALUE"""),"https://www.univ-tours.fr/international/etudes-stages-a-tours/etudiants-internationaux/3-test-de-connaissance-du-francais-tcf-dap")</f>
        <v>https://www.univ-tours.fr/international/etudes-stages-a-tours/etudiants-internationaux/3-test-de-connaissance-du-francais-tcf-dap</v>
      </c>
      <c r="O427" s="3" t="str">
        <f>IFERROR(__xludf.DUMMYFUNCTION("""COMPUTED_VALUE"""),"Más información / Informazio gehigarria")</f>
        <v>Más información / Informazio gehigarria</v>
      </c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30.0" customHeight="1">
      <c r="A428" s="2" t="str">
        <f>IFERROR(__xludf.DUMMYFUNCTION("""COMPUTED_VALUE"""),"Francia")</f>
        <v>Francia</v>
      </c>
      <c r="B428" s="2" t="str">
        <f>IFERROR(__xludf.DUMMYFUNCTION("""COMPUTED_VALUE"""),"F GRENOBL55")</f>
        <v>F GRENOBL55</v>
      </c>
      <c r="C428" s="3" t="str">
        <f>IFERROR(__xludf.DUMMYFUNCTION("""COMPUTED_VALUE"""),"Université Grenoble Alpes")</f>
        <v>Université Grenoble Alpes</v>
      </c>
      <c r="D428" s="2" t="str">
        <f>IFERROR(__xludf.DUMMYFUNCTION("""COMPUTED_VALUE"""),"Erasmus+")</f>
        <v>Erasmus+</v>
      </c>
      <c r="E428" s="2">
        <f>IFERROR(__xludf.DUMMYFUNCTION("""COMPUTED_VALUE"""),2.0)</f>
        <v>2</v>
      </c>
      <c r="F428" s="2" t="str">
        <f>IFERROR(__xludf.DUMMYFUNCTION("""COMPUTED_VALUE"""),"Semestre")</f>
        <v>Semestre</v>
      </c>
      <c r="G428" s="2" t="str">
        <f>IFERROR(__xludf.DUMMYFUNCTION("""COMPUTED_VALUE"""),"Bilbao")</f>
        <v>Bilbao</v>
      </c>
      <c r="H428" s="2" t="str">
        <f>IFERROR(__xludf.DUMMYFUNCTION("""COMPUTED_VALUE"""),"Ciencias Sociales y Humanas")</f>
        <v>Ciencias Sociales y Humanas</v>
      </c>
      <c r="I428" s="2" t="str">
        <f>IFERROR(__xludf.DUMMYFUNCTION("""COMPUTED_VALUE"""),"Filosofía, Política y Economía")</f>
        <v>Filosofía, Política y Economía</v>
      </c>
      <c r="J428" s="2" t="str">
        <f>IFERROR(__xludf.DUMMYFUNCTION("""COMPUTED_VALUE"""),"Grado")</f>
        <v>Grado</v>
      </c>
      <c r="K428" s="2" t="str">
        <f>IFERROR(__xludf.DUMMYFUNCTION("""COMPUTED_VALUE"""),"Francés")</f>
        <v>Francés</v>
      </c>
      <c r="L428" s="2" t="str">
        <f>IFERROR(__xludf.DUMMYFUNCTION("""COMPUTED_VALUE"""),"B2")</f>
        <v>B2</v>
      </c>
      <c r="M428" s="2" t="str">
        <f>IFERROR(__xludf.DUMMYFUNCTION("""COMPUTED_VALUE"""),"No")</f>
        <v>No</v>
      </c>
      <c r="N428" s="3" t="str">
        <f>IFERROR(__xludf.DUMMYFUNCTION("""COMPUTED_VALUE"""),"https://international.univ-grenoble-alpes.fr/resources/resources-for-international-partners/fact-sheet-uga-809951.kjsp")</f>
        <v>https://international.univ-grenoble-alpes.fr/resources/resources-for-international-partners/fact-sheet-uga-809951.kjsp</v>
      </c>
      <c r="O428" s="3" t="str">
        <f>IFERROR(__xludf.DUMMYFUNCTION("""COMPUTED_VALUE"""),"Más información / Informazio gehigarria")</f>
        <v>Más información / Informazio gehigarria</v>
      </c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30.0" customHeight="1">
      <c r="A429" s="2" t="str">
        <f>IFERROR(__xludf.DUMMYFUNCTION("""COMPUTED_VALUE"""),"Francia")</f>
        <v>Francia</v>
      </c>
      <c r="B429" s="2" t="str">
        <f>IFERROR(__xludf.DUMMYFUNCTION("""COMPUTED_VALUE"""),"F LYON03")</f>
        <v>F LYON03</v>
      </c>
      <c r="C429" s="3" t="str">
        <f>IFERROR(__xludf.DUMMYFUNCTION("""COMPUTED_VALUE"""),"Université Jean-Moulin - Lyon 3")</f>
        <v>Université Jean-Moulin - Lyon 3</v>
      </c>
      <c r="D429" s="2" t="str">
        <f>IFERROR(__xludf.DUMMYFUNCTION("""COMPUTED_VALUE"""),"Erasmus+")</f>
        <v>Erasmus+</v>
      </c>
      <c r="E429" s="2">
        <f>IFERROR(__xludf.DUMMYFUNCTION("""COMPUTED_VALUE"""),2.0)</f>
        <v>2</v>
      </c>
      <c r="F429" s="2" t="str">
        <f>IFERROR(__xludf.DUMMYFUNCTION("""COMPUTED_VALUE"""),"Semestre")</f>
        <v>Semestre</v>
      </c>
      <c r="G429" s="2" t="str">
        <f>IFERROR(__xludf.DUMMYFUNCTION("""COMPUTED_VALUE"""),"Ambos")</f>
        <v>Ambos</v>
      </c>
      <c r="H429" s="2" t="str">
        <f>IFERROR(__xludf.DUMMYFUNCTION("""COMPUTED_VALUE"""),"Derecho")</f>
        <v>Derecho</v>
      </c>
      <c r="I429" s="2" t="str">
        <f>IFERROR(__xludf.DUMMYFUNCTION("""COMPUTED_VALUE"""),"Derecho, Derecho + Relaciones Laborales")</f>
        <v>Derecho, Derecho + Relaciones Laborales</v>
      </c>
      <c r="J429" s="2" t="str">
        <f>IFERROR(__xludf.DUMMYFUNCTION("""COMPUTED_VALUE"""),"Grado")</f>
        <v>Grado</v>
      </c>
      <c r="K429" s="2" t="str">
        <f>IFERROR(__xludf.DUMMYFUNCTION("""COMPUTED_VALUE"""),"Francés")</f>
        <v>Francés</v>
      </c>
      <c r="L429" s="2" t="str">
        <f>IFERROR(__xludf.DUMMYFUNCTION("""COMPUTED_VALUE"""),"B1")</f>
        <v>B1</v>
      </c>
      <c r="M429" s="2" t="str">
        <f>IFERROR(__xludf.DUMMYFUNCTION("""COMPUTED_VALUE"""),"Sí")</f>
        <v>Sí</v>
      </c>
      <c r="N429" s="3" t="str">
        <f>IFERROR(__xludf.DUMMYFUNCTION("""COMPUTED_VALUE"""),"https://www.univ-lyon3.fr/exchange-students#:~:text=The%20B1%20certificate%20is%20required,French%20as%20a%20Foreign%20Language")</f>
        <v>https://www.univ-lyon3.fr/exchange-students#:~:text=The%20B1%20certificate%20is%20required,French%20as%20a%20Foreign%20Language</v>
      </c>
      <c r="O429" s="3" t="str">
        <f>IFERROR(__xludf.DUMMYFUNCTION("""COMPUTED_VALUE"""),"Más información / Informazio gehigarria")</f>
        <v>Más información / Informazio gehigarria</v>
      </c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30.0" customHeight="1">
      <c r="A430" s="2" t="str">
        <f>IFERROR(__xludf.DUMMYFUNCTION("""COMPUTED_VALUE"""),"Francia")</f>
        <v>Francia</v>
      </c>
      <c r="B430" s="2" t="str">
        <f>IFERROR(__xludf.DUMMYFUNCTION("""COMPUTED_VALUE"""),"F BORDEAU58")</f>
        <v>F BORDEAU58</v>
      </c>
      <c r="C430" s="3" t="str">
        <f>IFERROR(__xludf.DUMMYFUNCTION("""COMPUTED_VALUE"""),"Université de Bordeaux IV - Montesquieu")</f>
        <v>Université de Bordeaux IV - Montesquieu</v>
      </c>
      <c r="D430" s="2" t="str">
        <f>IFERROR(__xludf.DUMMYFUNCTION("""COMPUTED_VALUE"""),"Erasmus+")</f>
        <v>Erasmus+</v>
      </c>
      <c r="E430" s="2">
        <f>IFERROR(__xludf.DUMMYFUNCTION("""COMPUTED_VALUE"""),3.0)</f>
        <v>3</v>
      </c>
      <c r="F430" s="2" t="str">
        <f>IFERROR(__xludf.DUMMYFUNCTION("""COMPUTED_VALUE"""),"Semestre")</f>
        <v>Semestre</v>
      </c>
      <c r="G430" s="2" t="str">
        <f>IFERROR(__xludf.DUMMYFUNCTION("""COMPUTED_VALUE"""),"Bilbao")</f>
        <v>Bilbao</v>
      </c>
      <c r="H430" s="2" t="str">
        <f>IFERROR(__xludf.DUMMYFUNCTION("""COMPUTED_VALUE"""),"Derecho")</f>
        <v>Derecho</v>
      </c>
      <c r="I430" s="2" t="str">
        <f>IFERROR(__xludf.DUMMYFUNCTION("""COMPUTED_VALUE"""),"Derecho, Derecho + Relaciones Laborales")</f>
        <v>Derecho, Derecho + Relaciones Laborales</v>
      </c>
      <c r="J430" s="2" t="str">
        <f>IFERROR(__xludf.DUMMYFUNCTION("""COMPUTED_VALUE"""),"Grado")</f>
        <v>Grado</v>
      </c>
      <c r="K430" s="2" t="str">
        <f>IFERROR(__xludf.DUMMYFUNCTION("""COMPUTED_VALUE"""),"Francés")</f>
        <v>Francés</v>
      </c>
      <c r="L430" s="2" t="str">
        <f>IFERROR(__xludf.DUMMYFUNCTION("""COMPUTED_VALUE"""),"B2")</f>
        <v>B2</v>
      </c>
      <c r="M430" s="2" t="str">
        <f>IFERROR(__xludf.DUMMYFUNCTION("""COMPUTED_VALUE"""),"Sí")</f>
        <v>Sí</v>
      </c>
      <c r="N430" s="3" t="str">
        <f>IFERROR(__xludf.DUMMYFUNCTION("""COMPUTED_VALUE"""),"https://www.u-bordeaux.fr/en/international/come-to-bordeaux/international-students/exchange-programmes#titre_2")</f>
        <v>https://www.u-bordeaux.fr/en/international/come-to-bordeaux/international-students/exchange-programmes#titre_2</v>
      </c>
      <c r="O430" s="3" t="str">
        <f>IFERROR(__xludf.DUMMYFUNCTION("""COMPUTED_VALUE"""),"Más información / Informazio gehigarria")</f>
        <v>Más información / Informazio gehigarria</v>
      </c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30.0" customHeight="1">
      <c r="A431" s="2" t="str">
        <f>IFERROR(__xludf.DUMMYFUNCTION("""COMPUTED_VALUE"""),"Francia")</f>
        <v>Francia</v>
      </c>
      <c r="B431" s="2" t="str">
        <f>IFERROR(__xludf.DUMMYFUNCTION("""COMPUTED_VALUE"""),"F PARIS013")</f>
        <v>F PARIS013</v>
      </c>
      <c r="C431" s="3" t="str">
        <f>IFERROR(__xludf.DUMMYFUNCTION("""COMPUTED_VALUE"""),"Université Paris Nord")</f>
        <v>Université Paris Nord</v>
      </c>
      <c r="D431" s="2" t="str">
        <f>IFERROR(__xludf.DUMMYFUNCTION("""COMPUTED_VALUE"""),"Erasmus+")</f>
        <v>Erasmus+</v>
      </c>
      <c r="E431" s="2">
        <f>IFERROR(__xludf.DUMMYFUNCTION("""COMPUTED_VALUE"""),2.0)</f>
        <v>2</v>
      </c>
      <c r="F431" s="2" t="str">
        <f>IFERROR(__xludf.DUMMYFUNCTION("""COMPUTED_VALUE"""),"Semestre")</f>
        <v>Semestre</v>
      </c>
      <c r="G431" s="2" t="str">
        <f>IFERROR(__xludf.DUMMYFUNCTION("""COMPUTED_VALUE"""),"San Sebastián")</f>
        <v>San Sebastián</v>
      </c>
      <c r="H431" s="2" t="str">
        <f>IFERROR(__xludf.DUMMYFUNCTION("""COMPUTED_VALUE"""),"Ciencias Sociales y Humanas")</f>
        <v>Ciencias Sociales y Humanas</v>
      </c>
      <c r="I431" s="2" t="str">
        <f>IFERROR(__xludf.DUMMYFUNCTION("""COMPUTED_VALUE"""),"Comunicación")</f>
        <v>Comunicación</v>
      </c>
      <c r="J431" s="2" t="str">
        <f>IFERROR(__xludf.DUMMYFUNCTION("""COMPUTED_VALUE"""),"Grado")</f>
        <v>Grado</v>
      </c>
      <c r="K431" s="2" t="str">
        <f>IFERROR(__xludf.DUMMYFUNCTION("""COMPUTED_VALUE"""),"Francés")</f>
        <v>Francés</v>
      </c>
      <c r="L431" s="2" t="str">
        <f>IFERROR(__xludf.DUMMYFUNCTION("""COMPUTED_VALUE"""),"B2")</f>
        <v>B2</v>
      </c>
      <c r="M431" s="2" t="str">
        <f>IFERROR(__xludf.DUMMYFUNCTION("""COMPUTED_VALUE"""),"No")</f>
        <v>No</v>
      </c>
      <c r="N431" s="3" t="str">
        <f>IFERROR(__xludf.DUMMYFUNCTION("""COMPUTED_VALUE"""),"https://en.univ-paris13.fr/exchange-programs/")</f>
        <v>https://en.univ-paris13.fr/exchange-programs/</v>
      </c>
      <c r="O431" s="3" t="str">
        <f>IFERROR(__xludf.DUMMYFUNCTION("""COMPUTED_VALUE"""),"Más información / Informazio gehigarria")</f>
        <v>Más información / Informazio gehigarria</v>
      </c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30.0" customHeight="1">
      <c r="A432" s="2" t="str">
        <f>IFERROR(__xludf.DUMMYFUNCTION("""COMPUTED_VALUE"""),"Francia")</f>
        <v>Francia</v>
      </c>
      <c r="B432" s="2" t="str">
        <f>IFERROR(__xludf.DUMMYFUNCTION("""COMPUTED_VALUE"""),"F PARIS013")</f>
        <v>F PARIS013</v>
      </c>
      <c r="C432" s="3" t="str">
        <f>IFERROR(__xludf.DUMMYFUNCTION("""COMPUTED_VALUE"""),"Université Paris Nord")</f>
        <v>Université Paris Nord</v>
      </c>
      <c r="D432" s="2" t="str">
        <f>IFERROR(__xludf.DUMMYFUNCTION("""COMPUTED_VALUE"""),"Erasmus+")</f>
        <v>Erasmus+</v>
      </c>
      <c r="E432" s="2">
        <f>IFERROR(__xludf.DUMMYFUNCTION("""COMPUTED_VALUE"""),2.0)</f>
        <v>2</v>
      </c>
      <c r="F432" s="2" t="str">
        <f>IFERROR(__xludf.DUMMYFUNCTION("""COMPUTED_VALUE"""),"Semestre")</f>
        <v>Semestre</v>
      </c>
      <c r="G432" s="2" t="str">
        <f>IFERROR(__xludf.DUMMYFUNCTION("""COMPUTED_VALUE"""),"Bilbao")</f>
        <v>Bilbao</v>
      </c>
      <c r="H432" s="2" t="str">
        <f>IFERROR(__xludf.DUMMYFUNCTION("""COMPUTED_VALUE"""),"Educación y Deporte")</f>
        <v>Educación y Deporte</v>
      </c>
      <c r="I432" s="2" t="str">
        <f>IFERROR(__xludf.DUMMYFUNCTION("""COMPUTED_VALUE"""),"CAFyD")</f>
        <v>CAFyD</v>
      </c>
      <c r="J432" s="2" t="str">
        <f>IFERROR(__xludf.DUMMYFUNCTION("""COMPUTED_VALUE"""),"Grado")</f>
        <v>Grado</v>
      </c>
      <c r="K432" s="2" t="str">
        <f>IFERROR(__xludf.DUMMYFUNCTION("""COMPUTED_VALUE"""),"Francés")</f>
        <v>Francés</v>
      </c>
      <c r="L432" s="2" t="str">
        <f>IFERROR(__xludf.DUMMYFUNCTION("""COMPUTED_VALUE"""),"B2")</f>
        <v>B2</v>
      </c>
      <c r="M432" s="2" t="str">
        <f>IFERROR(__xludf.DUMMYFUNCTION("""COMPUTED_VALUE"""),"No")</f>
        <v>No</v>
      </c>
      <c r="N432" s="3" t="str">
        <f>IFERROR(__xludf.DUMMYFUNCTION("""COMPUTED_VALUE"""),"https://en.univ-paris13.fr/exchange-programs/")</f>
        <v>https://en.univ-paris13.fr/exchange-programs/</v>
      </c>
      <c r="O432" s="3" t="str">
        <f>IFERROR(__xludf.DUMMYFUNCTION("""COMPUTED_VALUE"""),"Más información / Informazio gehigarria")</f>
        <v>Más información / Informazio gehigarria</v>
      </c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30.0" customHeight="1">
      <c r="A433" s="2" t="str">
        <f>IFERROR(__xludf.DUMMYFUNCTION("""COMPUTED_VALUE"""),"Francia")</f>
        <v>Francia</v>
      </c>
      <c r="B433" s="2" t="str">
        <f>IFERROR(__xludf.DUMMYFUNCTION("""COMPUTED_VALUE"""),"F PARIS0104")</f>
        <v>F PARIS0104</v>
      </c>
      <c r="C433" s="3" t="str">
        <f>IFERROR(__xludf.DUMMYFUNCTION("""COMPUTED_VALUE"""),"ISC Paris (Institut Supérieur du Commerce de Paris)")</f>
        <v>ISC Paris (Institut Supérieur du Commerce de Paris)</v>
      </c>
      <c r="D433" s="2" t="str">
        <f>IFERROR(__xludf.DUMMYFUNCTION("""COMPUTED_VALUE"""),"Erasmus+")</f>
        <v>Erasmus+</v>
      </c>
      <c r="E433" s="2">
        <f>IFERROR(__xludf.DUMMYFUNCTION("""COMPUTED_VALUE"""),2.0)</f>
        <v>2</v>
      </c>
      <c r="F433" s="2" t="str">
        <f>IFERROR(__xludf.DUMMYFUNCTION("""COMPUTED_VALUE"""),"Semestre")</f>
        <v>Semestre</v>
      </c>
      <c r="G433" s="2" t="str">
        <f>IFERROR(__xludf.DUMMYFUNCTION("""COMPUTED_VALUE"""),"San Sebastián")</f>
        <v>San Sebastián</v>
      </c>
      <c r="H433" s="2" t="str">
        <f>IFERROR(__xludf.DUMMYFUNCTION("""COMPUTED_VALUE"""),"Deusto Business School")</f>
        <v>Deusto Business School</v>
      </c>
      <c r="I433" s="2" t="str">
        <f>IFERROR(__xludf.DUMMYFUNCTION("""COMPUTED_VALUE"""),"Administración y Dirección de Empresas")</f>
        <v>Administración y Dirección de Empresas</v>
      </c>
      <c r="J433" s="2" t="str">
        <f>IFERROR(__xludf.DUMMYFUNCTION("""COMPUTED_VALUE"""),"Grado")</f>
        <v>Grado</v>
      </c>
      <c r="K433" s="2" t="str">
        <f>IFERROR(__xludf.DUMMYFUNCTION("""COMPUTED_VALUE"""),"Francés / Inglés")</f>
        <v>Francés / Inglés</v>
      </c>
      <c r="L433" s="2" t="str">
        <f>IFERROR(__xludf.DUMMYFUNCTION("""COMPUTED_VALUE"""),"B2")</f>
        <v>B2</v>
      </c>
      <c r="M433" s="2" t="str">
        <f>IFERROR(__xludf.DUMMYFUNCTION("""COMPUTED_VALUE"""),"No")</f>
        <v>No</v>
      </c>
      <c r="N433" s="3" t="str">
        <f>IFERROR(__xludf.DUMMYFUNCTION("""COMPUTED_VALUE"""),"https://www.iscparis.com/experience-isc-etudiants-internationaux/")</f>
        <v>https://www.iscparis.com/experience-isc-etudiants-internationaux/</v>
      </c>
      <c r="O433" s="3" t="str">
        <f>IFERROR(__xludf.DUMMYFUNCTION("""COMPUTED_VALUE"""),"Más información / Informazio gehigarria")</f>
        <v>Más información / Informazio gehigarria</v>
      </c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30.0" customHeight="1">
      <c r="A434" s="2" t="str">
        <f>IFERROR(__xludf.DUMMYFUNCTION("""COMPUTED_VALUE"""),"Francia")</f>
        <v>Francia</v>
      </c>
      <c r="B434" s="2" t="str">
        <f>IFERROR(__xludf.DUMMYFUNCTION("""COMPUTED_VALUE"""),"F TOULOUS01")</f>
        <v>F TOULOUS01</v>
      </c>
      <c r="C434" s="3" t="str">
        <f>IFERROR(__xludf.DUMMYFUNCTION("""COMPUTED_VALUE"""),"Université Toulouse 1 Capitole")</f>
        <v>Université Toulouse 1 Capitole</v>
      </c>
      <c r="D434" s="2" t="str">
        <f>IFERROR(__xludf.DUMMYFUNCTION("""COMPUTED_VALUE"""),"Erasmus+")</f>
        <v>Erasmus+</v>
      </c>
      <c r="E434" s="2">
        <f>IFERROR(__xludf.DUMMYFUNCTION("""COMPUTED_VALUE"""),2.0)</f>
        <v>2</v>
      </c>
      <c r="F434" s="2" t="str">
        <f>IFERROR(__xludf.DUMMYFUNCTION("""COMPUTED_VALUE"""),"Semestre")</f>
        <v>Semestre</v>
      </c>
      <c r="G434" s="2" t="str">
        <f>IFERROR(__xludf.DUMMYFUNCTION("""COMPUTED_VALUE"""),"Bilbao")</f>
        <v>Bilbao</v>
      </c>
      <c r="H434" s="2" t="str">
        <f>IFERROR(__xludf.DUMMYFUNCTION("""COMPUTED_VALUE"""),"Derecho")</f>
        <v>Derecho</v>
      </c>
      <c r="I434" s="2" t="str">
        <f>IFERROR(__xludf.DUMMYFUNCTION("""COMPUTED_VALUE"""),"Derecho, Derecho + Relaciones Laborales")</f>
        <v>Derecho, Derecho + Relaciones Laborales</v>
      </c>
      <c r="J434" s="2" t="str">
        <f>IFERROR(__xludf.DUMMYFUNCTION("""COMPUTED_VALUE"""),"Grado")</f>
        <v>Grado</v>
      </c>
      <c r="K434" s="2" t="str">
        <f>IFERROR(__xludf.DUMMYFUNCTION("""COMPUTED_VALUE"""),"Francés / Inglés")</f>
        <v>Francés / Inglés</v>
      </c>
      <c r="L434" s="2" t="str">
        <f>IFERROR(__xludf.DUMMYFUNCTION("""COMPUTED_VALUE"""),"B2")</f>
        <v>B2</v>
      </c>
      <c r="M434" s="2" t="str">
        <f>IFERROR(__xludf.DUMMYFUNCTION("""COMPUTED_VALUE"""),"Sí")</f>
        <v>Sí</v>
      </c>
      <c r="N434" s="3" t="str">
        <f>IFERROR(__xludf.DUMMYFUNCTION("""COMPUTED_VALUE"""),"https://www.ut-capitole.fr/accueil/international/venir-etudier-a-ut1/programmes-dechange")</f>
        <v>https://www.ut-capitole.fr/accueil/international/venir-etudier-a-ut1/programmes-dechange</v>
      </c>
      <c r="O434" s="3" t="str">
        <f>IFERROR(__xludf.DUMMYFUNCTION("""COMPUTED_VALUE"""),"Más información / Informazio gehigarria")</f>
        <v>Más información / Informazio gehigarria</v>
      </c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30.0" customHeight="1">
      <c r="A435" s="2" t="str">
        <f>IFERROR(__xludf.DUMMYFUNCTION("""COMPUTED_VALUE"""),"Francia")</f>
        <v>Francia</v>
      </c>
      <c r="B435" s="2" t="str">
        <f>IFERROR(__xludf.DUMMYFUNCTION("""COMPUTED_VALUE"""),"F TOULOUS02")</f>
        <v>F TOULOUS02</v>
      </c>
      <c r="C435" s="3" t="str">
        <f>IFERROR(__xludf.DUMMYFUNCTION("""COMPUTED_VALUE"""),"Université Toulouse Jean Jaurès (Université de Toulouse Le Marail)")</f>
        <v>Université Toulouse Jean Jaurès (Université de Toulouse Le Marail)</v>
      </c>
      <c r="D435" s="2" t="str">
        <f>IFERROR(__xludf.DUMMYFUNCTION("""COMPUTED_VALUE"""),"Erasmus+")</f>
        <v>Erasmus+</v>
      </c>
      <c r="E435" s="2">
        <f>IFERROR(__xludf.DUMMYFUNCTION("""COMPUTED_VALUE"""),2.0)</f>
        <v>2</v>
      </c>
      <c r="F435" s="2" t="str">
        <f>IFERROR(__xludf.DUMMYFUNCTION("""COMPUTED_VALUE"""),"Semestre")</f>
        <v>Semestre</v>
      </c>
      <c r="G435" s="2" t="str">
        <f>IFERROR(__xludf.DUMMYFUNCTION("""COMPUTED_VALUE"""),"Bilbao")</f>
        <v>Bilbao</v>
      </c>
      <c r="H435" s="2" t="str">
        <f>IFERROR(__xludf.DUMMYFUNCTION("""COMPUTED_VALUE"""),"Ciencias Sociales y Humanas")</f>
        <v>Ciencias Sociales y Humanas</v>
      </c>
      <c r="I435" s="2" t="str">
        <f>IFERROR(__xludf.DUMMYFUNCTION("""COMPUTED_VALUE"""),"Lenguas Modernas y Gestión")</f>
        <v>Lenguas Modernas y Gestión</v>
      </c>
      <c r="J435" s="2" t="str">
        <f>IFERROR(__xludf.DUMMYFUNCTION("""COMPUTED_VALUE"""),"Grado")</f>
        <v>Grado</v>
      </c>
      <c r="K435" s="2" t="str">
        <f>IFERROR(__xludf.DUMMYFUNCTION("""COMPUTED_VALUE"""),"Francés")</f>
        <v>Francés</v>
      </c>
      <c r="L435" s="2" t="str">
        <f>IFERROR(__xludf.DUMMYFUNCTION("""COMPUTED_VALUE"""),"B2")</f>
        <v>B2</v>
      </c>
      <c r="M435" s="2" t="str">
        <f>IFERROR(__xludf.DUMMYFUNCTION("""COMPUTED_VALUE"""),"No")</f>
        <v>No</v>
      </c>
      <c r="N435" s="3" t="str">
        <f>IFERROR(__xludf.DUMMYFUNCTION("""COMPUTED_VALUE"""),"https://www.univ-tlse2.fr/accueil/international/venir-ut2j")</f>
        <v>https://www.univ-tlse2.fr/accueil/international/venir-ut2j</v>
      </c>
      <c r="O435" s="3" t="str">
        <f>IFERROR(__xludf.DUMMYFUNCTION("""COMPUTED_VALUE"""),"Más información / Informazio gehigarria")</f>
        <v>Más información / Informazio gehigarria</v>
      </c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30.0" customHeight="1">
      <c r="A436" s="2" t="str">
        <f>IFERROR(__xludf.DUMMYFUNCTION("""COMPUTED_VALUE"""),"Grecia")</f>
        <v>Grecia</v>
      </c>
      <c r="B436" s="2" t="str">
        <f>IFERROR(__xludf.DUMMYFUNCTION("""COMPUTED_VALUE"""),"G THESSAL01")</f>
        <v>G THESSAL01</v>
      </c>
      <c r="C436" s="3" t="str">
        <f>IFERROR(__xludf.DUMMYFUNCTION("""COMPUTED_VALUE"""),"Aristotle University of Thessaloniki")</f>
        <v>Aristotle University of Thessaloniki</v>
      </c>
      <c r="D436" s="2" t="str">
        <f>IFERROR(__xludf.DUMMYFUNCTION("""COMPUTED_VALUE"""),"Erasmus+")</f>
        <v>Erasmus+</v>
      </c>
      <c r="E436" s="2">
        <f>IFERROR(__xludf.DUMMYFUNCTION("""COMPUTED_VALUE"""),1.0)</f>
        <v>1</v>
      </c>
      <c r="F436" s="2" t="str">
        <f>IFERROR(__xludf.DUMMYFUNCTION("""COMPUTED_VALUE"""),"Semestre")</f>
        <v>Semestre</v>
      </c>
      <c r="G436" s="2" t="str">
        <f>IFERROR(__xludf.DUMMYFUNCTION("""COMPUTED_VALUE"""),"Ambos")</f>
        <v>Ambos</v>
      </c>
      <c r="H436" s="2" t="str">
        <f>IFERROR(__xludf.DUMMYFUNCTION("""COMPUTED_VALUE"""),"Derecho")</f>
        <v>Derecho</v>
      </c>
      <c r="I436" s="2" t="str">
        <f>IFERROR(__xludf.DUMMYFUNCTION("""COMPUTED_VALUE"""),"Derecho, Derecho + Relaciones Laborales")</f>
        <v>Derecho, Derecho + Relaciones Laborales</v>
      </c>
      <c r="J436" s="2" t="str">
        <f>IFERROR(__xludf.DUMMYFUNCTION("""COMPUTED_VALUE"""),"Grado")</f>
        <v>Grado</v>
      </c>
      <c r="K436" s="2" t="str">
        <f>IFERROR(__xludf.DUMMYFUNCTION("""COMPUTED_VALUE"""),"Inglés")</f>
        <v>Inglés</v>
      </c>
      <c r="L436" s="2" t="str">
        <f>IFERROR(__xludf.DUMMYFUNCTION("""COMPUTED_VALUE"""),"B2")</f>
        <v>B2</v>
      </c>
      <c r="M436" s="2" t="str">
        <f>IFERROR(__xludf.DUMMYFUNCTION("""COMPUTED_VALUE"""),"Sí")</f>
        <v>Sí</v>
      </c>
      <c r="N436" s="3" t="str">
        <f>IFERROR(__xludf.DUMMYFUNCTION("""COMPUTED_VALUE"""),"https://eurep.auth.gr/en/students/international/studies/language_requirements#:~:text=We%20generally%20require%20a%20B2,score%206%20score%20in%20IELTS.")</f>
        <v>https://eurep.auth.gr/en/students/international/studies/language_requirements#:~:text=We%20generally%20require%20a%20B2,score%206%20score%20in%20IELTS.</v>
      </c>
      <c r="O436" s="3" t="str">
        <f>IFERROR(__xludf.DUMMYFUNCTION("""COMPUTED_VALUE"""),"Más información / Informazio gehigarria")</f>
        <v>Más información / Informazio gehigarria</v>
      </c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30.0" customHeight="1">
      <c r="A437" s="2" t="str">
        <f>IFERROR(__xludf.DUMMYFUNCTION("""COMPUTED_VALUE"""),"Grecia")</f>
        <v>Grecia</v>
      </c>
      <c r="B437" s="2" t="str">
        <f>IFERROR(__xludf.DUMMYFUNCTION("""COMPUTED_VALUE"""),"G ATHINE04")</f>
        <v>G ATHINE04</v>
      </c>
      <c r="C437" s="3" t="str">
        <f>IFERROR(__xludf.DUMMYFUNCTION("""COMPUTED_VALUE"""),"Ikonomiko Panepistimio Athinon (Athens Business School)")</f>
        <v>Ikonomiko Panepistimio Athinon (Athens Business School)</v>
      </c>
      <c r="D437" s="2" t="str">
        <f>IFERROR(__xludf.DUMMYFUNCTION("""COMPUTED_VALUE"""),"Erasmus+")</f>
        <v>Erasmus+</v>
      </c>
      <c r="E437" s="2">
        <f>IFERROR(__xludf.DUMMYFUNCTION("""COMPUTED_VALUE"""),2.0)</f>
        <v>2</v>
      </c>
      <c r="F437" s="2" t="str">
        <f>IFERROR(__xludf.DUMMYFUNCTION("""COMPUTED_VALUE"""),"Semestre")</f>
        <v>Semestre</v>
      </c>
      <c r="G437" s="2" t="str">
        <f>IFERROR(__xludf.DUMMYFUNCTION("""COMPUTED_VALUE"""),"Bilbao")</f>
        <v>Bilbao</v>
      </c>
      <c r="H437" s="2" t="str">
        <f>IFERROR(__xludf.DUMMYFUNCTION("""COMPUTED_VALUE"""),"Ingeniería")</f>
        <v>Ingeniería</v>
      </c>
      <c r="I437" s="2" t="str">
        <f>IFERROR(__xludf.DUMMYFUNCTION("""COMPUTED_VALUE"""),"Organización Industrial")</f>
        <v>Organización Industrial</v>
      </c>
      <c r="J437" s="2" t="str">
        <f>IFERROR(__xludf.DUMMYFUNCTION("""COMPUTED_VALUE"""),"Grado")</f>
        <v>Grado</v>
      </c>
      <c r="K437" s="2" t="str">
        <f>IFERROR(__xludf.DUMMYFUNCTION("""COMPUTED_VALUE"""),"Inglés")</f>
        <v>Inglés</v>
      </c>
      <c r="L437" s="2" t="str">
        <f>IFERROR(__xludf.DUMMYFUNCTION("""COMPUTED_VALUE"""),"B2")</f>
        <v>B2</v>
      </c>
      <c r="M437" s="2" t="str">
        <f>IFERROR(__xludf.DUMMYFUNCTION("""COMPUTED_VALUE"""),"Sí")</f>
        <v>Sí</v>
      </c>
      <c r="N437" s="3" t="str">
        <f>IFERROR(__xludf.DUMMYFUNCTION("""COMPUTED_VALUE"""),"https://www.aueb.gr/sites/default/files/Erasmos/Mobility/attachments/AUEBfactsheet2022-23.pdf")</f>
        <v>https://www.aueb.gr/sites/default/files/Erasmos/Mobility/attachments/AUEBfactsheet2022-23.pdf</v>
      </c>
      <c r="O437" s="3" t="str">
        <f>IFERROR(__xludf.DUMMYFUNCTION("""COMPUTED_VALUE"""),"Más información / Informazio gehigarria")</f>
        <v>Más información / Informazio gehigarria</v>
      </c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30.0" customHeight="1">
      <c r="A438" s="2" t="str">
        <f>IFERROR(__xludf.DUMMYFUNCTION("""COMPUTED_VALUE"""),"Grecia")</f>
        <v>Grecia</v>
      </c>
      <c r="B438" s="2" t="str">
        <f>IFERROR(__xludf.DUMMYFUNCTION("""COMPUTED_VALUE"""),"G ATHINE04")</f>
        <v>G ATHINE04</v>
      </c>
      <c r="C438" s="3" t="str">
        <f>IFERROR(__xludf.DUMMYFUNCTION("""COMPUTED_VALUE"""),"Ikonomiko Panepistimio Athinon (Athens Business School)")</f>
        <v>Ikonomiko Panepistimio Athinon (Athens Business School)</v>
      </c>
      <c r="D438" s="2" t="str">
        <f>IFERROR(__xludf.DUMMYFUNCTION("""COMPUTED_VALUE"""),"Erasmus+")</f>
        <v>Erasmus+</v>
      </c>
      <c r="E438" s="2">
        <f>IFERROR(__xludf.DUMMYFUNCTION("""COMPUTED_VALUE"""),1.0)</f>
        <v>1</v>
      </c>
      <c r="F438" s="2" t="str">
        <f>IFERROR(__xludf.DUMMYFUNCTION("""COMPUTED_VALUE"""),"Ambos semestres")</f>
        <v>Ambos semestres</v>
      </c>
      <c r="G438" s="2" t="str">
        <f>IFERROR(__xludf.DUMMYFUNCTION("""COMPUTED_VALUE"""),"Bilbao")</f>
        <v>Bilbao</v>
      </c>
      <c r="H438" s="2" t="str">
        <f>IFERROR(__xludf.DUMMYFUNCTION("""COMPUTED_VALUE"""),"Deusto Business School")</f>
        <v>Deusto Business School</v>
      </c>
      <c r="I438" s="2" t="str">
        <f>IFERROR(__xludf.DUMMYFUNCTION("""COMPUTED_VALUE"""),"Administración y Dirección de Empresas")</f>
        <v>Administración y Dirección de Empresas</v>
      </c>
      <c r="J438" s="2" t="str">
        <f>IFERROR(__xludf.DUMMYFUNCTION("""COMPUTED_VALUE"""),"Grado")</f>
        <v>Grado</v>
      </c>
      <c r="K438" s="2" t="str">
        <f>IFERROR(__xludf.DUMMYFUNCTION("""COMPUTED_VALUE"""),"Inglés")</f>
        <v>Inglés</v>
      </c>
      <c r="L438" s="2" t="str">
        <f>IFERROR(__xludf.DUMMYFUNCTION("""COMPUTED_VALUE"""),"C1")</f>
        <v>C1</v>
      </c>
      <c r="M438" s="2" t="str">
        <f>IFERROR(__xludf.DUMMYFUNCTION("""COMPUTED_VALUE"""),"Sí")</f>
        <v>Sí</v>
      </c>
      <c r="N438" s="3" t="str">
        <f>IFERROR(__xludf.DUMMYFUNCTION("""COMPUTED_VALUE"""),"https://www.aueb.gr/sites/default/files/Erasmos/Mobility/attachments/AUEBfactsheet2022-23.pdf")</f>
        <v>https://www.aueb.gr/sites/default/files/Erasmos/Mobility/attachments/AUEBfactsheet2022-23.pdf</v>
      </c>
      <c r="O438" s="3" t="str">
        <f>IFERROR(__xludf.DUMMYFUNCTION("""COMPUTED_VALUE"""),"Más información / Informazio gehigarria")</f>
        <v>Más información / Informazio gehigarria</v>
      </c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30.0" customHeight="1">
      <c r="A439" s="2" t="str">
        <f>IFERROR(__xludf.DUMMYFUNCTION("""COMPUTED_VALUE"""),"Grecia")</f>
        <v>Grecia</v>
      </c>
      <c r="B439" s="2" t="str">
        <f>IFERROR(__xludf.DUMMYFUNCTION("""COMPUTED_VALUE"""),"G ATHINE41")</f>
        <v>G ATHINE41</v>
      </c>
      <c r="C439" s="3" t="str">
        <f>IFERROR(__xludf.DUMMYFUNCTION("""COMPUTED_VALUE"""),"University of Aegean")</f>
        <v>University of Aegean</v>
      </c>
      <c r="D439" s="2" t="str">
        <f>IFERROR(__xludf.DUMMYFUNCTION("""COMPUTED_VALUE"""),"Erasmus+")</f>
        <v>Erasmus+</v>
      </c>
      <c r="E439" s="2">
        <f>IFERROR(__xludf.DUMMYFUNCTION("""COMPUTED_VALUE"""),2.0)</f>
        <v>2</v>
      </c>
      <c r="F439" s="2" t="str">
        <f>IFERROR(__xludf.DUMMYFUNCTION("""COMPUTED_VALUE"""),"Anual")</f>
        <v>Anual</v>
      </c>
      <c r="G439" s="2" t="str">
        <f>IFERROR(__xludf.DUMMYFUNCTION("""COMPUTED_VALUE"""),"Ambos")</f>
        <v>Ambos</v>
      </c>
      <c r="H439" s="2" t="str">
        <f>IFERROR(__xludf.DUMMYFUNCTION("""COMPUTED_VALUE"""),"Ciencias Sociales y Humanas")</f>
        <v>Ciencias Sociales y Humanas</v>
      </c>
      <c r="I439" s="2" t="str">
        <f>IFERROR(__xludf.DUMMYFUNCTION("""COMPUTED_VALUE"""),"Relaciones Internacionales")</f>
        <v>Relaciones Internacionales</v>
      </c>
      <c r="J439" s="2" t="str">
        <f>IFERROR(__xludf.DUMMYFUNCTION("""COMPUTED_VALUE"""),"Grado")</f>
        <v>Grado</v>
      </c>
      <c r="K439" s="2" t="str">
        <f>IFERROR(__xludf.DUMMYFUNCTION("""COMPUTED_VALUE"""),"Inglés")</f>
        <v>Inglés</v>
      </c>
      <c r="L439" s="2" t="str">
        <f>IFERROR(__xludf.DUMMYFUNCTION("""COMPUTED_VALUE"""),"B2")</f>
        <v>B2</v>
      </c>
      <c r="M439" s="2" t="str">
        <f>IFERROR(__xludf.DUMMYFUNCTION("""COMPUTED_VALUE"""),"Sí")</f>
        <v>Sí</v>
      </c>
      <c r="N439" s="3" t="str">
        <f>IFERROR(__xludf.DUMMYFUNCTION("""COMPUTED_VALUE"""),"https://erasmus.aegean.gr/en")</f>
        <v>https://erasmus.aegean.gr/en</v>
      </c>
      <c r="O439" s="3" t="str">
        <f>IFERROR(__xludf.DUMMYFUNCTION("""COMPUTED_VALUE"""),"Más información / Informazio gehigarria")</f>
        <v>Más información / Informazio gehigarria</v>
      </c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30.0" customHeight="1">
      <c r="A440" s="2" t="str">
        <f>IFERROR(__xludf.DUMMYFUNCTION("""COMPUTED_VALUE"""),"Grecia")</f>
        <v>Grecia</v>
      </c>
      <c r="B440" s="2" t="str">
        <f>IFERROR(__xludf.DUMMYFUNCTION("""COMPUTED_VALUE"""),"G KRITIS01")</f>
        <v>G KRITIS01</v>
      </c>
      <c r="C440" s="3" t="str">
        <f>IFERROR(__xludf.DUMMYFUNCTION("""COMPUTED_VALUE"""),"University of Crete")</f>
        <v>University of Crete</v>
      </c>
      <c r="D440" s="2" t="str">
        <f>IFERROR(__xludf.DUMMYFUNCTION("""COMPUTED_VALUE"""),"Erasmus+")</f>
        <v>Erasmus+</v>
      </c>
      <c r="E440" s="2">
        <f>IFERROR(__xludf.DUMMYFUNCTION("""COMPUTED_VALUE"""),3.0)</f>
        <v>3</v>
      </c>
      <c r="F440" s="2" t="str">
        <f>IFERROR(__xludf.DUMMYFUNCTION("""COMPUTED_VALUE"""),"Semestre")</f>
        <v>Semestre</v>
      </c>
      <c r="G440" s="2" t="str">
        <f>IFERROR(__xludf.DUMMYFUNCTION("""COMPUTED_VALUE"""),"Bilbao")</f>
        <v>Bilbao</v>
      </c>
      <c r="H440" s="2" t="str">
        <f>IFERROR(__xludf.DUMMYFUNCTION("""COMPUTED_VALUE"""),"Begoñako Andramari, BAM")</f>
        <v>Begoñako Andramari, BAM</v>
      </c>
      <c r="I440" s="2" t="str">
        <f>IFERROR(__xludf.DUMMYFUNCTION("""COMPUTED_VALUE"""),"Educación Primaria, Educación Infantil")</f>
        <v>Educación Primaria, Educación Infantil</v>
      </c>
      <c r="J440" s="2" t="str">
        <f>IFERROR(__xludf.DUMMYFUNCTION("""COMPUTED_VALUE"""),"Grado")</f>
        <v>Grado</v>
      </c>
      <c r="K440" s="2" t="str">
        <f>IFERROR(__xludf.DUMMYFUNCTION("""COMPUTED_VALUE"""),"Inglés")</f>
        <v>Inglés</v>
      </c>
      <c r="L440" s="2" t="str">
        <f>IFERROR(__xludf.DUMMYFUNCTION("""COMPUTED_VALUE"""),"B2")</f>
        <v>B2</v>
      </c>
      <c r="M440" s="2" t="str">
        <f>IFERROR(__xludf.DUMMYFUNCTION("""COMPUTED_VALUE"""),"Sí")</f>
        <v>Sí</v>
      </c>
      <c r="N440" s="3" t="str">
        <f>IFERROR(__xludf.DUMMYFUNCTION("""COMPUTED_VALUE"""),"https://www.uoc.gr/intrel/en/students-en/erasmus-and-exchange-students")</f>
        <v>https://www.uoc.gr/intrel/en/students-en/erasmus-and-exchange-students</v>
      </c>
      <c r="O440" s="3" t="str">
        <f>IFERROR(__xludf.DUMMYFUNCTION("""COMPUTED_VALUE"""),"Más información / Informazio gehigarria")</f>
        <v>Más información / Informazio gehigarria</v>
      </c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30.0" customHeight="1">
      <c r="A441" s="2" t="str">
        <f>IFERROR(__xludf.DUMMYFUNCTION("""COMPUTED_VALUE"""),"Grecia")</f>
        <v>Grecia</v>
      </c>
      <c r="B441" s="2" t="str">
        <f>IFERROR(__xludf.DUMMYFUNCTION("""COMPUTED_VALUE"""),"G THESSAL02")</f>
        <v>G THESSAL02</v>
      </c>
      <c r="C441" s="3" t="str">
        <f>IFERROR(__xludf.DUMMYFUNCTION("""COMPUTED_VALUE"""),"University of Macedonia")</f>
        <v>University of Macedonia</v>
      </c>
      <c r="D441" s="2" t="str">
        <f>IFERROR(__xludf.DUMMYFUNCTION("""COMPUTED_VALUE"""),"Erasmus+")</f>
        <v>Erasmus+</v>
      </c>
      <c r="E441" s="2">
        <f>IFERROR(__xludf.DUMMYFUNCTION("""COMPUTED_VALUE"""),5.0)</f>
        <v>5</v>
      </c>
      <c r="F441" s="2" t="str">
        <f>IFERROR(__xludf.DUMMYFUNCTION("""COMPUTED_VALUE"""),"Semestre")</f>
        <v>Semestre</v>
      </c>
      <c r="G441" s="2" t="str">
        <f>IFERROR(__xludf.DUMMYFUNCTION("""COMPUTED_VALUE"""),"Ambos")</f>
        <v>Ambos</v>
      </c>
      <c r="H441" s="2" t="str">
        <f>IFERROR(__xludf.DUMMYFUNCTION("""COMPUTED_VALUE"""),"Ciencias Sociales y Humanas")</f>
        <v>Ciencias Sociales y Humanas</v>
      </c>
      <c r="I441" s="2" t="str">
        <f>IFERROR(__xludf.DUMMYFUNCTION("""COMPUTED_VALUE"""),"Relaciones Internacionales")</f>
        <v>Relaciones Internacionales</v>
      </c>
      <c r="J441" s="2" t="str">
        <f>IFERROR(__xludf.DUMMYFUNCTION("""COMPUTED_VALUE"""),"Grado")</f>
        <v>Grado</v>
      </c>
      <c r="K441" s="2" t="str">
        <f>IFERROR(__xludf.DUMMYFUNCTION("""COMPUTED_VALUE"""),"Inglés")</f>
        <v>Inglés</v>
      </c>
      <c r="L441" s="2" t="str">
        <f>IFERROR(__xludf.DUMMYFUNCTION("""COMPUTED_VALUE"""),"B2")</f>
        <v>B2</v>
      </c>
      <c r="M441" s="2" t="str">
        <f>IFERROR(__xludf.DUMMYFUNCTION("""COMPUTED_VALUE"""),"No")</f>
        <v>No</v>
      </c>
      <c r="N441" s="3" t="str">
        <f>IFERROR(__xludf.DUMMYFUNCTION("""COMPUTED_VALUE"""),"https://www.uom.gr/assets/site/public/nodes/5260/21515-Fact_Sheet_UoM.pdf")</f>
        <v>https://www.uom.gr/assets/site/public/nodes/5260/21515-Fact_Sheet_UoM.pdf</v>
      </c>
      <c r="O441" s="3" t="str">
        <f>IFERROR(__xludf.DUMMYFUNCTION("""COMPUTED_VALUE"""),"Más información / Informazio gehigarria")</f>
        <v>Más información / Informazio gehigarria</v>
      </c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30.0" customHeight="1">
      <c r="A442" s="2" t="str">
        <f>IFERROR(__xludf.DUMMYFUNCTION("""COMPUTED_VALUE"""),"Grecia")</f>
        <v>Grecia</v>
      </c>
      <c r="B442" s="2" t="str">
        <f>IFERROR(__xludf.DUMMYFUNCTION("""COMPUTED_VALUE"""),"G PATRA01")</f>
        <v>G PATRA01</v>
      </c>
      <c r="C442" s="3" t="str">
        <f>IFERROR(__xludf.DUMMYFUNCTION("""COMPUTED_VALUE"""),"University of Patras")</f>
        <v>University of Patras</v>
      </c>
      <c r="D442" s="2" t="str">
        <f>IFERROR(__xludf.DUMMYFUNCTION("""COMPUTED_VALUE"""),"Erasmus+")</f>
        <v>Erasmus+</v>
      </c>
      <c r="E442" s="2">
        <f>IFERROR(__xludf.DUMMYFUNCTION("""COMPUTED_VALUE"""),2.0)</f>
        <v>2</v>
      </c>
      <c r="F442" s="2" t="str">
        <f>IFERROR(__xludf.DUMMYFUNCTION("""COMPUTED_VALUE"""),"Semestre")</f>
        <v>Semestre</v>
      </c>
      <c r="G442" s="2" t="str">
        <f>IFERROR(__xludf.DUMMYFUNCTION("""COMPUTED_VALUE"""),"San Sebastián")</f>
        <v>San Sebastián</v>
      </c>
      <c r="H442" s="2" t="str">
        <f>IFERROR(__xludf.DUMMYFUNCTION("""COMPUTED_VALUE"""),"Ciencias Sociales y Humanas")</f>
        <v>Ciencias Sociales y Humanas</v>
      </c>
      <c r="I442" s="2" t="str">
        <f>IFERROR(__xludf.DUMMYFUNCTION("""COMPUTED_VALUE"""),"Trabajo Social")</f>
        <v>Trabajo Social</v>
      </c>
      <c r="J442" s="2" t="str">
        <f>IFERROR(__xludf.DUMMYFUNCTION("""COMPUTED_VALUE"""),"Grado")</f>
        <v>Grado</v>
      </c>
      <c r="K442" s="2" t="str">
        <f>IFERROR(__xludf.DUMMYFUNCTION("""COMPUTED_VALUE"""),"Inglés")</f>
        <v>Inglés</v>
      </c>
      <c r="L442" s="2" t="str">
        <f>IFERROR(__xludf.DUMMYFUNCTION("""COMPUTED_VALUE"""),"B1/B2")</f>
        <v>B1/B2</v>
      </c>
      <c r="M442" s="2" t="str">
        <f>IFERROR(__xludf.DUMMYFUNCTION("""COMPUTED_VALUE"""),"No")</f>
        <v>No</v>
      </c>
      <c r="N442" s="3" t="str">
        <f>IFERROR(__xludf.DUMMYFUNCTION("""COMPUTED_VALUE"""),"https://erasmus.upatras.gr/sites/default/files/agreements/iia_s_uppsala01.pdf")</f>
        <v>https://erasmus.upatras.gr/sites/default/files/agreements/iia_s_uppsala01.pdf</v>
      </c>
      <c r="O442" s="3" t="str">
        <f>IFERROR(__xludf.DUMMYFUNCTION("""COMPUTED_VALUE"""),"Más información / Informazio gehigarria")</f>
        <v>Más información / Informazio gehigarria</v>
      </c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30.0" customHeight="1">
      <c r="A443" s="2" t="str">
        <f>IFERROR(__xludf.DUMMYFUNCTION("""COMPUTED_VALUE"""),"Grecia")</f>
        <v>Grecia</v>
      </c>
      <c r="B443" s="2" t="str">
        <f>IFERROR(__xludf.DUMMYFUNCTION("""COMPUTED_VALUE"""),"G PATRA01")</f>
        <v>G PATRA01</v>
      </c>
      <c r="C443" s="3" t="str">
        <f>IFERROR(__xludf.DUMMYFUNCTION("""COMPUTED_VALUE"""),"University of Patras")</f>
        <v>University of Patras</v>
      </c>
      <c r="D443" s="2" t="str">
        <f>IFERROR(__xludf.DUMMYFUNCTION("""COMPUTED_VALUE"""),"Erasmus+")</f>
        <v>Erasmus+</v>
      </c>
      <c r="E443" s="2">
        <f>IFERROR(__xludf.DUMMYFUNCTION("""COMPUTED_VALUE"""),2.0)</f>
        <v>2</v>
      </c>
      <c r="F443" s="2" t="str">
        <f>IFERROR(__xludf.DUMMYFUNCTION("""COMPUTED_VALUE"""),"Semestre")</f>
        <v>Semestre</v>
      </c>
      <c r="G443" s="2" t="str">
        <f>IFERROR(__xludf.DUMMYFUNCTION("""COMPUTED_VALUE"""),"Bilbao")</f>
        <v>Bilbao</v>
      </c>
      <c r="H443" s="2" t="str">
        <f>IFERROR(__xludf.DUMMYFUNCTION("""COMPUTED_VALUE"""),"Ciencias Sociales y Humanas")</f>
        <v>Ciencias Sociales y Humanas</v>
      </c>
      <c r="I443" s="2" t="str">
        <f>IFERROR(__xludf.DUMMYFUNCTION("""COMPUTED_VALUE"""),"Trabajo Social")</f>
        <v>Trabajo Social</v>
      </c>
      <c r="J443" s="2" t="str">
        <f>IFERROR(__xludf.DUMMYFUNCTION("""COMPUTED_VALUE"""),"Grado")</f>
        <v>Grado</v>
      </c>
      <c r="K443" s="2" t="str">
        <f>IFERROR(__xludf.DUMMYFUNCTION("""COMPUTED_VALUE"""),"Inglés")</f>
        <v>Inglés</v>
      </c>
      <c r="L443" s="2" t="str">
        <f>IFERROR(__xludf.DUMMYFUNCTION("""COMPUTED_VALUE"""),"B1/B2")</f>
        <v>B1/B2</v>
      </c>
      <c r="M443" s="2" t="str">
        <f>IFERROR(__xludf.DUMMYFUNCTION("""COMPUTED_VALUE"""),"No")</f>
        <v>No</v>
      </c>
      <c r="N443" s="3" t="str">
        <f>IFERROR(__xludf.DUMMYFUNCTION("""COMPUTED_VALUE"""),"https://erasmus.upatras.gr/sites/default/files/agreements/iia_s_uppsala01.pdf")</f>
        <v>https://erasmus.upatras.gr/sites/default/files/agreements/iia_s_uppsala01.pdf</v>
      </c>
      <c r="O443" s="3" t="str">
        <f>IFERROR(__xludf.DUMMYFUNCTION("""COMPUTED_VALUE"""),"Más información / Informazio gehigarria")</f>
        <v>Más información / Informazio gehigarria</v>
      </c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30.0" customHeight="1">
      <c r="A444" s="2" t="str">
        <f>IFERROR(__xludf.DUMMYFUNCTION("""COMPUTED_VALUE"""),"Grecia")</f>
        <v>Grecia</v>
      </c>
      <c r="B444" s="2" t="str">
        <f>IFERROR(__xludf.DUMMYFUNCTION("""COMPUTED_VALUE"""),"G TRIPOLI03")</f>
        <v>G TRIPOLI03</v>
      </c>
      <c r="C444" s="3" t="str">
        <f>IFERROR(__xludf.DUMMYFUNCTION("""COMPUTED_VALUE"""),"University of Peloponnese")</f>
        <v>University of Peloponnese</v>
      </c>
      <c r="D444" s="2" t="str">
        <f>IFERROR(__xludf.DUMMYFUNCTION("""COMPUTED_VALUE"""),"Erasmus+")</f>
        <v>Erasmus+</v>
      </c>
      <c r="E444" s="2">
        <f>IFERROR(__xludf.DUMMYFUNCTION("""COMPUTED_VALUE"""),2.0)</f>
        <v>2</v>
      </c>
      <c r="F444" s="2" t="str">
        <f>IFERROR(__xludf.DUMMYFUNCTION("""COMPUTED_VALUE"""),"Anual")</f>
        <v>Anual</v>
      </c>
      <c r="G444" s="2" t="str">
        <f>IFERROR(__xludf.DUMMYFUNCTION("""COMPUTED_VALUE"""),"Ambos")</f>
        <v>Ambos</v>
      </c>
      <c r="H444" s="2" t="str">
        <f>IFERROR(__xludf.DUMMYFUNCTION("""COMPUTED_VALUE"""),"Ciencias Sociales y Humanas")</f>
        <v>Ciencias Sociales y Humanas</v>
      </c>
      <c r="I444" s="2" t="str">
        <f>IFERROR(__xludf.DUMMYFUNCTION("""COMPUTED_VALUE"""),"Relaciones Internacionales")</f>
        <v>Relaciones Internacionales</v>
      </c>
      <c r="J444" s="2" t="str">
        <f>IFERROR(__xludf.DUMMYFUNCTION("""COMPUTED_VALUE"""),"Grado")</f>
        <v>Grado</v>
      </c>
      <c r="K444" s="2" t="str">
        <f>IFERROR(__xludf.DUMMYFUNCTION("""COMPUTED_VALUE"""),"Inglés")</f>
        <v>Inglés</v>
      </c>
      <c r="L444" s="2" t="str">
        <f>IFERROR(__xludf.DUMMYFUNCTION("""COMPUTED_VALUE"""),"B2")</f>
        <v>B2</v>
      </c>
      <c r="M444" s="2" t="str">
        <f>IFERROR(__xludf.DUMMYFUNCTION("""COMPUTED_VALUE"""),"No")</f>
        <v>No</v>
      </c>
      <c r="N444" s="3" t="str">
        <f>IFERROR(__xludf.DUMMYFUNCTION("""COMPUTED_VALUE"""),"https://erasmus.uop.gr/index.php/19-erasmus/content/236-language-support")</f>
        <v>https://erasmus.uop.gr/index.php/19-erasmus/content/236-language-support</v>
      </c>
      <c r="O444" s="3" t="str">
        <f>IFERROR(__xludf.DUMMYFUNCTION("""COMPUTED_VALUE"""),"Más información / Informazio gehigarria")</f>
        <v>Más información / Informazio gehigarria</v>
      </c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30.0" customHeight="1">
      <c r="A445" s="2" t="str">
        <f>IFERROR(__xludf.DUMMYFUNCTION("""COMPUTED_VALUE"""),"Guatemala")</f>
        <v>Guatemala</v>
      </c>
      <c r="B445" s="2"/>
      <c r="C445" s="3" t="str">
        <f>IFERROR(__xludf.DUMMYFUNCTION("""COMPUTED_VALUE"""),"Universidad Rafael Landívar")</f>
        <v>Universidad Rafael Landívar</v>
      </c>
      <c r="D445" s="2" t="str">
        <f>IFERROR(__xludf.DUMMYFUNCTION("""COMPUTED_VALUE"""),"Ac. Bilaterales (no Erasmus)")</f>
        <v>Ac. Bilaterales (no Erasmus)</v>
      </c>
      <c r="E445" s="2">
        <f>IFERROR(__xludf.DUMMYFUNCTION("""COMPUTED_VALUE"""),2.0)</f>
        <v>2</v>
      </c>
      <c r="F445" s="2" t="str">
        <f>IFERROR(__xludf.DUMMYFUNCTION("""COMPUTED_VALUE"""),"Semestre")</f>
        <v>Semestre</v>
      </c>
      <c r="G445" s="2" t="str">
        <f>IFERROR(__xludf.DUMMYFUNCTION("""COMPUTED_VALUE"""),"Ambos")</f>
        <v>Ambos</v>
      </c>
      <c r="H445" s="2" t="str">
        <f>IFERROR(__xludf.DUMMYFUNCTION("""COMPUTED_VALUE"""),"Ciencias Sociales y Humanas")</f>
        <v>Ciencias Sociales y Humanas</v>
      </c>
      <c r="I445" s="2" t="str">
        <f>IFERROR(__xludf.DUMMYFUNCTION("""COMPUTED_VALUE"""),"Turismo")</f>
        <v>Turismo</v>
      </c>
      <c r="J445" s="2" t="str">
        <f>IFERROR(__xludf.DUMMYFUNCTION("""COMPUTED_VALUE"""),"Grado")</f>
        <v>Grado</v>
      </c>
      <c r="K445" s="2" t="str">
        <f>IFERROR(__xludf.DUMMYFUNCTION("""COMPUTED_VALUE"""),"Español")</f>
        <v>Español</v>
      </c>
      <c r="L445" s="2" t="str">
        <f>IFERROR(__xludf.DUMMYFUNCTION("""COMPUTED_VALUE"""),"n/a")</f>
        <v>n/a</v>
      </c>
      <c r="M445" s="2" t="str">
        <f>IFERROR(__xludf.DUMMYFUNCTION("""COMPUTED_VALUE"""),"No")</f>
        <v>No</v>
      </c>
      <c r="N445" s="3" t="str">
        <f>IFERROR(__xludf.DUMMYFUNCTION("""COMPUTED_VALUE"""),"https://principal.url.edu.gt/acerca-de/servicios/cooperacion-academica-e-intercambios-estudiantiles/programa-de-intercambio-para-estudiantes-extranjeros/")</f>
        <v>https://principal.url.edu.gt/acerca-de/servicios/cooperacion-academica-e-intercambios-estudiantiles/programa-de-intercambio-para-estudiantes-extranjeros/</v>
      </c>
      <c r="O445" s="3" t="str">
        <f>IFERROR(__xludf.DUMMYFUNCTION("""COMPUTED_VALUE"""),"Más información / Informazio gehigarria")</f>
        <v>Más información / Informazio gehigarria</v>
      </c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30.0" customHeight="1">
      <c r="A446" s="2" t="str">
        <f>IFERROR(__xludf.DUMMYFUNCTION("""COMPUTED_VALUE"""),"Guatemala")</f>
        <v>Guatemala</v>
      </c>
      <c r="B446" s="2" t="str">
        <f>IFERROR(__xludf.DUMMYFUNCTION("""COMPUTED_VALUE"""),"GCAGUATEM01")</f>
        <v>GCAGUATEM01</v>
      </c>
      <c r="C446" s="3" t="str">
        <f>IFERROR(__xludf.DUMMYFUNCTION("""COMPUTED_VALUE"""),"Universidad Rafael Landívar")</f>
        <v>Universidad Rafael Landívar</v>
      </c>
      <c r="D446" s="2" t="str">
        <f>IFERROR(__xludf.DUMMYFUNCTION("""COMPUTED_VALUE"""),"Ac. Bilaterales (no Erasmus)")</f>
        <v>Ac. Bilaterales (no Erasmus)</v>
      </c>
      <c r="E446" s="2">
        <f>IFERROR(__xludf.DUMMYFUNCTION("""COMPUTED_VALUE"""),2.0)</f>
        <v>2</v>
      </c>
      <c r="F446" s="2" t="str">
        <f>IFERROR(__xludf.DUMMYFUNCTION("""COMPUTED_VALUE"""),"Semestre")</f>
        <v>Semestre</v>
      </c>
      <c r="G446" s="2" t="str">
        <f>IFERROR(__xludf.DUMMYFUNCTION("""COMPUTED_VALUE"""),"Ambos")</f>
        <v>Ambos</v>
      </c>
      <c r="H446" s="2" t="str">
        <f>IFERROR(__xludf.DUMMYFUNCTION("""COMPUTED_VALUE"""),"Ciencias de la Salud")</f>
        <v>Ciencias de la Salud</v>
      </c>
      <c r="I446" s="2" t="str">
        <f>IFERROR(__xludf.DUMMYFUNCTION("""COMPUTED_VALUE"""),"Enfermería")</f>
        <v>Enfermería</v>
      </c>
      <c r="J446" s="2" t="str">
        <f>IFERROR(__xludf.DUMMYFUNCTION("""COMPUTED_VALUE"""),"Grado")</f>
        <v>Grado</v>
      </c>
      <c r="K446" s="2" t="str">
        <f>IFERROR(__xludf.DUMMYFUNCTION("""COMPUTED_VALUE"""),"Español")</f>
        <v>Español</v>
      </c>
      <c r="L446" s="2" t="str">
        <f>IFERROR(__xludf.DUMMYFUNCTION("""COMPUTED_VALUE"""),"n/a")</f>
        <v>n/a</v>
      </c>
      <c r="M446" s="2" t="str">
        <f>IFERROR(__xludf.DUMMYFUNCTION("""COMPUTED_VALUE"""),"No")</f>
        <v>No</v>
      </c>
      <c r="N446" s="3" t="str">
        <f>IFERROR(__xludf.DUMMYFUNCTION("""COMPUTED_VALUE"""),"https://principal.url.edu.gt/acerca-de/servicios/cooperacion-academica-e-intercambios-estudiantiles/programa-de-intercambio-para-estudiantes-extranjeros/")</f>
        <v>https://principal.url.edu.gt/acerca-de/servicios/cooperacion-academica-e-intercambios-estudiantiles/programa-de-intercambio-para-estudiantes-extranjeros/</v>
      </c>
      <c r="O446" s="3" t="str">
        <f>IFERROR(__xludf.DUMMYFUNCTION("""COMPUTED_VALUE"""),"Más información / Informazio gehigarria")</f>
        <v>Más información / Informazio gehigarria</v>
      </c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30.0" customHeight="1">
      <c r="A447" s="2" t="str">
        <f>IFERROR(__xludf.DUMMYFUNCTION("""COMPUTED_VALUE"""),"China")</f>
        <v>China</v>
      </c>
      <c r="B447" s="2"/>
      <c r="C447" s="3" t="str">
        <f>IFERROR(__xludf.DUMMYFUNCTION("""COMPUTED_VALUE"""),"Hong Kong Baptist University")</f>
        <v>Hong Kong Baptist University</v>
      </c>
      <c r="D447" s="2" t="str">
        <f>IFERROR(__xludf.DUMMYFUNCTION("""COMPUTED_VALUE"""),"Ac. Bilaterales (no Erasmus)")</f>
        <v>Ac. Bilaterales (no Erasmus)</v>
      </c>
      <c r="E447" s="2">
        <f>IFERROR(__xludf.DUMMYFUNCTION("""COMPUTED_VALUE"""),2.0)</f>
        <v>2</v>
      </c>
      <c r="F447" s="2" t="str">
        <f>IFERROR(__xludf.DUMMYFUNCTION("""COMPUTED_VALUE"""),"Semestre")</f>
        <v>Semestre</v>
      </c>
      <c r="G447" s="2" t="str">
        <f>IFERROR(__xludf.DUMMYFUNCTION("""COMPUTED_VALUE"""),"San Sebastián")</f>
        <v>San Sebastián</v>
      </c>
      <c r="H447" s="2" t="str">
        <f>IFERROR(__xludf.DUMMYFUNCTION("""COMPUTED_VALUE"""),"Deusto Business School")</f>
        <v>Deusto Business School</v>
      </c>
      <c r="I447" s="2" t="str">
        <f>IFERROR(__xludf.DUMMYFUNCTION("""COMPUTED_VALUE"""),"Administración y Dirección de Empresas")</f>
        <v>Administración y Dirección de Empresas</v>
      </c>
      <c r="J447" s="2" t="str">
        <f>IFERROR(__xludf.DUMMYFUNCTION("""COMPUTED_VALUE"""),"Grado")</f>
        <v>Grado</v>
      </c>
      <c r="K447" s="2" t="str">
        <f>IFERROR(__xludf.DUMMYFUNCTION("""COMPUTED_VALUE"""),"Inglés")</f>
        <v>Inglés</v>
      </c>
      <c r="L447" s="2" t="str">
        <f>IFERROR(__xludf.DUMMYFUNCTION("""COMPUTED_VALUE"""),"C1")</f>
        <v>C1</v>
      </c>
      <c r="M447" s="2" t="str">
        <f>IFERROR(__xludf.DUMMYFUNCTION("""COMPUTED_VALUE"""),"Sí")</f>
        <v>Sí</v>
      </c>
      <c r="N447" s="3" t="str">
        <f>IFERROR(__xludf.DUMMYFUNCTION("""COMPUTED_VALUE"""),"https://intl.hkbu.edu.hk/student-exchange/incoming-students/preparing-for-your-exchange-at-hkbu/eligibility")</f>
        <v>https://intl.hkbu.edu.hk/student-exchange/incoming-students/preparing-for-your-exchange-at-hkbu/eligibility</v>
      </c>
      <c r="O447" s="3" t="str">
        <f>IFERROR(__xludf.DUMMYFUNCTION("""COMPUTED_VALUE"""),"Más información / Informazio gehigarria")</f>
        <v>Más información / Informazio gehigarria</v>
      </c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30.0" customHeight="1">
      <c r="A448" s="2" t="str">
        <f>IFERROR(__xludf.DUMMYFUNCTION("""COMPUTED_VALUE"""),"China")</f>
        <v>China</v>
      </c>
      <c r="B448" s="2"/>
      <c r="C448" s="3" t="str">
        <f>IFERROR(__xludf.DUMMYFUNCTION("""COMPUTED_VALUE"""),"Hong Kong Baptist University")</f>
        <v>Hong Kong Baptist University</v>
      </c>
      <c r="D448" s="2" t="str">
        <f>IFERROR(__xludf.DUMMYFUNCTION("""COMPUTED_VALUE"""),"Ac. Bilaterales (no Erasmus)")</f>
        <v>Ac. Bilaterales (no Erasmus)</v>
      </c>
      <c r="E448" s="2">
        <f>IFERROR(__xludf.DUMMYFUNCTION("""COMPUTED_VALUE"""),1.0)</f>
        <v>1</v>
      </c>
      <c r="F448" s="2" t="str">
        <f>IFERROR(__xludf.DUMMYFUNCTION("""COMPUTED_VALUE"""),"Ambos semestres")</f>
        <v>Ambos semestres</v>
      </c>
      <c r="G448" s="2" t="str">
        <f>IFERROR(__xludf.DUMMYFUNCTION("""COMPUTED_VALUE"""),"Bilbao")</f>
        <v>Bilbao</v>
      </c>
      <c r="H448" s="2" t="str">
        <f>IFERROR(__xludf.DUMMYFUNCTION("""COMPUTED_VALUE"""),"Deusto Business School")</f>
        <v>Deusto Business School</v>
      </c>
      <c r="I448" s="2" t="str">
        <f>IFERROR(__xludf.DUMMYFUNCTION("""COMPUTED_VALUE"""),"Administración y Dirección de Empresas")</f>
        <v>Administración y Dirección de Empresas</v>
      </c>
      <c r="J448" s="2" t="str">
        <f>IFERROR(__xludf.DUMMYFUNCTION("""COMPUTED_VALUE"""),"Grado")</f>
        <v>Grado</v>
      </c>
      <c r="K448" s="2" t="str">
        <f>IFERROR(__xludf.DUMMYFUNCTION("""COMPUTED_VALUE"""),"Inglés")</f>
        <v>Inglés</v>
      </c>
      <c r="L448" s="2" t="str">
        <f>IFERROR(__xludf.DUMMYFUNCTION("""COMPUTED_VALUE"""),"C1")</f>
        <v>C1</v>
      </c>
      <c r="M448" s="2" t="str">
        <f>IFERROR(__xludf.DUMMYFUNCTION("""COMPUTED_VALUE"""),"Sí")</f>
        <v>Sí</v>
      </c>
      <c r="N448" s="3" t="str">
        <f>IFERROR(__xludf.DUMMYFUNCTION("""COMPUTED_VALUE"""),"https://intl.hkbu.edu.hk/student-exchange/incoming-students/preparing-for-your-exchange-at-hkbu/eligibility")</f>
        <v>https://intl.hkbu.edu.hk/student-exchange/incoming-students/preparing-for-your-exchange-at-hkbu/eligibility</v>
      </c>
      <c r="O448" s="3" t="str">
        <f>IFERROR(__xludf.DUMMYFUNCTION("""COMPUTED_VALUE"""),"Más información / Informazio gehigarria")</f>
        <v>Más información / Informazio gehigarria</v>
      </c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30.0" customHeight="1">
      <c r="A449" s="2" t="str">
        <f>IFERROR(__xludf.DUMMYFUNCTION("""COMPUTED_VALUE"""),"China")</f>
        <v>China</v>
      </c>
      <c r="B449" s="2"/>
      <c r="C449" s="3" t="str">
        <f>IFERROR(__xludf.DUMMYFUNCTION("""COMPUTED_VALUE"""),"Hong Kong Baptist University")</f>
        <v>Hong Kong Baptist University</v>
      </c>
      <c r="D449" s="2" t="str">
        <f>IFERROR(__xludf.DUMMYFUNCTION("""COMPUTED_VALUE"""),"Ac. Bilaterales (no Erasmus)")</f>
        <v>Ac. Bilaterales (no Erasmus)</v>
      </c>
      <c r="E449" s="2">
        <f>IFERROR(__xludf.DUMMYFUNCTION("""COMPUTED_VALUE"""),3.0)</f>
        <v>3</v>
      </c>
      <c r="F449" s="2" t="str">
        <f>IFERROR(__xludf.DUMMYFUNCTION("""COMPUTED_VALUE"""),"Anual")</f>
        <v>Anual</v>
      </c>
      <c r="G449" s="2" t="str">
        <f>IFERROR(__xludf.DUMMYFUNCTION("""COMPUTED_VALUE"""),"Bilbao")</f>
        <v>Bilbao</v>
      </c>
      <c r="H449" s="2" t="str">
        <f>IFERROR(__xludf.DUMMYFUNCTION("""COMPUTED_VALUE"""),"Ciencias Sociales y Humanas")</f>
        <v>Ciencias Sociales y Humanas</v>
      </c>
      <c r="I449" s="2" t="str">
        <f>IFERROR(__xludf.DUMMYFUNCTION("""COMPUTED_VALUE"""),"Relaciones Internacionales")</f>
        <v>Relaciones Internacionales</v>
      </c>
      <c r="J449" s="2" t="str">
        <f>IFERROR(__xludf.DUMMYFUNCTION("""COMPUTED_VALUE"""),"Grado")</f>
        <v>Grado</v>
      </c>
      <c r="K449" s="2" t="str">
        <f>IFERROR(__xludf.DUMMYFUNCTION("""COMPUTED_VALUE"""),"Inglés")</f>
        <v>Inglés</v>
      </c>
      <c r="L449" s="2" t="str">
        <f>IFERROR(__xludf.DUMMYFUNCTION("""COMPUTED_VALUE"""),"B2")</f>
        <v>B2</v>
      </c>
      <c r="M449" s="2" t="str">
        <f>IFERROR(__xludf.DUMMYFUNCTION("""COMPUTED_VALUE"""),"Sí")</f>
        <v>Sí</v>
      </c>
      <c r="N449" s="3" t="str">
        <f>IFERROR(__xludf.DUMMYFUNCTION("""COMPUTED_VALUE"""),"https://intl.hkbu.edu.hk/student-exchange/incoming-students/preparing-for-your-exchange-at-hkbu/eligibility")</f>
        <v>https://intl.hkbu.edu.hk/student-exchange/incoming-students/preparing-for-your-exchange-at-hkbu/eligibility</v>
      </c>
      <c r="O449" s="3" t="str">
        <f>IFERROR(__xludf.DUMMYFUNCTION("""COMPUTED_VALUE"""),"Más información / Informazio gehigarria")</f>
        <v>Más información / Informazio gehigarria</v>
      </c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30.0" customHeight="1">
      <c r="A450" s="2" t="str">
        <f>IFERROR(__xludf.DUMMYFUNCTION("""COMPUTED_VALUE"""),"China")</f>
        <v>China</v>
      </c>
      <c r="B450" s="2"/>
      <c r="C450" s="3" t="str">
        <f>IFERROR(__xludf.DUMMYFUNCTION("""COMPUTED_VALUE"""),"Hong Kong Baptist University")</f>
        <v>Hong Kong Baptist University</v>
      </c>
      <c r="D450" s="2" t="str">
        <f>IFERROR(__xludf.DUMMYFUNCTION("""COMPUTED_VALUE"""),"Ac. Bilaterales (no Erasmus)")</f>
        <v>Ac. Bilaterales (no Erasmus)</v>
      </c>
      <c r="E450" s="2">
        <f>IFERROR(__xludf.DUMMYFUNCTION("""COMPUTED_VALUE"""),6.0)</f>
        <v>6</v>
      </c>
      <c r="F450" s="2" t="str">
        <f>IFERROR(__xludf.DUMMYFUNCTION("""COMPUTED_VALUE"""),"Semestre")</f>
        <v>Semestre</v>
      </c>
      <c r="G450" s="2" t="str">
        <f>IFERROR(__xludf.DUMMYFUNCTION("""COMPUTED_VALUE"""),"Bilbao")</f>
        <v>Bilbao</v>
      </c>
      <c r="H450" s="2" t="str">
        <f>IFERROR(__xludf.DUMMYFUNCTION("""COMPUTED_VALUE"""),"Ciencias Sociales y Humanas")</f>
        <v>Ciencias Sociales y Humanas</v>
      </c>
      <c r="I450" s="2" t="str">
        <f>IFERROR(__xludf.DUMMYFUNCTION("""COMPUTED_VALUE"""),"Relaciones Internacionales + Derecho")</f>
        <v>Relaciones Internacionales + Derecho</v>
      </c>
      <c r="J450" s="2" t="str">
        <f>IFERROR(__xludf.DUMMYFUNCTION("""COMPUTED_VALUE"""),"Grado")</f>
        <v>Grado</v>
      </c>
      <c r="K450" s="2" t="str">
        <f>IFERROR(__xludf.DUMMYFUNCTION("""COMPUTED_VALUE"""),"Inglés")</f>
        <v>Inglés</v>
      </c>
      <c r="L450" s="2" t="str">
        <f>IFERROR(__xludf.DUMMYFUNCTION("""COMPUTED_VALUE"""),"B2")</f>
        <v>B2</v>
      </c>
      <c r="M450" s="2" t="str">
        <f>IFERROR(__xludf.DUMMYFUNCTION("""COMPUTED_VALUE"""),"Sí")</f>
        <v>Sí</v>
      </c>
      <c r="N450" s="3" t="str">
        <f>IFERROR(__xludf.DUMMYFUNCTION("""COMPUTED_VALUE"""),"https://intl.hkbu.edu.hk/student-exchange/incoming-students/preparing-for-your-exchange-at-hkbu/eligibility")</f>
        <v>https://intl.hkbu.edu.hk/student-exchange/incoming-students/preparing-for-your-exchange-at-hkbu/eligibility</v>
      </c>
      <c r="O450" s="3" t="str">
        <f>IFERROR(__xludf.DUMMYFUNCTION("""COMPUTED_VALUE"""),"Más información / Informazio gehigarria")</f>
        <v>Más información / Informazio gehigarria</v>
      </c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30.0" customHeight="1">
      <c r="A451" s="2" t="str">
        <f>IFERROR(__xludf.DUMMYFUNCTION("""COMPUTED_VALUE"""),"Hungría")</f>
        <v>Hungría</v>
      </c>
      <c r="B451" s="2" t="str">
        <f>IFERROR(__xludf.DUMMYFUNCTION("""COMPUTED_VALUE"""),"HU BUDAPES02")</f>
        <v>HU BUDAPES02</v>
      </c>
      <c r="C451" s="3" t="str">
        <f>IFERROR(__xludf.DUMMYFUNCTION("""COMPUTED_VALUE"""),"Budapest University of Tech. And Economics")</f>
        <v>Budapest University of Tech. And Economics</v>
      </c>
      <c r="D451" s="2" t="str">
        <f>IFERROR(__xludf.DUMMYFUNCTION("""COMPUTED_VALUE"""),"Erasmus+")</f>
        <v>Erasmus+</v>
      </c>
      <c r="E451" s="2">
        <f>IFERROR(__xludf.DUMMYFUNCTION("""COMPUTED_VALUE"""),2.0)</f>
        <v>2</v>
      </c>
      <c r="F451" s="2" t="str">
        <f>IFERROR(__xludf.DUMMYFUNCTION("""COMPUTED_VALUE"""),"Semestre")</f>
        <v>Semestre</v>
      </c>
      <c r="G451" s="2" t="str">
        <f>IFERROR(__xludf.DUMMYFUNCTION("""COMPUTED_VALUE"""),"Ambos")</f>
        <v>Ambos</v>
      </c>
      <c r="H451" s="2" t="str">
        <f>IFERROR(__xludf.DUMMYFUNCTION("""COMPUTED_VALUE"""),"Ingeniería")</f>
        <v>Ingeniería</v>
      </c>
      <c r="I451" s="2" t="str">
        <f>IFERROR(__xludf.DUMMYFUNCTION("""COMPUTED_VALUE"""),"Ingeniería Mecánica, Tecnologías Industriales, Electrónica y Automática, Ingeniería Informática, Ciencia de Datos e IA, Industria Digital, Diseño Industrial + Ingeniería Mecánica, Ingeniería Informática + Videojuegos")</f>
        <v>Ingeniería Mecánica, Tecnologías Industriales, Electrónica y Automática, Ingeniería Informática, Ciencia de Datos e IA, Industria Digital, Diseño Industrial + Ingeniería Mecánica, Ingeniería Informática + Videojuegos</v>
      </c>
      <c r="J451" s="2" t="str">
        <f>IFERROR(__xludf.DUMMYFUNCTION("""COMPUTED_VALUE"""),"Grado")</f>
        <v>Grado</v>
      </c>
      <c r="K451" s="2" t="str">
        <f>IFERROR(__xludf.DUMMYFUNCTION("""COMPUTED_VALUE"""),"Inglés")</f>
        <v>Inglés</v>
      </c>
      <c r="L451" s="2" t="str">
        <f>IFERROR(__xludf.DUMMYFUNCTION("""COMPUTED_VALUE"""),"B2")</f>
        <v>B2</v>
      </c>
      <c r="M451" s="2" t="str">
        <f>IFERROR(__xludf.DUMMYFUNCTION("""COMPUTED_VALUE"""),"Sí")</f>
        <v>Sí</v>
      </c>
      <c r="N451" s="3" t="str">
        <f>IFERROR(__xludf.DUMMYFUNCTION("""COMPUTED_VALUE"""),"https://kth.bme.hu/en/for-students/exchange-and-semester-abroad-students/erasmus_and_other_exchange/#:~:text=Proof%20of%20Language%20Qualification%3A%20the,minimum%20B2%20level%20in%20English.")</f>
        <v>https://kth.bme.hu/en/for-students/exchange-and-semester-abroad-students/erasmus_and_other_exchange/#:~:text=Proof%20of%20Language%20Qualification%3A%20the,minimum%20B2%20level%20in%20English.</v>
      </c>
      <c r="O451" s="3" t="str">
        <f>IFERROR(__xludf.DUMMYFUNCTION("""COMPUTED_VALUE"""),"Más información / Informazio gehigarria")</f>
        <v>Más información / Informazio gehigarria</v>
      </c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30.0" customHeight="1">
      <c r="A452" s="2" t="str">
        <f>IFERROR(__xludf.DUMMYFUNCTION("""COMPUTED_VALUE"""),"Hungría")</f>
        <v>Hungría</v>
      </c>
      <c r="B452" s="2" t="str">
        <f>IFERROR(__xludf.DUMMYFUNCTION("""COMPUTED_VALUE"""),"HU BUDAPES03")</f>
        <v>HU BUDAPES03</v>
      </c>
      <c r="C452" s="3" t="str">
        <f>IFERROR(__xludf.DUMMYFUNCTION("""COMPUTED_VALUE"""),"Corvinus University of Budapest")</f>
        <v>Corvinus University of Budapest</v>
      </c>
      <c r="D452" s="2" t="str">
        <f>IFERROR(__xludf.DUMMYFUNCTION("""COMPUTED_VALUE"""),"Erasmus+")</f>
        <v>Erasmus+</v>
      </c>
      <c r="E452" s="2">
        <f>IFERROR(__xludf.DUMMYFUNCTION("""COMPUTED_VALUE"""),2.0)</f>
        <v>2</v>
      </c>
      <c r="F452" s="2" t="str">
        <f>IFERROR(__xludf.DUMMYFUNCTION("""COMPUTED_VALUE"""),"Ambos semestres")</f>
        <v>Ambos semestres</v>
      </c>
      <c r="G452" s="2" t="str">
        <f>IFERROR(__xludf.DUMMYFUNCTION("""COMPUTED_VALUE"""),"Bilbao")</f>
        <v>Bilbao</v>
      </c>
      <c r="H452" s="2" t="str">
        <f>IFERROR(__xludf.DUMMYFUNCTION("""COMPUTED_VALUE"""),"Deusto Business School")</f>
        <v>Deusto Business School</v>
      </c>
      <c r="I452" s="2" t="str">
        <f>IFERROR(__xludf.DUMMYFUNCTION("""COMPUTED_VALUE"""),"Administración y Dirección de Empresas")</f>
        <v>Administración y Dirección de Empresas</v>
      </c>
      <c r="J452" s="2" t="str">
        <f>IFERROR(__xludf.DUMMYFUNCTION("""COMPUTED_VALUE"""),"Grado")</f>
        <v>Grado</v>
      </c>
      <c r="K452" s="2" t="str">
        <f>IFERROR(__xludf.DUMMYFUNCTION("""COMPUTED_VALUE"""),"Inglés")</f>
        <v>Inglés</v>
      </c>
      <c r="L452" s="2" t="str">
        <f>IFERROR(__xludf.DUMMYFUNCTION("""COMPUTED_VALUE"""),"C1")</f>
        <v>C1</v>
      </c>
      <c r="M452" s="2" t="str">
        <f>IFERROR(__xludf.DUMMYFUNCTION("""COMPUTED_VALUE"""),"Sí")</f>
        <v>Sí</v>
      </c>
      <c r="N452" s="3" t="str">
        <f>IFERROR(__xludf.DUMMYFUNCTION("""COMPUTED_VALUE"""),"https://www.uni-corvinus.hu/main-page/hello-corvinus/how-to-apply/ba-and-bsc-programs-application-informations/?lang=en#accordion-item-1003")</f>
        <v>https://www.uni-corvinus.hu/main-page/hello-corvinus/how-to-apply/ba-and-bsc-programs-application-informations/?lang=en#accordion-item-1003</v>
      </c>
      <c r="O452" s="3" t="str">
        <f>IFERROR(__xludf.DUMMYFUNCTION("""COMPUTED_VALUE"""),"Más información / Informazio gehigarria")</f>
        <v>Más información / Informazio gehigarria</v>
      </c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30.0" customHeight="1">
      <c r="A453" s="2" t="str">
        <f>IFERROR(__xludf.DUMMYFUNCTION("""COMPUTED_VALUE"""),"Hungría")</f>
        <v>Hungría</v>
      </c>
      <c r="B453" s="2" t="str">
        <f>IFERROR(__xludf.DUMMYFUNCTION("""COMPUTED_VALUE"""),"HU BUDAPES01")</f>
        <v>HU BUDAPES01</v>
      </c>
      <c r="C453" s="3" t="str">
        <f>IFERROR(__xludf.DUMMYFUNCTION("""COMPUTED_VALUE"""),"Eötvös Loránd University")</f>
        <v>Eötvös Loránd University</v>
      </c>
      <c r="D453" s="2" t="str">
        <f>IFERROR(__xludf.DUMMYFUNCTION("""COMPUTED_VALUE"""),"Erasmus+")</f>
        <v>Erasmus+</v>
      </c>
      <c r="E453" s="2">
        <f>IFERROR(__xludf.DUMMYFUNCTION("""COMPUTED_VALUE"""),1.0)</f>
        <v>1</v>
      </c>
      <c r="F453" s="2" t="str">
        <f>IFERROR(__xludf.DUMMYFUNCTION("""COMPUTED_VALUE"""),"Semestre")</f>
        <v>Semestre</v>
      </c>
      <c r="G453" s="2" t="str">
        <f>IFERROR(__xludf.DUMMYFUNCTION("""COMPUTED_VALUE"""),"Ambos")</f>
        <v>Ambos</v>
      </c>
      <c r="H453" s="2" t="str">
        <f>IFERROR(__xludf.DUMMYFUNCTION("""COMPUTED_VALUE"""),"Derecho")</f>
        <v>Derecho</v>
      </c>
      <c r="I453" s="2" t="str">
        <f>IFERROR(__xludf.DUMMYFUNCTION("""COMPUTED_VALUE"""),"Derecho, Derecho + Relaciones Laborales")</f>
        <v>Derecho, Derecho + Relaciones Laborales</v>
      </c>
      <c r="J453" s="2" t="str">
        <f>IFERROR(__xludf.DUMMYFUNCTION("""COMPUTED_VALUE"""),"Grado")</f>
        <v>Grado</v>
      </c>
      <c r="K453" s="2" t="str">
        <f>IFERROR(__xludf.DUMMYFUNCTION("""COMPUTED_VALUE"""),"Inglés")</f>
        <v>Inglés</v>
      </c>
      <c r="L453" s="2" t="str">
        <f>IFERROR(__xludf.DUMMYFUNCTION("""COMPUTED_VALUE"""),"B2")</f>
        <v>B2</v>
      </c>
      <c r="M453" s="2" t="str">
        <f>IFERROR(__xludf.DUMMYFUNCTION("""COMPUTED_VALUE"""),"Sí")</f>
        <v>Sí</v>
      </c>
      <c r="N453" s="3" t="str">
        <f>IFERROR(__xludf.DUMMYFUNCTION("""COMPUTED_VALUE"""),"https://www.ajk.elte.hu/en/studying_here/application#:~:text=At%20our%20institution%20the%20English,statement%20from%20the%20home%20institution!&amp;text=30%20November%20for%20the%20second%20semester.")</f>
        <v>https://www.ajk.elte.hu/en/studying_here/application#:~:text=At%20our%20institution%20the%20English,statement%20from%20the%20home%20institution!&amp;text=30%20November%20for%20the%20second%20semester.</v>
      </c>
      <c r="O453" s="3" t="str">
        <f>IFERROR(__xludf.DUMMYFUNCTION("""COMPUTED_VALUE"""),"Más información / Informazio gehigarria")</f>
        <v>Más información / Informazio gehigarria</v>
      </c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30.0" customHeight="1">
      <c r="A454" s="2" t="str">
        <f>IFERROR(__xludf.DUMMYFUNCTION("""COMPUTED_VALUE"""),"Hungría")</f>
        <v>Hungría</v>
      </c>
      <c r="B454" s="2" t="str">
        <f>IFERROR(__xludf.DUMMYFUNCTION("""COMPUTED_VALUE"""),"HU BUDAPES01")</f>
        <v>HU BUDAPES01</v>
      </c>
      <c r="C454" s="3" t="str">
        <f>IFERROR(__xludf.DUMMYFUNCTION("""COMPUTED_VALUE"""),"Eötvös Loránd University")</f>
        <v>Eötvös Loránd University</v>
      </c>
      <c r="D454" s="2" t="str">
        <f>IFERROR(__xludf.DUMMYFUNCTION("""COMPUTED_VALUE"""),"Erasmus+")</f>
        <v>Erasmus+</v>
      </c>
      <c r="E454" s="2">
        <f>IFERROR(__xludf.DUMMYFUNCTION("""COMPUTED_VALUE"""),2.0)</f>
        <v>2</v>
      </c>
      <c r="F454" s="2" t="str">
        <f>IFERROR(__xludf.DUMMYFUNCTION("""COMPUTED_VALUE"""),"Semestre")</f>
        <v>Semestre</v>
      </c>
      <c r="G454" s="2" t="str">
        <f>IFERROR(__xludf.DUMMYFUNCTION("""COMPUTED_VALUE"""),"Bilbao")</f>
        <v>Bilbao</v>
      </c>
      <c r="H454" s="2" t="str">
        <f>IFERROR(__xludf.DUMMYFUNCTION("""COMPUTED_VALUE"""),"Ciencias Sociales y Humanas")</f>
        <v>Ciencias Sociales y Humanas</v>
      </c>
      <c r="I454" s="2" t="str">
        <f>IFERROR(__xludf.DUMMYFUNCTION("""COMPUTED_VALUE"""),"Lenguas Modernas, Lengua y Cultura Vasca + Lenguas Modernas, Lenguas Modernas y Gestión, Euskal Hizkuntza eta Kultura")</f>
        <v>Lenguas Modernas, Lengua y Cultura Vasca + Lenguas Modernas, Lenguas Modernas y Gestión, Euskal Hizkuntza eta Kultura</v>
      </c>
      <c r="J454" s="2" t="str">
        <f>IFERROR(__xludf.DUMMYFUNCTION("""COMPUTED_VALUE"""),"Grado")</f>
        <v>Grado</v>
      </c>
      <c r="K454" s="2" t="str">
        <f>IFERROR(__xludf.DUMMYFUNCTION("""COMPUTED_VALUE"""),"Inglés")</f>
        <v>Inglés</v>
      </c>
      <c r="L454" s="2" t="str">
        <f>IFERROR(__xludf.DUMMYFUNCTION("""COMPUTED_VALUE"""),"B2")</f>
        <v>B2</v>
      </c>
      <c r="M454" s="2" t="str">
        <f>IFERROR(__xludf.DUMMYFUNCTION("""COMPUTED_VALUE"""),"Sí")</f>
        <v>Sí</v>
      </c>
      <c r="N454" s="3" t="str">
        <f>IFERROR(__xludf.DUMMYFUNCTION("""COMPUTED_VALUE"""),"https://www.ajk.elte.hu/en/studying_here/application#:~:text=At%20our%20institution%20the%20English,statement%20from%20the%20home%20institution!&amp;text=30%20November%20for%20the%20second%20semester.")</f>
        <v>https://www.ajk.elte.hu/en/studying_here/application#:~:text=At%20our%20institution%20the%20English,statement%20from%20the%20home%20institution!&amp;text=30%20November%20for%20the%20second%20semester.</v>
      </c>
      <c r="O454" s="3" t="str">
        <f>IFERROR(__xludf.DUMMYFUNCTION("""COMPUTED_VALUE"""),"Más información / Informazio gehigarria")</f>
        <v>Más información / Informazio gehigarria</v>
      </c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30.0" customHeight="1">
      <c r="A455" s="2" t="str">
        <f>IFERROR(__xludf.DUMMYFUNCTION("""COMPUTED_VALUE"""),"Hungría")</f>
        <v>Hungría</v>
      </c>
      <c r="B455" s="2" t="str">
        <f>IFERROR(__xludf.DUMMYFUNCTION("""COMPUTED_VALUE"""),"HU SZEGED01")</f>
        <v>HU SZEGED01</v>
      </c>
      <c r="C455" s="3" t="str">
        <f>IFERROR(__xludf.DUMMYFUNCTION("""COMPUTED_VALUE"""),"University of Szeged")</f>
        <v>University of Szeged</v>
      </c>
      <c r="D455" s="2" t="str">
        <f>IFERROR(__xludf.DUMMYFUNCTION("""COMPUTED_VALUE"""),"Erasmus+")</f>
        <v>Erasmus+</v>
      </c>
      <c r="E455" s="2">
        <f>IFERROR(__xludf.DUMMYFUNCTION("""COMPUTED_VALUE"""),4.0)</f>
        <v>4</v>
      </c>
      <c r="F455" s="2" t="str">
        <f>IFERROR(__xludf.DUMMYFUNCTION("""COMPUTED_VALUE"""),"Semestre")</f>
        <v>Semestre</v>
      </c>
      <c r="G455" s="2" t="str">
        <f>IFERROR(__xludf.DUMMYFUNCTION("""COMPUTED_VALUE"""),"Bilbao")</f>
        <v>Bilbao</v>
      </c>
      <c r="H455" s="2" t="str">
        <f>IFERROR(__xludf.DUMMYFUNCTION("""COMPUTED_VALUE"""),"Begoñako Andramari, BAM")</f>
        <v>Begoñako Andramari, BAM</v>
      </c>
      <c r="I455" s="2" t="str">
        <f>IFERROR(__xludf.DUMMYFUNCTION("""COMPUTED_VALUE"""),"Educación Primaria, Educación Infantil")</f>
        <v>Educación Primaria, Educación Infantil</v>
      </c>
      <c r="J455" s="2" t="str">
        <f>IFERROR(__xludf.DUMMYFUNCTION("""COMPUTED_VALUE"""),"Grado")</f>
        <v>Grado</v>
      </c>
      <c r="K455" s="2" t="str">
        <f>IFERROR(__xludf.DUMMYFUNCTION("""COMPUTED_VALUE"""),"Inglés")</f>
        <v>Inglés</v>
      </c>
      <c r="L455" s="2" t="str">
        <f>IFERROR(__xludf.DUMMYFUNCTION("""COMPUTED_VALUE"""),"B2")</f>
        <v>B2</v>
      </c>
      <c r="M455" s="2" t="str">
        <f>IFERROR(__xludf.DUMMYFUNCTION("""COMPUTED_VALUE"""),"Sí")</f>
        <v>Sí</v>
      </c>
      <c r="N455" s="3" t="str">
        <f>IFERROR(__xludf.DUMMYFUNCTION("""COMPUTED_VALUE"""),"http://www2.u-szeged.hu/erasmus/letolt/leaflet_2022_exchange.pdf")</f>
        <v>http://www2.u-szeged.hu/erasmus/letolt/leaflet_2022_exchange.pdf</v>
      </c>
      <c r="O455" s="3" t="str">
        <f>IFERROR(__xludf.DUMMYFUNCTION("""COMPUTED_VALUE"""),"Más información / Informazio gehigarria")</f>
        <v>Más información / Informazio gehigarria</v>
      </c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30.0" customHeight="1">
      <c r="A456" s="2" t="str">
        <f>IFERROR(__xludf.DUMMYFUNCTION("""COMPUTED_VALUE"""),"Hungría")</f>
        <v>Hungría</v>
      </c>
      <c r="B456" s="2" t="str">
        <f>IFERROR(__xludf.DUMMYFUNCTION("""COMPUTED_VALUE"""),"HU SZEGED01")</f>
        <v>HU SZEGED01</v>
      </c>
      <c r="C456" s="3" t="str">
        <f>IFERROR(__xludf.DUMMYFUNCTION("""COMPUTED_VALUE"""),"University of Szeged")</f>
        <v>University of Szeged</v>
      </c>
      <c r="D456" s="2" t="str">
        <f>IFERROR(__xludf.DUMMYFUNCTION("""COMPUTED_VALUE"""),"Erasmus+")</f>
        <v>Erasmus+</v>
      </c>
      <c r="E456" s="2">
        <f>IFERROR(__xludf.DUMMYFUNCTION("""COMPUTED_VALUE"""),2.0)</f>
        <v>2</v>
      </c>
      <c r="F456" s="2" t="str">
        <f>IFERROR(__xludf.DUMMYFUNCTION("""COMPUTED_VALUE"""),"Anual")</f>
        <v>Anual</v>
      </c>
      <c r="G456" s="2" t="str">
        <f>IFERROR(__xludf.DUMMYFUNCTION("""COMPUTED_VALUE"""),"Bilbao")</f>
        <v>Bilbao</v>
      </c>
      <c r="H456" s="2" t="str">
        <f>IFERROR(__xludf.DUMMYFUNCTION("""COMPUTED_VALUE"""),"Ciencias Sociales y Humanas")</f>
        <v>Ciencias Sociales y Humanas</v>
      </c>
      <c r="I456" s="2" t="str">
        <f>IFERROR(__xludf.DUMMYFUNCTION("""COMPUTED_VALUE"""),"Lenguas Modernas, Lengua y Cultura Vasca + Lenguas Modernas, Lenguas Modernas y Gestión, Euskal Hizkuntza eta Kultura")</f>
        <v>Lenguas Modernas, Lengua y Cultura Vasca + Lenguas Modernas, Lenguas Modernas y Gestión, Euskal Hizkuntza eta Kultura</v>
      </c>
      <c r="J456" s="2" t="str">
        <f>IFERROR(__xludf.DUMMYFUNCTION("""COMPUTED_VALUE"""),"Grado")</f>
        <v>Grado</v>
      </c>
      <c r="K456" s="2" t="str">
        <f>IFERROR(__xludf.DUMMYFUNCTION("""COMPUTED_VALUE"""),"Inglés")</f>
        <v>Inglés</v>
      </c>
      <c r="L456" s="2" t="str">
        <f>IFERROR(__xludf.DUMMYFUNCTION("""COMPUTED_VALUE"""),"B2")</f>
        <v>B2</v>
      </c>
      <c r="M456" s="2" t="str">
        <f>IFERROR(__xludf.DUMMYFUNCTION("""COMPUTED_VALUE"""),"Sí")</f>
        <v>Sí</v>
      </c>
      <c r="N456" s="3" t="str">
        <f>IFERROR(__xludf.DUMMYFUNCTION("""COMPUTED_VALUE"""),"http://www2.u-szeged.hu/erasmus/letolt/leaflet_2022_exchange.pdf")</f>
        <v>http://www2.u-szeged.hu/erasmus/letolt/leaflet_2022_exchange.pdf</v>
      </c>
      <c r="O456" s="3" t="str">
        <f>IFERROR(__xludf.DUMMYFUNCTION("""COMPUTED_VALUE"""),"Más información / Informazio gehigarria")</f>
        <v>Más información / Informazio gehigarria</v>
      </c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30.0" customHeight="1">
      <c r="A457" s="2" t="str">
        <f>IFERROR(__xludf.DUMMYFUNCTION("""COMPUTED_VALUE"""),"Hungría")</f>
        <v>Hungría</v>
      </c>
      <c r="B457" s="2" t="str">
        <f>IFERROR(__xludf.DUMMYFUNCTION("""COMPUTED_VALUE"""),"HU DEBRECE01")</f>
        <v>HU DEBRECE01</v>
      </c>
      <c r="C457" s="3" t="str">
        <f>IFERROR(__xludf.DUMMYFUNCTION("""COMPUTED_VALUE"""),"University of Debrecen")</f>
        <v>University of Debrecen</v>
      </c>
      <c r="D457" s="2" t="str">
        <f>IFERROR(__xludf.DUMMYFUNCTION("""COMPUTED_VALUE"""),"Erasmus+")</f>
        <v>Erasmus+</v>
      </c>
      <c r="E457" s="2">
        <f>IFERROR(__xludf.DUMMYFUNCTION("""COMPUTED_VALUE"""),2.0)</f>
        <v>2</v>
      </c>
      <c r="F457" s="2" t="str">
        <f>IFERROR(__xludf.DUMMYFUNCTION("""COMPUTED_VALUE"""),"Semestre")</f>
        <v>Semestre</v>
      </c>
      <c r="G457" s="2" t="str">
        <f>IFERROR(__xludf.DUMMYFUNCTION("""COMPUTED_VALUE"""),"Bilbao")</f>
        <v>Bilbao</v>
      </c>
      <c r="H457" s="2" t="str">
        <f>IFERROR(__xludf.DUMMYFUNCTION("""COMPUTED_VALUE"""),"Ingeniería")</f>
        <v>Ingeniería</v>
      </c>
      <c r="I457" s="2" t="str">
        <f>IFERROR(__xludf.DUMMYFUNCTION("""COMPUTED_VALUE"""),"Ingeniería Biomédica")</f>
        <v>Ingeniería Biomédica</v>
      </c>
      <c r="J457" s="2" t="str">
        <f>IFERROR(__xludf.DUMMYFUNCTION("""COMPUTED_VALUE"""),"Grado")</f>
        <v>Grado</v>
      </c>
      <c r="K457" s="2" t="str">
        <f>IFERROR(__xludf.DUMMYFUNCTION("""COMPUTED_VALUE"""),"Inglés")</f>
        <v>Inglés</v>
      </c>
      <c r="L457" s="2" t="str">
        <f>IFERROR(__xludf.DUMMYFUNCTION("""COMPUTED_VALUE"""),"B2")</f>
        <v>B2</v>
      </c>
      <c r="M457" s="2" t="str">
        <f>IFERROR(__xludf.DUMMYFUNCTION("""COMPUTED_VALUE"""),"Sí")</f>
        <v>Sí</v>
      </c>
      <c r="N457" s="3" t="str">
        <f>IFERROR(__xludf.DUMMYFUNCTION("""COMPUTED_VALUE"""),"https://edu.unideb.hu/p/international-study-semester-program")</f>
        <v>https://edu.unideb.hu/p/international-study-semester-program</v>
      </c>
      <c r="O457" s="3" t="str">
        <f>IFERROR(__xludf.DUMMYFUNCTION("""COMPUTED_VALUE"""),"Más información / Informazio gehigarria")</f>
        <v>Más información / Informazio gehigarria</v>
      </c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30.0" customHeight="1">
      <c r="A458" s="2" t="str">
        <f>IFERROR(__xludf.DUMMYFUNCTION("""COMPUTED_VALUE"""),"Hungría")</f>
        <v>Hungría</v>
      </c>
      <c r="B458" s="2" t="str">
        <f>IFERROR(__xludf.DUMMYFUNCTION("""COMPUTED_VALUE"""),"HU BUDAPE42")</f>
        <v>HU BUDAPE42</v>
      </c>
      <c r="C458" s="3" t="str">
        <f>IFERROR(__xludf.DUMMYFUNCTION("""COMPUTED_VALUE"""),"Hungarian University of Sports Science - MAGYAR KEPZOMUVESZETI EGYETEM")</f>
        <v>Hungarian University of Sports Science - MAGYAR KEPZOMUVESZETI EGYETEM</v>
      </c>
      <c r="D458" s="2" t="str">
        <f>IFERROR(__xludf.DUMMYFUNCTION("""COMPUTED_VALUE"""),"Erasmus+")</f>
        <v>Erasmus+</v>
      </c>
      <c r="E458" s="2">
        <f>IFERROR(__xludf.DUMMYFUNCTION("""COMPUTED_VALUE"""),2.0)</f>
        <v>2</v>
      </c>
      <c r="F458" s="2" t="str">
        <f>IFERROR(__xludf.DUMMYFUNCTION("""COMPUTED_VALUE"""),"Semestre")</f>
        <v>Semestre</v>
      </c>
      <c r="G458" s="2" t="str">
        <f>IFERROR(__xludf.DUMMYFUNCTION("""COMPUTED_VALUE"""),"Bilbao")</f>
        <v>Bilbao</v>
      </c>
      <c r="H458" s="2" t="str">
        <f>IFERROR(__xludf.DUMMYFUNCTION("""COMPUTED_VALUE"""),"Educación y Deporte")</f>
        <v>Educación y Deporte</v>
      </c>
      <c r="I458" s="2" t="str">
        <f>IFERROR(__xludf.DUMMYFUNCTION("""COMPUTED_VALUE"""),"CAFyD")</f>
        <v>CAFyD</v>
      </c>
      <c r="J458" s="2" t="str">
        <f>IFERROR(__xludf.DUMMYFUNCTION("""COMPUTED_VALUE"""),"Grado")</f>
        <v>Grado</v>
      </c>
      <c r="K458" s="2"/>
      <c r="L458" s="2"/>
      <c r="M458" s="2"/>
      <c r="N458" s="2"/>
      <c r="O458" s="2" t="str">
        <f>IFERROR(__xludf.DUMMYFUNCTION("""COMPUTED_VALUE"""),"Más información / Informazio gehigarria")</f>
        <v>Más información / Informazio gehigarria</v>
      </c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30.0" customHeight="1">
      <c r="A459" s="2" t="str">
        <f>IFERROR(__xludf.DUMMYFUNCTION("""COMPUTED_VALUE"""),"India")</f>
        <v>India</v>
      </c>
      <c r="B459" s="2"/>
      <c r="C459" s="2" t="str">
        <f>IFERROR(__xludf.DUMMYFUNCTION("""COMPUTED_VALUE"""),"Savitribai Phule Pune University, Ferguson College")</f>
        <v>Savitribai Phule Pune University, Ferguson College</v>
      </c>
      <c r="D459" s="2" t="str">
        <f>IFERROR(__xludf.DUMMYFUNCTION("""COMPUTED_VALUE"""),"Ac. Bilaterales (no Erasmus)")</f>
        <v>Ac. Bilaterales (no Erasmus)</v>
      </c>
      <c r="E459" s="2" t="str">
        <f>IFERROR(__xludf.DUMMYFUNCTION("""COMPUTED_VALUE"""),"Convenio Marco")</f>
        <v>Convenio Marco</v>
      </c>
      <c r="F459" s="2" t="str">
        <f>IFERROR(__xludf.DUMMYFUNCTION("""COMPUTED_VALUE"""),"Anual")</f>
        <v>Anual</v>
      </c>
      <c r="G459" s="2" t="str">
        <f>IFERROR(__xludf.DUMMYFUNCTION("""COMPUTED_VALUE"""),"Bilbao")</f>
        <v>Bilbao</v>
      </c>
      <c r="H459" s="2" t="str">
        <f>IFERROR(__xludf.DUMMYFUNCTION("""COMPUTED_VALUE"""),"Ciencias Sociales y Humanas")</f>
        <v>Ciencias Sociales y Humanas</v>
      </c>
      <c r="I459" s="2" t="str">
        <f>IFERROR(__xludf.DUMMYFUNCTION("""COMPUTED_VALUE"""),"Relaciones Internacionales, Relaciones Internacionales + Derecho")</f>
        <v>Relaciones Internacionales, Relaciones Internacionales + Derecho</v>
      </c>
      <c r="J459" s="2" t="str">
        <f>IFERROR(__xludf.DUMMYFUNCTION("""COMPUTED_VALUE"""),"Grado")</f>
        <v>Grado</v>
      </c>
      <c r="K459" s="2" t="str">
        <f>IFERROR(__xludf.DUMMYFUNCTION("""COMPUTED_VALUE"""),"Inglés")</f>
        <v>Inglés</v>
      </c>
      <c r="L459" s="2" t="str">
        <f>IFERROR(__xludf.DUMMYFUNCTION("""COMPUTED_VALUE"""),"B2")</f>
        <v>B2</v>
      </c>
      <c r="M459" s="2" t="str">
        <f>IFERROR(__xludf.DUMMYFUNCTION("""COMPUTED_VALUE"""),"Sí")</f>
        <v>Sí</v>
      </c>
      <c r="N459" s="3" t="str">
        <f>IFERROR(__xludf.DUMMYFUNCTION("""COMPUTED_VALUE"""),"https://www.fergusson.edu/article/page/id/78")</f>
        <v>https://www.fergusson.edu/article/page/id/78</v>
      </c>
      <c r="O459" s="3" t="str">
        <f>IFERROR(__xludf.DUMMYFUNCTION("""COMPUTED_VALUE"""),"Más información / Informazio gehigarria")</f>
        <v>Más información / Informazio gehigarria</v>
      </c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30.0" customHeight="1">
      <c r="A460" s="2" t="str">
        <f>IFERROR(__xludf.DUMMYFUNCTION("""COMPUTED_VALUE"""),"India")</f>
        <v>India</v>
      </c>
      <c r="B460" s="2" t="str">
        <f>IFERROR(__xludf.DUMMYFUNCTION("""COMPUTED_VALUE"""),"INDBANGAL01")</f>
        <v>INDBANGAL01</v>
      </c>
      <c r="C460" s="2" t="str">
        <f>IFERROR(__xludf.DUMMYFUNCTION("""COMPUTED_VALUE"""),"National School of Business NSB Academy")</f>
        <v>National School of Business NSB Academy</v>
      </c>
      <c r="D460" s="2" t="str">
        <f>IFERROR(__xludf.DUMMYFUNCTION("""COMPUTED_VALUE"""),"Ac. Bilaterales (no Erasmus)")</f>
        <v>Ac. Bilaterales (no Erasmus)</v>
      </c>
      <c r="E460" s="2">
        <f>IFERROR(__xludf.DUMMYFUNCTION("""COMPUTED_VALUE"""),6.0)</f>
        <v>6</v>
      </c>
      <c r="F460" s="2" t="str">
        <f>IFERROR(__xludf.DUMMYFUNCTION("""COMPUTED_VALUE"""),"Semestre")</f>
        <v>Semestre</v>
      </c>
      <c r="G460" s="2" t="str">
        <f>IFERROR(__xludf.DUMMYFUNCTION("""COMPUTED_VALUE"""),"San Sebastián")</f>
        <v>San Sebastián</v>
      </c>
      <c r="H460" s="2" t="str">
        <f>IFERROR(__xludf.DUMMYFUNCTION("""COMPUTED_VALUE"""),"Deusto Business School")</f>
        <v>Deusto Business School</v>
      </c>
      <c r="I460" s="2" t="str">
        <f>IFERROR(__xludf.DUMMYFUNCTION("""COMPUTED_VALUE"""),"Administración y Dirección de Empresas")</f>
        <v>Administración y Dirección de Empresas</v>
      </c>
      <c r="J460" s="2" t="str">
        <f>IFERROR(__xludf.DUMMYFUNCTION("""COMPUTED_VALUE"""),"Grado")</f>
        <v>Grado</v>
      </c>
      <c r="K460" s="2" t="str">
        <f>IFERROR(__xludf.DUMMYFUNCTION("""COMPUTED_VALUE"""),"Inglés")</f>
        <v>Inglés</v>
      </c>
      <c r="L460" s="2" t="str">
        <f>IFERROR(__xludf.DUMMYFUNCTION("""COMPUTED_VALUE"""),"C1")</f>
        <v>C1</v>
      </c>
      <c r="M460" s="2" t="str">
        <f>IFERROR(__xludf.DUMMYFUNCTION("""COMPUTED_VALUE"""),"Sí")</f>
        <v>Sí</v>
      </c>
      <c r="N460" s="3" t="str">
        <f>IFERROR(__xludf.DUMMYFUNCTION("""COMPUTED_VALUE"""),"https://www.nsb.edu.in/the-exchange-program.php")</f>
        <v>https://www.nsb.edu.in/the-exchange-program.php</v>
      </c>
      <c r="O460" s="3" t="str">
        <f>IFERROR(__xludf.DUMMYFUNCTION("""COMPUTED_VALUE"""),"Más información / Informazio gehigarria")</f>
        <v>Más información / Informazio gehigarria</v>
      </c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30.0" customHeight="1">
      <c r="A461" s="2" t="str">
        <f>IFERROR(__xludf.DUMMYFUNCTION("""COMPUTED_VALUE"""),"Irlanda")</f>
        <v>Irlanda</v>
      </c>
      <c r="B461" s="2" t="str">
        <f>IFERROR(__xludf.DUMMYFUNCTION("""COMPUTED_VALUE"""),"IRLDUBLIN04")</f>
        <v>IRLDUBLIN04</v>
      </c>
      <c r="C461" s="3" t="str">
        <f>IFERROR(__xludf.DUMMYFUNCTION("""COMPUTED_VALUE"""),"Dublin City University")</f>
        <v>Dublin City University</v>
      </c>
      <c r="D461" s="2" t="str">
        <f>IFERROR(__xludf.DUMMYFUNCTION("""COMPUTED_VALUE"""),"Erasmus+")</f>
        <v>Erasmus+</v>
      </c>
      <c r="E461" s="2">
        <f>IFERROR(__xludf.DUMMYFUNCTION("""COMPUTED_VALUE"""),4.0)</f>
        <v>4</v>
      </c>
      <c r="F461" s="2" t="str">
        <f>IFERROR(__xludf.DUMMYFUNCTION("""COMPUTED_VALUE"""),"Semestre")</f>
        <v>Semestre</v>
      </c>
      <c r="G461" s="2" t="str">
        <f>IFERROR(__xludf.DUMMYFUNCTION("""COMPUTED_VALUE"""),"San Sebastián")</f>
        <v>San Sebastián</v>
      </c>
      <c r="H461" s="2" t="str">
        <f>IFERROR(__xludf.DUMMYFUNCTION("""COMPUTED_VALUE"""),"Deusto Business School")</f>
        <v>Deusto Business School</v>
      </c>
      <c r="I461" s="2" t="str">
        <f>IFERROR(__xludf.DUMMYFUNCTION("""COMPUTED_VALUE"""),"Administración y Dirección de Empresas")</f>
        <v>Administración y Dirección de Empresas</v>
      </c>
      <c r="J461" s="2" t="str">
        <f>IFERROR(__xludf.DUMMYFUNCTION("""COMPUTED_VALUE"""),"Grado")</f>
        <v>Grado</v>
      </c>
      <c r="K461" s="2" t="str">
        <f>IFERROR(__xludf.DUMMYFUNCTION("""COMPUTED_VALUE"""),"Inglés")</f>
        <v>Inglés</v>
      </c>
      <c r="L461" s="2" t="str">
        <f>IFERROR(__xludf.DUMMYFUNCTION("""COMPUTED_VALUE"""),"C1")</f>
        <v>C1</v>
      </c>
      <c r="M461" s="2" t="str">
        <f>IFERROR(__xludf.DUMMYFUNCTION("""COMPUTED_VALUE"""),"Sí")</f>
        <v>Sí</v>
      </c>
      <c r="N461" s="3" t="str">
        <f>IFERROR(__xludf.DUMMYFUNCTION("""COMPUTED_VALUE"""),"https://www.dcu.ie/registry/english-language-requirements-non-native-speakers-english-registry")</f>
        <v>https://www.dcu.ie/registry/english-language-requirements-non-native-speakers-english-registry</v>
      </c>
      <c r="O461" s="3" t="str">
        <f>IFERROR(__xludf.DUMMYFUNCTION("""COMPUTED_VALUE"""),"Más información / Informazio gehigarria")</f>
        <v>Más información / Informazio gehigarria</v>
      </c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30.0" customHeight="1">
      <c r="A462" s="2" t="str">
        <f>IFERROR(__xludf.DUMMYFUNCTION("""COMPUTED_VALUE"""),"Irlanda")</f>
        <v>Irlanda</v>
      </c>
      <c r="B462" s="2" t="str">
        <f>IFERROR(__xludf.DUMMYFUNCTION("""COMPUTED_VALUE"""),"IRLDUBLIN04")</f>
        <v>IRLDUBLIN04</v>
      </c>
      <c r="C462" s="3" t="str">
        <f>IFERROR(__xludf.DUMMYFUNCTION("""COMPUTED_VALUE"""),"Dublin City University")</f>
        <v>Dublin City University</v>
      </c>
      <c r="D462" s="2" t="str">
        <f>IFERROR(__xludf.DUMMYFUNCTION("""COMPUTED_VALUE"""),"Erasmus+")</f>
        <v>Erasmus+</v>
      </c>
      <c r="E462" s="2">
        <f>IFERROR(__xludf.DUMMYFUNCTION("""COMPUTED_VALUE"""),4.0)</f>
        <v>4</v>
      </c>
      <c r="F462" s="2" t="str">
        <f>IFERROR(__xludf.DUMMYFUNCTION("""COMPUTED_VALUE"""),"Semestre")</f>
        <v>Semestre</v>
      </c>
      <c r="G462" s="2" t="str">
        <f>IFERROR(__xludf.DUMMYFUNCTION("""COMPUTED_VALUE"""),"Bilbao")</f>
        <v>Bilbao</v>
      </c>
      <c r="H462" s="2" t="str">
        <f>IFERROR(__xludf.DUMMYFUNCTION("""COMPUTED_VALUE"""),"Deusto Business School")</f>
        <v>Deusto Business School</v>
      </c>
      <c r="I462" s="2" t="str">
        <f>IFERROR(__xludf.DUMMYFUNCTION("""COMPUTED_VALUE"""),"Administración y Dirección de Empresas")</f>
        <v>Administración y Dirección de Empresas</v>
      </c>
      <c r="J462" s="2" t="str">
        <f>IFERROR(__xludf.DUMMYFUNCTION("""COMPUTED_VALUE"""),"Grado")</f>
        <v>Grado</v>
      </c>
      <c r="K462" s="2" t="str">
        <f>IFERROR(__xludf.DUMMYFUNCTION("""COMPUTED_VALUE"""),"Inglés")</f>
        <v>Inglés</v>
      </c>
      <c r="L462" s="2" t="str">
        <f>IFERROR(__xludf.DUMMYFUNCTION("""COMPUTED_VALUE"""),"C1")</f>
        <v>C1</v>
      </c>
      <c r="M462" s="2" t="str">
        <f>IFERROR(__xludf.DUMMYFUNCTION("""COMPUTED_VALUE"""),"Sí")</f>
        <v>Sí</v>
      </c>
      <c r="N462" s="3" t="str">
        <f>IFERROR(__xludf.DUMMYFUNCTION("""COMPUTED_VALUE"""),"https://www.dcu.ie/registry/english-language-requirements-non-native-speakers-english-registry")</f>
        <v>https://www.dcu.ie/registry/english-language-requirements-non-native-speakers-english-registry</v>
      </c>
      <c r="O462" s="3" t="str">
        <f>IFERROR(__xludf.DUMMYFUNCTION("""COMPUTED_VALUE"""),"Más información / Informazio gehigarria")</f>
        <v>Más información / Informazio gehigarria</v>
      </c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30.0" customHeight="1">
      <c r="A463" s="2" t="str">
        <f>IFERROR(__xludf.DUMMYFUNCTION("""COMPUTED_VALUE"""),"Irlanda")</f>
        <v>Irlanda</v>
      </c>
      <c r="B463" s="2" t="str">
        <f>IFERROR(__xludf.DUMMYFUNCTION("""COMPUTED_VALUE"""),"IRLLIMERIC01")</f>
        <v>IRLLIMERIC01</v>
      </c>
      <c r="C463" s="3" t="str">
        <f>IFERROR(__xludf.DUMMYFUNCTION("""COMPUTED_VALUE"""),"Kemmy Business School, University of Limerick")</f>
        <v>Kemmy Business School, University of Limerick</v>
      </c>
      <c r="D463" s="2" t="str">
        <f>IFERROR(__xludf.DUMMYFUNCTION("""COMPUTED_VALUE"""),"Erasmus+")</f>
        <v>Erasmus+</v>
      </c>
      <c r="E463" s="2">
        <f>IFERROR(__xludf.DUMMYFUNCTION("""COMPUTED_VALUE"""),2.0)</f>
        <v>2</v>
      </c>
      <c r="F463" s="2" t="str">
        <f>IFERROR(__xludf.DUMMYFUNCTION("""COMPUTED_VALUE"""),"Ambos semestres")</f>
        <v>Ambos semestres</v>
      </c>
      <c r="G463" s="2" t="str">
        <f>IFERROR(__xludf.DUMMYFUNCTION("""COMPUTED_VALUE"""),"Bilbao")</f>
        <v>Bilbao</v>
      </c>
      <c r="H463" s="2" t="str">
        <f>IFERROR(__xludf.DUMMYFUNCTION("""COMPUTED_VALUE"""),"Deusto Business School")</f>
        <v>Deusto Business School</v>
      </c>
      <c r="I463" s="2" t="str">
        <f>IFERROR(__xludf.DUMMYFUNCTION("""COMPUTED_VALUE"""),"Administración y Dirección de Empresas")</f>
        <v>Administración y Dirección de Empresas</v>
      </c>
      <c r="J463" s="2" t="str">
        <f>IFERROR(__xludf.DUMMYFUNCTION("""COMPUTED_VALUE"""),"Grado")</f>
        <v>Grado</v>
      </c>
      <c r="K463" s="2" t="str">
        <f>IFERROR(__xludf.DUMMYFUNCTION("""COMPUTED_VALUE"""),"Inglés")</f>
        <v>Inglés</v>
      </c>
      <c r="L463" s="2" t="str">
        <f>IFERROR(__xludf.DUMMYFUNCTION("""COMPUTED_VALUE"""),"C1")</f>
        <v>C1</v>
      </c>
      <c r="M463" s="2" t="str">
        <f>IFERROR(__xludf.DUMMYFUNCTION("""COMPUTED_VALUE"""),"Sí")</f>
        <v>Sí</v>
      </c>
      <c r="N463" s="3" t="str">
        <f>IFERROR(__xludf.DUMMYFUNCTION("""COMPUTED_VALUE"""),"https://www.ul.ie/global/incoming-students/need-know-information/english-language-requirements")</f>
        <v>https://www.ul.ie/global/incoming-students/need-know-information/english-language-requirements</v>
      </c>
      <c r="O463" s="3" t="str">
        <f>IFERROR(__xludf.DUMMYFUNCTION("""COMPUTED_VALUE"""),"Más información / Informazio gehigarria")</f>
        <v>Más información / Informazio gehigarria</v>
      </c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30.0" customHeight="1">
      <c r="A464" s="2" t="str">
        <f>IFERROR(__xludf.DUMMYFUNCTION("""COMPUTED_VALUE"""),"Irlanda")</f>
        <v>Irlanda</v>
      </c>
      <c r="B464" s="2" t="str">
        <f>IFERROR(__xludf.DUMMYFUNCTION("""COMPUTED_VALUE"""),"IRLDUBLIN13")</f>
        <v>IRLDUBLIN13</v>
      </c>
      <c r="C464" s="3" t="str">
        <f>IFERROR(__xludf.DUMMYFUNCTION("""COMPUTED_VALUE"""),"National College of Ireland")</f>
        <v>National College of Ireland</v>
      </c>
      <c r="D464" s="2" t="str">
        <f>IFERROR(__xludf.DUMMYFUNCTION("""COMPUTED_VALUE"""),"Erasmus+")</f>
        <v>Erasmus+</v>
      </c>
      <c r="E464" s="2">
        <f>IFERROR(__xludf.DUMMYFUNCTION("""COMPUTED_VALUE"""),1.0)</f>
        <v>1</v>
      </c>
      <c r="F464" s="2" t="str">
        <f>IFERROR(__xludf.DUMMYFUNCTION("""COMPUTED_VALUE"""),"Semestre")</f>
        <v>Semestre</v>
      </c>
      <c r="G464" s="2" t="str">
        <f>IFERROR(__xludf.DUMMYFUNCTION("""COMPUTED_VALUE"""),"Ambos")</f>
        <v>Ambos</v>
      </c>
      <c r="H464" s="2" t="str">
        <f>IFERROR(__xludf.DUMMYFUNCTION("""COMPUTED_VALUE"""),"Ingeniería")</f>
        <v>Ingeniería</v>
      </c>
      <c r="I464" s="2" t="str">
        <f>IFERROR(__xludf.DUMMYFUNCTION("""COMPUTED_VALUE"""),"Ingeniería Informática")</f>
        <v>Ingeniería Informática</v>
      </c>
      <c r="J464" s="2" t="str">
        <f>IFERROR(__xludf.DUMMYFUNCTION("""COMPUTED_VALUE"""),"Grado")</f>
        <v>Grado</v>
      </c>
      <c r="K464" s="2" t="str">
        <f>IFERROR(__xludf.DUMMYFUNCTION("""COMPUTED_VALUE"""),"Inglés")</f>
        <v>Inglés</v>
      </c>
      <c r="L464" s="2" t="str">
        <f>IFERROR(__xludf.DUMMYFUNCTION("""COMPUTED_VALUE"""),"B2")</f>
        <v>B2</v>
      </c>
      <c r="M464" s="2" t="str">
        <f>IFERROR(__xludf.DUMMYFUNCTION("""COMPUTED_VALUE"""),"Sí")</f>
        <v>Sí</v>
      </c>
      <c r="N464" s="3" t="str">
        <f>IFERROR(__xludf.DUMMYFUNCTION("""COMPUTED_VALUE"""),"https://www.ncirl.ie/English-Language-Requirements-International")</f>
        <v>https://www.ncirl.ie/English-Language-Requirements-International</v>
      </c>
      <c r="O464" s="3" t="str">
        <f>IFERROR(__xludf.DUMMYFUNCTION("""COMPUTED_VALUE"""),"Más información / Informazio gehigarria")</f>
        <v>Más información / Informazio gehigarria</v>
      </c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30.0" customHeight="1">
      <c r="A465" s="2" t="str">
        <f>IFERROR(__xludf.DUMMYFUNCTION("""COMPUTED_VALUE"""),"Irlanda")</f>
        <v>Irlanda</v>
      </c>
      <c r="B465" s="2" t="str">
        <f>IFERROR(__xludf.DUMMYFUNCTION("""COMPUTED_VALUE"""),"IRLDUBLIN13")</f>
        <v>IRLDUBLIN13</v>
      </c>
      <c r="C465" s="3" t="str">
        <f>IFERROR(__xludf.DUMMYFUNCTION("""COMPUTED_VALUE"""),"National College of Ireland")</f>
        <v>National College of Ireland</v>
      </c>
      <c r="D465" s="2" t="str">
        <f>IFERROR(__xludf.DUMMYFUNCTION("""COMPUTED_VALUE"""),"Erasmus+")</f>
        <v>Erasmus+</v>
      </c>
      <c r="E465" s="2">
        <f>IFERROR(__xludf.DUMMYFUNCTION("""COMPUTED_VALUE"""),1.0)</f>
        <v>1</v>
      </c>
      <c r="F465" s="2" t="str">
        <f>IFERROR(__xludf.DUMMYFUNCTION("""COMPUTED_VALUE"""),"Semestre")</f>
        <v>Semestre</v>
      </c>
      <c r="G465" s="2" t="str">
        <f>IFERROR(__xludf.DUMMYFUNCTION("""COMPUTED_VALUE"""),"Bilbao")</f>
        <v>Bilbao</v>
      </c>
      <c r="H465" s="2" t="str">
        <f>IFERROR(__xludf.DUMMYFUNCTION("""COMPUTED_VALUE"""),"Ingeniería")</f>
        <v>Ingeniería</v>
      </c>
      <c r="I465" s="2" t="str">
        <f>IFERROR(__xludf.DUMMYFUNCTION("""COMPUTED_VALUE"""),"Inteligencia Artificial")</f>
        <v>Inteligencia Artificial</v>
      </c>
      <c r="J465" s="2" t="str">
        <f>IFERROR(__xludf.DUMMYFUNCTION("""COMPUTED_VALUE"""),"Grado")</f>
        <v>Grado</v>
      </c>
      <c r="K465" s="2" t="str">
        <f>IFERROR(__xludf.DUMMYFUNCTION("""COMPUTED_VALUE"""),"Inglés")</f>
        <v>Inglés</v>
      </c>
      <c r="L465" s="2" t="str">
        <f>IFERROR(__xludf.DUMMYFUNCTION("""COMPUTED_VALUE"""),"B2")</f>
        <v>B2</v>
      </c>
      <c r="M465" s="2" t="str">
        <f>IFERROR(__xludf.DUMMYFUNCTION("""COMPUTED_VALUE"""),"Sí")</f>
        <v>Sí</v>
      </c>
      <c r="N465" s="3" t="str">
        <f>IFERROR(__xludf.DUMMYFUNCTION("""COMPUTED_VALUE"""),"https://www.ncirl.ie/English-Language-Requirements-International")</f>
        <v>https://www.ncirl.ie/English-Language-Requirements-International</v>
      </c>
      <c r="O465" s="3" t="str">
        <f>IFERROR(__xludf.DUMMYFUNCTION("""COMPUTED_VALUE"""),"Más información / Informazio gehigarria")</f>
        <v>Más información / Informazio gehigarria</v>
      </c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30.0" customHeight="1">
      <c r="A466" s="2" t="str">
        <f>IFERROR(__xludf.DUMMYFUNCTION("""COMPUTED_VALUE"""),"Irlanda")</f>
        <v>Irlanda</v>
      </c>
      <c r="B466" s="2" t="str">
        <f>IFERROR(__xludf.DUMMYFUNCTION("""COMPUTED_VALUE"""),"IRLMAYNOOT01")</f>
        <v>IRLMAYNOOT01</v>
      </c>
      <c r="C466" s="3" t="str">
        <f>IFERROR(__xludf.DUMMYFUNCTION("""COMPUTED_VALUE"""),"National University of Ireland Maynooth")</f>
        <v>National University of Ireland Maynooth</v>
      </c>
      <c r="D466" s="2" t="str">
        <f>IFERROR(__xludf.DUMMYFUNCTION("""COMPUTED_VALUE"""),"Erasmus+")</f>
        <v>Erasmus+</v>
      </c>
      <c r="E466" s="2">
        <f>IFERROR(__xludf.DUMMYFUNCTION("""COMPUTED_VALUE"""),5.0)</f>
        <v>5</v>
      </c>
      <c r="F466" s="2" t="str">
        <f>IFERROR(__xludf.DUMMYFUNCTION("""COMPUTED_VALUE"""),"Anual")</f>
        <v>Anual</v>
      </c>
      <c r="G466" s="2" t="str">
        <f>IFERROR(__xludf.DUMMYFUNCTION("""COMPUTED_VALUE"""),"Bilbao")</f>
        <v>Bilbao</v>
      </c>
      <c r="H466" s="2" t="str">
        <f>IFERROR(__xludf.DUMMYFUNCTION("""COMPUTED_VALUE"""),"Ciencias Sociales y Humanas")</f>
        <v>Ciencias Sociales y Humanas</v>
      </c>
      <c r="I466" s="2" t="str">
        <f>IFERROR(__xludf.DUMMYFUNCTION("""COMPUTED_VALUE"""),"Lenguas Modernas, Lengua y Cultura Vasca + Lenguas Modernas, Lenguas Modernas y Gestión, Euskal Hizkuntza eta Kultura")</f>
        <v>Lenguas Modernas, Lengua y Cultura Vasca + Lenguas Modernas, Lenguas Modernas y Gestión, Euskal Hizkuntza eta Kultura</v>
      </c>
      <c r="J466" s="2" t="str">
        <f>IFERROR(__xludf.DUMMYFUNCTION("""COMPUTED_VALUE"""),"Grado")</f>
        <v>Grado</v>
      </c>
      <c r="K466" s="2" t="str">
        <f>IFERROR(__xludf.DUMMYFUNCTION("""COMPUTED_VALUE"""),"Inglés")</f>
        <v>Inglés</v>
      </c>
      <c r="L466" s="2" t="str">
        <f>IFERROR(__xludf.DUMMYFUNCTION("""COMPUTED_VALUE"""),"B2")</f>
        <v>B2</v>
      </c>
      <c r="M466" s="2" t="str">
        <f>IFERROR(__xludf.DUMMYFUNCTION("""COMPUTED_VALUE"""),"No")</f>
        <v>No</v>
      </c>
      <c r="N466" s="3" t="str">
        <f>IFERROR(__xludf.DUMMYFUNCTION("""COMPUTED_VALUE"""),"https://www.maynoothuniversity.ie/sites/default/files/assets/document/MU%20Factsheet%2024-25%20Updated.pdf")</f>
        <v>https://www.maynoothuniversity.ie/sites/default/files/assets/document/MU%20Factsheet%2024-25%20Updated.pdf</v>
      </c>
      <c r="O466" s="3" t="str">
        <f>IFERROR(__xludf.DUMMYFUNCTION("""COMPUTED_VALUE"""),"Más información / Informazio gehigarria")</f>
        <v>Más información / Informazio gehigarria</v>
      </c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30.0" customHeight="1">
      <c r="A467" s="2" t="str">
        <f>IFERROR(__xludf.DUMMYFUNCTION("""COMPUTED_VALUE"""),"Irlanda")</f>
        <v>Irlanda</v>
      </c>
      <c r="B467" s="2" t="str">
        <f>IFERROR(__xludf.DUMMYFUNCTION("""COMPUTED_VALUE"""),"IRLGALWAY01")</f>
        <v>IRLGALWAY01</v>
      </c>
      <c r="C467" s="3" t="str">
        <f>IFERROR(__xludf.DUMMYFUNCTION("""COMPUTED_VALUE"""),"National University of Ireland, Galway")</f>
        <v>National University of Ireland, Galway</v>
      </c>
      <c r="D467" s="2" t="str">
        <f>IFERROR(__xludf.DUMMYFUNCTION("""COMPUTED_VALUE"""),"Erasmus+")</f>
        <v>Erasmus+</v>
      </c>
      <c r="E467" s="2">
        <f>IFERROR(__xludf.DUMMYFUNCTION("""COMPUTED_VALUE"""),3.0)</f>
        <v>3</v>
      </c>
      <c r="F467" s="2" t="str">
        <f>IFERROR(__xludf.DUMMYFUNCTION("""COMPUTED_VALUE"""),"Anual")</f>
        <v>Anual</v>
      </c>
      <c r="G467" s="2" t="str">
        <f>IFERROR(__xludf.DUMMYFUNCTION("""COMPUTED_VALUE"""),"Bilbao")</f>
        <v>Bilbao</v>
      </c>
      <c r="H467" s="2" t="str">
        <f>IFERROR(__xludf.DUMMYFUNCTION("""COMPUTED_VALUE"""),"Ciencias Sociales y Humanas")</f>
        <v>Ciencias Sociales y Humanas</v>
      </c>
      <c r="I467" s="2" t="str">
        <f>IFERROR(__xludf.DUMMYFUNCTION("""COMPUTED_VALUE"""),"Lenguas Modernas")</f>
        <v>Lenguas Modernas</v>
      </c>
      <c r="J467" s="2" t="str">
        <f>IFERROR(__xludf.DUMMYFUNCTION("""COMPUTED_VALUE"""),"Grado")</f>
        <v>Grado</v>
      </c>
      <c r="K467" s="2" t="str">
        <f>IFERROR(__xludf.DUMMYFUNCTION("""COMPUTED_VALUE"""),"Inglés")</f>
        <v>Inglés</v>
      </c>
      <c r="L467" s="2" t="str">
        <f>IFERROR(__xludf.DUMMYFUNCTION("""COMPUTED_VALUE"""),"B2")</f>
        <v>B2</v>
      </c>
      <c r="M467" s="2" t="str">
        <f>IFERROR(__xludf.DUMMYFUNCTION("""COMPUTED_VALUE"""),"Sí")</f>
        <v>Sí</v>
      </c>
      <c r="N467" s="3" t="str">
        <f>IFERROR(__xludf.DUMMYFUNCTION("""COMPUTED_VALUE"""),"https://www.universityofgalway.ie/international-students/inboundstudyabroad/howtoapply/")</f>
        <v>https://www.universityofgalway.ie/international-students/inboundstudyabroad/howtoapply/</v>
      </c>
      <c r="O467" s="3" t="str">
        <f>IFERROR(__xludf.DUMMYFUNCTION("""COMPUTED_VALUE"""),"Más información / Informazio gehigarria")</f>
        <v>Más información / Informazio gehigarria</v>
      </c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30.0" customHeight="1">
      <c r="A468" s="2" t="str">
        <f>IFERROR(__xludf.DUMMYFUNCTION("""COMPUTED_VALUE"""),"Irlanda")</f>
        <v>Irlanda</v>
      </c>
      <c r="B468" s="2" t="str">
        <f>IFERROR(__xludf.DUMMYFUNCTION("""COMPUTED_VALUE"""),"IRLGALWAY01")</f>
        <v>IRLGALWAY01</v>
      </c>
      <c r="C468" s="3" t="str">
        <f>IFERROR(__xludf.DUMMYFUNCTION("""COMPUTED_VALUE"""),"National University of Ireland, Galway")</f>
        <v>National University of Ireland, Galway</v>
      </c>
      <c r="D468" s="2" t="str">
        <f>IFERROR(__xludf.DUMMYFUNCTION("""COMPUTED_VALUE"""),"Erasmus+")</f>
        <v>Erasmus+</v>
      </c>
      <c r="E468" s="2">
        <f>IFERROR(__xludf.DUMMYFUNCTION("""COMPUTED_VALUE"""),2.0)</f>
        <v>2</v>
      </c>
      <c r="F468" s="2" t="str">
        <f>IFERROR(__xludf.DUMMYFUNCTION("""COMPUTED_VALUE"""),"Semestre")</f>
        <v>Semestre</v>
      </c>
      <c r="G468" s="2" t="str">
        <f>IFERROR(__xludf.DUMMYFUNCTION("""COMPUTED_VALUE"""),"Bilbao")</f>
        <v>Bilbao</v>
      </c>
      <c r="H468" s="2" t="str">
        <f>IFERROR(__xludf.DUMMYFUNCTION("""COMPUTED_VALUE"""),"Ciencias Sociales y Humanas")</f>
        <v>Ciencias Sociales y Humanas</v>
      </c>
      <c r="I468" s="2" t="str">
        <f>IFERROR(__xludf.DUMMYFUNCTION("""COMPUTED_VALUE"""),"Lenguas Modernas y Gestión, Lengua y Cultura Vasca + Lenguas Modernas, Euskal Hizkuntza eta Kultura")</f>
        <v>Lenguas Modernas y Gestión, Lengua y Cultura Vasca + Lenguas Modernas, Euskal Hizkuntza eta Kultura</v>
      </c>
      <c r="J468" s="2" t="str">
        <f>IFERROR(__xludf.DUMMYFUNCTION("""COMPUTED_VALUE"""),"Grado")</f>
        <v>Grado</v>
      </c>
      <c r="K468" s="2" t="str">
        <f>IFERROR(__xludf.DUMMYFUNCTION("""COMPUTED_VALUE"""),"Inglés")</f>
        <v>Inglés</v>
      </c>
      <c r="L468" s="2" t="str">
        <f>IFERROR(__xludf.DUMMYFUNCTION("""COMPUTED_VALUE"""),"B2")</f>
        <v>B2</v>
      </c>
      <c r="M468" s="2" t="str">
        <f>IFERROR(__xludf.DUMMYFUNCTION("""COMPUTED_VALUE"""),"Sí")</f>
        <v>Sí</v>
      </c>
      <c r="N468" s="3" t="str">
        <f>IFERROR(__xludf.DUMMYFUNCTION("""COMPUTED_VALUE"""),"https://www.universityofgalway.ie/international-students/inboundstudyabroad/howtoapply/")</f>
        <v>https://www.universityofgalway.ie/international-students/inboundstudyabroad/howtoapply/</v>
      </c>
      <c r="O468" s="3" t="str">
        <f>IFERROR(__xludf.DUMMYFUNCTION("""COMPUTED_VALUE"""),"Más información / Informazio gehigarria")</f>
        <v>Más información / Informazio gehigarria</v>
      </c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30.0" customHeight="1">
      <c r="A469" s="2" t="str">
        <f>IFERROR(__xludf.DUMMYFUNCTION("""COMPUTED_VALUE"""),"Irlanda")</f>
        <v>Irlanda</v>
      </c>
      <c r="B469" s="2" t="str">
        <f>IFERROR(__xludf.DUMMYFUNCTION("""COMPUTED_VALUE"""),"IRL CORK01")</f>
        <v>IRL CORK01</v>
      </c>
      <c r="C469" s="3" t="str">
        <f>IFERROR(__xludf.DUMMYFUNCTION("""COMPUTED_VALUE"""),"University College Cork")</f>
        <v>University College Cork</v>
      </c>
      <c r="D469" s="2" t="str">
        <f>IFERROR(__xludf.DUMMYFUNCTION("""COMPUTED_VALUE"""),"Erasmus+")</f>
        <v>Erasmus+</v>
      </c>
      <c r="E469" s="2">
        <f>IFERROR(__xludf.DUMMYFUNCTION("""COMPUTED_VALUE"""),10.0)</f>
        <v>10</v>
      </c>
      <c r="F469" s="2" t="str">
        <f>IFERROR(__xludf.DUMMYFUNCTION("""COMPUTED_VALUE"""),"Ambos semestres")</f>
        <v>Ambos semestres</v>
      </c>
      <c r="G469" s="2" t="str">
        <f>IFERROR(__xludf.DUMMYFUNCTION("""COMPUTED_VALUE"""),"San Sebastián")</f>
        <v>San Sebastián</v>
      </c>
      <c r="H469" s="2" t="str">
        <f>IFERROR(__xludf.DUMMYFUNCTION("""COMPUTED_VALUE"""),"Deusto Business School")</f>
        <v>Deusto Business School</v>
      </c>
      <c r="I469" s="2" t="str">
        <f>IFERROR(__xludf.DUMMYFUNCTION("""COMPUTED_VALUE"""),"Administración y Dirección de Empresas")</f>
        <v>Administración y Dirección de Empresas</v>
      </c>
      <c r="J469" s="2" t="str">
        <f>IFERROR(__xludf.DUMMYFUNCTION("""COMPUTED_VALUE"""),"Grado")</f>
        <v>Grado</v>
      </c>
      <c r="K469" s="2" t="str">
        <f>IFERROR(__xludf.DUMMYFUNCTION("""COMPUTED_VALUE"""),"Inglés")</f>
        <v>Inglés</v>
      </c>
      <c r="L469" s="2" t="str">
        <f>IFERROR(__xludf.DUMMYFUNCTION("""COMPUTED_VALUE"""),"B2")</f>
        <v>B2</v>
      </c>
      <c r="M469" s="2" t="str">
        <f>IFERROR(__xludf.DUMMYFUNCTION("""COMPUTED_VALUE"""),"No")</f>
        <v>No</v>
      </c>
      <c r="N469" s="3" t="str">
        <f>IFERROR(__xludf.DUMMYFUNCTION("""COMPUTED_VALUE"""),"https://www.ucc.ie/en/international/studyatucc/incomingerasmusstudents/#english-language-proficiency")</f>
        <v>https://www.ucc.ie/en/international/studyatucc/incomingerasmusstudents/#english-language-proficiency</v>
      </c>
      <c r="O469" s="3" t="str">
        <f>IFERROR(__xludf.DUMMYFUNCTION("""COMPUTED_VALUE"""),"Más información / Informazio gehigarria")</f>
        <v>Más información / Informazio gehigarria</v>
      </c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30.0" customHeight="1">
      <c r="A470" s="2" t="str">
        <f>IFERROR(__xludf.DUMMYFUNCTION("""COMPUTED_VALUE"""),"Irlanda")</f>
        <v>Irlanda</v>
      </c>
      <c r="B470" s="2" t="str">
        <f>IFERROR(__xludf.DUMMYFUNCTION("""COMPUTED_VALUE"""),"IRL CORK01")</f>
        <v>IRL CORK01</v>
      </c>
      <c r="C470" s="3" t="str">
        <f>IFERROR(__xludf.DUMMYFUNCTION("""COMPUTED_VALUE"""),"University College Cork")</f>
        <v>University College Cork</v>
      </c>
      <c r="D470" s="2" t="str">
        <f>IFERROR(__xludf.DUMMYFUNCTION("""COMPUTED_VALUE"""),"Erasmus+")</f>
        <v>Erasmus+</v>
      </c>
      <c r="E470" s="2">
        <f>IFERROR(__xludf.DUMMYFUNCTION("""COMPUTED_VALUE"""),3.0)</f>
        <v>3</v>
      </c>
      <c r="F470" s="2" t="str">
        <f>IFERROR(__xludf.DUMMYFUNCTION("""COMPUTED_VALUE"""),"Ambos semestres")</f>
        <v>Ambos semestres</v>
      </c>
      <c r="G470" s="2" t="str">
        <f>IFERROR(__xludf.DUMMYFUNCTION("""COMPUTED_VALUE"""),"Bilbao")</f>
        <v>Bilbao</v>
      </c>
      <c r="H470" s="2" t="str">
        <f>IFERROR(__xludf.DUMMYFUNCTION("""COMPUTED_VALUE"""),"Deusto Business School")</f>
        <v>Deusto Business School</v>
      </c>
      <c r="I470" s="2" t="str">
        <f>IFERROR(__xludf.DUMMYFUNCTION("""COMPUTED_VALUE"""),"Administración y Dirección de Empresas")</f>
        <v>Administración y Dirección de Empresas</v>
      </c>
      <c r="J470" s="2" t="str">
        <f>IFERROR(__xludf.DUMMYFUNCTION("""COMPUTED_VALUE"""),"Grado")</f>
        <v>Grado</v>
      </c>
      <c r="K470" s="2" t="str">
        <f>IFERROR(__xludf.DUMMYFUNCTION("""COMPUTED_VALUE"""),"Inglés")</f>
        <v>Inglés</v>
      </c>
      <c r="L470" s="2" t="str">
        <f>IFERROR(__xludf.DUMMYFUNCTION("""COMPUTED_VALUE"""),"B2")</f>
        <v>B2</v>
      </c>
      <c r="M470" s="2" t="str">
        <f>IFERROR(__xludf.DUMMYFUNCTION("""COMPUTED_VALUE"""),"No")</f>
        <v>No</v>
      </c>
      <c r="N470" s="3" t="str">
        <f>IFERROR(__xludf.DUMMYFUNCTION("""COMPUTED_VALUE"""),"https://www.ucc.ie/en/international/studyatucc/incomingerasmusstudents/#english-language-proficiency")</f>
        <v>https://www.ucc.ie/en/international/studyatucc/incomingerasmusstudents/#english-language-proficiency</v>
      </c>
      <c r="O470" s="3" t="str">
        <f>IFERROR(__xludf.DUMMYFUNCTION("""COMPUTED_VALUE"""),"Más información / Informazio gehigarria")</f>
        <v>Más información / Informazio gehigarria</v>
      </c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30.0" customHeight="1">
      <c r="A471" s="2" t="str">
        <f>IFERROR(__xludf.DUMMYFUNCTION("""COMPUTED_VALUE"""),"Irlanda")</f>
        <v>Irlanda</v>
      </c>
      <c r="B471" s="2" t="str">
        <f>IFERROR(__xludf.DUMMYFUNCTION("""COMPUTED_VALUE"""),"IRL CORK01")</f>
        <v>IRL CORK01</v>
      </c>
      <c r="C471" s="3" t="str">
        <f>IFERROR(__xludf.DUMMYFUNCTION("""COMPUTED_VALUE"""),"University College Cork")</f>
        <v>University College Cork</v>
      </c>
      <c r="D471" s="2" t="str">
        <f>IFERROR(__xludf.DUMMYFUNCTION("""COMPUTED_VALUE"""),"Erasmus+")</f>
        <v>Erasmus+</v>
      </c>
      <c r="E471" s="2">
        <f>IFERROR(__xludf.DUMMYFUNCTION("""COMPUTED_VALUE"""),1.0)</f>
        <v>1</v>
      </c>
      <c r="F471" s="2" t="str">
        <f>IFERROR(__xludf.DUMMYFUNCTION("""COMPUTED_VALUE"""),"Semestre")</f>
        <v>Semestre</v>
      </c>
      <c r="G471" s="2" t="str">
        <f>IFERROR(__xludf.DUMMYFUNCTION("""COMPUTED_VALUE"""),"Bilbao")</f>
        <v>Bilbao</v>
      </c>
      <c r="H471" s="2" t="str">
        <f>IFERROR(__xludf.DUMMYFUNCTION("""COMPUTED_VALUE"""),"Ciencias Sociales y Humanas")</f>
        <v>Ciencias Sociales y Humanas</v>
      </c>
      <c r="I471" s="2" t="str">
        <f>IFERROR(__xludf.DUMMYFUNCTION("""COMPUTED_VALUE"""),"Filosofía, Política y Economía")</f>
        <v>Filosofía, Política y Economía</v>
      </c>
      <c r="J471" s="2" t="str">
        <f>IFERROR(__xludf.DUMMYFUNCTION("""COMPUTED_VALUE"""),"Grado")</f>
        <v>Grado</v>
      </c>
      <c r="K471" s="2" t="str">
        <f>IFERROR(__xludf.DUMMYFUNCTION("""COMPUTED_VALUE"""),"Inglés")</f>
        <v>Inglés</v>
      </c>
      <c r="L471" s="2" t="str">
        <f>IFERROR(__xludf.DUMMYFUNCTION("""COMPUTED_VALUE"""),"B2")</f>
        <v>B2</v>
      </c>
      <c r="M471" s="2" t="str">
        <f>IFERROR(__xludf.DUMMYFUNCTION("""COMPUTED_VALUE"""),"No")</f>
        <v>No</v>
      </c>
      <c r="N471" s="3" t="str">
        <f>IFERROR(__xludf.DUMMYFUNCTION("""COMPUTED_VALUE"""),"https://www.ucc.ie/en/international/studyatucc/incomingerasmusstudents/#english-language-proficiency")</f>
        <v>https://www.ucc.ie/en/international/studyatucc/incomingerasmusstudents/#english-language-proficiency</v>
      </c>
      <c r="O471" s="3" t="str">
        <f>IFERROR(__xludf.DUMMYFUNCTION("""COMPUTED_VALUE"""),"Más información / Informazio gehigarria")</f>
        <v>Más información / Informazio gehigarria</v>
      </c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30.0" customHeight="1">
      <c r="A472" s="2" t="str">
        <f>IFERROR(__xludf.DUMMYFUNCTION("""COMPUTED_VALUE"""),"Irlanda")</f>
        <v>Irlanda</v>
      </c>
      <c r="B472" s="2" t="str">
        <f>IFERROR(__xludf.DUMMYFUNCTION("""COMPUTED_VALUE"""),"IRL CORK01")</f>
        <v>IRL CORK01</v>
      </c>
      <c r="C472" s="3" t="str">
        <f>IFERROR(__xludf.DUMMYFUNCTION("""COMPUTED_VALUE"""),"University College Cork")</f>
        <v>University College Cork</v>
      </c>
      <c r="D472" s="2" t="str">
        <f>IFERROR(__xludf.DUMMYFUNCTION("""COMPUTED_VALUE"""),"Erasmus+")</f>
        <v>Erasmus+</v>
      </c>
      <c r="E472" s="2">
        <f>IFERROR(__xludf.DUMMYFUNCTION("""COMPUTED_VALUE"""),6.0)</f>
        <v>6</v>
      </c>
      <c r="F472" s="2" t="str">
        <f>IFERROR(__xludf.DUMMYFUNCTION("""COMPUTED_VALUE"""),"Anual")</f>
        <v>Anual</v>
      </c>
      <c r="G472" s="2" t="str">
        <f>IFERROR(__xludf.DUMMYFUNCTION("""COMPUTED_VALUE"""),"Bilbao")</f>
        <v>Bilbao</v>
      </c>
      <c r="H472" s="2" t="str">
        <f>IFERROR(__xludf.DUMMYFUNCTION("""COMPUTED_VALUE"""),"Ciencias Sociales y Humanas")</f>
        <v>Ciencias Sociales y Humanas</v>
      </c>
      <c r="I472" s="2" t="str">
        <f>IFERROR(__xludf.DUMMYFUNCTION("""COMPUTED_VALUE"""),"Lenguas Modernas")</f>
        <v>Lenguas Modernas</v>
      </c>
      <c r="J472" s="2" t="str">
        <f>IFERROR(__xludf.DUMMYFUNCTION("""COMPUTED_VALUE"""),"Grado")</f>
        <v>Grado</v>
      </c>
      <c r="K472" s="2" t="str">
        <f>IFERROR(__xludf.DUMMYFUNCTION("""COMPUTED_VALUE"""),"Inglés")</f>
        <v>Inglés</v>
      </c>
      <c r="L472" s="2" t="str">
        <f>IFERROR(__xludf.DUMMYFUNCTION("""COMPUTED_VALUE"""),"B2")</f>
        <v>B2</v>
      </c>
      <c r="M472" s="2" t="str">
        <f>IFERROR(__xludf.DUMMYFUNCTION("""COMPUTED_VALUE"""),"No")</f>
        <v>No</v>
      </c>
      <c r="N472" s="3" t="str">
        <f>IFERROR(__xludf.DUMMYFUNCTION("""COMPUTED_VALUE"""),"https://www.ucc.ie/en/international/studyatucc/incomingerasmusstudents/#english-language-proficiency")</f>
        <v>https://www.ucc.ie/en/international/studyatucc/incomingerasmusstudents/#english-language-proficiency</v>
      </c>
      <c r="O472" s="3" t="str">
        <f>IFERROR(__xludf.DUMMYFUNCTION("""COMPUTED_VALUE"""),"Más información / Informazio gehigarria")</f>
        <v>Más información / Informazio gehigarria</v>
      </c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30.0" customHeight="1">
      <c r="A473" s="2" t="str">
        <f>IFERROR(__xludf.DUMMYFUNCTION("""COMPUTED_VALUE"""),"Irlanda")</f>
        <v>Irlanda</v>
      </c>
      <c r="B473" s="2" t="str">
        <f>IFERROR(__xludf.DUMMYFUNCTION("""COMPUTED_VALUE"""),"IRL CORK01")</f>
        <v>IRL CORK01</v>
      </c>
      <c r="C473" s="3" t="str">
        <f>IFERROR(__xludf.DUMMYFUNCTION("""COMPUTED_VALUE"""),"University College Cork")</f>
        <v>University College Cork</v>
      </c>
      <c r="D473" s="2" t="str">
        <f>IFERROR(__xludf.DUMMYFUNCTION("""COMPUTED_VALUE"""),"Erasmus+")</f>
        <v>Erasmus+</v>
      </c>
      <c r="E473" s="2">
        <f>IFERROR(__xludf.DUMMYFUNCTION("""COMPUTED_VALUE"""),2.0)</f>
        <v>2</v>
      </c>
      <c r="F473" s="2" t="str">
        <f>IFERROR(__xludf.DUMMYFUNCTION("""COMPUTED_VALUE"""),"Semestre")</f>
        <v>Semestre</v>
      </c>
      <c r="G473" s="2" t="str">
        <f>IFERROR(__xludf.DUMMYFUNCTION("""COMPUTED_VALUE"""),"Bilbao")</f>
        <v>Bilbao</v>
      </c>
      <c r="H473" s="2" t="str">
        <f>IFERROR(__xludf.DUMMYFUNCTION("""COMPUTED_VALUE"""),"Ciencias Sociales y Humanas")</f>
        <v>Ciencias Sociales y Humanas</v>
      </c>
      <c r="I473" s="2" t="str">
        <f>IFERROR(__xludf.DUMMYFUNCTION("""COMPUTED_VALUE"""),"Lenguas Modernas y Gestión, Lengua y Cultura Vasca + Lenguas Modernas, Euskal Hizkuntza eta Kultura")</f>
        <v>Lenguas Modernas y Gestión, Lengua y Cultura Vasca + Lenguas Modernas, Euskal Hizkuntza eta Kultura</v>
      </c>
      <c r="J473" s="2" t="str">
        <f>IFERROR(__xludf.DUMMYFUNCTION("""COMPUTED_VALUE"""),"Grado")</f>
        <v>Grado</v>
      </c>
      <c r="K473" s="2" t="str">
        <f>IFERROR(__xludf.DUMMYFUNCTION("""COMPUTED_VALUE"""),"Inglés")</f>
        <v>Inglés</v>
      </c>
      <c r="L473" s="2" t="str">
        <f>IFERROR(__xludf.DUMMYFUNCTION("""COMPUTED_VALUE"""),"B2")</f>
        <v>B2</v>
      </c>
      <c r="M473" s="2" t="str">
        <f>IFERROR(__xludf.DUMMYFUNCTION("""COMPUTED_VALUE"""),"No")</f>
        <v>No</v>
      </c>
      <c r="N473" s="3" t="str">
        <f>IFERROR(__xludf.DUMMYFUNCTION("""COMPUTED_VALUE"""),"https://www.ucc.ie/en/international/studyatucc/incomingerasmusstudents/#english-language-proficiency")</f>
        <v>https://www.ucc.ie/en/international/studyatucc/incomingerasmusstudents/#english-language-proficiency</v>
      </c>
      <c r="O473" s="3" t="str">
        <f>IFERROR(__xludf.DUMMYFUNCTION("""COMPUTED_VALUE"""),"Más información / Informazio gehigarria")</f>
        <v>Más información / Informazio gehigarria</v>
      </c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30.0" customHeight="1">
      <c r="A474" s="2" t="str">
        <f>IFERROR(__xludf.DUMMYFUNCTION("""COMPUTED_VALUE"""),"Irlanda")</f>
        <v>Irlanda</v>
      </c>
      <c r="B474" s="2" t="str">
        <f>IFERROR(__xludf.DUMMYFUNCTION("""COMPUTED_VALUE"""),"IRLDUBLIN02")</f>
        <v>IRLDUBLIN02</v>
      </c>
      <c r="C474" s="3" t="str">
        <f>IFERROR(__xludf.DUMMYFUNCTION("""COMPUTED_VALUE"""),"University College Dublin")</f>
        <v>University College Dublin</v>
      </c>
      <c r="D474" s="2" t="str">
        <f>IFERROR(__xludf.DUMMYFUNCTION("""COMPUTED_VALUE"""),"Erasmus+")</f>
        <v>Erasmus+</v>
      </c>
      <c r="E474" s="2">
        <f>IFERROR(__xludf.DUMMYFUNCTION("""COMPUTED_VALUE"""),6.0)</f>
        <v>6</v>
      </c>
      <c r="F474" s="2" t="str">
        <f>IFERROR(__xludf.DUMMYFUNCTION("""COMPUTED_VALUE"""),"Semestre")</f>
        <v>Semestre</v>
      </c>
      <c r="G474" s="2" t="str">
        <f>IFERROR(__xludf.DUMMYFUNCTION("""COMPUTED_VALUE"""),"Bilbao")</f>
        <v>Bilbao</v>
      </c>
      <c r="H474" s="2" t="str">
        <f>IFERROR(__xludf.DUMMYFUNCTION("""COMPUTED_VALUE"""),"Ciencias Sociales y Humanas")</f>
        <v>Ciencias Sociales y Humanas</v>
      </c>
      <c r="I474" s="2" t="str">
        <f>IFERROR(__xludf.DUMMYFUNCTION("""COMPUTED_VALUE"""),"Lenguas Modernas, Lengua y Cultura Vasca + Lenguas Modernas, Lenguas Modernas y Gestión, Euskal Hizkuntza eta Kultura")</f>
        <v>Lenguas Modernas, Lengua y Cultura Vasca + Lenguas Modernas, Lenguas Modernas y Gestión, Euskal Hizkuntza eta Kultura</v>
      </c>
      <c r="J474" s="2" t="str">
        <f>IFERROR(__xludf.DUMMYFUNCTION("""COMPUTED_VALUE"""),"Grado")</f>
        <v>Grado</v>
      </c>
      <c r="K474" s="2" t="str">
        <f>IFERROR(__xludf.DUMMYFUNCTION("""COMPUTED_VALUE"""),"Inglés")</f>
        <v>Inglés</v>
      </c>
      <c r="L474" s="2" t="str">
        <f>IFERROR(__xludf.DUMMYFUNCTION("""COMPUTED_VALUE"""),"C1")</f>
        <v>C1</v>
      </c>
      <c r="M474" s="2" t="str">
        <f>IFERROR(__xludf.DUMMYFUNCTION("""COMPUTED_VALUE"""),"Sí")</f>
        <v>Sí</v>
      </c>
      <c r="N474" s="3" t="str">
        <f>IFERROR(__xludf.DUMMYFUNCTION("""COMPUTED_VALUE"""),"https://www.ucd.ie/registry/prospectivestudents/admissions/policiesandgeneralregulations/generalrequirements/minimumenglishlanguagerequirements/")</f>
        <v>https://www.ucd.ie/registry/prospectivestudents/admissions/policiesandgeneralregulations/generalrequirements/minimumenglishlanguagerequirements/</v>
      </c>
      <c r="O474" s="3" t="str">
        <f>IFERROR(__xludf.DUMMYFUNCTION("""COMPUTED_VALUE"""),"Más información / Informazio gehigarria")</f>
        <v>Más información / Informazio gehigarria</v>
      </c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30.0" customHeight="1">
      <c r="A475" s="2" t="str">
        <f>IFERROR(__xludf.DUMMYFUNCTION("""COMPUTED_VALUE"""),"Irlanda")</f>
        <v>Irlanda</v>
      </c>
      <c r="B475" s="2" t="str">
        <f>IFERROR(__xludf.DUMMYFUNCTION("""COMPUTED_VALUE"""),"IRLDUBLIN02")</f>
        <v>IRLDUBLIN02</v>
      </c>
      <c r="C475" s="3" t="str">
        <f>IFERROR(__xludf.DUMMYFUNCTION("""COMPUTED_VALUE"""),"University College Dublin, Quinn School of Business")</f>
        <v>University College Dublin, Quinn School of Business</v>
      </c>
      <c r="D475" s="2" t="str">
        <f>IFERROR(__xludf.DUMMYFUNCTION("""COMPUTED_VALUE"""),"Erasmus+")</f>
        <v>Erasmus+</v>
      </c>
      <c r="E475" s="2">
        <f>IFERROR(__xludf.DUMMYFUNCTION("""COMPUTED_VALUE"""),2.0)</f>
        <v>2</v>
      </c>
      <c r="F475" s="2" t="str">
        <f>IFERROR(__xludf.DUMMYFUNCTION("""COMPUTED_VALUE"""),"Ambos semestres")</f>
        <v>Ambos semestres</v>
      </c>
      <c r="G475" s="2" t="str">
        <f>IFERROR(__xludf.DUMMYFUNCTION("""COMPUTED_VALUE"""),"Bilbao")</f>
        <v>Bilbao</v>
      </c>
      <c r="H475" s="2" t="str">
        <f>IFERROR(__xludf.DUMMYFUNCTION("""COMPUTED_VALUE"""),"Deusto Business School")</f>
        <v>Deusto Business School</v>
      </c>
      <c r="I475" s="2" t="str">
        <f>IFERROR(__xludf.DUMMYFUNCTION("""COMPUTED_VALUE"""),"Administración y Dirección de Empresas")</f>
        <v>Administración y Dirección de Empresas</v>
      </c>
      <c r="J475" s="2" t="str">
        <f>IFERROR(__xludf.DUMMYFUNCTION("""COMPUTED_VALUE"""),"Grado")</f>
        <v>Grado</v>
      </c>
      <c r="K475" s="2" t="str">
        <f>IFERROR(__xludf.DUMMYFUNCTION("""COMPUTED_VALUE"""),"Inglés")</f>
        <v>Inglés</v>
      </c>
      <c r="L475" s="2" t="str">
        <f>IFERROR(__xludf.DUMMYFUNCTION("""COMPUTED_VALUE"""),"C1")</f>
        <v>C1</v>
      </c>
      <c r="M475" s="2" t="str">
        <f>IFERROR(__xludf.DUMMYFUNCTION("""COMPUTED_VALUE"""),"Sí")</f>
        <v>Sí</v>
      </c>
      <c r="N475" s="3" t="str">
        <f>IFERROR(__xludf.DUMMYFUNCTION("""COMPUTED_VALUE"""),"https://www.ucd.ie/registry/prospectivestudents/admissions/policiesandgeneralregulations/generalrequirements/minimumenglishlanguagerequirements/")</f>
        <v>https://www.ucd.ie/registry/prospectivestudents/admissions/policiesandgeneralregulations/generalrequirements/minimumenglishlanguagerequirements/</v>
      </c>
      <c r="O475" s="3" t="str">
        <f>IFERROR(__xludf.DUMMYFUNCTION("""COMPUTED_VALUE"""),"Más información / Informazio gehigarria")</f>
        <v>Más información / Informazio gehigarria</v>
      </c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30.0" customHeight="1">
      <c r="A476" s="2" t="str">
        <f>IFERROR(__xludf.DUMMYFUNCTION("""COMPUTED_VALUE"""),"Irlanda")</f>
        <v>Irlanda</v>
      </c>
      <c r="B476" s="2" t="str">
        <f>IFERROR(__xludf.DUMMYFUNCTION("""COMPUTED_VALUE"""),"IRLDUBLIN02")</f>
        <v>IRLDUBLIN02</v>
      </c>
      <c r="C476" s="3" t="str">
        <f>IFERROR(__xludf.DUMMYFUNCTION("""COMPUTED_VALUE"""),"University College Dublin, Quinn School of Business")</f>
        <v>University College Dublin, Quinn School of Business</v>
      </c>
      <c r="D476" s="2" t="str">
        <f>IFERROR(__xludf.DUMMYFUNCTION("""COMPUTED_VALUE"""),"Erasmus+")</f>
        <v>Erasmus+</v>
      </c>
      <c r="E476" s="2">
        <f>IFERROR(__xludf.DUMMYFUNCTION("""COMPUTED_VALUE"""),10.0)</f>
        <v>10</v>
      </c>
      <c r="F476" s="2" t="str">
        <f>IFERROR(__xludf.DUMMYFUNCTION("""COMPUTED_VALUE"""),"Ambos semestres")</f>
        <v>Ambos semestres</v>
      </c>
      <c r="G476" s="2" t="str">
        <f>IFERROR(__xludf.DUMMYFUNCTION("""COMPUTED_VALUE"""),"San Sebastián")</f>
        <v>San Sebastián</v>
      </c>
      <c r="H476" s="2" t="str">
        <f>IFERROR(__xludf.DUMMYFUNCTION("""COMPUTED_VALUE"""),"Deusto Business School")</f>
        <v>Deusto Business School</v>
      </c>
      <c r="I476" s="2" t="str">
        <f>IFERROR(__xludf.DUMMYFUNCTION("""COMPUTED_VALUE"""),"Administración y Dirección de Empresas")</f>
        <v>Administración y Dirección de Empresas</v>
      </c>
      <c r="J476" s="2" t="str">
        <f>IFERROR(__xludf.DUMMYFUNCTION("""COMPUTED_VALUE"""),"Grado")</f>
        <v>Grado</v>
      </c>
      <c r="K476" s="2" t="str">
        <f>IFERROR(__xludf.DUMMYFUNCTION("""COMPUTED_VALUE"""),"Inglés")</f>
        <v>Inglés</v>
      </c>
      <c r="L476" s="2" t="str">
        <f>IFERROR(__xludf.DUMMYFUNCTION("""COMPUTED_VALUE"""),"B2")</f>
        <v>B2</v>
      </c>
      <c r="M476" s="2" t="str">
        <f>IFERROR(__xludf.DUMMYFUNCTION("""COMPUTED_VALUE"""),"Sí")</f>
        <v>Sí</v>
      </c>
      <c r="N476" s="3" t="str">
        <f>IFERROR(__xludf.DUMMYFUNCTION("""COMPUTED_VALUE"""),"https://www.ucd.ie/registry/prospectivestudents/admissions/policiesandgeneralregulations/generalrequirements/minimumenglishlanguagerequirements/")</f>
        <v>https://www.ucd.ie/registry/prospectivestudents/admissions/policiesandgeneralregulations/generalrequirements/minimumenglishlanguagerequirements/</v>
      </c>
      <c r="O476" s="3" t="str">
        <f>IFERROR(__xludf.DUMMYFUNCTION("""COMPUTED_VALUE"""),"Más información / Informazio gehigarria")</f>
        <v>Más información / Informazio gehigarria</v>
      </c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30.0" customHeight="1">
      <c r="A477" s="2" t="str">
        <f>IFERROR(__xludf.DUMMYFUNCTION("""COMPUTED_VALUE"""),"Irlanda")</f>
        <v>Irlanda</v>
      </c>
      <c r="B477" s="2" t="str">
        <f>IFERROR(__xludf.DUMMYFUNCTION("""COMPUTED_VALUE"""),"IRLGALWAY01")</f>
        <v>IRLGALWAY01</v>
      </c>
      <c r="C477" s="3" t="str">
        <f>IFERROR(__xludf.DUMMYFUNCTION("""COMPUTED_VALUE"""),"University College Galway")</f>
        <v>University College Galway</v>
      </c>
      <c r="D477" s="2" t="str">
        <f>IFERROR(__xludf.DUMMYFUNCTION("""COMPUTED_VALUE"""),"Erasmus+")</f>
        <v>Erasmus+</v>
      </c>
      <c r="E477" s="2">
        <f>IFERROR(__xludf.DUMMYFUNCTION("""COMPUTED_VALUE"""),2.0)</f>
        <v>2</v>
      </c>
      <c r="F477" s="2" t="str">
        <f>IFERROR(__xludf.DUMMYFUNCTION("""COMPUTED_VALUE"""),"1er Semestre")</f>
        <v>1er Semestre</v>
      </c>
      <c r="G477" s="2" t="str">
        <f>IFERROR(__xludf.DUMMYFUNCTION("""COMPUTED_VALUE"""),"Bilbao")</f>
        <v>Bilbao</v>
      </c>
      <c r="H477" s="2" t="str">
        <f>IFERROR(__xludf.DUMMYFUNCTION("""COMPUTED_VALUE"""),"Deusto Business School")</f>
        <v>Deusto Business School</v>
      </c>
      <c r="I477" s="2" t="str">
        <f>IFERROR(__xludf.DUMMYFUNCTION("""COMPUTED_VALUE"""),"Administración y Dirección de Empresas")</f>
        <v>Administración y Dirección de Empresas</v>
      </c>
      <c r="J477" s="2" t="str">
        <f>IFERROR(__xludf.DUMMYFUNCTION("""COMPUTED_VALUE"""),"Grado")</f>
        <v>Grado</v>
      </c>
      <c r="K477" s="2" t="str">
        <f>IFERROR(__xludf.DUMMYFUNCTION("""COMPUTED_VALUE"""),"Inglés")</f>
        <v>Inglés</v>
      </c>
      <c r="L477" s="2" t="str">
        <f>IFERROR(__xludf.DUMMYFUNCTION("""COMPUTED_VALUE"""),"C1")</f>
        <v>C1</v>
      </c>
      <c r="M477" s="2" t="str">
        <f>IFERROR(__xludf.DUMMYFUNCTION("""COMPUTED_VALUE"""),"No")</f>
        <v>No</v>
      </c>
      <c r="N477" s="3" t="str">
        <f>IFERROR(__xludf.DUMMYFUNCTION("""COMPUTED_VALUE"""),"https://www.universityofgalway.ie/erasmus-programme/incomingstudents/admissionprocedures/#tab4")</f>
        <v>https://www.universityofgalway.ie/erasmus-programme/incomingstudents/admissionprocedures/#tab4</v>
      </c>
      <c r="O477" s="3" t="str">
        <f>IFERROR(__xludf.DUMMYFUNCTION("""COMPUTED_VALUE"""),"Más información / Informazio gehigarria")</f>
        <v>Más información / Informazio gehigarria</v>
      </c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30.0" customHeight="1">
      <c r="A478" s="2" t="str">
        <f>IFERROR(__xludf.DUMMYFUNCTION("""COMPUTED_VALUE"""),"Irlanda")</f>
        <v>Irlanda</v>
      </c>
      <c r="B478" s="2" t="str">
        <f>IFERROR(__xludf.DUMMYFUNCTION("""COMPUTED_VALUE"""),"IRLLIMERIC01")</f>
        <v>IRLLIMERIC01</v>
      </c>
      <c r="C478" s="3" t="str">
        <f>IFERROR(__xludf.DUMMYFUNCTION("""COMPUTED_VALUE"""),"University of Limerick")</f>
        <v>University of Limerick</v>
      </c>
      <c r="D478" s="2" t="str">
        <f>IFERROR(__xludf.DUMMYFUNCTION("""COMPUTED_VALUE"""),"Erasmus+")</f>
        <v>Erasmus+</v>
      </c>
      <c r="E478" s="2">
        <f>IFERROR(__xludf.DUMMYFUNCTION("""COMPUTED_VALUE"""),2.0)</f>
        <v>2</v>
      </c>
      <c r="F478" s="2" t="str">
        <f>IFERROR(__xludf.DUMMYFUNCTION("""COMPUTED_VALUE"""),"Anual")</f>
        <v>Anual</v>
      </c>
      <c r="G478" s="2" t="str">
        <f>IFERROR(__xludf.DUMMYFUNCTION("""COMPUTED_VALUE"""),"Bilbao")</f>
        <v>Bilbao</v>
      </c>
      <c r="H478" s="2" t="str">
        <f>IFERROR(__xludf.DUMMYFUNCTION("""COMPUTED_VALUE"""),"Ciencias Sociales y Humanas")</f>
        <v>Ciencias Sociales y Humanas</v>
      </c>
      <c r="I478" s="2" t="str">
        <f>IFERROR(__xludf.DUMMYFUNCTION("""COMPUTED_VALUE"""),"Relaciones Internacionales, Relaciones Internacionales + Derecho")</f>
        <v>Relaciones Internacionales, Relaciones Internacionales + Derecho</v>
      </c>
      <c r="J478" s="2" t="str">
        <f>IFERROR(__xludf.DUMMYFUNCTION("""COMPUTED_VALUE"""),"Grado")</f>
        <v>Grado</v>
      </c>
      <c r="K478" s="2" t="str">
        <f>IFERROR(__xludf.DUMMYFUNCTION("""COMPUTED_VALUE"""),"Inglés")</f>
        <v>Inglés</v>
      </c>
      <c r="L478" s="2" t="str">
        <f>IFERROR(__xludf.DUMMYFUNCTION("""COMPUTED_VALUE"""),"C1 / C2")</f>
        <v>C1 / C2</v>
      </c>
      <c r="M478" s="2" t="str">
        <f>IFERROR(__xludf.DUMMYFUNCTION("""COMPUTED_VALUE"""),"Sí")</f>
        <v>Sí</v>
      </c>
      <c r="N478" s="3" t="str">
        <f>IFERROR(__xludf.DUMMYFUNCTION("""COMPUTED_VALUE"""),"https://www.ul.ie/global/incoming-students/need-know-information/english-language-requirements")</f>
        <v>https://www.ul.ie/global/incoming-students/need-know-information/english-language-requirements</v>
      </c>
      <c r="O478" s="3" t="str">
        <f>IFERROR(__xludf.DUMMYFUNCTION("""COMPUTED_VALUE"""),"Más información / Informazio gehigarria")</f>
        <v>Más información / Informazio gehigarria</v>
      </c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30.0" customHeight="1">
      <c r="A479" s="2" t="str">
        <f>IFERROR(__xludf.DUMMYFUNCTION("""COMPUTED_VALUE"""),"Israel")</f>
        <v>Israel</v>
      </c>
      <c r="B479" s="2"/>
      <c r="C479" s="3" t="str">
        <f>IFERROR(__xludf.DUMMYFUNCTION("""COMPUTED_VALUE"""),"The Academic of Tel Aviv-Yaffo")</f>
        <v>The Academic of Tel Aviv-Yaffo</v>
      </c>
      <c r="D479" s="2" t="str">
        <f>IFERROR(__xludf.DUMMYFUNCTION("""COMPUTED_VALUE"""),"Ac. Bilaterales (no Erasmus)")</f>
        <v>Ac. Bilaterales (no Erasmus)</v>
      </c>
      <c r="E479" s="2">
        <f>IFERROR(__xludf.DUMMYFUNCTION("""COMPUTED_VALUE"""),2.0)</f>
        <v>2</v>
      </c>
      <c r="F479" s="2" t="str">
        <f>IFERROR(__xludf.DUMMYFUNCTION("""COMPUTED_VALUE"""),"Anual")</f>
        <v>Anual</v>
      </c>
      <c r="G479" s="2" t="str">
        <f>IFERROR(__xludf.DUMMYFUNCTION("""COMPUTED_VALUE"""),"Bilbao")</f>
        <v>Bilbao</v>
      </c>
      <c r="H479" s="2" t="str">
        <f>IFERROR(__xludf.DUMMYFUNCTION("""COMPUTED_VALUE"""),"Ciencias Sociales y Humanas")</f>
        <v>Ciencias Sociales y Humanas</v>
      </c>
      <c r="I479" s="2" t="str">
        <f>IFERROR(__xludf.DUMMYFUNCTION("""COMPUTED_VALUE"""),"Relaciones Internacionales, Relaciones Internacionales + Derecho")</f>
        <v>Relaciones Internacionales, Relaciones Internacionales + Derecho</v>
      </c>
      <c r="J479" s="2" t="str">
        <f>IFERROR(__xludf.DUMMYFUNCTION("""COMPUTED_VALUE"""),"Grado")</f>
        <v>Grado</v>
      </c>
      <c r="K479" s="2" t="str">
        <f>IFERROR(__xludf.DUMMYFUNCTION("""COMPUTED_VALUE"""),"Inglés")</f>
        <v>Inglés</v>
      </c>
      <c r="L479" s="2" t="str">
        <f>IFERROR(__xludf.DUMMYFUNCTION("""COMPUTED_VALUE"""),"B2")</f>
        <v>B2</v>
      </c>
      <c r="M479" s="2" t="str">
        <f>IFERROR(__xludf.DUMMYFUNCTION("""COMPUTED_VALUE"""),"No")</f>
        <v>No</v>
      </c>
      <c r="N479" s="3" t="str">
        <f>IFERROR(__xludf.DUMMYFUNCTION("""COMPUTED_VALUE"""),"https://www.int.mta.ac.il/_files/ugd/a9a15c_1918c8a5aa004f3c96fe13eace991890.pdf")</f>
        <v>https://www.int.mta.ac.il/_files/ugd/a9a15c_1918c8a5aa004f3c96fe13eace991890.pdf</v>
      </c>
      <c r="O479" s="3" t="str">
        <f>IFERROR(__xludf.DUMMYFUNCTION("""COMPUTED_VALUE"""),"Más información / Informazio gehigarria")</f>
        <v>Más información / Informazio gehigarria</v>
      </c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30.0" customHeight="1">
      <c r="A480" s="2" t="str">
        <f>IFERROR(__xludf.DUMMYFUNCTION("""COMPUTED_VALUE"""),"Italia")</f>
        <v>Italia</v>
      </c>
      <c r="B480" s="2" t="str">
        <f>IFERROR(__xludf.DUMMYFUNCTION("""COMPUTED_VALUE"""),"I BRESCIA05")</f>
        <v>I BRESCIA05</v>
      </c>
      <c r="C480" s="3" t="str">
        <f>IFERROR(__xludf.DUMMYFUNCTION("""COMPUTED_VALUE"""),"Laba Academy of Fine Arts")</f>
        <v>Laba Academy of Fine Arts</v>
      </c>
      <c r="D480" s="2" t="str">
        <f>IFERROR(__xludf.DUMMYFUNCTION("""COMPUTED_VALUE"""),"Erasmus+")</f>
        <v>Erasmus+</v>
      </c>
      <c r="E480" s="2">
        <f>IFERROR(__xludf.DUMMYFUNCTION("""COMPUTED_VALUE"""),2.0)</f>
        <v>2</v>
      </c>
      <c r="F480" s="2" t="str">
        <f>IFERROR(__xludf.DUMMYFUNCTION("""COMPUTED_VALUE"""),"Semestre")</f>
        <v>Semestre</v>
      </c>
      <c r="G480" s="2" t="str">
        <f>IFERROR(__xludf.DUMMYFUNCTION("""COMPUTED_VALUE"""),"Bilbao")</f>
        <v>Bilbao</v>
      </c>
      <c r="H480" s="2" t="str">
        <f>IFERROR(__xludf.DUMMYFUNCTION("""COMPUTED_VALUE"""),"Ingeniería")</f>
        <v>Ingeniería</v>
      </c>
      <c r="I480" s="2" t="str">
        <f>IFERROR(__xludf.DUMMYFUNCTION("""COMPUTED_VALUE"""),"Diseño Industrial, Diseño Industrial + Ingeniería Mecánica")</f>
        <v>Diseño Industrial, Diseño Industrial + Ingeniería Mecánica</v>
      </c>
      <c r="J480" s="2" t="str">
        <f>IFERROR(__xludf.DUMMYFUNCTION("""COMPUTED_VALUE"""),"Grado")</f>
        <v>Grado</v>
      </c>
      <c r="K480" s="2" t="str">
        <f>IFERROR(__xludf.DUMMYFUNCTION("""COMPUTED_VALUE""")," Inglés")</f>
        <v> Inglés</v>
      </c>
      <c r="L480" s="2" t="str">
        <f>IFERROR(__xludf.DUMMYFUNCTION("""COMPUTED_VALUE"""),"B2")</f>
        <v>B2</v>
      </c>
      <c r="M480" s="2" t="str">
        <f>IFERROR(__xludf.DUMMYFUNCTION("""COMPUTED_VALUE"""),"Sí")</f>
        <v>Sí</v>
      </c>
      <c r="N480" s="3" t="str">
        <f>IFERROR(__xludf.DUMMYFUNCTION("""COMPUTED_VALUE"""),"https://labavalencia.net/en/admission-and-matriculation-entry-requirements/")</f>
        <v>https://labavalencia.net/en/admission-and-matriculation-entry-requirements/</v>
      </c>
      <c r="O480" s="3" t="str">
        <f>IFERROR(__xludf.DUMMYFUNCTION("""COMPUTED_VALUE"""),"Más información / Informazio gehigarria")</f>
        <v>Más información / Informazio gehigarria</v>
      </c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30.0" customHeight="1">
      <c r="A481" s="2" t="str">
        <f>IFERROR(__xludf.DUMMYFUNCTION("""COMPUTED_VALUE"""),"Italia")</f>
        <v>Italia</v>
      </c>
      <c r="B481" s="2" t="str">
        <f>IFERROR(__xludf.DUMMYFUNCTION("""COMPUTED_VALUE"""),"I ROMA04")</f>
        <v>I ROMA04</v>
      </c>
      <c r="C481" s="3" t="str">
        <f>IFERROR(__xludf.DUMMYFUNCTION("""COMPUTED_VALUE"""),"Libera Università Maria Ss. Assunta")</f>
        <v>Libera Università Maria Ss. Assunta</v>
      </c>
      <c r="D481" s="2" t="str">
        <f>IFERROR(__xludf.DUMMYFUNCTION("""COMPUTED_VALUE"""),"Erasmus+")</f>
        <v>Erasmus+</v>
      </c>
      <c r="E481" s="2">
        <f>IFERROR(__xludf.DUMMYFUNCTION("""COMPUTED_VALUE"""),4.0)</f>
        <v>4</v>
      </c>
      <c r="F481" s="2" t="str">
        <f>IFERROR(__xludf.DUMMYFUNCTION("""COMPUTED_VALUE"""),"Semestre")</f>
        <v>Semestre</v>
      </c>
      <c r="G481" s="2" t="str">
        <f>IFERROR(__xludf.DUMMYFUNCTION("""COMPUTED_VALUE"""),"Ambos")</f>
        <v>Ambos</v>
      </c>
      <c r="H481" s="2" t="str">
        <f>IFERROR(__xludf.DUMMYFUNCTION("""COMPUTED_VALUE"""),"Derecho")</f>
        <v>Derecho</v>
      </c>
      <c r="I481" s="2" t="str">
        <f>IFERROR(__xludf.DUMMYFUNCTION("""COMPUTED_VALUE"""),"Derecho, Derecho + Relaciones Laborales")</f>
        <v>Derecho, Derecho + Relaciones Laborales</v>
      </c>
      <c r="J481" s="2" t="str">
        <f>IFERROR(__xludf.DUMMYFUNCTION("""COMPUTED_VALUE"""),"Grado")</f>
        <v>Grado</v>
      </c>
      <c r="K481" s="2" t="str">
        <f>IFERROR(__xludf.DUMMYFUNCTION("""COMPUTED_VALUE"""),"Italiano / Inglés")</f>
        <v>Italiano / Inglés</v>
      </c>
      <c r="L481" s="2" t="str">
        <f>IFERROR(__xludf.DUMMYFUNCTION("""COMPUTED_VALUE"""),"B1 It / B2 En")</f>
        <v>B1 It / B2 En</v>
      </c>
      <c r="M481" s="2" t="str">
        <f>IFERROR(__xludf.DUMMYFUNCTION("""COMPUTED_VALUE"""),"No")</f>
        <v>No</v>
      </c>
      <c r="N481" s="3" t="str">
        <f>IFERROR(__xludf.DUMMYFUNCTION("""COMPUTED_VALUE"""),"https://lumsa.it/en/erasmus-incoming-students")</f>
        <v>https://lumsa.it/en/erasmus-incoming-students</v>
      </c>
      <c r="O481" s="3" t="str">
        <f>IFERROR(__xludf.DUMMYFUNCTION("""COMPUTED_VALUE"""),"Más información / Informazio gehigarria")</f>
        <v>Más información / Informazio gehigarria</v>
      </c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30.0" customHeight="1">
      <c r="A482" s="2" t="str">
        <f>IFERROR(__xludf.DUMMYFUNCTION("""COMPUTED_VALUE"""),"Italia")</f>
        <v>Italia</v>
      </c>
      <c r="B482" s="2" t="str">
        <f>IFERROR(__xludf.DUMMYFUNCTION("""COMPUTED_VALUE"""),"I ROMA04")</f>
        <v>I ROMA04</v>
      </c>
      <c r="C482" s="3" t="str">
        <f>IFERROR(__xludf.DUMMYFUNCTION("""COMPUTED_VALUE"""),"Libera Università Maria Ss. Assunta")</f>
        <v>Libera Università Maria Ss. Assunta</v>
      </c>
      <c r="D482" s="2" t="str">
        <f>IFERROR(__xludf.DUMMYFUNCTION("""COMPUTED_VALUE"""),"Erasmus+")</f>
        <v>Erasmus+</v>
      </c>
      <c r="E482" s="2">
        <f>IFERROR(__xludf.DUMMYFUNCTION("""COMPUTED_VALUE"""),6.0)</f>
        <v>6</v>
      </c>
      <c r="F482" s="2" t="str">
        <f>IFERROR(__xludf.DUMMYFUNCTION("""COMPUTED_VALUE"""),"Semestre")</f>
        <v>Semestre</v>
      </c>
      <c r="G482" s="2" t="str">
        <f>IFERROR(__xludf.DUMMYFUNCTION("""COMPUTED_VALUE"""),"Ambos")</f>
        <v>Ambos</v>
      </c>
      <c r="H482" s="2" t="str">
        <f>IFERROR(__xludf.DUMMYFUNCTION("""COMPUTED_VALUE"""),"Educación y Deporte")</f>
        <v>Educación y Deporte</v>
      </c>
      <c r="I482" s="2" t="str">
        <f>IFERROR(__xludf.DUMMYFUNCTION("""COMPUTED_VALUE"""),"Educación Primaria")</f>
        <v>Educación Primaria</v>
      </c>
      <c r="J482" s="2" t="str">
        <f>IFERROR(__xludf.DUMMYFUNCTION("""COMPUTED_VALUE"""),"Grado")</f>
        <v>Grado</v>
      </c>
      <c r="K482" s="2" t="str">
        <f>IFERROR(__xludf.DUMMYFUNCTION("""COMPUTED_VALUE"""),"Italiano / Inglés")</f>
        <v>Italiano / Inglés</v>
      </c>
      <c r="L482" s="2" t="str">
        <f>IFERROR(__xludf.DUMMYFUNCTION("""COMPUTED_VALUE"""),"B1 It / B2 En")</f>
        <v>B1 It / B2 En</v>
      </c>
      <c r="M482" s="2" t="str">
        <f>IFERROR(__xludf.DUMMYFUNCTION("""COMPUTED_VALUE"""),"No")</f>
        <v>No</v>
      </c>
      <c r="N482" s="3" t="str">
        <f>IFERROR(__xludf.DUMMYFUNCTION("""COMPUTED_VALUE"""),"https://www.lumsa.it/sites/default/files/didattica/gepli/LMG01Rm_regolamento_2021_2022.pdf")</f>
        <v>https://www.lumsa.it/sites/default/files/didattica/gepli/LMG01Rm_regolamento_2021_2022.pdf</v>
      </c>
      <c r="O482" s="3" t="str">
        <f>IFERROR(__xludf.DUMMYFUNCTION("""COMPUTED_VALUE"""),"Más información / Informazio gehigarria")</f>
        <v>Más información / Informazio gehigarria</v>
      </c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30.0" customHeight="1">
      <c r="A483" s="2" t="str">
        <f>IFERROR(__xludf.DUMMYFUNCTION("""COMPUTED_VALUE"""),"Italia")</f>
        <v>Italia</v>
      </c>
      <c r="B483" s="2" t="str">
        <f>IFERROR(__xludf.DUMMYFUNCTION("""COMPUTED_VALUE"""),"I ROMA04")</f>
        <v>I ROMA04</v>
      </c>
      <c r="C483" s="3" t="str">
        <f>IFERROR(__xludf.DUMMYFUNCTION("""COMPUTED_VALUE"""),"Libera Università Maria Ss. Assunta")</f>
        <v>Libera Università Maria Ss. Assunta</v>
      </c>
      <c r="D483" s="2" t="str">
        <f>IFERROR(__xludf.DUMMYFUNCTION("""COMPUTED_VALUE"""),"Erasmus+")</f>
        <v>Erasmus+</v>
      </c>
      <c r="E483" s="2">
        <f>IFERROR(__xludf.DUMMYFUNCTION("""COMPUTED_VALUE"""),6.0)</f>
        <v>6</v>
      </c>
      <c r="F483" s="2" t="str">
        <f>IFERROR(__xludf.DUMMYFUNCTION("""COMPUTED_VALUE"""),"Semestre")</f>
        <v>Semestre</v>
      </c>
      <c r="G483" s="2" t="str">
        <f>IFERROR(__xludf.DUMMYFUNCTION("""COMPUTED_VALUE"""),"Bilbao")</f>
        <v>Bilbao</v>
      </c>
      <c r="H483" s="2" t="str">
        <f>IFERROR(__xludf.DUMMYFUNCTION("""COMPUTED_VALUE"""),"Educación y Deporte")</f>
        <v>Educación y Deporte</v>
      </c>
      <c r="I483" s="2" t="str">
        <f>IFERROR(__xludf.DUMMYFUNCTION("""COMPUTED_VALUE"""),"Educación Social")</f>
        <v>Educación Social</v>
      </c>
      <c r="J483" s="2" t="str">
        <f>IFERROR(__xludf.DUMMYFUNCTION("""COMPUTED_VALUE"""),"Grado")</f>
        <v>Grado</v>
      </c>
      <c r="K483" s="2" t="str">
        <f>IFERROR(__xludf.DUMMYFUNCTION("""COMPUTED_VALUE"""),"Italiano / Inglés")</f>
        <v>Italiano / Inglés</v>
      </c>
      <c r="L483" s="2" t="str">
        <f>IFERROR(__xludf.DUMMYFUNCTION("""COMPUTED_VALUE"""),"B1 It / B2 En")</f>
        <v>B1 It / B2 En</v>
      </c>
      <c r="M483" s="2" t="str">
        <f>IFERROR(__xludf.DUMMYFUNCTION("""COMPUTED_VALUE"""),"No")</f>
        <v>No</v>
      </c>
      <c r="N483" s="3" t="str">
        <f>IFERROR(__xludf.DUMMYFUNCTION("""COMPUTED_VALUE"""),"https://lumsa.it/en/erasmus-incoming-students")</f>
        <v>https://lumsa.it/en/erasmus-incoming-students</v>
      </c>
      <c r="O483" s="3" t="str">
        <f>IFERROR(__xludf.DUMMYFUNCTION("""COMPUTED_VALUE"""),"Más información / Informazio gehigarria")</f>
        <v>Más información / Informazio gehigarria</v>
      </c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30.0" customHeight="1">
      <c r="A484" s="2" t="str">
        <f>IFERROR(__xludf.DUMMYFUNCTION("""COMPUTED_VALUE"""),"Italia")</f>
        <v>Italia</v>
      </c>
      <c r="B484" s="2" t="str">
        <f>IFERROR(__xludf.DUMMYFUNCTION("""COMPUTED_VALUE"""),"I ROMA04")</f>
        <v>I ROMA04</v>
      </c>
      <c r="C484" s="3" t="str">
        <f>IFERROR(__xludf.DUMMYFUNCTION("""COMPUTED_VALUE"""),"Libera Università Maria Ss. Assunta")</f>
        <v>Libera Università Maria Ss. Assunta</v>
      </c>
      <c r="D484" s="2" t="str">
        <f>IFERROR(__xludf.DUMMYFUNCTION("""COMPUTED_VALUE"""),"Erasmus+")</f>
        <v>Erasmus+</v>
      </c>
      <c r="E484" s="2">
        <f>IFERROR(__xludf.DUMMYFUNCTION("""COMPUTED_VALUE"""),3.0)</f>
        <v>3</v>
      </c>
      <c r="F484" s="2" t="str">
        <f>IFERROR(__xludf.DUMMYFUNCTION("""COMPUTED_VALUE"""),"Semestre")</f>
        <v>Semestre</v>
      </c>
      <c r="G484" s="2" t="str">
        <f>IFERROR(__xludf.DUMMYFUNCTION("""COMPUTED_VALUE"""),"San Sebastián")</f>
        <v>San Sebastián</v>
      </c>
      <c r="H484" s="2" t="str">
        <f>IFERROR(__xludf.DUMMYFUNCTION("""COMPUTED_VALUE"""),"Ciencias Sociales y Humanas")</f>
        <v>Ciencias Sociales y Humanas</v>
      </c>
      <c r="I484" s="2" t="str">
        <f>IFERROR(__xludf.DUMMYFUNCTION("""COMPUTED_VALUE"""),"Comunicación")</f>
        <v>Comunicación</v>
      </c>
      <c r="J484" s="2" t="str">
        <f>IFERROR(__xludf.DUMMYFUNCTION("""COMPUTED_VALUE"""),"Grado")</f>
        <v>Grado</v>
      </c>
      <c r="K484" s="2" t="str">
        <f>IFERROR(__xludf.DUMMYFUNCTION("""COMPUTED_VALUE"""),"Italiano / Inglés")</f>
        <v>Italiano / Inglés</v>
      </c>
      <c r="L484" s="2" t="str">
        <f>IFERROR(__xludf.DUMMYFUNCTION("""COMPUTED_VALUE"""),"B1 It / B2 En")</f>
        <v>B1 It / B2 En</v>
      </c>
      <c r="M484" s="2" t="str">
        <f>IFERROR(__xludf.DUMMYFUNCTION("""COMPUTED_VALUE"""),"No")</f>
        <v>No</v>
      </c>
      <c r="N484" s="3" t="str">
        <f>IFERROR(__xludf.DUMMYFUNCTION("""COMPUTED_VALUE"""),"https://lumsa.it/en/erasmus-incoming-students")</f>
        <v>https://lumsa.it/en/erasmus-incoming-students</v>
      </c>
      <c r="O484" s="3" t="str">
        <f>IFERROR(__xludf.DUMMYFUNCTION("""COMPUTED_VALUE"""),"Más información / Informazio gehigarria")</f>
        <v>Más información / Informazio gehigarria</v>
      </c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30.0" customHeight="1">
      <c r="A485" s="2" t="str">
        <f>IFERROR(__xludf.DUMMYFUNCTION("""COMPUTED_VALUE"""),"Italia")</f>
        <v>Italia</v>
      </c>
      <c r="B485" s="2" t="str">
        <f>IFERROR(__xludf.DUMMYFUNCTION("""COMPUTED_VALUE"""),"I ROMA04")</f>
        <v>I ROMA04</v>
      </c>
      <c r="C485" s="3" t="str">
        <f>IFERROR(__xludf.DUMMYFUNCTION("""COMPUTED_VALUE"""),"Libera Università Maria Ss. Assunta")</f>
        <v>Libera Università Maria Ss. Assunta</v>
      </c>
      <c r="D485" s="2" t="str">
        <f>IFERROR(__xludf.DUMMYFUNCTION("""COMPUTED_VALUE"""),"Erasmus+")</f>
        <v>Erasmus+</v>
      </c>
      <c r="E485" s="2">
        <f>IFERROR(__xludf.DUMMYFUNCTION("""COMPUTED_VALUE"""),2.0)</f>
        <v>2</v>
      </c>
      <c r="F485" s="2" t="str">
        <f>IFERROR(__xludf.DUMMYFUNCTION("""COMPUTED_VALUE"""),"Anual")</f>
        <v>Anual</v>
      </c>
      <c r="G485" s="2" t="str">
        <f>IFERROR(__xludf.DUMMYFUNCTION("""COMPUTED_VALUE"""),"Bilbao")</f>
        <v>Bilbao</v>
      </c>
      <c r="H485" s="2" t="str">
        <f>IFERROR(__xludf.DUMMYFUNCTION("""COMPUTED_VALUE"""),"Ciencias de la Salud")</f>
        <v>Ciencias de la Salud</v>
      </c>
      <c r="I485" s="2" t="str">
        <f>IFERROR(__xludf.DUMMYFUNCTION("""COMPUTED_VALUE"""),"Psicología")</f>
        <v>Psicología</v>
      </c>
      <c r="J485" s="2" t="str">
        <f>IFERROR(__xludf.DUMMYFUNCTION("""COMPUTED_VALUE"""),"Grado")</f>
        <v>Grado</v>
      </c>
      <c r="K485" s="2" t="str">
        <f>IFERROR(__xludf.DUMMYFUNCTION("""COMPUTED_VALUE"""),"Italiano / Inglés")</f>
        <v>Italiano / Inglés</v>
      </c>
      <c r="L485" s="2" t="str">
        <f>IFERROR(__xludf.DUMMYFUNCTION("""COMPUTED_VALUE"""),"B1 It / B2 En")</f>
        <v>B1 It / B2 En</v>
      </c>
      <c r="M485" s="2" t="str">
        <f>IFERROR(__xludf.DUMMYFUNCTION("""COMPUTED_VALUE"""),"No")</f>
        <v>No</v>
      </c>
      <c r="N485" s="3" t="str">
        <f>IFERROR(__xludf.DUMMYFUNCTION("""COMPUTED_VALUE"""),"https://lumsa.it/en/erasmus-incoming-students")</f>
        <v>https://lumsa.it/en/erasmus-incoming-students</v>
      </c>
      <c r="O485" s="3" t="str">
        <f>IFERROR(__xludf.DUMMYFUNCTION("""COMPUTED_VALUE"""),"Más información / Informazio gehigarria")</f>
        <v>Más información / Informazio gehigarria</v>
      </c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30.0" customHeight="1">
      <c r="A486" s="2" t="str">
        <f>IFERROR(__xludf.DUMMYFUNCTION("""COMPUTED_VALUE"""),"Italia")</f>
        <v>Italia</v>
      </c>
      <c r="B486" s="2" t="str">
        <f>IFERROR(__xludf.DUMMYFUNCTION("""COMPUTED_VALUE"""),"I ROMA04")</f>
        <v>I ROMA04</v>
      </c>
      <c r="C486" s="3" t="str">
        <f>IFERROR(__xludf.DUMMYFUNCTION("""COMPUTED_VALUE"""),"Libera Università Maria Ss. Assunta")</f>
        <v>Libera Università Maria Ss. Assunta</v>
      </c>
      <c r="D486" s="2" t="str">
        <f>IFERROR(__xludf.DUMMYFUNCTION("""COMPUTED_VALUE"""),"Erasmus+")</f>
        <v>Erasmus+</v>
      </c>
      <c r="E486" s="2">
        <f>IFERROR(__xludf.DUMMYFUNCTION("""COMPUTED_VALUE"""),6.0)</f>
        <v>6</v>
      </c>
      <c r="F486" s="2" t="str">
        <f>IFERROR(__xludf.DUMMYFUNCTION("""COMPUTED_VALUE"""),"Semestre")</f>
        <v>Semestre</v>
      </c>
      <c r="G486" s="2" t="str">
        <f>IFERROR(__xludf.DUMMYFUNCTION("""COMPUTED_VALUE"""),"Ambos")</f>
        <v>Ambos</v>
      </c>
      <c r="H486" s="2" t="str">
        <f>IFERROR(__xludf.DUMMYFUNCTION("""COMPUTED_VALUE"""),"Ciencias Sociales y Humanas")</f>
        <v>Ciencias Sociales y Humanas</v>
      </c>
      <c r="I486" s="2" t="str">
        <f>IFERROR(__xludf.DUMMYFUNCTION("""COMPUTED_VALUE"""),"Trabajo Social")</f>
        <v>Trabajo Social</v>
      </c>
      <c r="J486" s="2" t="str">
        <f>IFERROR(__xludf.DUMMYFUNCTION("""COMPUTED_VALUE"""),"Grado")</f>
        <v>Grado</v>
      </c>
      <c r="K486" s="2" t="str">
        <f>IFERROR(__xludf.DUMMYFUNCTION("""COMPUTED_VALUE"""),"Italiano / Inglés")</f>
        <v>Italiano / Inglés</v>
      </c>
      <c r="L486" s="2" t="str">
        <f>IFERROR(__xludf.DUMMYFUNCTION("""COMPUTED_VALUE"""),"B1 It / B2 En")</f>
        <v>B1 It / B2 En</v>
      </c>
      <c r="M486" s="2" t="str">
        <f>IFERROR(__xludf.DUMMYFUNCTION("""COMPUTED_VALUE"""),"No")</f>
        <v>No</v>
      </c>
      <c r="N486" s="3" t="str">
        <f>IFERROR(__xludf.DUMMYFUNCTION("""COMPUTED_VALUE"""),"https://lumsa.it/en/erasmus-incoming-students")</f>
        <v>https://lumsa.it/en/erasmus-incoming-students</v>
      </c>
      <c r="O486" s="3" t="str">
        <f>IFERROR(__xludf.DUMMYFUNCTION("""COMPUTED_VALUE"""),"Más información / Informazio gehigarria")</f>
        <v>Más información / Informazio gehigarria</v>
      </c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30.0" customHeight="1">
      <c r="A487" s="2" t="str">
        <f>IFERROR(__xludf.DUMMYFUNCTION("""COMPUTED_VALUE"""),"Italia")</f>
        <v>Italia</v>
      </c>
      <c r="B487" s="2" t="str">
        <f>IFERROR(__xludf.DUMMYFUNCTION("""COMPUTED_VALUE"""),"I ROMA04")</f>
        <v>I ROMA04</v>
      </c>
      <c r="C487" s="3" t="str">
        <f>IFERROR(__xludf.DUMMYFUNCTION("""COMPUTED_VALUE"""),"Libera Università Maria Ss. Assunta")</f>
        <v>Libera Università Maria Ss. Assunta</v>
      </c>
      <c r="D487" s="2" t="str">
        <f>IFERROR(__xludf.DUMMYFUNCTION("""COMPUTED_VALUE"""),"Erasmus+")</f>
        <v>Erasmus+</v>
      </c>
      <c r="E487" s="2">
        <f>IFERROR(__xludf.DUMMYFUNCTION("""COMPUTED_VALUE"""),2.0)</f>
        <v>2</v>
      </c>
      <c r="F487" s="2" t="str">
        <f>IFERROR(__xludf.DUMMYFUNCTION("""COMPUTED_VALUE"""),"Ambos semestres")</f>
        <v>Ambos semestres</v>
      </c>
      <c r="G487" s="2" t="str">
        <f>IFERROR(__xludf.DUMMYFUNCTION("""COMPUTED_VALUE"""),"Bilbao")</f>
        <v>Bilbao</v>
      </c>
      <c r="H487" s="2" t="str">
        <f>IFERROR(__xludf.DUMMYFUNCTION("""COMPUTED_VALUE"""),"Deusto Business School")</f>
        <v>Deusto Business School</v>
      </c>
      <c r="I487" s="2" t="str">
        <f>IFERROR(__xludf.DUMMYFUNCTION("""COMPUTED_VALUE"""),"Administración y Dirección de Empresas")</f>
        <v>Administración y Dirección de Empresas</v>
      </c>
      <c r="J487" s="2" t="str">
        <f>IFERROR(__xludf.DUMMYFUNCTION("""COMPUTED_VALUE"""),"Grado")</f>
        <v>Grado</v>
      </c>
      <c r="K487" s="2" t="str">
        <f>IFERROR(__xludf.DUMMYFUNCTION("""COMPUTED_VALUE"""),"Italiano")</f>
        <v>Italiano</v>
      </c>
      <c r="L487" s="2" t="str">
        <f>IFERROR(__xludf.DUMMYFUNCTION("""COMPUTED_VALUE"""),"B1 It / B2 En")</f>
        <v>B1 It / B2 En</v>
      </c>
      <c r="M487" s="2" t="str">
        <f>IFERROR(__xludf.DUMMYFUNCTION("""COMPUTED_VALUE"""),"No")</f>
        <v>No</v>
      </c>
      <c r="N487" s="3" t="str">
        <f>IFERROR(__xludf.DUMMYFUNCTION("""COMPUTED_VALUE"""),"https://www.lumsa.it/sites/default/files/didattica/gepli/LMG01Rm_regolamento_2021_2022.pdf")</f>
        <v>https://www.lumsa.it/sites/default/files/didattica/gepli/LMG01Rm_regolamento_2021_2022.pdf</v>
      </c>
      <c r="O487" s="3" t="str">
        <f>IFERROR(__xludf.DUMMYFUNCTION("""COMPUTED_VALUE"""),"Más información / Informazio gehigarria")</f>
        <v>Más información / Informazio gehigarria</v>
      </c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30.0" customHeight="1">
      <c r="A488" s="2" t="str">
        <f>IFERROR(__xludf.DUMMYFUNCTION("""COMPUTED_VALUE"""),"Italia")</f>
        <v>Italia</v>
      </c>
      <c r="B488" s="2" t="str">
        <f>IFERROR(__xludf.DUMMYFUNCTION("""COMPUTED_VALUE"""),"I ROMA03")</f>
        <v>I ROMA03</v>
      </c>
      <c r="C488" s="3" t="str">
        <f>IFERROR(__xludf.DUMMYFUNCTION("""COMPUTED_VALUE"""),"LUISS Guido Carli - Libera Università Internazionale degli Studi Sociali")</f>
        <v>LUISS Guido Carli - Libera Università Internazionale degli Studi Sociali</v>
      </c>
      <c r="D488" s="2" t="str">
        <f>IFERROR(__xludf.DUMMYFUNCTION("""COMPUTED_VALUE"""),"Erasmus+")</f>
        <v>Erasmus+</v>
      </c>
      <c r="E488" s="2">
        <f>IFERROR(__xludf.DUMMYFUNCTION("""COMPUTED_VALUE"""),2.0)</f>
        <v>2</v>
      </c>
      <c r="F488" s="2" t="str">
        <f>IFERROR(__xludf.DUMMYFUNCTION("""COMPUTED_VALUE"""),"Ambos semestres")</f>
        <v>Ambos semestres</v>
      </c>
      <c r="G488" s="2" t="str">
        <f>IFERROR(__xludf.DUMMYFUNCTION("""COMPUTED_VALUE"""),"Bilbao")</f>
        <v>Bilbao</v>
      </c>
      <c r="H488" s="2" t="str">
        <f>IFERROR(__xludf.DUMMYFUNCTION("""COMPUTED_VALUE"""),"Deusto Business School")</f>
        <v>Deusto Business School</v>
      </c>
      <c r="I488" s="2" t="str">
        <f>IFERROR(__xludf.DUMMYFUNCTION("""COMPUTED_VALUE"""),"Administración y Dirección de Empresas")</f>
        <v>Administración y Dirección de Empresas</v>
      </c>
      <c r="J488" s="2" t="str">
        <f>IFERROR(__xludf.DUMMYFUNCTION("""COMPUTED_VALUE"""),"Grado")</f>
        <v>Grado</v>
      </c>
      <c r="K488" s="2" t="str">
        <f>IFERROR(__xludf.DUMMYFUNCTION("""COMPUTED_VALUE"""),"Inglés")</f>
        <v>Inglés</v>
      </c>
      <c r="L488" s="2" t="str">
        <f>IFERROR(__xludf.DUMMYFUNCTION("""COMPUTED_VALUE"""),"C1")</f>
        <v>C1</v>
      </c>
      <c r="M488" s="2" t="str">
        <f>IFERROR(__xludf.DUMMYFUNCTION("""COMPUTED_VALUE"""),"Sí")</f>
        <v>Sí</v>
      </c>
      <c r="N488" s="3" t="str">
        <f>IFERROR(__xludf.DUMMYFUNCTION("""COMPUTED_VALUE"""),"https://www.jura.fu-berlin.de/international/studierendenaustausch/outgoings/partnerunis/romluiss/LUISS-Fact-sheet-2022_23.pdf")</f>
        <v>https://www.jura.fu-berlin.de/international/studierendenaustausch/outgoings/partnerunis/romluiss/LUISS-Fact-sheet-2022_23.pdf</v>
      </c>
      <c r="O488" s="3" t="str">
        <f>IFERROR(__xludf.DUMMYFUNCTION("""COMPUTED_VALUE"""),"Más información / Informazio gehigarria")</f>
        <v>Más información / Informazio gehigarria</v>
      </c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30.0" customHeight="1">
      <c r="A489" s="2" t="str">
        <f>IFERROR(__xludf.DUMMYFUNCTION("""COMPUTED_VALUE"""),"Italia")</f>
        <v>Italia</v>
      </c>
      <c r="B489" s="2" t="str">
        <f>IFERROR(__xludf.DUMMYFUNCTION("""COMPUTED_VALUE"""),"I ROMA03")</f>
        <v>I ROMA03</v>
      </c>
      <c r="C489" s="3" t="str">
        <f>IFERROR(__xludf.DUMMYFUNCTION("""COMPUTED_VALUE"""),"LUISS Guido Carli - Libera Università Internazionale degli Studi Sociali")</f>
        <v>LUISS Guido Carli - Libera Università Internazionale degli Studi Sociali</v>
      </c>
      <c r="D489" s="2" t="str">
        <f>IFERROR(__xludf.DUMMYFUNCTION("""COMPUTED_VALUE"""),"Erasmus+")</f>
        <v>Erasmus+</v>
      </c>
      <c r="E489" s="2">
        <f>IFERROR(__xludf.DUMMYFUNCTION("""COMPUTED_VALUE"""),4.0)</f>
        <v>4</v>
      </c>
      <c r="F489" s="2" t="str">
        <f>IFERROR(__xludf.DUMMYFUNCTION("""COMPUTED_VALUE"""),"Semestre")</f>
        <v>Semestre</v>
      </c>
      <c r="G489" s="2" t="str">
        <f>IFERROR(__xludf.DUMMYFUNCTION("""COMPUTED_VALUE"""),"Ambos")</f>
        <v>Ambos</v>
      </c>
      <c r="H489" s="2" t="str">
        <f>IFERROR(__xludf.DUMMYFUNCTION("""COMPUTED_VALUE"""),"Derecho")</f>
        <v>Derecho</v>
      </c>
      <c r="I489" s="2" t="str">
        <f>IFERROR(__xludf.DUMMYFUNCTION("""COMPUTED_VALUE"""),"Derecho, Derecho + Relaciones Laborales")</f>
        <v>Derecho, Derecho + Relaciones Laborales</v>
      </c>
      <c r="J489" s="2" t="str">
        <f>IFERROR(__xludf.DUMMYFUNCTION("""COMPUTED_VALUE"""),"Grado")</f>
        <v>Grado</v>
      </c>
      <c r="K489" s="2" t="str">
        <f>IFERROR(__xludf.DUMMYFUNCTION("""COMPUTED_VALUE"""),"Italiano / Inglés")</f>
        <v>Italiano / Inglés</v>
      </c>
      <c r="L489" s="2" t="str">
        <f>IFERROR(__xludf.DUMMYFUNCTION("""COMPUTED_VALUE"""),"B2")</f>
        <v>B2</v>
      </c>
      <c r="M489" s="2" t="str">
        <f>IFERROR(__xludf.DUMMYFUNCTION("""COMPUTED_VALUE"""),"Sí")</f>
        <v>Sí</v>
      </c>
      <c r="N489" s="3" t="str">
        <f>IFERROR(__xludf.DUMMYFUNCTION("""COMPUTED_VALUE"""),"https://www.luiss.edu/students/erasmus-and-exchange-students/faqs-frequently-asked-questions")</f>
        <v>https://www.luiss.edu/students/erasmus-and-exchange-students/faqs-frequently-asked-questions</v>
      </c>
      <c r="O489" s="3" t="str">
        <f>IFERROR(__xludf.DUMMYFUNCTION("""COMPUTED_VALUE"""),"Más información / Informazio gehigarria")</f>
        <v>Más información / Informazio gehigarria</v>
      </c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30.0" customHeight="1">
      <c r="A490" s="2" t="str">
        <f>IFERROR(__xludf.DUMMYFUNCTION("""COMPUTED_VALUE"""),"Italia")</f>
        <v>Italia</v>
      </c>
      <c r="B490" s="2" t="str">
        <f>IFERROR(__xludf.DUMMYFUNCTION("""COMPUTED_VALUE"""),"I ROMA03")</f>
        <v>I ROMA03</v>
      </c>
      <c r="C490" s="3" t="str">
        <f>IFERROR(__xludf.DUMMYFUNCTION("""COMPUTED_VALUE"""),"LUISS Guido Carli - Libera Università Internazionale degli Studi Sociali")</f>
        <v>LUISS Guido Carli - Libera Università Internazionale degli Studi Sociali</v>
      </c>
      <c r="D490" s="2" t="str">
        <f>IFERROR(__xludf.DUMMYFUNCTION("""COMPUTED_VALUE"""),"Erasmus+")</f>
        <v>Erasmus+</v>
      </c>
      <c r="E490" s="2">
        <f>IFERROR(__xludf.DUMMYFUNCTION("""COMPUTED_VALUE"""),3.0)</f>
        <v>3</v>
      </c>
      <c r="F490" s="2" t="str">
        <f>IFERROR(__xludf.DUMMYFUNCTION("""COMPUTED_VALUE"""),"Semestre")</f>
        <v>Semestre</v>
      </c>
      <c r="G490" s="2" t="str">
        <f>IFERROR(__xludf.DUMMYFUNCTION("""COMPUTED_VALUE"""),"Bilbao")</f>
        <v>Bilbao</v>
      </c>
      <c r="H490" s="2" t="str">
        <f>IFERROR(__xludf.DUMMYFUNCTION("""COMPUTED_VALUE"""),"Ciencias Sociales y Humanas")</f>
        <v>Ciencias Sociales y Humanas</v>
      </c>
      <c r="I490" s="2" t="str">
        <f>IFERROR(__xludf.DUMMYFUNCTION("""COMPUTED_VALUE"""),"Relaciones Internacionales, Relaciones Internacionales + Derecho")</f>
        <v>Relaciones Internacionales, Relaciones Internacionales + Derecho</v>
      </c>
      <c r="J490" s="2" t="str">
        <f>IFERROR(__xludf.DUMMYFUNCTION("""COMPUTED_VALUE"""),"Grado")</f>
        <v>Grado</v>
      </c>
      <c r="K490" s="2" t="str">
        <f>IFERROR(__xludf.DUMMYFUNCTION("""COMPUTED_VALUE"""),"Italiano / Inglés")</f>
        <v>Italiano / Inglés</v>
      </c>
      <c r="L490" s="2" t="str">
        <f>IFERROR(__xludf.DUMMYFUNCTION("""COMPUTED_VALUE"""),"B2")</f>
        <v>B2</v>
      </c>
      <c r="M490" s="2" t="str">
        <f>IFERROR(__xludf.DUMMYFUNCTION("""COMPUTED_VALUE"""),"Sí")</f>
        <v>Sí</v>
      </c>
      <c r="N490" s="3" t="str">
        <f>IFERROR(__xludf.DUMMYFUNCTION("""COMPUTED_VALUE"""),"https://www.luiss.edu/students/erasmus-and-exchange-students/faqs-frequently-asked-questions")</f>
        <v>https://www.luiss.edu/students/erasmus-and-exchange-students/faqs-frequently-asked-questions</v>
      </c>
      <c r="O490" s="3" t="str">
        <f>IFERROR(__xludf.DUMMYFUNCTION("""COMPUTED_VALUE"""),"Más información / Informazio gehigarria")</f>
        <v>Más información / Informazio gehigarria</v>
      </c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30.0" customHeight="1">
      <c r="A491" s="2" t="str">
        <f>IFERROR(__xludf.DUMMYFUNCTION("""COMPUTED_VALUE"""),"Italia")</f>
        <v>Italia</v>
      </c>
      <c r="B491" s="2" t="str">
        <f>IFERROR(__xludf.DUMMYFUNCTION("""COMPUTED_VALUE"""),"I ROMA03")</f>
        <v>I ROMA03</v>
      </c>
      <c r="C491" s="3" t="str">
        <f>IFERROR(__xludf.DUMMYFUNCTION("""COMPUTED_VALUE"""),"LUISS Guido Carli - Libera Università Internazionale degli Studi Sociali")</f>
        <v>LUISS Guido Carli - Libera Università Internazionale degli Studi Sociali</v>
      </c>
      <c r="D491" s="2" t="str">
        <f>IFERROR(__xludf.DUMMYFUNCTION("""COMPUTED_VALUE"""),"Erasmus+")</f>
        <v>Erasmus+</v>
      </c>
      <c r="E491" s="2">
        <f>IFERROR(__xludf.DUMMYFUNCTION("""COMPUTED_VALUE"""),6.0)</f>
        <v>6</v>
      </c>
      <c r="F491" s="2" t="str">
        <f>IFERROR(__xludf.DUMMYFUNCTION("""COMPUTED_VALUE"""),"Semestre")</f>
        <v>Semestre</v>
      </c>
      <c r="G491" s="2" t="str">
        <f>IFERROR(__xludf.DUMMYFUNCTION("""COMPUTED_VALUE"""),"San Sebastián")</f>
        <v>San Sebastián</v>
      </c>
      <c r="H491" s="2" t="str">
        <f>IFERROR(__xludf.DUMMYFUNCTION("""COMPUTED_VALUE"""),"Deusto Business School")</f>
        <v>Deusto Business School</v>
      </c>
      <c r="I491" s="2" t="str">
        <f>IFERROR(__xludf.DUMMYFUNCTION("""COMPUTED_VALUE"""),"Administración y Dirección de Empresas")</f>
        <v>Administración y Dirección de Empresas</v>
      </c>
      <c r="J491" s="2" t="str">
        <f>IFERROR(__xludf.DUMMYFUNCTION("""COMPUTED_VALUE"""),"Grado")</f>
        <v>Grado</v>
      </c>
      <c r="K491" s="2" t="str">
        <f>IFERROR(__xludf.DUMMYFUNCTION("""COMPUTED_VALUE"""),"Inglés")</f>
        <v>Inglés</v>
      </c>
      <c r="L491" s="2" t="str">
        <f>IFERROR(__xludf.DUMMYFUNCTION("""COMPUTED_VALUE"""),"B2")</f>
        <v>B2</v>
      </c>
      <c r="M491" s="2" t="str">
        <f>IFERROR(__xludf.DUMMYFUNCTION("""COMPUTED_VALUE"""),"No")</f>
        <v>No</v>
      </c>
      <c r="N491" s="3" t="str">
        <f>IFERROR(__xludf.DUMMYFUNCTION("""COMPUTED_VALUE"""),"https://www.jura.fu-berlin.de/international/studierendenaustausch/outgoings/partnerunis/romluiss/LUISS-Fact-sheet-2022_23.pdf")</f>
        <v>https://www.jura.fu-berlin.de/international/studierendenaustausch/outgoings/partnerunis/romluiss/LUISS-Fact-sheet-2022_23.pdf</v>
      </c>
      <c r="O491" s="3" t="str">
        <f>IFERROR(__xludf.DUMMYFUNCTION("""COMPUTED_VALUE"""),"Más información / Informazio gehigarria")</f>
        <v>Más información / Informazio gehigarria</v>
      </c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30.0" customHeight="1">
      <c r="A492" s="2" t="str">
        <f>IFERROR(__xludf.DUMMYFUNCTION("""COMPUTED_VALUE"""),"Italia")</f>
        <v>Italia</v>
      </c>
      <c r="B492" s="2" t="str">
        <f>IFERROR(__xludf.DUMMYFUNCTION("""COMPUTED_VALUE"""),"I ROMA03")</f>
        <v>I ROMA03</v>
      </c>
      <c r="C492" s="3" t="str">
        <f>IFERROR(__xludf.DUMMYFUNCTION("""COMPUTED_VALUE"""),"LUISS Guido Carli - Libera Università Internazionale degli Studi Sociali")</f>
        <v>LUISS Guido Carli - Libera Università Internazionale degli Studi Sociali</v>
      </c>
      <c r="D492" s="2" t="str">
        <f>IFERROR(__xludf.DUMMYFUNCTION("""COMPUTED_VALUE"""),"Erasmus+")</f>
        <v>Erasmus+</v>
      </c>
      <c r="E492" s="2">
        <f>IFERROR(__xludf.DUMMYFUNCTION("""COMPUTED_VALUE"""),2.0)</f>
        <v>2</v>
      </c>
      <c r="F492" s="2" t="str">
        <f>IFERROR(__xludf.DUMMYFUNCTION("""COMPUTED_VALUE"""),"Semestre")</f>
        <v>Semestre</v>
      </c>
      <c r="G492" s="2" t="str">
        <f>IFERROR(__xludf.DUMMYFUNCTION("""COMPUTED_VALUE"""),"Bilbao")</f>
        <v>Bilbao</v>
      </c>
      <c r="H492" s="2" t="str">
        <f>IFERROR(__xludf.DUMMYFUNCTION("""COMPUTED_VALUE"""),"Deusto Business School")</f>
        <v>Deusto Business School</v>
      </c>
      <c r="I492" s="2" t="str">
        <f>IFERROR(__xludf.DUMMYFUNCTION("""COMPUTED_VALUE"""),"Administración y Dirección de Empresas")</f>
        <v>Administración y Dirección de Empresas</v>
      </c>
      <c r="J492" s="2" t="str">
        <f>IFERROR(__xludf.DUMMYFUNCTION("""COMPUTED_VALUE"""),"Grado")</f>
        <v>Grado</v>
      </c>
      <c r="K492" s="2" t="str">
        <f>IFERROR(__xludf.DUMMYFUNCTION("""COMPUTED_VALUE"""),"Inglés")</f>
        <v>Inglés</v>
      </c>
      <c r="L492" s="2" t="str">
        <f>IFERROR(__xludf.DUMMYFUNCTION("""COMPUTED_VALUE"""),"C1")</f>
        <v>C1</v>
      </c>
      <c r="M492" s="2" t="str">
        <f>IFERROR(__xludf.DUMMYFUNCTION("""COMPUTED_VALUE"""),"No")</f>
        <v>No</v>
      </c>
      <c r="N492" s="3" t="str">
        <f>IFERROR(__xludf.DUMMYFUNCTION("""COMPUTED_VALUE"""),"https://www.jura.fu-berlin.de/international/studierendenaustausch/outgoings/partnerunis/romluiss/LUISS-Fact-sheet-2022_23.pdf")</f>
        <v>https://www.jura.fu-berlin.de/international/studierendenaustausch/outgoings/partnerunis/romluiss/LUISS-Fact-sheet-2022_23.pdf</v>
      </c>
      <c r="O492" s="3" t="str">
        <f>IFERROR(__xludf.DUMMYFUNCTION("""COMPUTED_VALUE"""),"Más información / Informazio gehigarria")</f>
        <v>Más información / Informazio gehigarria</v>
      </c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30.0" customHeight="1">
      <c r="A493" s="2" t="str">
        <f>IFERROR(__xludf.DUMMYFUNCTION("""COMPUTED_VALUE"""),"Italia")</f>
        <v>Italia</v>
      </c>
      <c r="B493" s="2" t="str">
        <f>IFERROR(__xludf.DUMMYFUNCTION("""COMPUTED_VALUE"""),"I BARI05")</f>
        <v>I BARI05</v>
      </c>
      <c r="C493" s="3" t="str">
        <f>IFERROR(__xludf.DUMMYFUNCTION("""COMPUTED_VALUE"""),"Politécnico di Bari")</f>
        <v>Politécnico di Bari</v>
      </c>
      <c r="D493" s="2" t="str">
        <f>IFERROR(__xludf.DUMMYFUNCTION("""COMPUTED_VALUE"""),"Erasmus+")</f>
        <v>Erasmus+</v>
      </c>
      <c r="E493" s="2">
        <f>IFERROR(__xludf.DUMMYFUNCTION("""COMPUTED_VALUE"""),2.0)</f>
        <v>2</v>
      </c>
      <c r="F493" s="2" t="str">
        <f>IFERROR(__xludf.DUMMYFUNCTION("""COMPUTED_VALUE"""),"Semestre")</f>
        <v>Semestre</v>
      </c>
      <c r="G493" s="2" t="str">
        <f>IFERROR(__xludf.DUMMYFUNCTION("""COMPUTED_VALUE"""),"Bilbao")</f>
        <v>Bilbao</v>
      </c>
      <c r="H493" s="2" t="str">
        <f>IFERROR(__xludf.DUMMYFUNCTION("""COMPUTED_VALUE"""),"Ingeniería")</f>
        <v>Ingeniería</v>
      </c>
      <c r="I493" s="2" t="str">
        <f>IFERROR(__xludf.DUMMYFUNCTION("""COMPUTED_VALUE"""),"Diseño Industrial, Diseño Industrial + Ingeniería Mecánica")</f>
        <v>Diseño Industrial, Diseño Industrial + Ingeniería Mecánica</v>
      </c>
      <c r="J493" s="2" t="str">
        <f>IFERROR(__xludf.DUMMYFUNCTION("""COMPUTED_VALUE"""),"Grado")</f>
        <v>Grado</v>
      </c>
      <c r="K493" s="2" t="str">
        <f>IFERROR(__xludf.DUMMYFUNCTION("""COMPUTED_VALUE"""),"Italiano / Inglés")</f>
        <v>Italiano / Inglés</v>
      </c>
      <c r="L493" s="2" t="str">
        <f>IFERROR(__xludf.DUMMYFUNCTION("""COMPUTED_VALUE"""),"B1 It / B2 En")</f>
        <v>B1 It / B2 En</v>
      </c>
      <c r="M493" s="2" t="str">
        <f>IFERROR(__xludf.DUMMYFUNCTION("""COMPUTED_VALUE"""),"Sí")</f>
        <v>Sí</v>
      </c>
      <c r="N493" s="3" t="str">
        <f>IFERROR(__xludf.DUMMYFUNCTION("""COMPUTED_VALUE"""),"https://www.poliba.it/sites/default/files/poliba_fact_sheet_23-24.pdf")</f>
        <v>https://www.poliba.it/sites/default/files/poliba_fact_sheet_23-24.pdf</v>
      </c>
      <c r="O493" s="3" t="str">
        <f>IFERROR(__xludf.DUMMYFUNCTION("""COMPUTED_VALUE"""),"Más información / Informazio gehigarria")</f>
        <v>Más información / Informazio gehigarria</v>
      </c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30.0" customHeight="1">
      <c r="A494" s="2" t="str">
        <f>IFERROR(__xludf.DUMMYFUNCTION("""COMPUTED_VALUE"""),"Italia")</f>
        <v>Italia</v>
      </c>
      <c r="B494" s="2" t="str">
        <f>IFERROR(__xludf.DUMMYFUNCTION("""COMPUTED_VALUE"""),"I MILANO02")</f>
        <v>I MILANO02</v>
      </c>
      <c r="C494" s="3" t="str">
        <f>IFERROR(__xludf.DUMMYFUNCTION("""COMPUTED_VALUE"""),"Politecnico di Milano")</f>
        <v>Politecnico di Milano</v>
      </c>
      <c r="D494" s="2" t="str">
        <f>IFERROR(__xludf.DUMMYFUNCTION("""COMPUTED_VALUE"""),"Erasmus+")</f>
        <v>Erasmus+</v>
      </c>
      <c r="E494" s="2">
        <f>IFERROR(__xludf.DUMMYFUNCTION("""COMPUTED_VALUE"""),5.0)</f>
        <v>5</v>
      </c>
      <c r="F494" s="2" t="str">
        <f>IFERROR(__xludf.DUMMYFUNCTION("""COMPUTED_VALUE"""),"Semestre")</f>
        <v>Semestre</v>
      </c>
      <c r="G494" s="2" t="str">
        <f>IFERROR(__xludf.DUMMYFUNCTION("""COMPUTED_VALUE"""),"Ambos")</f>
        <v>Ambos</v>
      </c>
      <c r="H494" s="2" t="str">
        <f>IFERROR(__xludf.DUMMYFUNCTION("""COMPUTED_VALUE"""),"Ingeniería")</f>
        <v>Ingeniería</v>
      </c>
      <c r="I494" s="2" t="str">
        <f>IFERROR(__xludf.DUMMYFUNCTION("""COMPUTED_VALUE"""),"Tecnologías Industriales, Electrónica y Automática, Ingeniería Informática, Organización Industrial, Ciencia de Datos e IA, Industria Digital, Ciencia de Datos e IA + Ingeniería Informática, Ingeniería Informática + Videojuegos, Ingeniería Biomédica")</f>
        <v>Tecnologías Industriales, Electrónica y Automática, Ingeniería Informática, Organización Industrial, Ciencia de Datos e IA, Industria Digital, Ciencia de Datos e IA + Ingeniería Informática, Ingeniería Informática + Videojuegos, Ingeniería Biomédica</v>
      </c>
      <c r="J494" s="2" t="str">
        <f>IFERROR(__xludf.DUMMYFUNCTION("""COMPUTED_VALUE"""),"Grado")</f>
        <v>Grado</v>
      </c>
      <c r="K494" s="2" t="str">
        <f>IFERROR(__xludf.DUMMYFUNCTION("""COMPUTED_VALUE"""),"Italiano / Inglés")</f>
        <v>Italiano / Inglés</v>
      </c>
      <c r="L494" s="2" t="str">
        <f>IFERROR(__xludf.DUMMYFUNCTION("""COMPUTED_VALUE"""),"B1 It / B2 En")</f>
        <v>B1 It / B2 En</v>
      </c>
      <c r="M494" s="2" t="str">
        <f>IFERROR(__xludf.DUMMYFUNCTION("""COMPUTED_VALUE"""),"No")</f>
        <v>No</v>
      </c>
      <c r="N494" s="3" t="str">
        <f>IFERROR(__xludf.DUMMYFUNCTION("""COMPUTED_VALUE"""),"https://www.uc3m.es/secretaria-virtual/media/secretaria-virtual/doc/archivo/doc_e_fs_i_milano02_1/i-milano02_fs_2324.pdf")</f>
        <v>https://www.uc3m.es/secretaria-virtual/media/secretaria-virtual/doc/archivo/doc_e_fs_i_milano02_1/i-milano02_fs_2324.pdf</v>
      </c>
      <c r="O494" s="3" t="str">
        <f>IFERROR(__xludf.DUMMYFUNCTION("""COMPUTED_VALUE"""),"Más información / Informazio gehigarria")</f>
        <v>Más información / Informazio gehigarria</v>
      </c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30.0" customHeight="1">
      <c r="A495" s="2" t="str">
        <f>IFERROR(__xludf.DUMMYFUNCTION("""COMPUTED_VALUE"""),"Italia")</f>
        <v>Italia</v>
      </c>
      <c r="B495" s="2" t="str">
        <f>IFERROR(__xludf.DUMMYFUNCTION("""COMPUTED_VALUE"""),"I ROMA01")</f>
        <v>I ROMA01</v>
      </c>
      <c r="C495" s="2" t="str">
        <f>IFERROR(__xludf.DUMMYFUNCTION("""COMPUTED_VALUE"""),"Sapienza University of Rome")</f>
        <v>Sapienza University of Rome</v>
      </c>
      <c r="D495" s="2" t="str">
        <f>IFERROR(__xludf.DUMMYFUNCTION("""COMPUTED_VALUE"""),"Erasmus+")</f>
        <v>Erasmus+</v>
      </c>
      <c r="E495" s="2">
        <f>IFERROR(__xludf.DUMMYFUNCTION("""COMPUTED_VALUE"""),4.0)</f>
        <v>4</v>
      </c>
      <c r="F495" s="2" t="str">
        <f>IFERROR(__xludf.DUMMYFUNCTION("""COMPUTED_VALUE"""),"Semestre")</f>
        <v>Semestre</v>
      </c>
      <c r="G495" s="2" t="str">
        <f>IFERROR(__xludf.DUMMYFUNCTION("""COMPUTED_VALUE"""),"Ambos")</f>
        <v>Ambos</v>
      </c>
      <c r="H495" s="2" t="str">
        <f>IFERROR(__xludf.DUMMYFUNCTION("""COMPUTED_VALUE"""),"Ciencias Sociales y Humanas")</f>
        <v>Ciencias Sociales y Humanas</v>
      </c>
      <c r="I495" s="2" t="str">
        <f>IFERROR(__xludf.DUMMYFUNCTION("""COMPUTED_VALUE"""),"Trabajo Social")</f>
        <v>Trabajo Social</v>
      </c>
      <c r="J495" s="2" t="str">
        <f>IFERROR(__xludf.DUMMYFUNCTION("""COMPUTED_VALUE"""),"Grado")</f>
        <v>Grado</v>
      </c>
      <c r="K495" s="2" t="str">
        <f>IFERROR(__xludf.DUMMYFUNCTION("""COMPUTED_VALUE"""),"Italiano / Inglés")</f>
        <v>Italiano / Inglés</v>
      </c>
      <c r="L495" s="2" t="str">
        <f>IFERROR(__xludf.DUMMYFUNCTION("""COMPUTED_VALUE"""),"B1 / B2")</f>
        <v>B1 / B2</v>
      </c>
      <c r="M495" s="2" t="str">
        <f>IFERROR(__xludf.DUMMYFUNCTION("""COMPUTED_VALUE"""),"No")</f>
        <v>No</v>
      </c>
      <c r="N495" s="3" t="str">
        <f>IFERROR(__xludf.DUMMYFUNCTION("""COMPUTED_VALUE"""),"https://www.uniroma1.it/it/pagina/students-coming-sapienza")</f>
        <v>https://www.uniroma1.it/it/pagina/students-coming-sapienza</v>
      </c>
      <c r="O495" s="3" t="str">
        <f>IFERROR(__xludf.DUMMYFUNCTION("""COMPUTED_VALUE"""),"Más información / Informazio gehigarria")</f>
        <v>Más información / Informazio gehigarria</v>
      </c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30.0" customHeight="1">
      <c r="A496" s="2" t="str">
        <f>IFERROR(__xludf.DUMMYFUNCTION("""COMPUTED_VALUE"""),"Italia")</f>
        <v>Italia</v>
      </c>
      <c r="B496" s="2" t="str">
        <f>IFERROR(__xludf.DUMMYFUNCTION("""COMPUTED_VALUE"""),"I MILANO27")</f>
        <v>I MILANO27</v>
      </c>
      <c r="C496" s="3" t="str">
        <f>IFERROR(__xludf.DUMMYFUNCTION("""COMPUTED_VALUE"""),"Scuola Superiore per Mediatori Linguistici Prospero Moise")</f>
        <v>Scuola Superiore per Mediatori Linguistici Prospero Moise</v>
      </c>
      <c r="D496" s="2" t="str">
        <f>IFERROR(__xludf.DUMMYFUNCTION("""COMPUTED_VALUE"""),"Erasmus+")</f>
        <v>Erasmus+</v>
      </c>
      <c r="E496" s="2">
        <f>IFERROR(__xludf.DUMMYFUNCTION("""COMPUTED_VALUE"""),1.0)</f>
        <v>1</v>
      </c>
      <c r="F496" s="2" t="str">
        <f>IFERROR(__xludf.DUMMYFUNCTION("""COMPUTED_VALUE"""),"Anual")</f>
        <v>Anual</v>
      </c>
      <c r="G496" s="2" t="str">
        <f>IFERROR(__xludf.DUMMYFUNCTION("""COMPUTED_VALUE"""),"Bilbao")</f>
        <v>Bilbao</v>
      </c>
      <c r="H496" s="2" t="str">
        <f>IFERROR(__xludf.DUMMYFUNCTION("""COMPUTED_VALUE"""),"Ciencias Sociales y Humanas")</f>
        <v>Ciencias Sociales y Humanas</v>
      </c>
      <c r="I496" s="2" t="str">
        <f>IFERROR(__xludf.DUMMYFUNCTION("""COMPUTED_VALUE"""),"Lenguas Modernas")</f>
        <v>Lenguas Modernas</v>
      </c>
      <c r="J496" s="2" t="str">
        <f>IFERROR(__xludf.DUMMYFUNCTION("""COMPUTED_VALUE"""),"Grado")</f>
        <v>Grado</v>
      </c>
      <c r="K496" s="2" t="str">
        <f>IFERROR(__xludf.DUMMYFUNCTION("""COMPUTED_VALUE"""),"Italiano / Inglés")</f>
        <v>Italiano / Inglés</v>
      </c>
      <c r="L496" s="2" t="str">
        <f>IFERROR(__xludf.DUMMYFUNCTION("""COMPUTED_VALUE"""),"B2")</f>
        <v>B2</v>
      </c>
      <c r="M496" s="2" t="str">
        <f>IFERROR(__xludf.DUMMYFUNCTION("""COMPUTED_VALUE"""),"No")</f>
        <v>No</v>
      </c>
      <c r="N496" s="3" t="str">
        <f>IFERROR(__xludf.DUMMYFUNCTION("""COMPUTED_VALUE"""),"https://eurep.auth.gr/sites/default/files/fact_sheets/I%20MILANO27_Factsheet_2023-2024.pdf")</f>
        <v>https://eurep.auth.gr/sites/default/files/fact_sheets/I%20MILANO27_Factsheet_2023-2024.pdf</v>
      </c>
      <c r="O496" s="3" t="str">
        <f>IFERROR(__xludf.DUMMYFUNCTION("""COMPUTED_VALUE"""),"Más información / Informazio gehigarria")</f>
        <v>Más información / Informazio gehigarria</v>
      </c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30.0" customHeight="1">
      <c r="A497" s="2" t="str">
        <f>IFERROR(__xludf.DUMMYFUNCTION("""COMPUTED_VALUE"""),"Italia")</f>
        <v>Italia</v>
      </c>
      <c r="B497" s="2" t="str">
        <f>IFERROR(__xludf.DUMMYFUNCTION("""COMPUTED_VALUE"""),"I NAPOLI03")</f>
        <v>I NAPOLI03</v>
      </c>
      <c r="C497" s="3" t="str">
        <f>IFERROR(__xludf.DUMMYFUNCTION("""COMPUTED_VALUE"""),"Studi Parthenope Di Napoli")</f>
        <v>Studi Parthenope Di Napoli</v>
      </c>
      <c r="D497" s="2" t="str">
        <f>IFERROR(__xludf.DUMMYFUNCTION("""COMPUTED_VALUE"""),"Erasmus+")</f>
        <v>Erasmus+</v>
      </c>
      <c r="E497" s="2">
        <f>IFERROR(__xludf.DUMMYFUNCTION("""COMPUTED_VALUE"""),4.0)</f>
        <v>4</v>
      </c>
      <c r="F497" s="2" t="str">
        <f>IFERROR(__xludf.DUMMYFUNCTION("""COMPUTED_VALUE"""),"Semestre")</f>
        <v>Semestre</v>
      </c>
      <c r="G497" s="2" t="str">
        <f>IFERROR(__xludf.DUMMYFUNCTION("""COMPUTED_VALUE"""),"Bilbao")</f>
        <v>Bilbao</v>
      </c>
      <c r="H497" s="2" t="str">
        <f>IFERROR(__xludf.DUMMYFUNCTION("""COMPUTED_VALUE"""),"Ciencias Sociales y Humanas")</f>
        <v>Ciencias Sociales y Humanas</v>
      </c>
      <c r="I497" s="2" t="str">
        <f>IFERROR(__xludf.DUMMYFUNCTION("""COMPUTED_VALUE"""),"Turismo")</f>
        <v>Turismo</v>
      </c>
      <c r="J497" s="2" t="str">
        <f>IFERROR(__xludf.DUMMYFUNCTION("""COMPUTED_VALUE"""),"Grado")</f>
        <v>Grado</v>
      </c>
      <c r="K497" s="2" t="str">
        <f>IFERROR(__xludf.DUMMYFUNCTION("""COMPUTED_VALUE"""),"Italiano / Inglés")</f>
        <v>Italiano / Inglés</v>
      </c>
      <c r="L497" s="2" t="str">
        <f>IFERROR(__xludf.DUMMYFUNCTION("""COMPUTED_VALUE"""),"B2")</f>
        <v>B2</v>
      </c>
      <c r="M497" s="2" t="str">
        <f>IFERROR(__xludf.DUMMYFUNCTION("""COMPUTED_VALUE"""),"No")</f>
        <v>No</v>
      </c>
      <c r="N497" s="3" t="str">
        <f>IFERROR(__xludf.DUMMYFUNCTION("""COMPUTED_VALUE"""),"https://international.uniparthenope.it/how-to-enrol/")</f>
        <v>https://international.uniparthenope.it/how-to-enrol/</v>
      </c>
      <c r="O497" s="3" t="str">
        <f>IFERROR(__xludf.DUMMYFUNCTION("""COMPUTED_VALUE"""),"Más información / Informazio gehigarria")</f>
        <v>Más información / Informazio gehigarria</v>
      </c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30.0" customHeight="1">
      <c r="A498" s="2" t="str">
        <f>IFERROR(__xludf.DUMMYFUNCTION("""COMPUTED_VALUE"""),"Italia")</f>
        <v>Italia</v>
      </c>
      <c r="B498" s="2" t="str">
        <f>IFERROR(__xludf.DUMMYFUNCTION("""COMPUTED_VALUE"""),"I BENEVEN 04")</f>
        <v>I BENEVEN 04</v>
      </c>
      <c r="C498" s="3" t="str">
        <f>IFERROR(__xludf.DUMMYFUNCTION("""COMPUTED_VALUE"""),"Telematic University ""Giustino Fortunato""")</f>
        <v>Telematic University "Giustino Fortunato"</v>
      </c>
      <c r="D498" s="2" t="str">
        <f>IFERROR(__xludf.DUMMYFUNCTION("""COMPUTED_VALUE"""),"Erasmus+")</f>
        <v>Erasmus+</v>
      </c>
      <c r="E498" s="2">
        <f>IFERROR(__xludf.DUMMYFUNCTION("""COMPUTED_VALUE"""),2.0)</f>
        <v>2</v>
      </c>
      <c r="F498" s="2" t="str">
        <f>IFERROR(__xludf.DUMMYFUNCTION("""COMPUTED_VALUE"""),"Anual")</f>
        <v>Anual</v>
      </c>
      <c r="G498" s="2" t="str">
        <f>IFERROR(__xludf.DUMMYFUNCTION("""COMPUTED_VALUE"""),"Bilbao")</f>
        <v>Bilbao</v>
      </c>
      <c r="H498" s="2" t="str">
        <f>IFERROR(__xludf.DUMMYFUNCTION("""COMPUTED_VALUE"""),"Ciencias de la Salud")</f>
        <v>Ciencias de la Salud</v>
      </c>
      <c r="I498" s="2" t="str">
        <f>IFERROR(__xludf.DUMMYFUNCTION("""COMPUTED_VALUE"""),"Psicología")</f>
        <v>Psicología</v>
      </c>
      <c r="J498" s="2" t="str">
        <f>IFERROR(__xludf.DUMMYFUNCTION("""COMPUTED_VALUE"""),"Grado")</f>
        <v>Grado</v>
      </c>
      <c r="K498" s="2" t="str">
        <f>IFERROR(__xludf.DUMMYFUNCTION("""COMPUTED_VALUE"""),"Italiano")</f>
        <v>Italiano</v>
      </c>
      <c r="L498" s="2" t="str">
        <f>IFERROR(__xludf.DUMMYFUNCTION("""COMPUTED_VALUE"""),"B2")</f>
        <v>B2</v>
      </c>
      <c r="M498" s="2" t="str">
        <f>IFERROR(__xludf.DUMMYFUNCTION("""COMPUTED_VALUE"""),"No")</f>
        <v>No</v>
      </c>
      <c r="N498" s="3" t="str">
        <f>IFERROR(__xludf.DUMMYFUNCTION("""COMPUTED_VALUE"""),"Más información")</f>
        <v>Más información</v>
      </c>
      <c r="O498" s="3" t="str">
        <f>IFERROR(__xludf.DUMMYFUNCTION("""COMPUTED_VALUE"""),"Más información / Informazio gehigarria")</f>
        <v>Más información / Informazio gehigarria</v>
      </c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30.0" customHeight="1">
      <c r="A499" s="2" t="str">
        <f>IFERROR(__xludf.DUMMYFUNCTION("""COMPUTED_VALUE"""),"Italia")</f>
        <v>Italia</v>
      </c>
      <c r="B499" s="2" t="str">
        <f>IFERROR(__xludf.DUMMYFUNCTION("""COMPUTED_VALUE"""),"I MILANO04")</f>
        <v>I MILANO04</v>
      </c>
      <c r="C499" s="3" t="str">
        <f>IFERROR(__xludf.DUMMYFUNCTION("""COMPUTED_VALUE"""),"Universidad Comercial Luigi Bocconi")</f>
        <v>Universidad Comercial Luigi Bocconi</v>
      </c>
      <c r="D499" s="2" t="str">
        <f>IFERROR(__xludf.DUMMYFUNCTION("""COMPUTED_VALUE"""),"Erasmus+")</f>
        <v>Erasmus+</v>
      </c>
      <c r="E499" s="2">
        <f>IFERROR(__xludf.DUMMYFUNCTION("""COMPUTED_VALUE"""),2.0)</f>
        <v>2</v>
      </c>
      <c r="F499" s="2" t="str">
        <f>IFERROR(__xludf.DUMMYFUNCTION("""COMPUTED_VALUE"""),"Ambos semestres")</f>
        <v>Ambos semestres</v>
      </c>
      <c r="G499" s="2" t="str">
        <f>IFERROR(__xludf.DUMMYFUNCTION("""COMPUTED_VALUE"""),"Bilbao")</f>
        <v>Bilbao</v>
      </c>
      <c r="H499" s="2" t="str">
        <f>IFERROR(__xludf.DUMMYFUNCTION("""COMPUTED_VALUE"""),"Deusto Business School")</f>
        <v>Deusto Business School</v>
      </c>
      <c r="I499" s="2" t="str">
        <f>IFERROR(__xludf.DUMMYFUNCTION("""COMPUTED_VALUE"""),"Administración y Dirección de Empresas")</f>
        <v>Administración y Dirección de Empresas</v>
      </c>
      <c r="J499" s="2" t="str">
        <f>IFERROR(__xludf.DUMMYFUNCTION("""COMPUTED_VALUE"""),"Grado")</f>
        <v>Grado</v>
      </c>
      <c r="K499" s="2" t="str">
        <f>IFERROR(__xludf.DUMMYFUNCTION("""COMPUTED_VALUE"""),"Italiano / Inglés")</f>
        <v>Italiano / Inglés</v>
      </c>
      <c r="L499" s="2" t="str">
        <f>IFERROR(__xludf.DUMMYFUNCTION("""COMPUTED_VALUE"""),"Ita B1 / Eng C1")</f>
        <v>Ita B1 / Eng C1</v>
      </c>
      <c r="M499" s="2" t="str">
        <f>IFERROR(__xludf.DUMMYFUNCTION("""COMPUTED_VALUE"""),"Sí")</f>
        <v>Sí</v>
      </c>
      <c r="N499" s="3" t="str">
        <f>IFERROR(__xludf.DUMMYFUNCTION("""COMPUTED_VALUE"""),"https://www.unibocconi.eu/wps/wcm/connect/bocconi/sitopubblico_en/navigation+tree/home/programs/bachelor+of+science/application+and+admission/bachelor+programs+a.y.+2023-24/results+and+enrollment/results+and+enrollment")</f>
        <v>https://www.unibocconi.eu/wps/wcm/connect/bocconi/sitopubblico_en/navigation+tree/home/programs/bachelor+of+science/application+and+admission/bachelor+programs+a.y.+2023-24/results+and+enrollment/results+and+enrollment</v>
      </c>
      <c r="O499" s="3" t="str">
        <f>IFERROR(__xludf.DUMMYFUNCTION("""COMPUTED_VALUE"""),"Más información / Informazio gehigarria")</f>
        <v>Más información / Informazio gehigarria</v>
      </c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30.0" customHeight="1">
      <c r="A500" s="2" t="str">
        <f>IFERROR(__xludf.DUMMYFUNCTION("""COMPUTED_VALUE"""),"Italia")</f>
        <v>Italia</v>
      </c>
      <c r="B500" s="2" t="str">
        <f>IFERROR(__xludf.DUMMYFUNCTION("""COMPUTED_VALUE"""),"I MILANO04")</f>
        <v>I MILANO04</v>
      </c>
      <c r="C500" s="3" t="str">
        <f>IFERROR(__xludf.DUMMYFUNCTION("""COMPUTED_VALUE"""),"Universidad Comercial Luigi Bocconi")</f>
        <v>Universidad Comercial Luigi Bocconi</v>
      </c>
      <c r="D500" s="2" t="str">
        <f>IFERROR(__xludf.DUMMYFUNCTION("""COMPUTED_VALUE"""),"Erasmus+")</f>
        <v>Erasmus+</v>
      </c>
      <c r="E500" s="2">
        <f>IFERROR(__xludf.DUMMYFUNCTION("""COMPUTED_VALUE"""),2.0)</f>
        <v>2</v>
      </c>
      <c r="F500" s="2" t="str">
        <f>IFERROR(__xludf.DUMMYFUNCTION("""COMPUTED_VALUE"""),"Semestre")</f>
        <v>Semestre</v>
      </c>
      <c r="G500" s="2" t="str">
        <f>IFERROR(__xludf.DUMMYFUNCTION("""COMPUTED_VALUE"""),"San Sebastián")</f>
        <v>San Sebastián</v>
      </c>
      <c r="H500" s="2" t="str">
        <f>IFERROR(__xludf.DUMMYFUNCTION("""COMPUTED_VALUE"""),"Deusto Business School")</f>
        <v>Deusto Business School</v>
      </c>
      <c r="I500" s="2" t="str">
        <f>IFERROR(__xludf.DUMMYFUNCTION("""COMPUTED_VALUE"""),"Administración y Dirección de Empresas")</f>
        <v>Administración y Dirección de Empresas</v>
      </c>
      <c r="J500" s="2" t="str">
        <f>IFERROR(__xludf.DUMMYFUNCTION("""COMPUTED_VALUE"""),"Grado")</f>
        <v>Grado</v>
      </c>
      <c r="K500" s="2" t="str">
        <f>IFERROR(__xludf.DUMMYFUNCTION("""COMPUTED_VALUE"""),"Inglés")</f>
        <v>Inglés</v>
      </c>
      <c r="L500" s="2" t="str">
        <f>IFERROR(__xludf.DUMMYFUNCTION("""COMPUTED_VALUE"""),"C1")</f>
        <v>C1</v>
      </c>
      <c r="M500" s="2" t="str">
        <f>IFERROR(__xludf.DUMMYFUNCTION("""COMPUTED_VALUE"""),"Sí")</f>
        <v>Sí</v>
      </c>
      <c r="N500" s="3" t="str">
        <f>IFERROR(__xludf.DUMMYFUNCTION("""COMPUTED_VALUE"""),"https://www.unibocconi.eu/wps/wcm/connect/bocconi/sitopubblico_en/navigation+tree/home/programs/bachelor+of+science/application+and+admission/bachelor+programs+a.y.+2023-24/results+and+enrollment/results+and+enrollment")</f>
        <v>https://www.unibocconi.eu/wps/wcm/connect/bocconi/sitopubblico_en/navigation+tree/home/programs/bachelor+of+science/application+and+admission/bachelor+programs+a.y.+2023-24/results+and+enrollment/results+and+enrollment</v>
      </c>
      <c r="O500" s="3" t="str">
        <f>IFERROR(__xludf.DUMMYFUNCTION("""COMPUTED_VALUE"""),"Más información / Informazio gehigarria")</f>
        <v>Más información / Informazio gehigarria</v>
      </c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30.0" customHeight="1">
      <c r="A501" s="2" t="str">
        <f>IFERROR(__xludf.DUMMYFUNCTION("""COMPUTED_VALUE"""),"Italia")</f>
        <v>Italia</v>
      </c>
      <c r="B501" s="2" t="str">
        <f>IFERROR(__xludf.DUMMYFUNCTION("""COMPUTED_VALUE"""),"ICASTELL01")</f>
        <v>ICASTELL01</v>
      </c>
      <c r="C501" s="3" t="str">
        <f>IFERROR(__xludf.DUMMYFUNCTION("""COMPUTED_VALUE"""),"Universitá Cattaneo Castellanza (LIUC)")</f>
        <v>Universitá Cattaneo Castellanza (LIUC)</v>
      </c>
      <c r="D501" s="2" t="str">
        <f>IFERROR(__xludf.DUMMYFUNCTION("""COMPUTED_VALUE"""),"Erasmus+")</f>
        <v>Erasmus+</v>
      </c>
      <c r="E501" s="2">
        <f>IFERROR(__xludf.DUMMYFUNCTION("""COMPUTED_VALUE"""),2.0)</f>
        <v>2</v>
      </c>
      <c r="F501" s="2" t="str">
        <f>IFERROR(__xludf.DUMMYFUNCTION("""COMPUTED_VALUE"""),"Semestre")</f>
        <v>Semestre</v>
      </c>
      <c r="G501" s="2" t="str">
        <f>IFERROR(__xludf.DUMMYFUNCTION("""COMPUTED_VALUE"""),"San Sebastián")</f>
        <v>San Sebastián</v>
      </c>
      <c r="H501" s="2" t="str">
        <f>IFERROR(__xludf.DUMMYFUNCTION("""COMPUTED_VALUE"""),"Deusto Business School")</f>
        <v>Deusto Business School</v>
      </c>
      <c r="I501" s="2" t="str">
        <f>IFERROR(__xludf.DUMMYFUNCTION("""COMPUTED_VALUE"""),"Administración y Dirección de Empresas")</f>
        <v>Administración y Dirección de Empresas</v>
      </c>
      <c r="J501" s="2" t="str">
        <f>IFERROR(__xludf.DUMMYFUNCTION("""COMPUTED_VALUE"""),"Grado")</f>
        <v>Grado</v>
      </c>
      <c r="K501" s="2" t="str">
        <f>IFERROR(__xludf.DUMMYFUNCTION("""COMPUTED_VALUE"""),"Inglés")</f>
        <v>Inglés</v>
      </c>
      <c r="L501" s="2" t="str">
        <f>IFERROR(__xludf.DUMMYFUNCTION("""COMPUTED_VALUE"""),"B2")</f>
        <v>B2</v>
      </c>
      <c r="M501" s="2" t="str">
        <f>IFERROR(__xludf.DUMMYFUNCTION("""COMPUTED_VALUE"""),"Sí")</f>
        <v>Sí</v>
      </c>
      <c r="N501" s="3" t="str">
        <f>IFERROR(__xludf.DUMMYFUNCTION("""COMPUTED_VALUE"""),"https://www.liuc.it/campus-ed-opportunita/international-office/incoming-students/visiting-students-programme/")</f>
        <v>https://www.liuc.it/campus-ed-opportunita/international-office/incoming-students/visiting-students-programme/</v>
      </c>
      <c r="O501" s="3" t="str">
        <f>IFERROR(__xludf.DUMMYFUNCTION("""COMPUTED_VALUE"""),"Más información / Informazio gehigarria")</f>
        <v>Más información / Informazio gehigarria</v>
      </c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30.0" customHeight="1">
      <c r="A502" s="2" t="str">
        <f>IFERROR(__xludf.DUMMYFUNCTION("""COMPUTED_VALUE"""),"Italia")</f>
        <v>Italia</v>
      </c>
      <c r="B502" s="2" t="str">
        <f>IFERROR(__xludf.DUMMYFUNCTION("""COMPUTED_VALUE"""),"I MILANO03")</f>
        <v>I MILANO03</v>
      </c>
      <c r="C502" s="3" t="str">
        <f>IFERROR(__xludf.DUMMYFUNCTION("""COMPUTED_VALUE"""),"Università Cattolica del Sacro Cuore")</f>
        <v>Università Cattolica del Sacro Cuore</v>
      </c>
      <c r="D502" s="2" t="str">
        <f>IFERROR(__xludf.DUMMYFUNCTION("""COMPUTED_VALUE"""),"Erasmus+")</f>
        <v>Erasmus+</v>
      </c>
      <c r="E502" s="2">
        <f>IFERROR(__xludf.DUMMYFUNCTION("""COMPUTED_VALUE"""),2.0)</f>
        <v>2</v>
      </c>
      <c r="F502" s="2" t="str">
        <f>IFERROR(__xludf.DUMMYFUNCTION("""COMPUTED_VALUE"""),"Anual")</f>
        <v>Anual</v>
      </c>
      <c r="G502" s="2" t="str">
        <f>IFERROR(__xludf.DUMMYFUNCTION("""COMPUTED_VALUE"""),"Bilbao")</f>
        <v>Bilbao</v>
      </c>
      <c r="H502" s="2" t="str">
        <f>IFERROR(__xludf.DUMMYFUNCTION("""COMPUTED_VALUE"""),"Ciencias de la Salud")</f>
        <v>Ciencias de la Salud</v>
      </c>
      <c r="I502" s="2" t="str">
        <f>IFERROR(__xludf.DUMMYFUNCTION("""COMPUTED_VALUE"""),"Psicología")</f>
        <v>Psicología</v>
      </c>
      <c r="J502" s="2" t="str">
        <f>IFERROR(__xludf.DUMMYFUNCTION("""COMPUTED_VALUE"""),"Grado")</f>
        <v>Grado</v>
      </c>
      <c r="K502" s="2" t="str">
        <f>IFERROR(__xludf.DUMMYFUNCTION("""COMPUTED_VALUE"""),"Inglés")</f>
        <v>Inglés</v>
      </c>
      <c r="L502" s="2" t="str">
        <f>IFERROR(__xludf.DUMMYFUNCTION("""COMPUTED_VALUE"""),"B2")</f>
        <v>B2</v>
      </c>
      <c r="M502" s="2" t="str">
        <f>IFERROR(__xludf.DUMMYFUNCTION("""COMPUTED_VALUE"""),"Sí")</f>
        <v>Sí</v>
      </c>
      <c r="N502" s="3" t="str">
        <f>IFERROR(__xludf.DUMMYFUNCTION("""COMPUTED_VALUE"""),"https://international.unicatt.it/ucscinternational-exchange-program-in-milan-faq#:~:text=TOEFL%20score%20of%2079%20iBT,English%20at%20their%20home%20institution.")</f>
        <v>https://international.unicatt.it/ucscinternational-exchange-program-in-milan-faq#:~:text=TOEFL%20score%20of%2079%20iBT,English%20at%20their%20home%20institution.</v>
      </c>
      <c r="O502" s="3" t="str">
        <f>IFERROR(__xludf.DUMMYFUNCTION("""COMPUTED_VALUE"""),"Más información / Informazio gehigarria")</f>
        <v>Más información / Informazio gehigarria</v>
      </c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30.0" customHeight="1">
      <c r="A503" s="2" t="str">
        <f>IFERROR(__xludf.DUMMYFUNCTION("""COMPUTED_VALUE"""),"Italia")</f>
        <v>Italia</v>
      </c>
      <c r="B503" s="2" t="str">
        <f>IFERROR(__xludf.DUMMYFUNCTION("""COMPUTED_VALUE"""),"I VARESE 02")</f>
        <v>I VARESE 02</v>
      </c>
      <c r="C503" s="3" t="str">
        <f>IFERROR(__xludf.DUMMYFUNCTION("""COMPUTED_VALUE"""),"Università degli Studi dell’Insubria")</f>
        <v>Università degli Studi dell’Insubria</v>
      </c>
      <c r="D503" s="2" t="str">
        <f>IFERROR(__xludf.DUMMYFUNCTION("""COMPUTED_VALUE"""),"Erasmus+")</f>
        <v>Erasmus+</v>
      </c>
      <c r="E503" s="2">
        <f>IFERROR(__xludf.DUMMYFUNCTION("""COMPUTED_VALUE"""),4.0)</f>
        <v>4</v>
      </c>
      <c r="F503" s="2" t="str">
        <f>IFERROR(__xludf.DUMMYFUNCTION("""COMPUTED_VALUE"""),"Semestre")</f>
        <v>Semestre</v>
      </c>
      <c r="G503" s="2" t="str">
        <f>IFERROR(__xludf.DUMMYFUNCTION("""COMPUTED_VALUE"""),"Bilbao")</f>
        <v>Bilbao</v>
      </c>
      <c r="H503" s="2" t="str">
        <f>IFERROR(__xludf.DUMMYFUNCTION("""COMPUTED_VALUE"""),"Ciencias Sociales y Humanas")</f>
        <v>Ciencias Sociales y Humanas</v>
      </c>
      <c r="I503" s="2" t="str">
        <f>IFERROR(__xludf.DUMMYFUNCTION("""COMPUTED_VALUE"""),"Turismo")</f>
        <v>Turismo</v>
      </c>
      <c r="J503" s="2" t="str">
        <f>IFERROR(__xludf.DUMMYFUNCTION("""COMPUTED_VALUE"""),"Grado")</f>
        <v>Grado</v>
      </c>
      <c r="K503" s="2" t="str">
        <f>IFERROR(__xludf.DUMMYFUNCTION("""COMPUTED_VALUE"""),"Italiano / Inglés")</f>
        <v>Italiano / Inglés</v>
      </c>
      <c r="L503" s="2" t="str">
        <f>IFERROR(__xludf.DUMMYFUNCTION("""COMPUTED_VALUE"""),"B2")</f>
        <v>B2</v>
      </c>
      <c r="M503" s="2" t="str">
        <f>IFERROR(__xludf.DUMMYFUNCTION("""COMPUTED_VALUE"""),"No")</f>
        <v>No</v>
      </c>
      <c r="N503" s="3" t="str">
        <f>IFERROR(__xludf.DUMMYFUNCTION("""COMPUTED_VALUE"""),"https://www.uninsubria.eu/sites/sten/files/2024-04/I%20VARESE02_FactSheet%20AY%202024-25%20and%20Departmental%20coordinators.pdf")</f>
        <v>https://www.uninsubria.eu/sites/sten/files/2024-04/I%20VARESE02_FactSheet%20AY%202024-25%20and%20Departmental%20coordinators.pdf</v>
      </c>
      <c r="O503" s="3" t="str">
        <f>IFERROR(__xludf.DUMMYFUNCTION("""COMPUTED_VALUE"""),"Más información / Informazio gehigarria")</f>
        <v>Más información / Informazio gehigarria</v>
      </c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30.0" customHeight="1">
      <c r="A504" s="2" t="str">
        <f>IFERROR(__xludf.DUMMYFUNCTION("""COMPUTED_VALUE"""),"Italia")</f>
        <v>Italia</v>
      </c>
      <c r="B504" s="2" t="str">
        <f>IFERROR(__xludf.DUMMYFUNCTION("""COMPUTED_VALUE"""),"I NAPOLI09")</f>
        <v>I NAPOLI09</v>
      </c>
      <c r="C504" s="3" t="str">
        <f>IFERROR(__xludf.DUMMYFUNCTION("""COMPUTED_VALUE"""),"Università degli Studi della Campania ""Luigi Vanvitelli""")</f>
        <v>Università degli Studi della Campania "Luigi Vanvitelli"</v>
      </c>
      <c r="D504" s="2" t="str">
        <f>IFERROR(__xludf.DUMMYFUNCTION("""COMPUTED_VALUE"""),"Erasmus+")</f>
        <v>Erasmus+</v>
      </c>
      <c r="E504" s="2">
        <f>IFERROR(__xludf.DUMMYFUNCTION("""COMPUTED_VALUE"""),4.0)</f>
        <v>4</v>
      </c>
      <c r="F504" s="2" t="str">
        <f>IFERROR(__xludf.DUMMYFUNCTION("""COMPUTED_VALUE"""),"Semestre")</f>
        <v>Semestre</v>
      </c>
      <c r="G504" s="2" t="str">
        <f>IFERROR(__xludf.DUMMYFUNCTION("""COMPUTED_VALUE"""),"Ambos")</f>
        <v>Ambos</v>
      </c>
      <c r="H504" s="2" t="str">
        <f>IFERROR(__xludf.DUMMYFUNCTION("""COMPUTED_VALUE"""),"Derecho")</f>
        <v>Derecho</v>
      </c>
      <c r="I504" s="2" t="str">
        <f>IFERROR(__xludf.DUMMYFUNCTION("""COMPUTED_VALUE"""),"Derecho, Derecho + Relaciones Laborales")</f>
        <v>Derecho, Derecho + Relaciones Laborales</v>
      </c>
      <c r="J504" s="2" t="str">
        <f>IFERROR(__xludf.DUMMYFUNCTION("""COMPUTED_VALUE"""),"Grado")</f>
        <v>Grado</v>
      </c>
      <c r="K504" s="2" t="str">
        <f>IFERROR(__xludf.DUMMYFUNCTION("""COMPUTED_VALUE"""),"Italiano")</f>
        <v>Italiano</v>
      </c>
      <c r="L504" s="2" t="str">
        <f>IFERROR(__xludf.DUMMYFUNCTION("""COMPUTED_VALUE"""),"B1")</f>
        <v>B1</v>
      </c>
      <c r="M504" s="2" t="str">
        <f>IFERROR(__xludf.DUMMYFUNCTION("""COMPUTED_VALUE"""),"No")</f>
        <v>No</v>
      </c>
      <c r="N504" s="3" t="str">
        <f>IFERROR(__xludf.DUMMYFUNCTION("""COMPUTED_VALUE"""),"https://www.unicampania.it/index.php/international/international-students")</f>
        <v>https://www.unicampania.it/index.php/international/international-students</v>
      </c>
      <c r="O504" s="3" t="str">
        <f>IFERROR(__xludf.DUMMYFUNCTION("""COMPUTED_VALUE"""),"Más información / Informazio gehigarria")</f>
        <v>Más información / Informazio gehigarria</v>
      </c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30.0" customHeight="1">
      <c r="A505" s="2" t="str">
        <f>IFERROR(__xludf.DUMMYFUNCTION("""COMPUTED_VALUE"""),"Italia")</f>
        <v>Italia</v>
      </c>
      <c r="B505" s="2" t="str">
        <f>IFERROR(__xludf.DUMMYFUNCTION("""COMPUTED_VALUE"""),"I CASSINO01")</f>
        <v>I CASSINO01</v>
      </c>
      <c r="C505" s="3" t="str">
        <f>IFERROR(__xludf.DUMMYFUNCTION("""COMPUTED_VALUE"""),"Università degli Studi di Cassino e del Lazio Meridionale")</f>
        <v>Università degli Studi di Cassino e del Lazio Meridionale</v>
      </c>
      <c r="D505" s="2" t="str">
        <f>IFERROR(__xludf.DUMMYFUNCTION("""COMPUTED_VALUE"""),"Erasmus+")</f>
        <v>Erasmus+</v>
      </c>
      <c r="E505" s="2">
        <f>IFERROR(__xludf.DUMMYFUNCTION("""COMPUTED_VALUE"""),3.0)</f>
        <v>3</v>
      </c>
      <c r="F505" s="2" t="str">
        <f>IFERROR(__xludf.DUMMYFUNCTION("""COMPUTED_VALUE"""),"Semestre")</f>
        <v>Semestre</v>
      </c>
      <c r="G505" s="2" t="str">
        <f>IFERROR(__xludf.DUMMYFUNCTION("""COMPUTED_VALUE"""),"Bilbao")</f>
        <v>Bilbao</v>
      </c>
      <c r="H505" s="2" t="str">
        <f>IFERROR(__xludf.DUMMYFUNCTION("""COMPUTED_VALUE"""),"Educación y Deporte")</f>
        <v>Educación y Deporte</v>
      </c>
      <c r="I505" s="2" t="str">
        <f>IFERROR(__xludf.DUMMYFUNCTION("""COMPUTED_VALUE"""),"CAFyD")</f>
        <v>CAFyD</v>
      </c>
      <c r="J505" s="2" t="str">
        <f>IFERROR(__xludf.DUMMYFUNCTION("""COMPUTED_VALUE"""),"Grado")</f>
        <v>Grado</v>
      </c>
      <c r="K505" s="2" t="str">
        <f>IFERROR(__xludf.DUMMYFUNCTION("""COMPUTED_VALUE"""),"Italiano")</f>
        <v>Italiano</v>
      </c>
      <c r="L505" s="2" t="str">
        <f>IFERROR(__xludf.DUMMYFUNCTION("""COMPUTED_VALUE"""),"B1")</f>
        <v>B1</v>
      </c>
      <c r="M505" s="2" t="str">
        <f>IFERROR(__xludf.DUMMYFUNCTION("""COMPUTED_VALUE"""),"No")</f>
        <v>No</v>
      </c>
      <c r="N505" s="3" t="str">
        <f>IFERROR(__xludf.DUMMYFUNCTION("""COMPUTED_VALUE"""),"https://www.unicampania.it/index.php/international/international-students")</f>
        <v>https://www.unicampania.it/index.php/international/international-students</v>
      </c>
      <c r="O505" s="3" t="str">
        <f>IFERROR(__xludf.DUMMYFUNCTION("""COMPUTED_VALUE"""),"Más información / Informazio gehigarria")</f>
        <v>Más información / Informazio gehigarria</v>
      </c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30.0" customHeight="1">
      <c r="A506" s="2" t="str">
        <f>IFERROR(__xludf.DUMMYFUNCTION("""COMPUTED_VALUE"""),"Italia")</f>
        <v>Italia</v>
      </c>
      <c r="B506" s="2" t="str">
        <f>IFERROR(__xludf.DUMMYFUNCTION("""COMPUTED_VALUE"""),"I FIRENZE01")</f>
        <v>I FIRENZE01</v>
      </c>
      <c r="C506" s="3" t="str">
        <f>IFERROR(__xludf.DUMMYFUNCTION("""COMPUTED_VALUE"""),"Università degli Studi di Firenze")</f>
        <v>Università degli Studi di Firenze</v>
      </c>
      <c r="D506" s="2" t="str">
        <f>IFERROR(__xludf.DUMMYFUNCTION("""COMPUTED_VALUE"""),"Erasmus+")</f>
        <v>Erasmus+</v>
      </c>
      <c r="E506" s="2">
        <f>IFERROR(__xludf.DUMMYFUNCTION("""COMPUTED_VALUE"""),2.0)</f>
        <v>2</v>
      </c>
      <c r="F506" s="2" t="str">
        <f>IFERROR(__xludf.DUMMYFUNCTION("""COMPUTED_VALUE"""),"Semestre")</f>
        <v>Semestre</v>
      </c>
      <c r="G506" s="2" t="str">
        <f>IFERROR(__xludf.DUMMYFUNCTION("""COMPUTED_VALUE"""),"Bilbao")</f>
        <v>Bilbao</v>
      </c>
      <c r="H506" s="2" t="str">
        <f>IFERROR(__xludf.DUMMYFUNCTION("""COMPUTED_VALUE"""),"Ingeniería")</f>
        <v>Ingeniería</v>
      </c>
      <c r="I506" s="2" t="str">
        <f>IFERROR(__xludf.DUMMYFUNCTION("""COMPUTED_VALUE"""),"Diseño Industrial, Diseño Industrial + Ingeniería Mecánica")</f>
        <v>Diseño Industrial, Diseño Industrial + Ingeniería Mecánica</v>
      </c>
      <c r="J506" s="2" t="str">
        <f>IFERROR(__xludf.DUMMYFUNCTION("""COMPUTED_VALUE"""),"Grado")</f>
        <v>Grado</v>
      </c>
      <c r="K506" s="2" t="str">
        <f>IFERROR(__xludf.DUMMYFUNCTION("""COMPUTED_VALUE"""),"Italiano / Inglés")</f>
        <v>Italiano / Inglés</v>
      </c>
      <c r="L506" s="2" t="str">
        <f>IFERROR(__xludf.DUMMYFUNCTION("""COMPUTED_VALUE"""),"B1 It / B2 En")</f>
        <v>B1 It / B2 En</v>
      </c>
      <c r="M506" s="2" t="str">
        <f>IFERROR(__xludf.DUMMYFUNCTION("""COMPUTED_VALUE"""),"Sí")</f>
        <v>Sí</v>
      </c>
      <c r="N506" s="3" t="str">
        <f>IFERROR(__xludf.DUMMYFUNCTION("""COMPUTED_VALUE"""),"https://www.ingegneria.unifi.it/vp-370-language-requirements.html")</f>
        <v>https://www.ingegneria.unifi.it/vp-370-language-requirements.html</v>
      </c>
      <c r="O506" s="3" t="str">
        <f>IFERROR(__xludf.DUMMYFUNCTION("""COMPUTED_VALUE"""),"Más información / Informazio gehigarria")</f>
        <v>Más información / Informazio gehigarria</v>
      </c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30.0" customHeight="1">
      <c r="A507" s="2" t="str">
        <f>IFERROR(__xludf.DUMMYFUNCTION("""COMPUTED_VALUE"""),"Italia")</f>
        <v>Italia</v>
      </c>
      <c r="B507" s="2" t="str">
        <f>IFERROR(__xludf.DUMMYFUNCTION("""COMPUTED_VALUE"""),"I FIRENZE01")</f>
        <v>I FIRENZE01</v>
      </c>
      <c r="C507" s="3" t="str">
        <f>IFERROR(__xludf.DUMMYFUNCTION("""COMPUTED_VALUE"""),"Università degli Studi di Firenze")</f>
        <v>Università degli Studi di Firenze</v>
      </c>
      <c r="D507" s="2" t="str">
        <f>IFERROR(__xludf.DUMMYFUNCTION("""COMPUTED_VALUE"""),"Erasmus+")</f>
        <v>Erasmus+</v>
      </c>
      <c r="E507" s="2">
        <f>IFERROR(__xludf.DUMMYFUNCTION("""COMPUTED_VALUE"""),1.0)</f>
        <v>1</v>
      </c>
      <c r="F507" s="2" t="str">
        <f>IFERROR(__xludf.DUMMYFUNCTION("""COMPUTED_VALUE"""),"Semestre")</f>
        <v>Semestre</v>
      </c>
      <c r="G507" s="2" t="str">
        <f>IFERROR(__xludf.DUMMYFUNCTION("""COMPUTED_VALUE"""),"Bilbao")</f>
        <v>Bilbao</v>
      </c>
      <c r="H507" s="2" t="str">
        <f>IFERROR(__xludf.DUMMYFUNCTION("""COMPUTED_VALUE"""),"Ciencias Sociales y Humanas")</f>
        <v>Ciencias Sociales y Humanas</v>
      </c>
      <c r="I507" s="2" t="str">
        <f>IFERROR(__xludf.DUMMYFUNCTION("""COMPUTED_VALUE"""),"Filosofía, Política y Economía")</f>
        <v>Filosofía, Política y Economía</v>
      </c>
      <c r="J507" s="2" t="str">
        <f>IFERROR(__xludf.DUMMYFUNCTION("""COMPUTED_VALUE"""),"Grado")</f>
        <v>Grado</v>
      </c>
      <c r="K507" s="2" t="str">
        <f>IFERROR(__xludf.DUMMYFUNCTION("""COMPUTED_VALUE"""),"Italiano / Inglés")</f>
        <v>Italiano / Inglés</v>
      </c>
      <c r="L507" s="2" t="str">
        <f>IFERROR(__xludf.DUMMYFUNCTION("""COMPUTED_VALUE"""),"B1 It / B2 En")</f>
        <v>B1 It / B2 En</v>
      </c>
      <c r="M507" s="2" t="str">
        <f>IFERROR(__xludf.DUMMYFUNCTION("""COMPUTED_VALUE"""),"Sí")</f>
        <v>Sí</v>
      </c>
      <c r="N507" s="3" t="str">
        <f>IFERROR(__xludf.DUMMYFUNCTION("""COMPUTED_VALUE"""),"https://www.ingegneria.unifi.it/vp-370-language-requirements.html")</f>
        <v>https://www.ingegneria.unifi.it/vp-370-language-requirements.html</v>
      </c>
      <c r="O507" s="3" t="str">
        <f>IFERROR(__xludf.DUMMYFUNCTION("""COMPUTED_VALUE"""),"Más información / Informazio gehigarria")</f>
        <v>Más información / Informazio gehigarria</v>
      </c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30.0" customHeight="1">
      <c r="A508" s="2" t="str">
        <f>IFERROR(__xludf.DUMMYFUNCTION("""COMPUTED_VALUE"""),"Italia")</f>
        <v>Italia</v>
      </c>
      <c r="B508" s="2" t="str">
        <f>IFERROR(__xludf.DUMMYFUNCTION("""COMPUTED_VALUE"""),"I FIRENZE01")</f>
        <v>I FIRENZE01</v>
      </c>
      <c r="C508" s="3" t="str">
        <f>IFERROR(__xludf.DUMMYFUNCTION("""COMPUTED_VALUE"""),"Università degli Studi di Firenze")</f>
        <v>Università degli Studi di Firenze</v>
      </c>
      <c r="D508" s="2" t="str">
        <f>IFERROR(__xludf.DUMMYFUNCTION("""COMPUTED_VALUE"""),"Erasmus+")</f>
        <v>Erasmus+</v>
      </c>
      <c r="E508" s="2">
        <f>IFERROR(__xludf.DUMMYFUNCTION("""COMPUTED_VALUE"""),2.0)</f>
        <v>2</v>
      </c>
      <c r="F508" s="2" t="str">
        <f>IFERROR(__xludf.DUMMYFUNCTION("""COMPUTED_VALUE"""),"Semestre")</f>
        <v>Semestre</v>
      </c>
      <c r="G508" s="2" t="str">
        <f>IFERROR(__xludf.DUMMYFUNCTION("""COMPUTED_VALUE"""),"Ambos")</f>
        <v>Ambos</v>
      </c>
      <c r="H508" s="2" t="str">
        <f>IFERROR(__xludf.DUMMYFUNCTION("""COMPUTED_VALUE"""),"Ingeniería")</f>
        <v>Ingeniería</v>
      </c>
      <c r="I508" s="2" t="str">
        <f>IFERROR(__xludf.DUMMYFUNCTION("""COMPUTED_VALUE"""),"Ingeniería Mecánica, Electrónica y Automática, Ingeniería Informática, Organización Industrial, Industria Digital, Diseño Industrial + Ingeniería Mecánica, Ingeniería Informática + Videojuegos")</f>
        <v>Ingeniería Mecánica, Electrónica y Automática, Ingeniería Informática, Organización Industrial, Industria Digital, Diseño Industrial + Ingeniería Mecánica, Ingeniería Informática + Videojuegos</v>
      </c>
      <c r="J508" s="2" t="str">
        <f>IFERROR(__xludf.DUMMYFUNCTION("""COMPUTED_VALUE"""),"Grado")</f>
        <v>Grado</v>
      </c>
      <c r="K508" s="2" t="str">
        <f>IFERROR(__xludf.DUMMYFUNCTION("""COMPUTED_VALUE"""),"Italiano / Inglés")</f>
        <v>Italiano / Inglés</v>
      </c>
      <c r="L508" s="2" t="str">
        <f>IFERROR(__xludf.DUMMYFUNCTION("""COMPUTED_VALUE"""),"B1 It / B2 En")</f>
        <v>B1 It / B2 En</v>
      </c>
      <c r="M508" s="2" t="str">
        <f>IFERROR(__xludf.DUMMYFUNCTION("""COMPUTED_VALUE"""),"Sí")</f>
        <v>Sí</v>
      </c>
      <c r="N508" s="3" t="str">
        <f>IFERROR(__xludf.DUMMYFUNCTION("""COMPUTED_VALUE"""),"https://www.ingegneria.unifi.it/vp-370-language-requirements.html")</f>
        <v>https://www.ingegneria.unifi.it/vp-370-language-requirements.html</v>
      </c>
      <c r="O508" s="3" t="str">
        <f>IFERROR(__xludf.DUMMYFUNCTION("""COMPUTED_VALUE"""),"Más información / Informazio gehigarria")</f>
        <v>Más información / Informazio gehigarria</v>
      </c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30.0" customHeight="1">
      <c r="A509" s="2" t="str">
        <f>IFERROR(__xludf.DUMMYFUNCTION("""COMPUTED_VALUE"""),"Italia")</f>
        <v>Italia</v>
      </c>
      <c r="B509" s="2" t="str">
        <f>IFERROR(__xludf.DUMMYFUNCTION("""COMPUTED_VALUE"""),"I FIRENZE01")</f>
        <v>I FIRENZE01</v>
      </c>
      <c r="C509" s="3" t="str">
        <f>IFERROR(__xludf.DUMMYFUNCTION("""COMPUTED_VALUE"""),"Università degli Studi di Firenze")</f>
        <v>Università degli Studi di Firenze</v>
      </c>
      <c r="D509" s="2" t="str">
        <f>IFERROR(__xludf.DUMMYFUNCTION("""COMPUTED_VALUE"""),"Erasmus+")</f>
        <v>Erasmus+</v>
      </c>
      <c r="E509" s="2">
        <f>IFERROR(__xludf.DUMMYFUNCTION("""COMPUTED_VALUE"""),2.0)</f>
        <v>2</v>
      </c>
      <c r="F509" s="2" t="str">
        <f>IFERROR(__xludf.DUMMYFUNCTION("""COMPUTED_VALUE"""),"Anual")</f>
        <v>Anual</v>
      </c>
      <c r="G509" s="2" t="str">
        <f>IFERROR(__xludf.DUMMYFUNCTION("""COMPUTED_VALUE"""),"Bilbao")</f>
        <v>Bilbao</v>
      </c>
      <c r="H509" s="2" t="str">
        <f>IFERROR(__xludf.DUMMYFUNCTION("""COMPUTED_VALUE"""),"Ciencias Sociales y Humanas")</f>
        <v>Ciencias Sociales y Humanas</v>
      </c>
      <c r="I509" s="2" t="str">
        <f>IFERROR(__xludf.DUMMYFUNCTION("""COMPUTED_VALUE"""),"Relaciones Internacionales, Relaciones Internacionales + Derecho")</f>
        <v>Relaciones Internacionales, Relaciones Internacionales + Derecho</v>
      </c>
      <c r="J509" s="2" t="str">
        <f>IFERROR(__xludf.DUMMYFUNCTION("""COMPUTED_VALUE"""),"Grado")</f>
        <v>Grado</v>
      </c>
      <c r="K509" s="2" t="str">
        <f>IFERROR(__xludf.DUMMYFUNCTION("""COMPUTED_VALUE"""),"Italiano / Inglés")</f>
        <v>Italiano / Inglés</v>
      </c>
      <c r="L509" s="2" t="str">
        <f>IFERROR(__xludf.DUMMYFUNCTION("""COMPUTED_VALUE"""),"B1 It / B2 En")</f>
        <v>B1 It / B2 En</v>
      </c>
      <c r="M509" s="2" t="str">
        <f>IFERROR(__xludf.DUMMYFUNCTION("""COMPUTED_VALUE"""),"Sí")</f>
        <v>Sí</v>
      </c>
      <c r="N509" s="3" t="str">
        <f>IFERROR(__xludf.DUMMYFUNCTION("""COMPUTED_VALUE"""),"https://www.ingegneria.unifi.it/vp-370-language-requirements.html")</f>
        <v>https://www.ingegneria.unifi.it/vp-370-language-requirements.html</v>
      </c>
      <c r="O509" s="3" t="str">
        <f>IFERROR(__xludf.DUMMYFUNCTION("""COMPUTED_VALUE"""),"Más información / Informazio gehigarria")</f>
        <v>Más información / Informazio gehigarria</v>
      </c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30.0" customHeight="1">
      <c r="A510" s="2" t="str">
        <f>IFERROR(__xludf.DUMMYFUNCTION("""COMPUTED_VALUE"""),"Italia")</f>
        <v>Italia</v>
      </c>
      <c r="B510" s="2" t="str">
        <f>IFERROR(__xludf.DUMMYFUNCTION("""COMPUTED_VALUE"""),"I GENOVA01")</f>
        <v>I GENOVA01</v>
      </c>
      <c r="C510" s="3" t="str">
        <f>IFERROR(__xludf.DUMMYFUNCTION("""COMPUTED_VALUE"""),"Università degli Studi di Genova")</f>
        <v>Università degli Studi di Genova</v>
      </c>
      <c r="D510" s="2" t="str">
        <f>IFERROR(__xludf.DUMMYFUNCTION("""COMPUTED_VALUE"""),"Erasmus+")</f>
        <v>Erasmus+</v>
      </c>
      <c r="E510" s="2">
        <f>IFERROR(__xludf.DUMMYFUNCTION("""COMPUTED_VALUE"""),2.0)</f>
        <v>2</v>
      </c>
      <c r="F510" s="2" t="str">
        <f>IFERROR(__xludf.DUMMYFUNCTION("""COMPUTED_VALUE"""),"Semestre")</f>
        <v>Semestre</v>
      </c>
      <c r="G510" s="2" t="str">
        <f>IFERROR(__xludf.DUMMYFUNCTION("""COMPUTED_VALUE"""),"Bilbao")</f>
        <v>Bilbao</v>
      </c>
      <c r="H510" s="2" t="str">
        <f>IFERROR(__xludf.DUMMYFUNCTION("""COMPUTED_VALUE"""),"Ingeniería")</f>
        <v>Ingeniería</v>
      </c>
      <c r="I510" s="2" t="str">
        <f>IFERROR(__xludf.DUMMYFUNCTION("""COMPUTED_VALUE"""),"Diseño Industrial, Diseño Industrial + Ingeniería Mecánica")</f>
        <v>Diseño Industrial, Diseño Industrial + Ingeniería Mecánica</v>
      </c>
      <c r="J510" s="2" t="str">
        <f>IFERROR(__xludf.DUMMYFUNCTION("""COMPUTED_VALUE"""),"Grado")</f>
        <v>Grado</v>
      </c>
      <c r="K510" s="2" t="str">
        <f>IFERROR(__xludf.DUMMYFUNCTION("""COMPUTED_VALUE"""),"Italiano / Inglés")</f>
        <v>Italiano / Inglés</v>
      </c>
      <c r="L510" s="2" t="str">
        <f>IFERROR(__xludf.DUMMYFUNCTION("""COMPUTED_VALUE"""),"B2")</f>
        <v>B2</v>
      </c>
      <c r="M510" s="2" t="str">
        <f>IFERROR(__xludf.DUMMYFUNCTION("""COMPUTED_VALUE"""),"No")</f>
        <v>No</v>
      </c>
      <c r="N510" s="3" t="str">
        <f>IFERROR(__xludf.DUMMYFUNCTION("""COMPUTED_VALUE"""),"https://corsi.unige.it/corsi/11439/erasmus-incoming-erasmus-study-and-traineeship#admissioncriteria")</f>
        <v>https://corsi.unige.it/corsi/11439/erasmus-incoming-erasmus-study-and-traineeship#admissioncriteria</v>
      </c>
      <c r="O510" s="3" t="str">
        <f>IFERROR(__xludf.DUMMYFUNCTION("""COMPUTED_VALUE"""),"Más información / Informazio gehigarria")</f>
        <v>Más información / Informazio gehigarria</v>
      </c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30.0" customHeight="1">
      <c r="A511" s="2" t="str">
        <f>IFERROR(__xludf.DUMMYFUNCTION("""COMPUTED_VALUE"""),"Italia")</f>
        <v>Italia</v>
      </c>
      <c r="B511" s="2" t="str">
        <f>IFERROR(__xludf.DUMMYFUNCTION("""COMPUTED_VALUE"""),"I GENOVA01")</f>
        <v>I GENOVA01</v>
      </c>
      <c r="C511" s="3" t="str">
        <f>IFERROR(__xludf.DUMMYFUNCTION("""COMPUTED_VALUE"""),"Università degli Studi di Genova")</f>
        <v>Università degli Studi di Genova</v>
      </c>
      <c r="D511" s="2" t="str">
        <f>IFERROR(__xludf.DUMMYFUNCTION("""COMPUTED_VALUE"""),"Erasmus+")</f>
        <v>Erasmus+</v>
      </c>
      <c r="E511" s="2">
        <f>IFERROR(__xludf.DUMMYFUNCTION("""COMPUTED_VALUE"""),2.0)</f>
        <v>2</v>
      </c>
      <c r="F511" s="2" t="str">
        <f>IFERROR(__xludf.DUMMYFUNCTION("""COMPUTED_VALUE"""),"Semestre")</f>
        <v>Semestre</v>
      </c>
      <c r="G511" s="2" t="str">
        <f>IFERROR(__xludf.DUMMYFUNCTION("""COMPUTED_VALUE"""),"Bilbao")</f>
        <v>Bilbao</v>
      </c>
      <c r="H511" s="2" t="str">
        <f>IFERROR(__xludf.DUMMYFUNCTION("""COMPUTED_VALUE"""),"Ingeniería")</f>
        <v>Ingeniería</v>
      </c>
      <c r="I511" s="2" t="str">
        <f>IFERROR(__xludf.DUMMYFUNCTION("""COMPUTED_VALUE"""),"Electrónica y Automática, Ingeniería Robótica, Industria Digital")</f>
        <v>Electrónica y Automática, Ingeniería Robótica, Industria Digital</v>
      </c>
      <c r="J511" s="2" t="str">
        <f>IFERROR(__xludf.DUMMYFUNCTION("""COMPUTED_VALUE"""),"Grado")</f>
        <v>Grado</v>
      </c>
      <c r="K511" s="2" t="str">
        <f>IFERROR(__xludf.DUMMYFUNCTION("""COMPUTED_VALUE"""),"Italiano / Inglés")</f>
        <v>Italiano / Inglés</v>
      </c>
      <c r="L511" s="2" t="str">
        <f>IFERROR(__xludf.DUMMYFUNCTION("""COMPUTED_VALUE"""),"B2")</f>
        <v>B2</v>
      </c>
      <c r="M511" s="2" t="str">
        <f>IFERROR(__xludf.DUMMYFUNCTION("""COMPUTED_VALUE"""),"No")</f>
        <v>No</v>
      </c>
      <c r="N511" s="3" t="str">
        <f>IFERROR(__xludf.DUMMYFUNCTION("""COMPUTED_VALUE"""),"https://corsi.unige.it/corsi/11439/erasmus-incoming-erasmus-study-and-traineeship#admissioncriteria")</f>
        <v>https://corsi.unige.it/corsi/11439/erasmus-incoming-erasmus-study-and-traineeship#admissioncriteria</v>
      </c>
      <c r="O511" s="3" t="str">
        <f>IFERROR(__xludf.DUMMYFUNCTION("""COMPUTED_VALUE"""),"Más información / Informazio gehigarria")</f>
        <v>Más información / Informazio gehigarria</v>
      </c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30.0" customHeight="1">
      <c r="A512" s="2" t="str">
        <f>IFERROR(__xludf.DUMMYFUNCTION("""COMPUTED_VALUE"""),"Italia")</f>
        <v>Italia</v>
      </c>
      <c r="B512" s="2" t="str">
        <f>IFERROR(__xludf.DUMMYFUNCTION("""COMPUTED_VALUE"""),"I GENOVA01")</f>
        <v>I GENOVA01</v>
      </c>
      <c r="C512" s="3" t="str">
        <f>IFERROR(__xludf.DUMMYFUNCTION("""COMPUTED_VALUE"""),"Università degli Studi di Genova")</f>
        <v>Università degli Studi di Genova</v>
      </c>
      <c r="D512" s="2" t="str">
        <f>IFERROR(__xludf.DUMMYFUNCTION("""COMPUTED_VALUE"""),"Erasmus+")</f>
        <v>Erasmus+</v>
      </c>
      <c r="E512" s="2">
        <f>IFERROR(__xludf.DUMMYFUNCTION("""COMPUTED_VALUE"""),1.0)</f>
        <v>1</v>
      </c>
      <c r="F512" s="2" t="str">
        <f>IFERROR(__xludf.DUMMYFUNCTION("""COMPUTED_VALUE"""),"Semestre")</f>
        <v>Semestre</v>
      </c>
      <c r="G512" s="2" t="str">
        <f>IFERROR(__xludf.DUMMYFUNCTION("""COMPUTED_VALUE"""),"Bilbao")</f>
        <v>Bilbao</v>
      </c>
      <c r="H512" s="2" t="str">
        <f>IFERROR(__xludf.DUMMYFUNCTION("""COMPUTED_VALUE"""),"Ciencias Sociales y Humanas")</f>
        <v>Ciencias Sociales y Humanas</v>
      </c>
      <c r="I512" s="2" t="str">
        <f>IFERROR(__xludf.DUMMYFUNCTION("""COMPUTED_VALUE"""),"Filosofía, Política y Economía")</f>
        <v>Filosofía, Política y Economía</v>
      </c>
      <c r="J512" s="2" t="str">
        <f>IFERROR(__xludf.DUMMYFUNCTION("""COMPUTED_VALUE"""),"Grado")</f>
        <v>Grado</v>
      </c>
      <c r="K512" s="2" t="str">
        <f>IFERROR(__xludf.DUMMYFUNCTION("""COMPUTED_VALUE"""),"Italiano / Inglés")</f>
        <v>Italiano / Inglés</v>
      </c>
      <c r="L512" s="2" t="str">
        <f>IFERROR(__xludf.DUMMYFUNCTION("""COMPUTED_VALUE"""),"B1 It / B2 En")</f>
        <v>B1 It / B2 En</v>
      </c>
      <c r="M512" s="2" t="str">
        <f>IFERROR(__xludf.DUMMYFUNCTION("""COMPUTED_VALUE"""),"No")</f>
        <v>No</v>
      </c>
      <c r="N512" s="3" t="str">
        <f>IFERROR(__xludf.DUMMYFUNCTION("""COMPUTED_VALUE"""),"https://corsi.unige.it/corsi/11439/erasmus-incoming-erasmus-study-and-traineeship#admissioncriteria")</f>
        <v>https://corsi.unige.it/corsi/11439/erasmus-incoming-erasmus-study-and-traineeship#admissioncriteria</v>
      </c>
      <c r="O512" s="3" t="str">
        <f>IFERROR(__xludf.DUMMYFUNCTION("""COMPUTED_VALUE"""),"Más información / Informazio gehigarria")</f>
        <v>Más información / Informazio gehigarria</v>
      </c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30.0" customHeight="1">
      <c r="A513" s="2" t="str">
        <f>IFERROR(__xludf.DUMMYFUNCTION("""COMPUTED_VALUE"""),"Italia")</f>
        <v>Italia</v>
      </c>
      <c r="B513" s="2" t="str">
        <f>IFERROR(__xludf.DUMMYFUNCTION("""COMPUTED_VALUE"""),"I NAPOLI01")</f>
        <v>I NAPOLI01</v>
      </c>
      <c r="C513" s="3" t="str">
        <f>IFERROR(__xludf.DUMMYFUNCTION("""COMPUTED_VALUE"""),"Università degli Studi di Napoli Federico II")</f>
        <v>Università degli Studi di Napoli Federico II</v>
      </c>
      <c r="D513" s="2" t="str">
        <f>IFERROR(__xludf.DUMMYFUNCTION("""COMPUTED_VALUE"""),"Erasmus+")</f>
        <v>Erasmus+</v>
      </c>
      <c r="E513" s="2">
        <f>IFERROR(__xludf.DUMMYFUNCTION("""COMPUTED_VALUE"""),2.0)</f>
        <v>2</v>
      </c>
      <c r="F513" s="2" t="str">
        <f>IFERROR(__xludf.DUMMYFUNCTION("""COMPUTED_VALUE"""),"Anual")</f>
        <v>Anual</v>
      </c>
      <c r="G513" s="2" t="str">
        <f>IFERROR(__xludf.DUMMYFUNCTION("""COMPUTED_VALUE"""),"Bilbao")</f>
        <v>Bilbao</v>
      </c>
      <c r="H513" s="2" t="str">
        <f>IFERROR(__xludf.DUMMYFUNCTION("""COMPUTED_VALUE"""),"Ciencias Sociales y Humanas")</f>
        <v>Ciencias Sociales y Humanas</v>
      </c>
      <c r="I513" s="2" t="str">
        <f>IFERROR(__xludf.DUMMYFUNCTION("""COMPUTED_VALUE"""),"Relaciones Internacionales, Relaciones Internacionales + Derecho")</f>
        <v>Relaciones Internacionales, Relaciones Internacionales + Derecho</v>
      </c>
      <c r="J513" s="2" t="str">
        <f>IFERROR(__xludf.DUMMYFUNCTION("""COMPUTED_VALUE"""),"Grado")</f>
        <v>Grado</v>
      </c>
      <c r="K513" s="2" t="str">
        <f>IFERROR(__xludf.DUMMYFUNCTION("""COMPUTED_VALUE"""),"Italiano")</f>
        <v>Italiano</v>
      </c>
      <c r="L513" s="2" t="str">
        <f>IFERROR(__xludf.DUMMYFUNCTION("""COMPUTED_VALUE"""),"B2")</f>
        <v>B2</v>
      </c>
      <c r="M513" s="2" t="str">
        <f>IFERROR(__xludf.DUMMYFUNCTION("""COMPUTED_VALUE"""),"No")</f>
        <v>No</v>
      </c>
      <c r="N513" s="3" t="str">
        <f>IFERROR(__xludf.DUMMYFUNCTION("""COMPUTED_VALUE"""),"https://historicosweb.unican.es/perfilcontratante/INAPOLI01.pdf")</f>
        <v>https://historicosweb.unican.es/perfilcontratante/INAPOLI01.pdf</v>
      </c>
      <c r="O513" s="3" t="str">
        <f>IFERROR(__xludf.DUMMYFUNCTION("""COMPUTED_VALUE"""),"Más información / Informazio gehigarria")</f>
        <v>Más información / Informazio gehigarria</v>
      </c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30.0" customHeight="1">
      <c r="A514" s="2" t="str">
        <f>IFERROR(__xludf.DUMMYFUNCTION("""COMPUTED_VALUE"""),"Italia")</f>
        <v>Italia</v>
      </c>
      <c r="B514" s="2" t="str">
        <f>IFERROR(__xludf.DUMMYFUNCTION("""COMPUTED_VALUE"""),"I PADOVA01")</f>
        <v>I PADOVA01</v>
      </c>
      <c r="C514" s="3" t="str">
        <f>IFERROR(__xludf.DUMMYFUNCTION("""COMPUTED_VALUE"""),"Università degli Studi di Padova")</f>
        <v>Università degli Studi di Padova</v>
      </c>
      <c r="D514" s="2" t="str">
        <f>IFERROR(__xludf.DUMMYFUNCTION("""COMPUTED_VALUE"""),"Erasmus+")</f>
        <v>Erasmus+</v>
      </c>
      <c r="E514" s="2">
        <f>IFERROR(__xludf.DUMMYFUNCTION("""COMPUTED_VALUE"""),4.0)</f>
        <v>4</v>
      </c>
      <c r="F514" s="2" t="str">
        <f>IFERROR(__xludf.DUMMYFUNCTION("""COMPUTED_VALUE"""),"Semestre")</f>
        <v>Semestre</v>
      </c>
      <c r="G514" s="2" t="str">
        <f>IFERROR(__xludf.DUMMYFUNCTION("""COMPUTED_VALUE"""),"Ambos")</f>
        <v>Ambos</v>
      </c>
      <c r="H514" s="2" t="str">
        <f>IFERROR(__xludf.DUMMYFUNCTION("""COMPUTED_VALUE"""),"Derecho")</f>
        <v>Derecho</v>
      </c>
      <c r="I514" s="2" t="str">
        <f>IFERROR(__xludf.DUMMYFUNCTION("""COMPUTED_VALUE"""),"Derecho, Derecho + Relaciones Laborales")</f>
        <v>Derecho, Derecho + Relaciones Laborales</v>
      </c>
      <c r="J514" s="2" t="str">
        <f>IFERROR(__xludf.DUMMYFUNCTION("""COMPUTED_VALUE"""),"Grado")</f>
        <v>Grado</v>
      </c>
      <c r="K514" s="2" t="str">
        <f>IFERROR(__xludf.DUMMYFUNCTION("""COMPUTED_VALUE"""),"Italiano / Inglés")</f>
        <v>Italiano / Inglés</v>
      </c>
      <c r="L514" s="2" t="str">
        <f>IFERROR(__xludf.DUMMYFUNCTION("""COMPUTED_VALUE"""),"B2")</f>
        <v>B2</v>
      </c>
      <c r="M514" s="2" t="str">
        <f>IFERROR(__xludf.DUMMYFUNCTION("""COMPUTED_VALUE"""),"Sí")</f>
        <v>Sí</v>
      </c>
      <c r="N514" s="3" t="str">
        <f>IFERROR(__xludf.DUMMYFUNCTION("""COMPUTED_VALUE"""),"https://www.unipd.it/en/language-requirement-admission-degree-programmes")</f>
        <v>https://www.unipd.it/en/language-requirement-admission-degree-programmes</v>
      </c>
      <c r="O514" s="3" t="str">
        <f>IFERROR(__xludf.DUMMYFUNCTION("""COMPUTED_VALUE"""),"Más información / Informazio gehigarria")</f>
        <v>Más información / Informazio gehigarria</v>
      </c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30.0" customHeight="1">
      <c r="A515" s="2" t="str">
        <f>IFERROR(__xludf.DUMMYFUNCTION("""COMPUTED_VALUE"""),"Italia")</f>
        <v>Italia</v>
      </c>
      <c r="B515" s="2" t="str">
        <f>IFERROR(__xludf.DUMMYFUNCTION("""COMPUTED_VALUE"""),"I PADOVA01")</f>
        <v>I PADOVA01</v>
      </c>
      <c r="C515" s="3" t="str">
        <f>IFERROR(__xludf.DUMMYFUNCTION("""COMPUTED_VALUE"""),"Università degli Studi di Padova")</f>
        <v>Università degli Studi di Padova</v>
      </c>
      <c r="D515" s="2" t="str">
        <f>IFERROR(__xludf.DUMMYFUNCTION("""COMPUTED_VALUE"""),"Erasmus+")</f>
        <v>Erasmus+</v>
      </c>
      <c r="E515" s="2">
        <f>IFERROR(__xludf.DUMMYFUNCTION("""COMPUTED_VALUE"""),6.0)</f>
        <v>6</v>
      </c>
      <c r="F515" s="2" t="str">
        <f>IFERROR(__xludf.DUMMYFUNCTION("""COMPUTED_VALUE"""),"Semestre")</f>
        <v>Semestre</v>
      </c>
      <c r="G515" s="2" t="str">
        <f>IFERROR(__xludf.DUMMYFUNCTION("""COMPUTED_VALUE"""),"Bilbao")</f>
        <v>Bilbao</v>
      </c>
      <c r="H515" s="2" t="str">
        <f>IFERROR(__xludf.DUMMYFUNCTION("""COMPUTED_VALUE"""),"Begoñako Andramari, BAM")</f>
        <v>Begoñako Andramari, BAM</v>
      </c>
      <c r="I515" s="2" t="str">
        <f>IFERROR(__xludf.DUMMYFUNCTION("""COMPUTED_VALUE"""),"Educación Primaria, Educación Infantil")</f>
        <v>Educación Primaria, Educación Infantil</v>
      </c>
      <c r="J515" s="2" t="str">
        <f>IFERROR(__xludf.DUMMYFUNCTION("""COMPUTED_VALUE"""),"Grado")</f>
        <v>Grado</v>
      </c>
      <c r="K515" s="2" t="str">
        <f>IFERROR(__xludf.DUMMYFUNCTION("""COMPUTED_VALUE"""),"Italiano / Inglés")</f>
        <v>Italiano / Inglés</v>
      </c>
      <c r="L515" s="2" t="str">
        <f>IFERROR(__xludf.DUMMYFUNCTION("""COMPUTED_VALUE"""),"B2")</f>
        <v>B2</v>
      </c>
      <c r="M515" s="2" t="str">
        <f>IFERROR(__xludf.DUMMYFUNCTION("""COMPUTED_VALUE"""),"Sí")</f>
        <v>Sí</v>
      </c>
      <c r="N515" s="3" t="str">
        <f>IFERROR(__xludf.DUMMYFUNCTION("""COMPUTED_VALUE"""),"https://www.unipd.it/en/language-requirement-admission-degree-programmes")</f>
        <v>https://www.unipd.it/en/language-requirement-admission-degree-programmes</v>
      </c>
      <c r="O515" s="3" t="str">
        <f>IFERROR(__xludf.DUMMYFUNCTION("""COMPUTED_VALUE"""),"Más información / Informazio gehigarria")</f>
        <v>Más información / Informazio gehigarria</v>
      </c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30.0" customHeight="1">
      <c r="A516" s="2" t="str">
        <f>IFERROR(__xludf.DUMMYFUNCTION("""COMPUTED_VALUE"""),"Italia")</f>
        <v>Italia</v>
      </c>
      <c r="B516" s="2" t="str">
        <f>IFERROR(__xludf.DUMMYFUNCTION("""COMPUTED_VALUE"""),"I PADOVA01")</f>
        <v>I PADOVA01</v>
      </c>
      <c r="C516" s="3" t="str">
        <f>IFERROR(__xludf.DUMMYFUNCTION("""COMPUTED_VALUE"""),"Università degli Studi di Padova")</f>
        <v>Università degli Studi di Padova</v>
      </c>
      <c r="D516" s="2" t="str">
        <f>IFERROR(__xludf.DUMMYFUNCTION("""COMPUTED_VALUE"""),"Erasmus+")</f>
        <v>Erasmus+</v>
      </c>
      <c r="E516" s="2">
        <f>IFERROR(__xludf.DUMMYFUNCTION("""COMPUTED_VALUE"""),4.0)</f>
        <v>4</v>
      </c>
      <c r="F516" s="2" t="str">
        <f>IFERROR(__xludf.DUMMYFUNCTION("""COMPUTED_VALUE"""),"Semestre")</f>
        <v>Semestre</v>
      </c>
      <c r="G516" s="2" t="str">
        <f>IFERROR(__xludf.DUMMYFUNCTION("""COMPUTED_VALUE"""),"Bilbao")</f>
        <v>Bilbao</v>
      </c>
      <c r="H516" s="2" t="str">
        <f>IFERROR(__xludf.DUMMYFUNCTION("""COMPUTED_VALUE"""),"Educación y Deporte")</f>
        <v>Educación y Deporte</v>
      </c>
      <c r="I516" s="2" t="str">
        <f>IFERROR(__xludf.DUMMYFUNCTION("""COMPUTED_VALUE"""),"Educación Social")</f>
        <v>Educación Social</v>
      </c>
      <c r="J516" s="2" t="str">
        <f>IFERROR(__xludf.DUMMYFUNCTION("""COMPUTED_VALUE"""),"Grado")</f>
        <v>Grado</v>
      </c>
      <c r="K516" s="2" t="str">
        <f>IFERROR(__xludf.DUMMYFUNCTION("""COMPUTED_VALUE"""),"Italiano / Inglés")</f>
        <v>Italiano / Inglés</v>
      </c>
      <c r="L516" s="2" t="str">
        <f>IFERROR(__xludf.DUMMYFUNCTION("""COMPUTED_VALUE"""),"B2")</f>
        <v>B2</v>
      </c>
      <c r="M516" s="2" t="str">
        <f>IFERROR(__xludf.DUMMYFUNCTION("""COMPUTED_VALUE"""),"Sí")</f>
        <v>Sí</v>
      </c>
      <c r="N516" s="3" t="str">
        <f>IFERROR(__xludf.DUMMYFUNCTION("""COMPUTED_VALUE"""),"https://www.unipd.it/en/language-requirement-admission-degree-programmes")</f>
        <v>https://www.unipd.it/en/language-requirement-admission-degree-programmes</v>
      </c>
      <c r="O516" s="3" t="str">
        <f>IFERROR(__xludf.DUMMYFUNCTION("""COMPUTED_VALUE"""),"Más información / Informazio gehigarria")</f>
        <v>Más información / Informazio gehigarria</v>
      </c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30.0" customHeight="1">
      <c r="A517" s="2" t="str">
        <f>IFERROR(__xludf.DUMMYFUNCTION("""COMPUTED_VALUE"""),"Italia")</f>
        <v>Italia</v>
      </c>
      <c r="B517" s="2" t="str">
        <f>IFERROR(__xludf.DUMMYFUNCTION("""COMPUTED_VALUE"""),"I PADOVA01")</f>
        <v>I PADOVA01</v>
      </c>
      <c r="C517" s="3" t="str">
        <f>IFERROR(__xludf.DUMMYFUNCTION("""COMPUTED_VALUE"""),"Università degli Studi di Padova")</f>
        <v>Università degli Studi di Padova</v>
      </c>
      <c r="D517" s="2" t="str">
        <f>IFERROR(__xludf.DUMMYFUNCTION("""COMPUTED_VALUE"""),"Erasmus+")</f>
        <v>Erasmus+</v>
      </c>
      <c r="E517" s="2">
        <f>IFERROR(__xludf.DUMMYFUNCTION("""COMPUTED_VALUE"""),2.0)</f>
        <v>2</v>
      </c>
      <c r="F517" s="2" t="str">
        <f>IFERROR(__xludf.DUMMYFUNCTION("""COMPUTED_VALUE"""),"Anual")</f>
        <v>Anual</v>
      </c>
      <c r="G517" s="2" t="str">
        <f>IFERROR(__xludf.DUMMYFUNCTION("""COMPUTED_VALUE"""),"Bilbao")</f>
        <v>Bilbao</v>
      </c>
      <c r="H517" s="2" t="str">
        <f>IFERROR(__xludf.DUMMYFUNCTION("""COMPUTED_VALUE"""),"Ciencias de la Salud")</f>
        <v>Ciencias de la Salud</v>
      </c>
      <c r="I517" s="2" t="str">
        <f>IFERROR(__xludf.DUMMYFUNCTION("""COMPUTED_VALUE"""),"Psicología")</f>
        <v>Psicología</v>
      </c>
      <c r="J517" s="2" t="str">
        <f>IFERROR(__xludf.DUMMYFUNCTION("""COMPUTED_VALUE"""),"Grado")</f>
        <v>Grado</v>
      </c>
      <c r="K517" s="2" t="str">
        <f>IFERROR(__xludf.DUMMYFUNCTION("""COMPUTED_VALUE"""),"Italiano / Inglés")</f>
        <v>Italiano / Inglés</v>
      </c>
      <c r="L517" s="2" t="str">
        <f>IFERROR(__xludf.DUMMYFUNCTION("""COMPUTED_VALUE"""),"B2")</f>
        <v>B2</v>
      </c>
      <c r="M517" s="2" t="str">
        <f>IFERROR(__xludf.DUMMYFUNCTION("""COMPUTED_VALUE"""),"Sí")</f>
        <v>Sí</v>
      </c>
      <c r="N517" s="3" t="str">
        <f>IFERROR(__xludf.DUMMYFUNCTION("""COMPUTED_VALUE"""),"https://www.unipd.it/en/language-requirement-admission-degree-programmes")</f>
        <v>https://www.unipd.it/en/language-requirement-admission-degree-programmes</v>
      </c>
      <c r="O517" s="3" t="str">
        <f>IFERROR(__xludf.DUMMYFUNCTION("""COMPUTED_VALUE"""),"Más información / Informazio gehigarria")</f>
        <v>Más información / Informazio gehigarria</v>
      </c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30.0" customHeight="1">
      <c r="A518" s="2" t="str">
        <f>IFERROR(__xludf.DUMMYFUNCTION("""COMPUTED_VALUE"""),"Italia")</f>
        <v>Italia</v>
      </c>
      <c r="B518" s="2" t="str">
        <f>IFERROR(__xludf.DUMMYFUNCTION("""COMPUTED_VALUE"""),"I PADOVA01")</f>
        <v>I PADOVA01</v>
      </c>
      <c r="C518" s="3" t="str">
        <f>IFERROR(__xludf.DUMMYFUNCTION("""COMPUTED_VALUE"""),"Università degli Studi di Padova")</f>
        <v>Università degli Studi di Padova</v>
      </c>
      <c r="D518" s="2" t="str">
        <f>IFERROR(__xludf.DUMMYFUNCTION("""COMPUTED_VALUE"""),"Erasmus+")</f>
        <v>Erasmus+</v>
      </c>
      <c r="E518" s="2">
        <f>IFERROR(__xludf.DUMMYFUNCTION("""COMPUTED_VALUE"""),1.0)</f>
        <v>1</v>
      </c>
      <c r="F518" s="2" t="str">
        <f>IFERROR(__xludf.DUMMYFUNCTION("""COMPUTED_VALUE"""),"Semestre")</f>
        <v>Semestre</v>
      </c>
      <c r="G518" s="2" t="str">
        <f>IFERROR(__xludf.DUMMYFUNCTION("""COMPUTED_VALUE"""),"Ambos")</f>
        <v>Ambos</v>
      </c>
      <c r="H518" s="2" t="str">
        <f>IFERROR(__xludf.DUMMYFUNCTION("""COMPUTED_VALUE"""),"Ingeniería")</f>
        <v>Ingeniería</v>
      </c>
      <c r="I518" s="2" t="str">
        <f>IFERROR(__xludf.DUMMYFUNCTION("""COMPUTED_VALUE"""),"Tecnologías de la información y comunicación")</f>
        <v>Tecnologías de la información y comunicación</v>
      </c>
      <c r="J518" s="2" t="str">
        <f>IFERROR(__xludf.DUMMYFUNCTION("""COMPUTED_VALUE"""),"Grado")</f>
        <v>Grado</v>
      </c>
      <c r="K518" s="2" t="str">
        <f>IFERROR(__xludf.DUMMYFUNCTION("""COMPUTED_VALUE"""),"Italiano / Inglés")</f>
        <v>Italiano / Inglés</v>
      </c>
      <c r="L518" s="2" t="str">
        <f>IFERROR(__xludf.DUMMYFUNCTION("""COMPUTED_VALUE"""),"B2")</f>
        <v>B2</v>
      </c>
      <c r="M518" s="2" t="str">
        <f>IFERROR(__xludf.DUMMYFUNCTION("""COMPUTED_VALUE"""),"Sí")</f>
        <v>Sí</v>
      </c>
      <c r="N518" s="3" t="str">
        <f>IFERROR(__xludf.DUMMYFUNCTION("""COMPUTED_VALUE"""),"https://www.unipd.it/en/language-requirement-admission-degree-programmes")</f>
        <v>https://www.unipd.it/en/language-requirement-admission-degree-programmes</v>
      </c>
      <c r="O518" s="3" t="str">
        <f>IFERROR(__xludf.DUMMYFUNCTION("""COMPUTED_VALUE"""),"Más información / Informazio gehigarria")</f>
        <v>Más información / Informazio gehigarria</v>
      </c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30.0" customHeight="1">
      <c r="A519" s="2" t="str">
        <f>IFERROR(__xludf.DUMMYFUNCTION("""COMPUTED_VALUE"""),"Italia")</f>
        <v>Italia</v>
      </c>
      <c r="B519" s="2" t="str">
        <f>IFERROR(__xludf.DUMMYFUNCTION("""COMPUTED_VALUE"""),"I PADOVA01")</f>
        <v>I PADOVA01</v>
      </c>
      <c r="C519" s="3" t="str">
        <f>IFERROR(__xludf.DUMMYFUNCTION("""COMPUTED_VALUE"""),"Università degli Studi di Padova")</f>
        <v>Università degli Studi di Padova</v>
      </c>
      <c r="D519" s="2" t="str">
        <f>IFERROR(__xludf.DUMMYFUNCTION("""COMPUTED_VALUE"""),"Erasmus+")</f>
        <v>Erasmus+</v>
      </c>
      <c r="E519" s="2">
        <f>IFERROR(__xludf.DUMMYFUNCTION("""COMPUTED_VALUE"""),3.0)</f>
        <v>3</v>
      </c>
      <c r="F519" s="2" t="str">
        <f>IFERROR(__xludf.DUMMYFUNCTION("""COMPUTED_VALUE"""),"Semestre")</f>
        <v>Semestre</v>
      </c>
      <c r="G519" s="2" t="str">
        <f>IFERROR(__xludf.DUMMYFUNCTION("""COMPUTED_VALUE"""),"Bilbao")</f>
        <v>Bilbao</v>
      </c>
      <c r="H519" s="2" t="str">
        <f>IFERROR(__xludf.DUMMYFUNCTION("""COMPUTED_VALUE"""),"Ingeniería")</f>
        <v>Ingeniería</v>
      </c>
      <c r="I519" s="2" t="str">
        <f>IFERROR(__xludf.DUMMYFUNCTION("""COMPUTED_VALUE"""),"Ingeniería")</f>
        <v>Ingeniería</v>
      </c>
      <c r="J519" s="2" t="str">
        <f>IFERROR(__xludf.DUMMYFUNCTION("""COMPUTED_VALUE"""),"Grado")</f>
        <v>Grado</v>
      </c>
      <c r="K519" s="2" t="str">
        <f>IFERROR(__xludf.DUMMYFUNCTION("""COMPUTED_VALUE"""),"Italiano / Inglés")</f>
        <v>Italiano / Inglés</v>
      </c>
      <c r="L519" s="2" t="str">
        <f>IFERROR(__xludf.DUMMYFUNCTION("""COMPUTED_VALUE"""),"B2")</f>
        <v>B2</v>
      </c>
      <c r="M519" s="2" t="str">
        <f>IFERROR(__xludf.DUMMYFUNCTION("""COMPUTED_VALUE"""),"Sí")</f>
        <v>Sí</v>
      </c>
      <c r="N519" s="3" t="str">
        <f>IFERROR(__xludf.DUMMYFUNCTION("""COMPUTED_VALUE"""),"https://www.unipd.it/en/language-requirement-admission-degree-programmes")</f>
        <v>https://www.unipd.it/en/language-requirement-admission-degree-programmes</v>
      </c>
      <c r="O519" s="3" t="str">
        <f>IFERROR(__xludf.DUMMYFUNCTION("""COMPUTED_VALUE"""),"Más información / Informazio gehigarria")</f>
        <v>Más información / Informazio gehigarria</v>
      </c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30.0" customHeight="1">
      <c r="A520" s="2" t="str">
        <f>IFERROR(__xludf.DUMMYFUNCTION("""COMPUTED_VALUE"""),"Italia")</f>
        <v>Italia</v>
      </c>
      <c r="B520" s="2" t="str">
        <f>IFERROR(__xludf.DUMMYFUNCTION("""COMPUTED_VALUE"""),"I PARMA01")</f>
        <v>I PARMA01</v>
      </c>
      <c r="C520" s="3" t="str">
        <f>IFERROR(__xludf.DUMMYFUNCTION("""COMPUTED_VALUE"""),"Universitá degli Studi di Parma")</f>
        <v>Universitá degli Studi di Parma</v>
      </c>
      <c r="D520" s="2" t="str">
        <f>IFERROR(__xludf.DUMMYFUNCTION("""COMPUTED_VALUE"""),"Erasmus+")</f>
        <v>Erasmus+</v>
      </c>
      <c r="E520" s="2">
        <f>IFERROR(__xludf.DUMMYFUNCTION("""COMPUTED_VALUE"""),4.0)</f>
        <v>4</v>
      </c>
      <c r="F520" s="2" t="str">
        <f>IFERROR(__xludf.DUMMYFUNCTION("""COMPUTED_VALUE"""),"Semestre")</f>
        <v>Semestre</v>
      </c>
      <c r="G520" s="2" t="str">
        <f>IFERROR(__xludf.DUMMYFUNCTION("""COMPUTED_VALUE"""),"Bilbao")</f>
        <v>Bilbao</v>
      </c>
      <c r="H520" s="2" t="str">
        <f>IFERROR(__xludf.DUMMYFUNCTION("""COMPUTED_VALUE"""),"Derecho")</f>
        <v>Derecho</v>
      </c>
      <c r="I520" s="2" t="str">
        <f>IFERROR(__xludf.DUMMYFUNCTION("""COMPUTED_VALUE"""),"Derecho, Derecho + Relaciones Laborales")</f>
        <v>Derecho, Derecho + Relaciones Laborales</v>
      </c>
      <c r="J520" s="2" t="str">
        <f>IFERROR(__xludf.DUMMYFUNCTION("""COMPUTED_VALUE"""),"Grado")</f>
        <v>Grado</v>
      </c>
      <c r="K520" s="2" t="str">
        <f>IFERROR(__xludf.DUMMYFUNCTION("""COMPUTED_VALUE"""),"Italiano / Inglés")</f>
        <v>Italiano / Inglés</v>
      </c>
      <c r="L520" s="2" t="str">
        <f>IFERROR(__xludf.DUMMYFUNCTION("""COMPUTED_VALUE"""),"B2")</f>
        <v>B2</v>
      </c>
      <c r="M520" s="2" t="str">
        <f>IFERROR(__xludf.DUMMYFUNCTION("""COMPUTED_VALUE"""),"Sí")</f>
        <v>Sí</v>
      </c>
      <c r="N520" s="3" t="str">
        <f>IFERROR(__xludf.DUMMYFUNCTION("""COMPUTED_VALUE"""),"https://www.unipr.it/sites/default/files/2022-06/INFOSHEET%2022-23%20-%20DEPARTMENT%20OF%20LAW%2C%20POLITICS%20AND%20INTERNATIONAL%20STUDIES.pdf")</f>
        <v>https://www.unipr.it/sites/default/files/2022-06/INFOSHEET%2022-23%20-%20DEPARTMENT%20OF%20LAW%2C%20POLITICS%20AND%20INTERNATIONAL%20STUDIES.pdf</v>
      </c>
      <c r="O520" s="3" t="str">
        <f>IFERROR(__xludf.DUMMYFUNCTION("""COMPUTED_VALUE"""),"Más información / Informazio gehigarria")</f>
        <v>Más información / Informazio gehigarria</v>
      </c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30.0" customHeight="1">
      <c r="A521" s="2" t="str">
        <f>IFERROR(__xludf.DUMMYFUNCTION("""COMPUTED_VALUE"""),"Italia")</f>
        <v>Italia</v>
      </c>
      <c r="B521" s="2" t="str">
        <f>IFERROR(__xludf.DUMMYFUNCTION("""COMPUTED_VALUE"""),"I PERUGIA01")</f>
        <v>I PERUGIA01</v>
      </c>
      <c r="C521" s="3" t="str">
        <f>IFERROR(__xludf.DUMMYFUNCTION("""COMPUTED_VALUE"""),"Universitá degli Studi di Perugia")</f>
        <v>Universitá degli Studi di Perugia</v>
      </c>
      <c r="D521" s="2" t="str">
        <f>IFERROR(__xludf.DUMMYFUNCTION("""COMPUTED_VALUE"""),"Erasmus+")</f>
        <v>Erasmus+</v>
      </c>
      <c r="E521" s="2">
        <f>IFERROR(__xludf.DUMMYFUNCTION("""COMPUTED_VALUE"""),4.0)</f>
        <v>4</v>
      </c>
      <c r="F521" s="2" t="str">
        <f>IFERROR(__xludf.DUMMYFUNCTION("""COMPUTED_VALUE"""),"Semestre")</f>
        <v>Semestre</v>
      </c>
      <c r="G521" s="2" t="str">
        <f>IFERROR(__xludf.DUMMYFUNCTION("""COMPUTED_VALUE"""),"Bilbao")</f>
        <v>Bilbao</v>
      </c>
      <c r="H521" s="2" t="str">
        <f>IFERROR(__xludf.DUMMYFUNCTION("""COMPUTED_VALUE"""),"Derecho")</f>
        <v>Derecho</v>
      </c>
      <c r="I521" s="2" t="str">
        <f>IFERROR(__xludf.DUMMYFUNCTION("""COMPUTED_VALUE"""),"Derecho, Derecho + Relaciones Laborales")</f>
        <v>Derecho, Derecho + Relaciones Laborales</v>
      </c>
      <c r="J521" s="2" t="str">
        <f>IFERROR(__xludf.DUMMYFUNCTION("""COMPUTED_VALUE"""),"Grado")</f>
        <v>Grado</v>
      </c>
      <c r="K521" s="2" t="str">
        <f>IFERROR(__xludf.DUMMYFUNCTION("""COMPUTED_VALUE"""),"Italiano / Inglés")</f>
        <v>Italiano / Inglés</v>
      </c>
      <c r="L521" s="2" t="str">
        <f>IFERROR(__xludf.DUMMYFUNCTION("""COMPUTED_VALUE"""),"B1 It / B2 En")</f>
        <v>B1 It / B2 En</v>
      </c>
      <c r="M521" s="2" t="str">
        <f>IFERROR(__xludf.DUMMYFUNCTION("""COMPUTED_VALUE"""),"No")</f>
        <v>No</v>
      </c>
      <c r="N521" s="3" t="str">
        <f>IFERROR(__xludf.DUMMYFUNCTION("""COMPUTED_VALUE"""),"https://www.unipg.it/en/international-students/incoming-exchange-students/international-study-programmes")</f>
        <v>https://www.unipg.it/en/international-students/incoming-exchange-students/international-study-programmes</v>
      </c>
      <c r="O521" s="3" t="str">
        <f>IFERROR(__xludf.DUMMYFUNCTION("""COMPUTED_VALUE"""),"Más información / Informazio gehigarria")</f>
        <v>Más información / Informazio gehigarria</v>
      </c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30.0" customHeight="1">
      <c r="A522" s="2" t="str">
        <f>IFERROR(__xludf.DUMMYFUNCTION("""COMPUTED_VALUE"""),"Italia")</f>
        <v>Italia</v>
      </c>
      <c r="B522" s="2" t="str">
        <f>IFERROR(__xludf.DUMMYFUNCTION("""COMPUTED_VALUE"""),"I PISA01")</f>
        <v>I PISA01</v>
      </c>
      <c r="C522" s="3" t="str">
        <f>IFERROR(__xludf.DUMMYFUNCTION("""COMPUTED_VALUE"""),"Università degli Studi di Pisa")</f>
        <v>Università degli Studi di Pisa</v>
      </c>
      <c r="D522" s="2" t="str">
        <f>IFERROR(__xludf.DUMMYFUNCTION("""COMPUTED_VALUE"""),"Erasmus+")</f>
        <v>Erasmus+</v>
      </c>
      <c r="E522" s="2">
        <f>IFERROR(__xludf.DUMMYFUNCTION("""COMPUTED_VALUE"""),4.0)</f>
        <v>4</v>
      </c>
      <c r="F522" s="2" t="str">
        <f>IFERROR(__xludf.DUMMYFUNCTION("""COMPUTED_VALUE"""),"Semestre")</f>
        <v>Semestre</v>
      </c>
      <c r="G522" s="2" t="str">
        <f>IFERROR(__xludf.DUMMYFUNCTION("""COMPUTED_VALUE"""),"Ambos")</f>
        <v>Ambos</v>
      </c>
      <c r="H522" s="2" t="str">
        <f>IFERROR(__xludf.DUMMYFUNCTION("""COMPUTED_VALUE"""),"Derecho")</f>
        <v>Derecho</v>
      </c>
      <c r="I522" s="2" t="str">
        <f>IFERROR(__xludf.DUMMYFUNCTION("""COMPUTED_VALUE"""),"Derecho, Derecho + Relaciones Laborales")</f>
        <v>Derecho, Derecho + Relaciones Laborales</v>
      </c>
      <c r="J522" s="2" t="str">
        <f>IFERROR(__xludf.DUMMYFUNCTION("""COMPUTED_VALUE"""),"Grado")</f>
        <v>Grado</v>
      </c>
      <c r="K522" s="2" t="str">
        <f>IFERROR(__xludf.DUMMYFUNCTION("""COMPUTED_VALUE"""),"Italiano")</f>
        <v>Italiano</v>
      </c>
      <c r="L522" s="2" t="str">
        <f>IFERROR(__xludf.DUMMYFUNCTION("""COMPUTED_VALUE"""),"B1")</f>
        <v>B1</v>
      </c>
      <c r="M522" s="2" t="str">
        <f>IFERROR(__xludf.DUMMYFUNCTION("""COMPUTED_VALUE"""),"No")</f>
        <v>No</v>
      </c>
      <c r="N522" s="3" t="str">
        <f>IFERROR(__xludf.DUMMYFUNCTION("""COMPUTED_VALUE"""),"https://www.unipi.it/index.php/opportunities-and-exchange-programmes/item/11414-student-exchange-programme#:~:text=The%20Italian%20language%20proficiency%20(at,stated%20in%20the%20relevant%20agreement.")</f>
        <v>https://www.unipi.it/index.php/opportunities-and-exchange-programmes/item/11414-student-exchange-programme#:~:text=The%20Italian%20language%20proficiency%20(at,stated%20in%20the%20relevant%20agreement.</v>
      </c>
      <c r="O522" s="3" t="str">
        <f>IFERROR(__xludf.DUMMYFUNCTION("""COMPUTED_VALUE"""),"Más información / Informazio gehigarria")</f>
        <v>Más información / Informazio gehigarria</v>
      </c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30.0" customHeight="1">
      <c r="A523" s="2" t="str">
        <f>IFERROR(__xludf.DUMMYFUNCTION("""COMPUTED_VALUE"""),"Italia")</f>
        <v>Italia</v>
      </c>
      <c r="B523" s="2" t="str">
        <f>IFERROR(__xludf.DUMMYFUNCTION("""COMPUTED_VALUE"""),"I PISA01")</f>
        <v>I PISA01</v>
      </c>
      <c r="C523" s="3" t="str">
        <f>IFERROR(__xludf.DUMMYFUNCTION("""COMPUTED_VALUE"""),"Università degli Studi di Pisa")</f>
        <v>Università degli Studi di Pisa</v>
      </c>
      <c r="D523" s="2" t="str">
        <f>IFERROR(__xludf.DUMMYFUNCTION("""COMPUTED_VALUE"""),"Erasmus+")</f>
        <v>Erasmus+</v>
      </c>
      <c r="E523" s="2">
        <f>IFERROR(__xludf.DUMMYFUNCTION("""COMPUTED_VALUE"""),4.0)</f>
        <v>4</v>
      </c>
      <c r="F523" s="2" t="str">
        <f>IFERROR(__xludf.DUMMYFUNCTION("""COMPUTED_VALUE"""),"Semestre")</f>
        <v>Semestre</v>
      </c>
      <c r="G523" s="2" t="str">
        <f>IFERROR(__xludf.DUMMYFUNCTION("""COMPUTED_VALUE"""),"Ambos")</f>
        <v>Ambos</v>
      </c>
      <c r="H523" s="2" t="str">
        <f>IFERROR(__xludf.DUMMYFUNCTION("""COMPUTED_VALUE"""),"Ingeniería")</f>
        <v>Ingeniería</v>
      </c>
      <c r="I523" s="2" t="str">
        <f>IFERROR(__xludf.DUMMYFUNCTION("""COMPUTED_VALUE"""),"Ingeniería Informática, Ciencia de Datos e IA, Ciencia de Datos e IA + Ingeniería Informática, Ingeniería Informática + Videojuegos")</f>
        <v>Ingeniería Informática, Ciencia de Datos e IA, Ciencia de Datos e IA + Ingeniería Informática, Ingeniería Informática + Videojuegos</v>
      </c>
      <c r="J523" s="2" t="str">
        <f>IFERROR(__xludf.DUMMYFUNCTION("""COMPUTED_VALUE"""),"Grado")</f>
        <v>Grado</v>
      </c>
      <c r="K523" s="2" t="str">
        <f>IFERROR(__xludf.DUMMYFUNCTION("""COMPUTED_VALUE"""),"Inglés")</f>
        <v>Inglés</v>
      </c>
      <c r="L523" s="2" t="str">
        <f>IFERROR(__xludf.DUMMYFUNCTION("""COMPUTED_VALUE"""),"B2")</f>
        <v>B2</v>
      </c>
      <c r="M523" s="2" t="str">
        <f>IFERROR(__xludf.DUMMYFUNCTION("""COMPUTED_VALUE"""),"No")</f>
        <v>No</v>
      </c>
      <c r="N523" s="3" t="str">
        <f>IFERROR(__xludf.DUMMYFUNCTION("""COMPUTED_VALUE"""),"https://www.unipi.it/index.php/opportunities-and-exchange-programmes/item/11414-student-exchange-programme#:~:text=The%20Italian%20language%20proficiency%20(at,stated%20in%20the%20relevant%20agreement.")</f>
        <v>https://www.unipi.it/index.php/opportunities-and-exchange-programmes/item/11414-student-exchange-programme#:~:text=The%20Italian%20language%20proficiency%20(at,stated%20in%20the%20relevant%20agreement.</v>
      </c>
      <c r="O523" s="3" t="str">
        <f>IFERROR(__xludf.DUMMYFUNCTION("""COMPUTED_VALUE"""),"Más información / Informazio gehigarria")</f>
        <v>Más información / Informazio gehigarria</v>
      </c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30.0" customHeight="1">
      <c r="A524" s="2" t="str">
        <f>IFERROR(__xludf.DUMMYFUNCTION("""COMPUTED_VALUE"""),"Italia")</f>
        <v>Italia</v>
      </c>
      <c r="B524" s="2" t="str">
        <f>IFERROR(__xludf.DUMMYFUNCTION("""COMPUTED_VALUE"""),"I PISA01")</f>
        <v>I PISA01</v>
      </c>
      <c r="C524" s="3" t="str">
        <f>IFERROR(__xludf.DUMMYFUNCTION("""COMPUTED_VALUE"""),"Università degli Studi di Pisa")</f>
        <v>Università degli Studi di Pisa</v>
      </c>
      <c r="D524" s="2" t="str">
        <f>IFERROR(__xludf.DUMMYFUNCTION("""COMPUTED_VALUE"""),"Erasmus+")</f>
        <v>Erasmus+</v>
      </c>
      <c r="E524" s="2">
        <f>IFERROR(__xludf.DUMMYFUNCTION("""COMPUTED_VALUE"""),2.0)</f>
        <v>2</v>
      </c>
      <c r="F524" s="2" t="str">
        <f>IFERROR(__xludf.DUMMYFUNCTION("""COMPUTED_VALUE"""),"Semestre")</f>
        <v>Semestre</v>
      </c>
      <c r="G524" s="2" t="str">
        <f>IFERROR(__xludf.DUMMYFUNCTION("""COMPUTED_VALUE"""),"Bilbao")</f>
        <v>Bilbao</v>
      </c>
      <c r="H524" s="2" t="str">
        <f>IFERROR(__xludf.DUMMYFUNCTION("""COMPUTED_VALUE"""),"Ciencias Sociales y Humanas")</f>
        <v>Ciencias Sociales y Humanas</v>
      </c>
      <c r="I524" s="2" t="str">
        <f>IFERROR(__xludf.DUMMYFUNCTION("""COMPUTED_VALUE"""),"Filosofía, Política y Economía")</f>
        <v>Filosofía, Política y Economía</v>
      </c>
      <c r="J524" s="2" t="str">
        <f>IFERROR(__xludf.DUMMYFUNCTION("""COMPUTED_VALUE"""),"Grado")</f>
        <v>Grado</v>
      </c>
      <c r="K524" s="2" t="str">
        <f>IFERROR(__xludf.DUMMYFUNCTION("""COMPUTED_VALUE"""),"Italiano")</f>
        <v>Italiano</v>
      </c>
      <c r="L524" s="2" t="str">
        <f>IFERROR(__xludf.DUMMYFUNCTION("""COMPUTED_VALUE"""),"B1")</f>
        <v>B1</v>
      </c>
      <c r="M524" s="2" t="str">
        <f>IFERROR(__xludf.DUMMYFUNCTION("""COMPUTED_VALUE"""),"No")</f>
        <v>No</v>
      </c>
      <c r="N524" s="3" t="str">
        <f>IFERROR(__xludf.DUMMYFUNCTION("""COMPUTED_VALUE"""),"https://www.unipi.it/index.php/opportunities-and-exchange-programmes/item/11414-student-exchange-programme#:~:text=The%20Italian%20language%20proficiency%20(at,stated%20in%20the%20relevant%20agreement.")</f>
        <v>https://www.unipi.it/index.php/opportunities-and-exchange-programmes/item/11414-student-exchange-programme#:~:text=The%20Italian%20language%20proficiency%20(at,stated%20in%20the%20relevant%20agreement.</v>
      </c>
      <c r="O524" s="3" t="str">
        <f>IFERROR(__xludf.DUMMYFUNCTION("""COMPUTED_VALUE"""),"Más información / Informazio gehigarria")</f>
        <v>Más información / Informazio gehigarria</v>
      </c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30.0" customHeight="1">
      <c r="A525" s="2" t="str">
        <f>IFERROR(__xludf.DUMMYFUNCTION("""COMPUTED_VALUE"""),"Italia")</f>
        <v>Italia</v>
      </c>
      <c r="B525" s="2" t="str">
        <f>IFERROR(__xludf.DUMMYFUNCTION("""COMPUTED_VALUE"""),"I ROMA05")</f>
        <v>I ROMA05</v>
      </c>
      <c r="C525" s="3" t="str">
        <f>IFERROR(__xludf.DUMMYFUNCTION("""COMPUTED_VALUE"""),"Università Degli Studi di Roma Foro Italico")</f>
        <v>Università Degli Studi di Roma Foro Italico</v>
      </c>
      <c r="D525" s="2" t="str">
        <f>IFERROR(__xludf.DUMMYFUNCTION("""COMPUTED_VALUE"""),"Erasmus+")</f>
        <v>Erasmus+</v>
      </c>
      <c r="E525" s="2">
        <f>IFERROR(__xludf.DUMMYFUNCTION("""COMPUTED_VALUE"""),4.0)</f>
        <v>4</v>
      </c>
      <c r="F525" s="2" t="str">
        <f>IFERROR(__xludf.DUMMYFUNCTION("""COMPUTED_VALUE"""),"Semestre")</f>
        <v>Semestre</v>
      </c>
      <c r="G525" s="2" t="str">
        <f>IFERROR(__xludf.DUMMYFUNCTION("""COMPUTED_VALUE"""),"Bilbao")</f>
        <v>Bilbao</v>
      </c>
      <c r="H525" s="2" t="str">
        <f>IFERROR(__xludf.DUMMYFUNCTION("""COMPUTED_VALUE"""),"Educación y Deporte")</f>
        <v>Educación y Deporte</v>
      </c>
      <c r="I525" s="2" t="str">
        <f>IFERROR(__xludf.DUMMYFUNCTION("""COMPUTED_VALUE"""),"CAFyD")</f>
        <v>CAFyD</v>
      </c>
      <c r="J525" s="2" t="str">
        <f>IFERROR(__xludf.DUMMYFUNCTION("""COMPUTED_VALUE"""),"Grado")</f>
        <v>Grado</v>
      </c>
      <c r="K525" s="2" t="str">
        <f>IFERROR(__xludf.DUMMYFUNCTION("""COMPUTED_VALUE"""),"Italiano / Inglés")</f>
        <v>Italiano / Inglés</v>
      </c>
      <c r="L525" s="2" t="str">
        <f>IFERROR(__xludf.DUMMYFUNCTION("""COMPUTED_VALUE"""),"B1 It / B2 En")</f>
        <v>B1 It / B2 En</v>
      </c>
      <c r="M525" s="2" t="str">
        <f>IFERROR(__xludf.DUMMYFUNCTION("""COMPUTED_VALUE"""),"No")</f>
        <v>No</v>
      </c>
      <c r="N525" s="3" t="str">
        <f>IFERROR(__xludf.DUMMYFUNCTION("""COMPUTED_VALUE"""),"http://www.uniroma4.it/?q=node/156")</f>
        <v>http://www.uniroma4.it/?q=node/156</v>
      </c>
      <c r="O525" s="3" t="str">
        <f>IFERROR(__xludf.DUMMYFUNCTION("""COMPUTED_VALUE"""),"Más información / Informazio gehigarria")</f>
        <v>Más información / Informazio gehigarria</v>
      </c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30.0" customHeight="1">
      <c r="A526" s="2" t="str">
        <f>IFERROR(__xludf.DUMMYFUNCTION("""COMPUTED_VALUE"""),"Italia")</f>
        <v>Italia</v>
      </c>
      <c r="B526" s="2" t="str">
        <f>IFERROR(__xludf.DUMMYFUNCTION("""COMPUTED_VALUE"""),"I SALERNO01")</f>
        <v>I SALERNO01</v>
      </c>
      <c r="C526" s="3" t="str">
        <f>IFERROR(__xludf.DUMMYFUNCTION("""COMPUTED_VALUE"""),"Università degli Studi di Salerno")</f>
        <v>Università degli Studi di Salerno</v>
      </c>
      <c r="D526" s="2" t="str">
        <f>IFERROR(__xludf.DUMMYFUNCTION("""COMPUTED_VALUE"""),"Erasmus+")</f>
        <v>Erasmus+</v>
      </c>
      <c r="E526" s="2">
        <f>IFERROR(__xludf.DUMMYFUNCTION("""COMPUTED_VALUE"""),2.0)</f>
        <v>2</v>
      </c>
      <c r="F526" s="2" t="str">
        <f>IFERROR(__xludf.DUMMYFUNCTION("""COMPUTED_VALUE"""),"Semestre")</f>
        <v>Semestre</v>
      </c>
      <c r="G526" s="2" t="str">
        <f>IFERROR(__xludf.DUMMYFUNCTION("""COMPUTED_VALUE"""),"Bilbao")</f>
        <v>Bilbao</v>
      </c>
      <c r="H526" s="2" t="str">
        <f>IFERROR(__xludf.DUMMYFUNCTION("""COMPUTED_VALUE"""),"Ingeniería")</f>
        <v>Ingeniería</v>
      </c>
      <c r="I526" s="2" t="str">
        <f>IFERROR(__xludf.DUMMYFUNCTION("""COMPUTED_VALUE"""),"Organización Industrial, Ingeniería Mecánica, Diseño Industrial + Ingeniería Mecánica")</f>
        <v>Organización Industrial, Ingeniería Mecánica, Diseño Industrial + Ingeniería Mecánica</v>
      </c>
      <c r="J526" s="2" t="str">
        <f>IFERROR(__xludf.DUMMYFUNCTION("""COMPUTED_VALUE"""),"Grado")</f>
        <v>Grado</v>
      </c>
      <c r="K526" s="2" t="str">
        <f>IFERROR(__xludf.DUMMYFUNCTION("""COMPUTED_VALUE"""),"Italiano")</f>
        <v>Italiano</v>
      </c>
      <c r="L526" s="2" t="str">
        <f>IFERROR(__xludf.DUMMYFUNCTION("""COMPUTED_VALUE"""),"B1")</f>
        <v>B1</v>
      </c>
      <c r="M526" s="2" t="str">
        <f>IFERROR(__xludf.DUMMYFUNCTION("""COMPUTED_VALUE"""),"No")</f>
        <v>No</v>
      </c>
      <c r="N526" s="3" t="str">
        <f>IFERROR(__xludf.DUMMYFUNCTION("""COMPUTED_VALUE"""),"https://eurep.auth.gr/sites/default/files/fact_sheets/I_SALERNO01_Factsheet.pdf")</f>
        <v>https://eurep.auth.gr/sites/default/files/fact_sheets/I_SALERNO01_Factsheet.pdf</v>
      </c>
      <c r="O526" s="3" t="str">
        <f>IFERROR(__xludf.DUMMYFUNCTION("""COMPUTED_VALUE"""),"Más información / Informazio gehigarria")</f>
        <v>Más información / Informazio gehigarria</v>
      </c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30.0" customHeight="1">
      <c r="A527" s="2" t="str">
        <f>IFERROR(__xludf.DUMMYFUNCTION("""COMPUTED_VALUE"""),"Italia")</f>
        <v>Italia</v>
      </c>
      <c r="B527" s="2" t="str">
        <f>IFERROR(__xludf.DUMMYFUNCTION("""COMPUTED_VALUE"""),"I SALERNO01")</f>
        <v>I SALERNO01</v>
      </c>
      <c r="C527" s="3" t="str">
        <f>IFERROR(__xludf.DUMMYFUNCTION("""COMPUTED_VALUE"""),"Università degli Studi di Salerno")</f>
        <v>Università degli Studi di Salerno</v>
      </c>
      <c r="D527" s="2" t="str">
        <f>IFERROR(__xludf.DUMMYFUNCTION("""COMPUTED_VALUE"""),"Erasmus+")</f>
        <v>Erasmus+</v>
      </c>
      <c r="E527" s="2">
        <f>IFERROR(__xludf.DUMMYFUNCTION("""COMPUTED_VALUE"""),1.0)</f>
        <v>1</v>
      </c>
      <c r="F527" s="2" t="str">
        <f>IFERROR(__xludf.DUMMYFUNCTION("""COMPUTED_VALUE"""),"Anual")</f>
        <v>Anual</v>
      </c>
      <c r="G527" s="2" t="str">
        <f>IFERROR(__xludf.DUMMYFUNCTION("""COMPUTED_VALUE"""),"Bilbao")</f>
        <v>Bilbao</v>
      </c>
      <c r="H527" s="2" t="str">
        <f>IFERROR(__xludf.DUMMYFUNCTION("""COMPUTED_VALUE"""),"Ciencias Sociales y Humanas")</f>
        <v>Ciencias Sociales y Humanas</v>
      </c>
      <c r="I527" s="2" t="str">
        <f>IFERROR(__xludf.DUMMYFUNCTION("""COMPUTED_VALUE"""),"Relaciones Internacionales, Relaciones Internacionales + Derecho")</f>
        <v>Relaciones Internacionales, Relaciones Internacionales + Derecho</v>
      </c>
      <c r="J527" s="2" t="str">
        <f>IFERROR(__xludf.DUMMYFUNCTION("""COMPUTED_VALUE"""),"Grado")</f>
        <v>Grado</v>
      </c>
      <c r="K527" s="2" t="str">
        <f>IFERROR(__xludf.DUMMYFUNCTION("""COMPUTED_VALUE"""),"Italiano")</f>
        <v>Italiano</v>
      </c>
      <c r="L527" s="2" t="str">
        <f>IFERROR(__xludf.DUMMYFUNCTION("""COMPUTED_VALUE"""),"B1")</f>
        <v>B1</v>
      </c>
      <c r="M527" s="2" t="str">
        <f>IFERROR(__xludf.DUMMYFUNCTION("""COMPUTED_VALUE"""),"No")</f>
        <v>No</v>
      </c>
      <c r="N527" s="3" t="str">
        <f>IFERROR(__xludf.DUMMYFUNCTION("""COMPUTED_VALUE"""),"https://eurep.auth.gr/sites/default/files/fact_sheets/I_SALERNO01_Factsheet.pdf")</f>
        <v>https://eurep.auth.gr/sites/default/files/fact_sheets/I_SALERNO01_Factsheet.pdf</v>
      </c>
      <c r="O527" s="3" t="str">
        <f>IFERROR(__xludf.DUMMYFUNCTION("""COMPUTED_VALUE"""),"Más información / Informazio gehigarria")</f>
        <v>Más información / Informazio gehigarria</v>
      </c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30.0" customHeight="1">
      <c r="A528" s="2" t="str">
        <f>IFERROR(__xludf.DUMMYFUNCTION("""COMPUTED_VALUE"""),"Italia")</f>
        <v>Italia</v>
      </c>
      <c r="B528" s="2" t="str">
        <f>IFERROR(__xludf.DUMMYFUNCTION("""COMPUTED_VALUE"""),"I TORINO01")</f>
        <v>I TORINO01</v>
      </c>
      <c r="C528" s="3" t="str">
        <f>IFERROR(__xludf.DUMMYFUNCTION("""COMPUTED_VALUE"""),"Universitá degli Studi di Torino SAA")</f>
        <v>Universitá degli Studi di Torino SAA</v>
      </c>
      <c r="D528" s="2" t="str">
        <f>IFERROR(__xludf.DUMMYFUNCTION("""COMPUTED_VALUE"""),"Erasmus+")</f>
        <v>Erasmus+</v>
      </c>
      <c r="E528" s="2">
        <f>IFERROR(__xludf.DUMMYFUNCTION("""COMPUTED_VALUE"""),4.0)</f>
        <v>4</v>
      </c>
      <c r="F528" s="2" t="str">
        <f>IFERROR(__xludf.DUMMYFUNCTION("""COMPUTED_VALUE"""),"Semestre")</f>
        <v>Semestre</v>
      </c>
      <c r="G528" s="2" t="str">
        <f>IFERROR(__xludf.DUMMYFUNCTION("""COMPUTED_VALUE"""),"San Sebastián")</f>
        <v>San Sebastián</v>
      </c>
      <c r="H528" s="2" t="str">
        <f>IFERROR(__xludf.DUMMYFUNCTION("""COMPUTED_VALUE"""),"Deusto Business School")</f>
        <v>Deusto Business School</v>
      </c>
      <c r="I528" s="2" t="str">
        <f>IFERROR(__xludf.DUMMYFUNCTION("""COMPUTED_VALUE"""),"Administración y Dirección de Empresas")</f>
        <v>Administración y Dirección de Empresas</v>
      </c>
      <c r="J528" s="2" t="str">
        <f>IFERROR(__xludf.DUMMYFUNCTION("""COMPUTED_VALUE"""),"Grado")</f>
        <v>Grado</v>
      </c>
      <c r="K528" s="2" t="str">
        <f>IFERROR(__xludf.DUMMYFUNCTION("""COMPUTED_VALUE"""),"Inglés")</f>
        <v>Inglés</v>
      </c>
      <c r="L528" s="2" t="str">
        <f>IFERROR(__xludf.DUMMYFUNCTION("""COMPUTED_VALUE"""),"B2")</f>
        <v>B2</v>
      </c>
      <c r="M528" s="2" t="str">
        <f>IFERROR(__xludf.DUMMYFUNCTION("""COMPUTED_VALUE"""),"No")</f>
        <v>No</v>
      </c>
      <c r="N528" s="3" t="str">
        <f>IFERROR(__xludf.DUMMYFUNCTION("""COMPUTED_VALUE"""),"https://en.unito.it/international-relations/students-mobility/exchange-students-and-erasmus-mobility")</f>
        <v>https://en.unito.it/international-relations/students-mobility/exchange-students-and-erasmus-mobility</v>
      </c>
      <c r="O528" s="3" t="str">
        <f>IFERROR(__xludf.DUMMYFUNCTION("""COMPUTED_VALUE"""),"Más información / Informazio gehigarria")</f>
        <v>Más información / Informazio gehigarria</v>
      </c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30.0" customHeight="1">
      <c r="A529" s="2" t="str">
        <f>IFERROR(__xludf.DUMMYFUNCTION("""COMPUTED_VALUE"""),"Italia")</f>
        <v>Italia</v>
      </c>
      <c r="B529" s="2" t="str">
        <f>IFERROR(__xludf.DUMMYFUNCTION("""COMPUTED_VALUE"""),"I UDINE01")</f>
        <v>I UDINE01</v>
      </c>
      <c r="C529" s="3" t="str">
        <f>IFERROR(__xludf.DUMMYFUNCTION("""COMPUTED_VALUE"""),"Università degli Studi di Udine")</f>
        <v>Università degli Studi di Udine</v>
      </c>
      <c r="D529" s="2" t="str">
        <f>IFERROR(__xludf.DUMMYFUNCTION("""COMPUTED_VALUE"""),"Erasmus+")</f>
        <v>Erasmus+</v>
      </c>
      <c r="E529" s="2">
        <f>IFERROR(__xludf.DUMMYFUNCTION("""COMPUTED_VALUE"""),4.0)</f>
        <v>4</v>
      </c>
      <c r="F529" s="2" t="str">
        <f>IFERROR(__xludf.DUMMYFUNCTION("""COMPUTED_VALUE"""),"Semestre")</f>
        <v>Semestre</v>
      </c>
      <c r="G529" s="2" t="str">
        <f>IFERROR(__xludf.DUMMYFUNCTION("""COMPUTED_VALUE"""),"Ambos")</f>
        <v>Ambos</v>
      </c>
      <c r="H529" s="2" t="str">
        <f>IFERROR(__xludf.DUMMYFUNCTION("""COMPUTED_VALUE"""),"Derecho")</f>
        <v>Derecho</v>
      </c>
      <c r="I529" s="2" t="str">
        <f>IFERROR(__xludf.DUMMYFUNCTION("""COMPUTED_VALUE"""),"Derecho, Derecho + Relaciones Laborales")</f>
        <v>Derecho, Derecho + Relaciones Laborales</v>
      </c>
      <c r="J529" s="2" t="str">
        <f>IFERROR(__xludf.DUMMYFUNCTION("""COMPUTED_VALUE"""),"Grado")</f>
        <v>Grado</v>
      </c>
      <c r="K529" s="2" t="str">
        <f>IFERROR(__xludf.DUMMYFUNCTION("""COMPUTED_VALUE"""),"Italiano / Inglés")</f>
        <v>Italiano / Inglés</v>
      </c>
      <c r="L529" s="2" t="str">
        <f>IFERROR(__xludf.DUMMYFUNCTION("""COMPUTED_VALUE"""),"B1 / B2")</f>
        <v>B1 / B2</v>
      </c>
      <c r="M529" s="2" t="str">
        <f>IFERROR(__xludf.DUMMYFUNCTION("""COMPUTED_VALUE"""),"Sí")</f>
        <v>Sí</v>
      </c>
      <c r="N529" s="3" t="str">
        <f>IFERROR(__xludf.DUMMYFUNCTION("""COMPUTED_VALUE"""),"https://www.uniud.it/en/uniud-international/International_Students/language-requirements-for-admission")</f>
        <v>https://www.uniud.it/en/uniud-international/International_Students/language-requirements-for-admission</v>
      </c>
      <c r="O529" s="3" t="str">
        <f>IFERROR(__xludf.DUMMYFUNCTION("""COMPUTED_VALUE"""),"Más información / Informazio gehigarria")</f>
        <v>Más información / Informazio gehigarria</v>
      </c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30.0" customHeight="1">
      <c r="A530" s="2" t="str">
        <f>IFERROR(__xludf.DUMMYFUNCTION("""COMPUTED_VALUE"""),"Italia")</f>
        <v>Italia</v>
      </c>
      <c r="B530" s="2" t="str">
        <f>IFERROR(__xludf.DUMMYFUNCTION("""COMPUTED_VALUE"""),"I UDINE01")</f>
        <v>I UDINE01</v>
      </c>
      <c r="C530" s="3" t="str">
        <f>IFERROR(__xludf.DUMMYFUNCTION("""COMPUTED_VALUE"""),"Università degli Studi di Udine")</f>
        <v>Università degli Studi di Udine</v>
      </c>
      <c r="D530" s="2" t="str">
        <f>IFERROR(__xludf.DUMMYFUNCTION("""COMPUTED_VALUE"""),"Erasmus+")</f>
        <v>Erasmus+</v>
      </c>
      <c r="E530" s="2">
        <f>IFERROR(__xludf.DUMMYFUNCTION("""COMPUTED_VALUE"""),2.0)</f>
        <v>2</v>
      </c>
      <c r="F530" s="2" t="str">
        <f>IFERROR(__xludf.DUMMYFUNCTION("""COMPUTED_VALUE"""),"Anual")</f>
        <v>Anual</v>
      </c>
      <c r="G530" s="2" t="str">
        <f>IFERROR(__xludf.DUMMYFUNCTION("""COMPUTED_VALUE"""),"Bilbao")</f>
        <v>Bilbao</v>
      </c>
      <c r="H530" s="2" t="str">
        <f>IFERROR(__xludf.DUMMYFUNCTION("""COMPUTED_VALUE"""),"Ciencias Sociales y Humanas")</f>
        <v>Ciencias Sociales y Humanas</v>
      </c>
      <c r="I530" s="2" t="str">
        <f>IFERROR(__xludf.DUMMYFUNCTION("""COMPUTED_VALUE"""),"Lenguas Modernas, Lengua y Cultura Vasca + Lenguas Modernas, Lenguas Modernas y Gestión, Euskal Hizkuntza eta Kultura")</f>
        <v>Lenguas Modernas, Lengua y Cultura Vasca + Lenguas Modernas, Lenguas Modernas y Gestión, Euskal Hizkuntza eta Kultura</v>
      </c>
      <c r="J530" s="2" t="str">
        <f>IFERROR(__xludf.DUMMYFUNCTION("""COMPUTED_VALUE"""),"Grado")</f>
        <v>Grado</v>
      </c>
      <c r="K530" s="2" t="str">
        <f>IFERROR(__xludf.DUMMYFUNCTION("""COMPUTED_VALUE"""),"Italiano / Inglés")</f>
        <v>Italiano / Inglés</v>
      </c>
      <c r="L530" s="2" t="str">
        <f>IFERROR(__xludf.DUMMYFUNCTION("""COMPUTED_VALUE"""),"B1 / B2")</f>
        <v>B1 / B2</v>
      </c>
      <c r="M530" s="2" t="str">
        <f>IFERROR(__xludf.DUMMYFUNCTION("""COMPUTED_VALUE"""),"Sí")</f>
        <v>Sí</v>
      </c>
      <c r="N530" s="3" t="str">
        <f>IFERROR(__xludf.DUMMYFUNCTION("""COMPUTED_VALUE"""),"https://www.uniud.it/en/uniud-international/International_Students/language-requirements-for-admission")</f>
        <v>https://www.uniud.it/en/uniud-international/International_Students/language-requirements-for-admission</v>
      </c>
      <c r="O530" s="3" t="str">
        <f>IFERROR(__xludf.DUMMYFUNCTION("""COMPUTED_VALUE"""),"Más información / Informazio gehigarria")</f>
        <v>Más información / Informazio gehigarria</v>
      </c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30.0" customHeight="1">
      <c r="A531" s="2" t="str">
        <f>IFERROR(__xludf.DUMMYFUNCTION("""COMPUTED_VALUE"""),"Italia")</f>
        <v>Italia</v>
      </c>
      <c r="B531" s="2" t="str">
        <f>IFERROR(__xludf.DUMMYFUNCTION("""COMPUTED_VALUE"""),"I URBINO01")</f>
        <v>I URBINO01</v>
      </c>
      <c r="C531" s="3" t="str">
        <f>IFERROR(__xludf.DUMMYFUNCTION("""COMPUTED_VALUE"""),"Università degli Studi di Urbino Carlo Bo")</f>
        <v>Università degli Studi di Urbino Carlo Bo</v>
      </c>
      <c r="D531" s="2" t="str">
        <f>IFERROR(__xludf.DUMMYFUNCTION("""COMPUTED_VALUE"""),"Erasmus+")</f>
        <v>Erasmus+</v>
      </c>
      <c r="E531" s="2">
        <f>IFERROR(__xludf.DUMMYFUNCTION("""COMPUTED_VALUE"""),4.0)</f>
        <v>4</v>
      </c>
      <c r="F531" s="2" t="str">
        <f>IFERROR(__xludf.DUMMYFUNCTION("""COMPUTED_VALUE"""),"Semestre")</f>
        <v>Semestre</v>
      </c>
      <c r="G531" s="2" t="str">
        <f>IFERROR(__xludf.DUMMYFUNCTION("""COMPUTED_VALUE"""),"Ambos")</f>
        <v>Ambos</v>
      </c>
      <c r="H531" s="2" t="str">
        <f>IFERROR(__xludf.DUMMYFUNCTION("""COMPUTED_VALUE"""),"Educación y Deporte")</f>
        <v>Educación y Deporte</v>
      </c>
      <c r="I531" s="2" t="str">
        <f>IFERROR(__xludf.DUMMYFUNCTION("""COMPUTED_VALUE"""),"Educación Primaria")</f>
        <v>Educación Primaria</v>
      </c>
      <c r="J531" s="2" t="str">
        <f>IFERROR(__xludf.DUMMYFUNCTION("""COMPUTED_VALUE"""),"Grado")</f>
        <v>Grado</v>
      </c>
      <c r="K531" s="2" t="str">
        <f>IFERROR(__xludf.DUMMYFUNCTION("""COMPUTED_VALUE"""),"Italiano")</f>
        <v>Italiano</v>
      </c>
      <c r="L531" s="2" t="str">
        <f>IFERROR(__xludf.DUMMYFUNCTION("""COMPUTED_VALUE"""),"B1")</f>
        <v>B1</v>
      </c>
      <c r="M531" s="2" t="str">
        <f>IFERROR(__xludf.DUMMYFUNCTION("""COMPUTED_VALUE"""),"No")</f>
        <v>No</v>
      </c>
      <c r="N531" s="3" t="str">
        <f>IFERROR(__xludf.DUMMYFUNCTION("""COMPUTED_VALUE"""),"https://www.uniadrionitaly.it/wp-content/uploads/2022/10/UNI_URBINO.pdf")</f>
        <v>https://www.uniadrionitaly.it/wp-content/uploads/2022/10/UNI_URBINO.pdf</v>
      </c>
      <c r="O531" s="3" t="str">
        <f>IFERROR(__xludf.DUMMYFUNCTION("""COMPUTED_VALUE"""),"Más información / Informazio gehigarria")</f>
        <v>Más información / Informazio gehigarria</v>
      </c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30.0" customHeight="1">
      <c r="A532" s="2" t="str">
        <f>IFERROR(__xludf.DUMMYFUNCTION("""COMPUTED_VALUE"""),"Italia")</f>
        <v>Italia</v>
      </c>
      <c r="B532" s="2" t="str">
        <f>IFERROR(__xludf.DUMMYFUNCTION("""COMPUTED_VALUE"""),"I VERONA01")</f>
        <v>I VERONA01</v>
      </c>
      <c r="C532" s="3" t="str">
        <f>IFERROR(__xludf.DUMMYFUNCTION("""COMPUTED_VALUE"""),"Università degli Studi di Verona")</f>
        <v>Università degli Studi di Verona</v>
      </c>
      <c r="D532" s="2" t="str">
        <f>IFERROR(__xludf.DUMMYFUNCTION("""COMPUTED_VALUE"""),"Erasmus+")</f>
        <v>Erasmus+</v>
      </c>
      <c r="E532" s="2">
        <f>IFERROR(__xludf.DUMMYFUNCTION("""COMPUTED_VALUE"""),4.0)</f>
        <v>4</v>
      </c>
      <c r="F532" s="2" t="str">
        <f>IFERROR(__xludf.DUMMYFUNCTION("""COMPUTED_VALUE"""),"Semestre")</f>
        <v>Semestre</v>
      </c>
      <c r="G532" s="2" t="str">
        <f>IFERROR(__xludf.DUMMYFUNCTION("""COMPUTED_VALUE"""),"Bilbao")</f>
        <v>Bilbao</v>
      </c>
      <c r="H532" s="2" t="str">
        <f>IFERROR(__xludf.DUMMYFUNCTION("""COMPUTED_VALUE"""),"Derecho")</f>
        <v>Derecho</v>
      </c>
      <c r="I532" s="2" t="str">
        <f>IFERROR(__xludf.DUMMYFUNCTION("""COMPUTED_VALUE"""),"Derecho, Derecho + Relaciones Laborales")</f>
        <v>Derecho, Derecho + Relaciones Laborales</v>
      </c>
      <c r="J532" s="2" t="str">
        <f>IFERROR(__xludf.DUMMYFUNCTION("""COMPUTED_VALUE"""),"Grado")</f>
        <v>Grado</v>
      </c>
      <c r="K532" s="2" t="str">
        <f>IFERROR(__xludf.DUMMYFUNCTION("""COMPUTED_VALUE"""),"Italiano / Inglés")</f>
        <v>Italiano / Inglés</v>
      </c>
      <c r="L532" s="2" t="str">
        <f>IFERROR(__xludf.DUMMYFUNCTION("""COMPUTED_VALUE"""),"B2")</f>
        <v>B2</v>
      </c>
      <c r="M532" s="2" t="str">
        <f>IFERROR(__xludf.DUMMYFUNCTION("""COMPUTED_VALUE"""),"Sí")</f>
        <v>Sí</v>
      </c>
      <c r="N532" s="3" t="str">
        <f>IFERROR(__xludf.DUMMYFUNCTION("""COMPUTED_VALUE"""),"https://docs.univr.it/documenti/Documento/allegati/allegati188671.pdf")</f>
        <v>https://docs.univr.it/documenti/Documento/allegati/allegati188671.pdf</v>
      </c>
      <c r="O532" s="3" t="str">
        <f>IFERROR(__xludf.DUMMYFUNCTION("""COMPUTED_VALUE"""),"Más información / Informazio gehigarria")</f>
        <v>Más información / Informazio gehigarria</v>
      </c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30.0" customHeight="1">
      <c r="A533" s="2" t="str">
        <f>IFERROR(__xludf.DUMMYFUNCTION("""COMPUTED_VALUE"""),"Italia")</f>
        <v>Italia</v>
      </c>
      <c r="B533" s="2" t="str">
        <f>IFERROR(__xludf.DUMMYFUNCTION("""COMPUTED_VALUE"""),"I VERONA01")</f>
        <v>I VERONA01</v>
      </c>
      <c r="C533" s="3" t="str">
        <f>IFERROR(__xludf.DUMMYFUNCTION("""COMPUTED_VALUE"""),"Università degli Studi di Verona")</f>
        <v>Università degli Studi di Verona</v>
      </c>
      <c r="D533" s="2" t="str">
        <f>IFERROR(__xludf.DUMMYFUNCTION("""COMPUTED_VALUE"""),"Erasmus+")</f>
        <v>Erasmus+</v>
      </c>
      <c r="E533" s="2">
        <f>IFERROR(__xludf.DUMMYFUNCTION("""COMPUTED_VALUE"""),1.0)</f>
        <v>1</v>
      </c>
      <c r="F533" s="2" t="str">
        <f>IFERROR(__xludf.DUMMYFUNCTION("""COMPUTED_VALUE"""),"Anual")</f>
        <v>Anual</v>
      </c>
      <c r="G533" s="2" t="str">
        <f>IFERROR(__xludf.DUMMYFUNCTION("""COMPUTED_VALUE"""),"Bilbao")</f>
        <v>Bilbao</v>
      </c>
      <c r="H533" s="2" t="str">
        <f>IFERROR(__xludf.DUMMYFUNCTION("""COMPUTED_VALUE"""),"Ciencias Sociales y Humanas")</f>
        <v>Ciencias Sociales y Humanas</v>
      </c>
      <c r="I533" s="2" t="str">
        <f>IFERROR(__xludf.DUMMYFUNCTION("""COMPUTED_VALUE"""),"Lenguas Modernas, Lengua y Cultura Vasca + Lenguas Modernas, Lenguas Modernas y Gestión, Euskal Hizkuntza eta Kultura")</f>
        <v>Lenguas Modernas, Lengua y Cultura Vasca + Lenguas Modernas, Lenguas Modernas y Gestión, Euskal Hizkuntza eta Kultura</v>
      </c>
      <c r="J533" s="2" t="str">
        <f>IFERROR(__xludf.DUMMYFUNCTION("""COMPUTED_VALUE"""),"Grado")</f>
        <v>Grado</v>
      </c>
      <c r="K533" s="2" t="str">
        <f>IFERROR(__xludf.DUMMYFUNCTION("""COMPUTED_VALUE"""),"Italiano / Inglés")</f>
        <v>Italiano / Inglés</v>
      </c>
      <c r="L533" s="2" t="str">
        <f>IFERROR(__xludf.DUMMYFUNCTION("""COMPUTED_VALUE"""),"B2")</f>
        <v>B2</v>
      </c>
      <c r="M533" s="2" t="str">
        <f>IFERROR(__xludf.DUMMYFUNCTION("""COMPUTED_VALUE"""),"Sí")</f>
        <v>Sí</v>
      </c>
      <c r="N533" s="3" t="str">
        <f>IFERROR(__xludf.DUMMYFUNCTION("""COMPUTED_VALUE"""),"https://docs.univr.it/documenti/Documento/allegati/allegati188671.pdf")</f>
        <v>https://docs.univr.it/documenti/Documento/allegati/allegati188671.pdf</v>
      </c>
      <c r="O533" s="3" t="str">
        <f>IFERROR(__xludf.DUMMYFUNCTION("""COMPUTED_VALUE"""),"Más información / Informazio gehigarria")</f>
        <v>Más información / Informazio gehigarria</v>
      </c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30.0" customHeight="1">
      <c r="A534" s="2" t="str">
        <f>IFERROR(__xludf.DUMMYFUNCTION("""COMPUTED_VALUE"""),"Italia")</f>
        <v>Italia</v>
      </c>
      <c r="B534" s="2" t="str">
        <f>IFERROR(__xludf.DUMMYFUNCTION("""COMPUTED_VALUE"""),"I PADOVA01")</f>
        <v>I PADOVA01</v>
      </c>
      <c r="C534" s="3" t="str">
        <f>IFERROR(__xludf.DUMMYFUNCTION("""COMPUTED_VALUE"""),"Universitá degli Studi Padova")</f>
        <v>Universitá degli Studi Padova</v>
      </c>
      <c r="D534" s="2" t="str">
        <f>IFERROR(__xludf.DUMMYFUNCTION("""COMPUTED_VALUE"""),"Erasmus+")</f>
        <v>Erasmus+</v>
      </c>
      <c r="E534" s="2">
        <f>IFERROR(__xludf.DUMMYFUNCTION("""COMPUTED_VALUE"""),3.0)</f>
        <v>3</v>
      </c>
      <c r="F534" s="2" t="str">
        <f>IFERROR(__xludf.DUMMYFUNCTION("""COMPUTED_VALUE"""),"Semestre")</f>
        <v>Semestre</v>
      </c>
      <c r="G534" s="2" t="str">
        <f>IFERROR(__xludf.DUMMYFUNCTION("""COMPUTED_VALUE"""),"Ambos")</f>
        <v>Ambos</v>
      </c>
      <c r="H534" s="2" t="str">
        <f>IFERROR(__xludf.DUMMYFUNCTION("""COMPUTED_VALUE"""),"Ingeniería")</f>
        <v>Ingeniería</v>
      </c>
      <c r="I534" s="2" t="str">
        <f>IFERROR(__xludf.DUMMYFUNCTION("""COMPUTED_VALUE"""),"Ingeniería Mecánica, Tecnologías Industriales,Electrónica y Automática, Ingeniería Informática, Organización Industrial, Ingeniería Robótica, Ciencia de Datos e IA, Ciencia de Datos e IA + Ingeniería Informática, Diseño Industrial + Ingeniería Mecánica, I"&amp;"ngeniería Informática + Videojuegos")</f>
        <v>Ingeniería Mecánica, Tecnologías Industriales,Electrónica y Automática, Ingeniería Informática, Organización Industrial, Ingeniería Robótica, Ciencia de Datos e IA, Ciencia de Datos e IA + Ingeniería Informática, Diseño Industrial + Ingeniería Mecánica, Ingeniería Informática + Videojuegos</v>
      </c>
      <c r="J534" s="2" t="str">
        <f>IFERROR(__xludf.DUMMYFUNCTION("""COMPUTED_VALUE"""),"Grado")</f>
        <v>Grado</v>
      </c>
      <c r="K534" s="2" t="str">
        <f>IFERROR(__xludf.DUMMYFUNCTION("""COMPUTED_VALUE"""),"Italiano / Inglés")</f>
        <v>Italiano / Inglés</v>
      </c>
      <c r="L534" s="2" t="str">
        <f>IFERROR(__xludf.DUMMYFUNCTION("""COMPUTED_VALUE"""),"B2")</f>
        <v>B2</v>
      </c>
      <c r="M534" s="2" t="str">
        <f>IFERROR(__xludf.DUMMYFUNCTION("""COMPUTED_VALUE"""),"Sí")</f>
        <v>Sí</v>
      </c>
      <c r="N534" s="3" t="str">
        <f>IFERROR(__xludf.DUMMYFUNCTION("""COMPUTED_VALUE"""),"https://www.unipd.it/en/language-requirement-admission-degree-programmes")</f>
        <v>https://www.unipd.it/en/language-requirement-admission-degree-programmes</v>
      </c>
      <c r="O534" s="3" t="str">
        <f>IFERROR(__xludf.DUMMYFUNCTION("""COMPUTED_VALUE"""),"Más información / Informazio gehigarria")</f>
        <v>Más información / Informazio gehigarria</v>
      </c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30.0" customHeight="1">
      <c r="A535" s="2" t="str">
        <f>IFERROR(__xludf.DUMMYFUNCTION("""COMPUTED_VALUE"""),"Italia")</f>
        <v>Italia</v>
      </c>
      <c r="B535" s="2" t="str">
        <f>IFERROR(__xludf.DUMMYFUNCTION("""COMPUTED_VALUE"""),"I NAPOLI04")</f>
        <v>I NAPOLI04</v>
      </c>
      <c r="C535" s="3" t="str">
        <f>IFERROR(__xludf.DUMMYFUNCTION("""COMPUTED_VALUE"""),"Universitá degli Studi Suor Orsola Benincasa - Napoli")</f>
        <v>Universitá degli Studi Suor Orsola Benincasa - Napoli</v>
      </c>
      <c r="D535" s="2" t="str">
        <f>IFERROR(__xludf.DUMMYFUNCTION("""COMPUTED_VALUE"""),"Erasmus+")</f>
        <v>Erasmus+</v>
      </c>
      <c r="E535" s="2">
        <f>IFERROR(__xludf.DUMMYFUNCTION("""COMPUTED_VALUE"""),2.0)</f>
        <v>2</v>
      </c>
      <c r="F535" s="2" t="str">
        <f>IFERROR(__xludf.DUMMYFUNCTION("""COMPUTED_VALUE"""),"Semestre")</f>
        <v>Semestre</v>
      </c>
      <c r="G535" s="2" t="str">
        <f>IFERROR(__xludf.DUMMYFUNCTION("""COMPUTED_VALUE"""),"Bilbao")</f>
        <v>Bilbao</v>
      </c>
      <c r="H535" s="2" t="str">
        <f>IFERROR(__xludf.DUMMYFUNCTION("""COMPUTED_VALUE"""),"Begoñako Andramari, BAM")</f>
        <v>Begoñako Andramari, BAM</v>
      </c>
      <c r="I535" s="2" t="str">
        <f>IFERROR(__xludf.DUMMYFUNCTION("""COMPUTED_VALUE"""),"Educación Primaria, Educación Infantil")</f>
        <v>Educación Primaria, Educación Infantil</v>
      </c>
      <c r="J535" s="2" t="str">
        <f>IFERROR(__xludf.DUMMYFUNCTION("""COMPUTED_VALUE"""),"Grado")</f>
        <v>Grado</v>
      </c>
      <c r="K535" s="2" t="str">
        <f>IFERROR(__xludf.DUMMYFUNCTION("""COMPUTED_VALUE"""),"Italiano / Inglés")</f>
        <v>Italiano / Inglés</v>
      </c>
      <c r="L535" s="2" t="str">
        <f>IFERROR(__xludf.DUMMYFUNCTION("""COMPUTED_VALUE"""),"B1 It / B2 En")</f>
        <v>B1 It / B2 En</v>
      </c>
      <c r="M535" s="2" t="str">
        <f>IFERROR(__xludf.DUMMYFUNCTION("""COMPUTED_VALUE"""),"No")</f>
        <v>No</v>
      </c>
      <c r="N535" s="3" t="str">
        <f>IFERROR(__xludf.DUMMYFUNCTION("""COMPUTED_VALUE"""),"https://www.unisob.na.it/ateneo/internazionale/b001.htm?vr=3&amp;lg=en")</f>
        <v>https://www.unisob.na.it/ateneo/internazionale/b001.htm?vr=3&amp;lg=en</v>
      </c>
      <c r="O535" s="3" t="str">
        <f>IFERROR(__xludf.DUMMYFUNCTION("""COMPUTED_VALUE"""),"Más información / Informazio gehigarria")</f>
        <v>Más información / Informazio gehigarria</v>
      </c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30.0" customHeight="1">
      <c r="A536" s="2" t="str">
        <f>IFERROR(__xludf.DUMMYFUNCTION("""COMPUTED_VALUE"""),"Italia")</f>
        <v>Italia</v>
      </c>
      <c r="B536" s="2" t="str">
        <f>IFERROR(__xludf.DUMMYFUNCTION("""COMPUTED_VALUE"""),"I NAPOLI04")</f>
        <v>I NAPOLI04</v>
      </c>
      <c r="C536" s="3" t="str">
        <f>IFERROR(__xludf.DUMMYFUNCTION("""COMPUTED_VALUE"""),"Universitá degli Studi Suor Orsola Benincasa - Napoli")</f>
        <v>Universitá degli Studi Suor Orsola Benincasa - Napoli</v>
      </c>
      <c r="D536" s="2" t="str">
        <f>IFERROR(__xludf.DUMMYFUNCTION("""COMPUTED_VALUE"""),"Erasmus+")</f>
        <v>Erasmus+</v>
      </c>
      <c r="E536" s="2">
        <f>IFERROR(__xludf.DUMMYFUNCTION("""COMPUTED_VALUE"""),2.0)</f>
        <v>2</v>
      </c>
      <c r="F536" s="2" t="str">
        <f>IFERROR(__xludf.DUMMYFUNCTION("""COMPUTED_VALUE"""),"Anual")</f>
        <v>Anual</v>
      </c>
      <c r="G536" s="2" t="str">
        <f>IFERROR(__xludf.DUMMYFUNCTION("""COMPUTED_VALUE"""),"Bilbao")</f>
        <v>Bilbao</v>
      </c>
      <c r="H536" s="2" t="str">
        <f>IFERROR(__xludf.DUMMYFUNCTION("""COMPUTED_VALUE"""),"Ciencias de la Salud")</f>
        <v>Ciencias de la Salud</v>
      </c>
      <c r="I536" s="2" t="str">
        <f>IFERROR(__xludf.DUMMYFUNCTION("""COMPUTED_VALUE"""),"Psicología")</f>
        <v>Psicología</v>
      </c>
      <c r="J536" s="2" t="str">
        <f>IFERROR(__xludf.DUMMYFUNCTION("""COMPUTED_VALUE"""),"Grado")</f>
        <v>Grado</v>
      </c>
      <c r="K536" s="2" t="str">
        <f>IFERROR(__xludf.DUMMYFUNCTION("""COMPUTED_VALUE"""),"Italiano")</f>
        <v>Italiano</v>
      </c>
      <c r="L536" s="2" t="str">
        <f>IFERROR(__xludf.DUMMYFUNCTION("""COMPUTED_VALUE"""),"B1")</f>
        <v>B1</v>
      </c>
      <c r="M536" s="2" t="str">
        <f>IFERROR(__xludf.DUMMYFUNCTION("""COMPUTED_VALUE"""),"No")</f>
        <v>No</v>
      </c>
      <c r="N536" s="3" t="str">
        <f>IFERROR(__xludf.DUMMYFUNCTION("""COMPUTED_VALUE"""),"https://www.unisob.na.it/ateneo/internazionale/b001.htm?vr=3&amp;lg=en")</f>
        <v>https://www.unisob.na.it/ateneo/internazionale/b001.htm?vr=3&amp;lg=en</v>
      </c>
      <c r="O536" s="3" t="str">
        <f>IFERROR(__xludf.DUMMYFUNCTION("""COMPUTED_VALUE"""),"Más información / Informazio gehigarria")</f>
        <v>Más información / Informazio gehigarria</v>
      </c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30.0" customHeight="1">
      <c r="A537" s="2" t="str">
        <f>IFERROR(__xludf.DUMMYFUNCTION("""COMPUTED_VALUE"""),"Italia")</f>
        <v>Italia</v>
      </c>
      <c r="B537" s="2" t="str">
        <f>IFERROR(__xludf.DUMMYFUNCTION("""COMPUTED_VALUE"""),"I BOLOGNA01")</f>
        <v>I BOLOGNA01</v>
      </c>
      <c r="C537" s="3" t="str">
        <f>IFERROR(__xludf.DUMMYFUNCTION("""COMPUTED_VALUE"""),"Università di Bologna")</f>
        <v>Università di Bologna</v>
      </c>
      <c r="D537" s="2" t="str">
        <f>IFERROR(__xludf.DUMMYFUNCTION("""COMPUTED_VALUE"""),"Erasmus+")</f>
        <v>Erasmus+</v>
      </c>
      <c r="E537" s="2">
        <f>IFERROR(__xludf.DUMMYFUNCTION("""COMPUTED_VALUE"""),4.0)</f>
        <v>4</v>
      </c>
      <c r="F537" s="2" t="str">
        <f>IFERROR(__xludf.DUMMYFUNCTION("""COMPUTED_VALUE"""),"Semestre")</f>
        <v>Semestre</v>
      </c>
      <c r="G537" s="2" t="str">
        <f>IFERROR(__xludf.DUMMYFUNCTION("""COMPUTED_VALUE"""),"Ambos")</f>
        <v>Ambos</v>
      </c>
      <c r="H537" s="2" t="str">
        <f>IFERROR(__xludf.DUMMYFUNCTION("""COMPUTED_VALUE"""),"Educación y Deporte")</f>
        <v>Educación y Deporte</v>
      </c>
      <c r="I537" s="2" t="str">
        <f>IFERROR(__xludf.DUMMYFUNCTION("""COMPUTED_VALUE"""),"Educación Primaria")</f>
        <v>Educación Primaria</v>
      </c>
      <c r="J537" s="2" t="str">
        <f>IFERROR(__xludf.DUMMYFUNCTION("""COMPUTED_VALUE"""),"Grado")</f>
        <v>Grado</v>
      </c>
      <c r="K537" s="2" t="str">
        <f>IFERROR(__xludf.DUMMYFUNCTION("""COMPUTED_VALUE"""),"Italiano / Inglés")</f>
        <v>Italiano / Inglés</v>
      </c>
      <c r="L537" s="2" t="str">
        <f>IFERROR(__xludf.DUMMYFUNCTION("""COMPUTED_VALUE"""),"B1 It / B2 En")</f>
        <v>B1 It / B2 En</v>
      </c>
      <c r="M537" s="2" t="str">
        <f>IFERROR(__xludf.DUMMYFUNCTION("""COMPUTED_VALUE"""),"No")</f>
        <v>No</v>
      </c>
      <c r="N537" s="3" t="str">
        <f>IFERROR(__xludf.DUMMYFUNCTION("""COMPUTED_VALUE"""),"https://www.unibo.it/en/international/incoming-exchange-students/exchange-students-unibo-learning-italian")</f>
        <v>https://www.unibo.it/en/international/incoming-exchange-students/exchange-students-unibo-learning-italian</v>
      </c>
      <c r="O537" s="3" t="str">
        <f>IFERROR(__xludf.DUMMYFUNCTION("""COMPUTED_VALUE"""),"Más información / Informazio gehigarria")</f>
        <v>Más información / Informazio gehigarria</v>
      </c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30.0" customHeight="1">
      <c r="A538" s="2" t="str">
        <f>IFERROR(__xludf.DUMMYFUNCTION("""COMPUTED_VALUE"""),"Italia")</f>
        <v>Italia</v>
      </c>
      <c r="B538" s="2" t="str">
        <f>IFERROR(__xludf.DUMMYFUNCTION("""COMPUTED_VALUE"""),"I BOLOGNA01")</f>
        <v>I BOLOGNA01</v>
      </c>
      <c r="C538" s="3" t="str">
        <f>IFERROR(__xludf.DUMMYFUNCTION("""COMPUTED_VALUE"""),"Università di Bologna")</f>
        <v>Università di Bologna</v>
      </c>
      <c r="D538" s="2" t="str">
        <f>IFERROR(__xludf.DUMMYFUNCTION("""COMPUTED_VALUE"""),"Erasmus+")</f>
        <v>Erasmus+</v>
      </c>
      <c r="E538" s="2">
        <f>IFERROR(__xludf.DUMMYFUNCTION("""COMPUTED_VALUE"""),1.0)</f>
        <v>1</v>
      </c>
      <c r="F538" s="2" t="str">
        <f>IFERROR(__xludf.DUMMYFUNCTION("""COMPUTED_VALUE"""),"Semestre")</f>
        <v>Semestre</v>
      </c>
      <c r="G538" s="2" t="str">
        <f>IFERROR(__xludf.DUMMYFUNCTION("""COMPUTED_VALUE"""),"Bilbao")</f>
        <v>Bilbao</v>
      </c>
      <c r="H538" s="2" t="str">
        <f>IFERROR(__xludf.DUMMYFUNCTION("""COMPUTED_VALUE"""),"Ciencias Sociales y Humanas")</f>
        <v>Ciencias Sociales y Humanas</v>
      </c>
      <c r="I538" s="2" t="str">
        <f>IFERROR(__xludf.DUMMYFUNCTION("""COMPUTED_VALUE"""),"Filosofía, Política y Economía")</f>
        <v>Filosofía, Política y Economía</v>
      </c>
      <c r="J538" s="2" t="str">
        <f>IFERROR(__xludf.DUMMYFUNCTION("""COMPUTED_VALUE"""),"Grado")</f>
        <v>Grado</v>
      </c>
      <c r="K538" s="2" t="str">
        <f>IFERROR(__xludf.DUMMYFUNCTION("""COMPUTED_VALUE"""),"Italiano / Inglés")</f>
        <v>Italiano / Inglés</v>
      </c>
      <c r="L538" s="2" t="str">
        <f>IFERROR(__xludf.DUMMYFUNCTION("""COMPUTED_VALUE"""),"B1 It / B2 En")</f>
        <v>B1 It / B2 En</v>
      </c>
      <c r="M538" s="2" t="str">
        <f>IFERROR(__xludf.DUMMYFUNCTION("""COMPUTED_VALUE"""),"No")</f>
        <v>No</v>
      </c>
      <c r="N538" s="3" t="str">
        <f>IFERROR(__xludf.DUMMYFUNCTION("""COMPUTED_VALUE"""),"https://www.unibo.it/en/international/incoming-exchange-students/exchange-students-unibo-learning-italian")</f>
        <v>https://www.unibo.it/en/international/incoming-exchange-students/exchange-students-unibo-learning-italian</v>
      </c>
      <c r="O538" s="3" t="str">
        <f>IFERROR(__xludf.DUMMYFUNCTION("""COMPUTED_VALUE"""),"Más información / Informazio gehigarria")</f>
        <v>Más información / Informazio gehigarria</v>
      </c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30.0" customHeight="1">
      <c r="A539" s="2" t="str">
        <f>IFERROR(__xludf.DUMMYFUNCTION("""COMPUTED_VALUE"""),"Italia")</f>
        <v>Italia</v>
      </c>
      <c r="B539" s="2" t="str">
        <f>IFERROR(__xludf.DUMMYFUNCTION("""COMPUTED_VALUE"""),"I BOLOGNA01")</f>
        <v>I BOLOGNA01</v>
      </c>
      <c r="C539" s="3" t="str">
        <f>IFERROR(__xludf.DUMMYFUNCTION("""COMPUTED_VALUE"""),"Università di Bologna")</f>
        <v>Università di Bologna</v>
      </c>
      <c r="D539" s="2" t="str">
        <f>IFERROR(__xludf.DUMMYFUNCTION("""COMPUTED_VALUE"""),"Erasmus+")</f>
        <v>Erasmus+</v>
      </c>
      <c r="E539" s="2">
        <f>IFERROR(__xludf.DUMMYFUNCTION("""COMPUTED_VALUE"""),1.0)</f>
        <v>1</v>
      </c>
      <c r="F539" s="2" t="str">
        <f>IFERROR(__xludf.DUMMYFUNCTION("""COMPUTED_VALUE"""),"Anual")</f>
        <v>Anual</v>
      </c>
      <c r="G539" s="2" t="str">
        <f>IFERROR(__xludf.DUMMYFUNCTION("""COMPUTED_VALUE"""),"Bilbao")</f>
        <v>Bilbao</v>
      </c>
      <c r="H539" s="2" t="str">
        <f>IFERROR(__xludf.DUMMYFUNCTION("""COMPUTED_VALUE"""),"Ciencias Sociales y Humanas")</f>
        <v>Ciencias Sociales y Humanas</v>
      </c>
      <c r="I539" s="2" t="str">
        <f>IFERROR(__xludf.DUMMYFUNCTION("""COMPUTED_VALUE"""),"Lenguas Modernas, Lengua y Cultura Vasca + Lenguas Modernas, Lenguas Modernas y Gestión, Euskal Hizkuntza eta Kultura")</f>
        <v>Lenguas Modernas, Lengua y Cultura Vasca + Lenguas Modernas, Lenguas Modernas y Gestión, Euskal Hizkuntza eta Kultura</v>
      </c>
      <c r="J539" s="2" t="str">
        <f>IFERROR(__xludf.DUMMYFUNCTION("""COMPUTED_VALUE"""),"Grado")</f>
        <v>Grado</v>
      </c>
      <c r="K539" s="2" t="str">
        <f>IFERROR(__xludf.DUMMYFUNCTION("""COMPUTED_VALUE"""),"Italiano / Inglés")</f>
        <v>Italiano / Inglés</v>
      </c>
      <c r="L539" s="2" t="str">
        <f>IFERROR(__xludf.DUMMYFUNCTION("""COMPUTED_VALUE"""),"B1 It / B2 En")</f>
        <v>B1 It / B2 En</v>
      </c>
      <c r="M539" s="2" t="str">
        <f>IFERROR(__xludf.DUMMYFUNCTION("""COMPUTED_VALUE"""),"No")</f>
        <v>No</v>
      </c>
      <c r="N539" s="3" t="str">
        <f>IFERROR(__xludf.DUMMYFUNCTION("""COMPUTED_VALUE"""),"https://www.unibo.it/en/international/incoming-exchange-students/exchange-students-unibo-learning-italian")</f>
        <v>https://www.unibo.it/en/international/incoming-exchange-students/exchange-students-unibo-learning-italian</v>
      </c>
      <c r="O539" s="3" t="str">
        <f>IFERROR(__xludf.DUMMYFUNCTION("""COMPUTED_VALUE"""),"Más información / Informazio gehigarria")</f>
        <v>Más información / Informazio gehigarria</v>
      </c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30.0" customHeight="1">
      <c r="A540" s="2" t="str">
        <f>IFERROR(__xludf.DUMMYFUNCTION("""COMPUTED_VALUE"""),"Italia")</f>
        <v>Italia</v>
      </c>
      <c r="B540" s="2" t="str">
        <f>IFERROR(__xludf.DUMMYFUNCTION("""COMPUTED_VALUE"""),"I BOLOGNA01")</f>
        <v>I BOLOGNA01</v>
      </c>
      <c r="C540" s="3" t="str">
        <f>IFERROR(__xludf.DUMMYFUNCTION("""COMPUTED_VALUE"""),"Università di Bologna")</f>
        <v>Università di Bologna</v>
      </c>
      <c r="D540" s="2" t="str">
        <f>IFERROR(__xludf.DUMMYFUNCTION("""COMPUTED_VALUE"""),"Erasmus+")</f>
        <v>Erasmus+</v>
      </c>
      <c r="E540" s="2">
        <f>IFERROR(__xludf.DUMMYFUNCTION("""COMPUTED_VALUE"""),4.0)</f>
        <v>4</v>
      </c>
      <c r="F540" s="2" t="str">
        <f>IFERROR(__xludf.DUMMYFUNCTION("""COMPUTED_VALUE"""),"Semestre")</f>
        <v>Semestre</v>
      </c>
      <c r="G540" s="2" t="str">
        <f>IFERROR(__xludf.DUMMYFUNCTION("""COMPUTED_VALUE"""),"Ambos")</f>
        <v>Ambos</v>
      </c>
      <c r="H540" s="2" t="str">
        <f>IFERROR(__xludf.DUMMYFUNCTION("""COMPUTED_VALUE"""),"Ciencias Sociales y Humanas")</f>
        <v>Ciencias Sociales y Humanas</v>
      </c>
      <c r="I540" s="2" t="str">
        <f>IFERROR(__xludf.DUMMYFUNCTION("""COMPUTED_VALUE"""),"Trabajo Social")</f>
        <v>Trabajo Social</v>
      </c>
      <c r="J540" s="2" t="str">
        <f>IFERROR(__xludf.DUMMYFUNCTION("""COMPUTED_VALUE"""),"Grado")</f>
        <v>Grado</v>
      </c>
      <c r="K540" s="2" t="str">
        <f>IFERROR(__xludf.DUMMYFUNCTION("""COMPUTED_VALUE"""),"Italiano / Inglés")</f>
        <v>Italiano / Inglés</v>
      </c>
      <c r="L540" s="2" t="str">
        <f>IFERROR(__xludf.DUMMYFUNCTION("""COMPUTED_VALUE"""),"B1 It / B2 En")</f>
        <v>B1 It / B2 En</v>
      </c>
      <c r="M540" s="2" t="str">
        <f>IFERROR(__xludf.DUMMYFUNCTION("""COMPUTED_VALUE"""),"No")</f>
        <v>No</v>
      </c>
      <c r="N540" s="3" t="str">
        <f>IFERROR(__xludf.DUMMYFUNCTION("""COMPUTED_VALUE"""),"https://www.unibo.it/en/international/incoming-exchange-students/exchange-students-unibo-learning-italian")</f>
        <v>https://www.unibo.it/en/international/incoming-exchange-students/exchange-students-unibo-learning-italian</v>
      </c>
      <c r="O540" s="3" t="str">
        <f>IFERROR(__xludf.DUMMYFUNCTION("""COMPUTED_VALUE"""),"Más información / Informazio gehigarria")</f>
        <v>Más información / Informazio gehigarria</v>
      </c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30.0" customHeight="1">
      <c r="A541" s="2" t="str">
        <f>IFERROR(__xludf.DUMMYFUNCTION("""COMPUTED_VALUE"""),"Italia")</f>
        <v>Italia</v>
      </c>
      <c r="B541" s="2" t="str">
        <f>IFERROR(__xludf.DUMMYFUNCTION("""COMPUTED_VALUE"""),"I BOLOGNA01")</f>
        <v>I BOLOGNA01</v>
      </c>
      <c r="C541" s="3" t="str">
        <f>IFERROR(__xludf.DUMMYFUNCTION("""COMPUTED_VALUE"""),"Università di Bologna")</f>
        <v>Università di Bologna</v>
      </c>
      <c r="D541" s="2" t="str">
        <f>IFERROR(__xludf.DUMMYFUNCTION("""COMPUTED_VALUE"""),"Erasmus+")</f>
        <v>Erasmus+</v>
      </c>
      <c r="E541" s="2">
        <f>IFERROR(__xludf.DUMMYFUNCTION("""COMPUTED_VALUE"""),5.0)</f>
        <v>5</v>
      </c>
      <c r="F541" s="2" t="str">
        <f>IFERROR(__xludf.DUMMYFUNCTION("""COMPUTED_VALUE"""),"Semestre")</f>
        <v>Semestre</v>
      </c>
      <c r="G541" s="2" t="str">
        <f>IFERROR(__xludf.DUMMYFUNCTION("""COMPUTED_VALUE"""),"San Sebastián")</f>
        <v>San Sebastián</v>
      </c>
      <c r="H541" s="2" t="str">
        <f>IFERROR(__xludf.DUMMYFUNCTION("""COMPUTED_VALUE"""),"Ciencias Sociales y Humanas")</f>
        <v>Ciencias Sociales y Humanas</v>
      </c>
      <c r="I541" s="2" t="str">
        <f>IFERROR(__xludf.DUMMYFUNCTION("""COMPUTED_VALUE"""),"Comunicación")</f>
        <v>Comunicación</v>
      </c>
      <c r="J541" s="2" t="str">
        <f>IFERROR(__xludf.DUMMYFUNCTION("""COMPUTED_VALUE"""),"Grado")</f>
        <v>Grado</v>
      </c>
      <c r="K541" s="2" t="str">
        <f>IFERROR(__xludf.DUMMYFUNCTION("""COMPUTED_VALUE"""),"Italiano")</f>
        <v>Italiano</v>
      </c>
      <c r="L541" s="2" t="str">
        <f>IFERROR(__xludf.DUMMYFUNCTION("""COMPUTED_VALUE"""),"B1 It / B2 En")</f>
        <v>B1 It / B2 En</v>
      </c>
      <c r="M541" s="2" t="str">
        <f>IFERROR(__xludf.DUMMYFUNCTION("""COMPUTED_VALUE"""),"No")</f>
        <v>No</v>
      </c>
      <c r="N541" s="3" t="str">
        <f>IFERROR(__xludf.DUMMYFUNCTION("""COMPUTED_VALUE"""),"https://www.unibo.it/en/international/incoming-exchange-students/exchange-students-unibo-learning-italian")</f>
        <v>https://www.unibo.it/en/international/incoming-exchange-students/exchange-students-unibo-learning-italian</v>
      </c>
      <c r="O541" s="3" t="str">
        <f>IFERROR(__xludf.DUMMYFUNCTION("""COMPUTED_VALUE"""),"Más información / Informazio gehigarria")</f>
        <v>Más información / Informazio gehigarria</v>
      </c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30.0" customHeight="1">
      <c r="A542" s="2" t="str">
        <f>IFERROR(__xludf.DUMMYFUNCTION("""COMPUTED_VALUE"""),"Italia")</f>
        <v>Italia</v>
      </c>
      <c r="B542" s="2" t="str">
        <f>IFERROR(__xludf.DUMMYFUNCTION("""COMPUTED_VALUE"""),"I CAGLIAR01")</f>
        <v>I CAGLIAR01</v>
      </c>
      <c r="C542" s="3" t="str">
        <f>IFERROR(__xludf.DUMMYFUNCTION("""COMPUTED_VALUE"""),"Universitá di Cagliari")</f>
        <v>Universitá di Cagliari</v>
      </c>
      <c r="D542" s="2" t="str">
        <f>IFERROR(__xludf.DUMMYFUNCTION("""COMPUTED_VALUE"""),"Erasmus+")</f>
        <v>Erasmus+</v>
      </c>
      <c r="E542" s="2">
        <f>IFERROR(__xludf.DUMMYFUNCTION("""COMPUTED_VALUE"""),2.0)</f>
        <v>2</v>
      </c>
      <c r="F542" s="2" t="str">
        <f>IFERROR(__xludf.DUMMYFUNCTION("""COMPUTED_VALUE"""),"Semestre")</f>
        <v>Semestre</v>
      </c>
      <c r="G542" s="2" t="str">
        <f>IFERROR(__xludf.DUMMYFUNCTION("""COMPUTED_VALUE"""),"Bilbao")</f>
        <v>Bilbao</v>
      </c>
      <c r="H542" s="2" t="str">
        <f>IFERROR(__xludf.DUMMYFUNCTION("""COMPUTED_VALUE"""),"Begoñako Andramari, BAM")</f>
        <v>Begoñako Andramari, BAM</v>
      </c>
      <c r="I542" s="2" t="str">
        <f>IFERROR(__xludf.DUMMYFUNCTION("""COMPUTED_VALUE"""),"Educación Primaria, Educación Infantil")</f>
        <v>Educación Primaria, Educación Infantil</v>
      </c>
      <c r="J542" s="2" t="str">
        <f>IFERROR(__xludf.DUMMYFUNCTION("""COMPUTED_VALUE"""),"Grado")</f>
        <v>Grado</v>
      </c>
      <c r="K542" s="2" t="str">
        <f>IFERROR(__xludf.DUMMYFUNCTION("""COMPUTED_VALUE"""),"Italiano / Inglés")</f>
        <v>Italiano / Inglés</v>
      </c>
      <c r="L542" s="2" t="str">
        <f>IFERROR(__xludf.DUMMYFUNCTION("""COMPUTED_VALUE"""),"A1 It / B2 En")</f>
        <v>A1 It / B2 En</v>
      </c>
      <c r="M542" s="2" t="str">
        <f>IFERROR(__xludf.DUMMYFUNCTION("""COMPUTED_VALUE"""),"No")</f>
        <v>No</v>
      </c>
      <c r="N542" s="3" t="str">
        <f>IFERROR(__xludf.DUMMYFUNCTION("""COMPUTED_VALUE"""),"https://www.upf.edu/documents/105229234/121145553/Universit%C3%A0+degli+Studi+di+Cagliari.pdf/0f71933f-4d72-7b77-6702-f9cb922c6fb7#:~:text=Language%20of%20teaching%20Italian%20or,a%20B1%20level%20of%20English.&amp;text=Usual%20work%20load%20(yearly%20or,your%"&amp;"20registration%20here%20in%20Cagliari.")</f>
        <v>https://www.upf.edu/documents/105229234/121145553/Universit%C3%A0+degli+Studi+di+Cagliari.pdf/0f71933f-4d72-7b77-6702-f9cb922c6fb7#:~:text=Language%20of%20teaching%20Italian%20or,a%20B1%20level%20of%20English.&amp;text=Usual%20work%20load%20(yearly%20or,your%20registration%20here%20in%20Cagliari.</v>
      </c>
      <c r="O542" s="3" t="str">
        <f>IFERROR(__xludf.DUMMYFUNCTION("""COMPUTED_VALUE"""),"Más información / Informazio gehigarria")</f>
        <v>Más información / Informazio gehigarria</v>
      </c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30.0" customHeight="1">
      <c r="A543" s="2" t="str">
        <f>IFERROR(__xludf.DUMMYFUNCTION("""COMPUTED_VALUE"""),"Italia")</f>
        <v>Italia</v>
      </c>
      <c r="B543" s="2" t="str">
        <f>IFERROR(__xludf.DUMMYFUNCTION("""COMPUTED_VALUE"""),"IMILANO15")</f>
        <v>IMILANO15</v>
      </c>
      <c r="C543" s="3" t="str">
        <f>IFERROR(__xludf.DUMMYFUNCTION("""COMPUTED_VALUE"""),"Universitá Vita-Salute San Raffaele")</f>
        <v>Universitá Vita-Salute San Raffaele</v>
      </c>
      <c r="D543" s="2" t="str">
        <f>IFERROR(__xludf.DUMMYFUNCTION("""COMPUTED_VALUE"""),"Erasmus+")</f>
        <v>Erasmus+</v>
      </c>
      <c r="E543" s="2">
        <f>IFERROR(__xludf.DUMMYFUNCTION("""COMPUTED_VALUE"""),3.0)</f>
        <v>3</v>
      </c>
      <c r="F543" s="2" t="str">
        <f>IFERROR(__xludf.DUMMYFUNCTION("""COMPUTED_VALUE"""),"Semestre")</f>
        <v>Semestre</v>
      </c>
      <c r="G543" s="2" t="str">
        <f>IFERROR(__xludf.DUMMYFUNCTION("""COMPUTED_VALUE"""),"San Sebastián")</f>
        <v>San Sebastián</v>
      </c>
      <c r="H543" s="2" t="str">
        <f>IFERROR(__xludf.DUMMYFUNCTION("""COMPUTED_VALUE"""),"Ciencias de la Salud")</f>
        <v>Ciencias de la Salud</v>
      </c>
      <c r="I543" s="2" t="str">
        <f>IFERROR(__xludf.DUMMYFUNCTION("""COMPUTED_VALUE"""),"Fisioterapia")</f>
        <v>Fisioterapia</v>
      </c>
      <c r="J543" s="2" t="str">
        <f>IFERROR(__xludf.DUMMYFUNCTION("""COMPUTED_VALUE"""),"Grado")</f>
        <v>Grado</v>
      </c>
      <c r="K543" s="2" t="str">
        <f>IFERROR(__xludf.DUMMYFUNCTION("""COMPUTED_VALUE"""),"Italiano")</f>
        <v>Italiano</v>
      </c>
      <c r="L543" s="2" t="str">
        <f>IFERROR(__xludf.DUMMYFUNCTION("""COMPUTED_VALUE"""),"B1")</f>
        <v>B1</v>
      </c>
      <c r="M543" s="2" t="str">
        <f>IFERROR(__xludf.DUMMYFUNCTION("""COMPUTED_VALUE"""),"No")</f>
        <v>No</v>
      </c>
      <c r="N543" s="3" t="str">
        <f>IFERROR(__xludf.DUMMYFUNCTION("""COMPUTED_VALUE"""),"https://www.unisr.it/attachments/FREQUENTLY-ASKED-QUESTIONS-ERASMUS--INCOMING/07e7fe9b-3a83-4b06-ba72-6c5cc75f0b8d/e090b307-34bc-49d4-926f-cf420143f701.pdf")</f>
        <v>https://www.unisr.it/attachments/FREQUENTLY-ASKED-QUESTIONS-ERASMUS--INCOMING/07e7fe9b-3a83-4b06-ba72-6c5cc75f0b8d/e090b307-34bc-49d4-926f-cf420143f701.pdf</v>
      </c>
      <c r="O543" s="3" t="str">
        <f>IFERROR(__xludf.DUMMYFUNCTION("""COMPUTED_VALUE"""),"Más información / Informazio gehigarria")</f>
        <v>Más información / Informazio gehigarria</v>
      </c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30.0" customHeight="1">
      <c r="A544" s="2" t="str">
        <f>IFERROR(__xludf.DUMMYFUNCTION("""COMPUTED_VALUE"""),"Italia")</f>
        <v>Italia</v>
      </c>
      <c r="B544" s="2"/>
      <c r="C544" s="3" t="str">
        <f>IFERROR(__xludf.DUMMYFUNCTION("""COMPUTED_VALUE"""),"University Bolzano")</f>
        <v>University Bolzano</v>
      </c>
      <c r="D544" s="2" t="str">
        <f>IFERROR(__xludf.DUMMYFUNCTION("""COMPUTED_VALUE"""),"Erasmus+")</f>
        <v>Erasmus+</v>
      </c>
      <c r="E544" s="2">
        <f>IFERROR(__xludf.DUMMYFUNCTION("""COMPUTED_VALUE"""),4.0)</f>
        <v>4</v>
      </c>
      <c r="F544" s="2" t="str">
        <f>IFERROR(__xludf.DUMMYFUNCTION("""COMPUTED_VALUE"""),"Semestre")</f>
        <v>Semestre</v>
      </c>
      <c r="G544" s="2" t="str">
        <f>IFERROR(__xludf.DUMMYFUNCTION("""COMPUTED_VALUE"""),"Ambos")</f>
        <v>Ambos</v>
      </c>
      <c r="H544" s="2" t="str">
        <f>IFERROR(__xludf.DUMMYFUNCTION("""COMPUTED_VALUE"""),"Educación y Deporte")</f>
        <v>Educación y Deporte</v>
      </c>
      <c r="I544" s="2" t="str">
        <f>IFERROR(__xludf.DUMMYFUNCTION("""COMPUTED_VALUE"""),"Educación Primaria")</f>
        <v>Educación Primaria</v>
      </c>
      <c r="J544" s="2" t="str">
        <f>IFERROR(__xludf.DUMMYFUNCTION("""COMPUTED_VALUE"""),"Grado")</f>
        <v>Grado</v>
      </c>
      <c r="K544" s="2" t="str">
        <f>IFERROR(__xludf.DUMMYFUNCTION("""COMPUTED_VALUE"""),"Italiano / Inglés")</f>
        <v>Italiano / Inglés</v>
      </c>
      <c r="L544" s="2" t="str">
        <f>IFERROR(__xludf.DUMMYFUNCTION("""COMPUTED_VALUE"""),"B2")</f>
        <v>B2</v>
      </c>
      <c r="M544" s="2" t="str">
        <f>IFERROR(__xludf.DUMMYFUNCTION("""COMPUTED_VALUE"""),"Sí")</f>
        <v>Sí</v>
      </c>
      <c r="N544" s="3" t="str">
        <f>IFERROR(__xludf.DUMMYFUNCTION("""COMPUTED_VALUE"""),"https://www.unibz.it/en/applicants/international/incoming-exchange-students/")</f>
        <v>https://www.unibz.it/en/applicants/international/incoming-exchange-students/</v>
      </c>
      <c r="O544" s="3" t="str">
        <f>IFERROR(__xludf.DUMMYFUNCTION("""COMPUTED_VALUE"""),"Más información / Informazio gehigarria")</f>
        <v>Más información / Informazio gehigarria</v>
      </c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30.0" customHeight="1">
      <c r="A545" s="2" t="str">
        <f>IFERROR(__xludf.DUMMYFUNCTION("""COMPUTED_VALUE"""),"Italia")</f>
        <v>Italia</v>
      </c>
      <c r="B545" s="2" t="str">
        <f>IFERROR(__xludf.DUMMYFUNCTION("""COMPUTED_VALUE"""),"I CASAMAS01")</f>
        <v>I CASAMAS01</v>
      </c>
      <c r="C545" s="3" t="str">
        <f>IFERROR(__xludf.DUMMYFUNCTION("""COMPUTED_VALUE"""),"Universtà LUM Giuseppe Degennaro")</f>
        <v>Universtà LUM Giuseppe Degennaro</v>
      </c>
      <c r="D545" s="2" t="str">
        <f>IFERROR(__xludf.DUMMYFUNCTION("""COMPUTED_VALUE"""),"Erasmus+")</f>
        <v>Erasmus+</v>
      </c>
      <c r="E545" s="2">
        <f>IFERROR(__xludf.DUMMYFUNCTION("""COMPUTED_VALUE"""),4.0)</f>
        <v>4</v>
      </c>
      <c r="F545" s="2" t="str">
        <f>IFERROR(__xludf.DUMMYFUNCTION("""COMPUTED_VALUE"""),"Semestre")</f>
        <v>Semestre</v>
      </c>
      <c r="G545" s="2" t="str">
        <f>IFERROR(__xludf.DUMMYFUNCTION("""COMPUTED_VALUE"""),"Bilbao")</f>
        <v>Bilbao</v>
      </c>
      <c r="H545" s="2" t="str">
        <f>IFERROR(__xludf.DUMMYFUNCTION("""COMPUTED_VALUE"""),"Derecho")</f>
        <v>Derecho</v>
      </c>
      <c r="I545" s="2" t="str">
        <f>IFERROR(__xludf.DUMMYFUNCTION("""COMPUTED_VALUE"""),"Derecho, Derecho + Relaciones Laborales")</f>
        <v>Derecho, Derecho + Relaciones Laborales</v>
      </c>
      <c r="J545" s="2" t="str">
        <f>IFERROR(__xludf.DUMMYFUNCTION("""COMPUTED_VALUE"""),"Grado")</f>
        <v>Grado</v>
      </c>
      <c r="K545" s="2"/>
      <c r="L545" s="2"/>
      <c r="M545" s="2" t="str">
        <f>IFERROR(__xludf.DUMMYFUNCTION("""COMPUTED_VALUE"""),"No")</f>
        <v>No</v>
      </c>
      <c r="N545" s="3" t="str">
        <f>IFERROR(__xludf.DUMMYFUNCTION("""COMPUTED_VALUE"""),"https://www.lum.it/en/international-mobility/incoming-students/")</f>
        <v>https://www.lum.it/en/international-mobility/incoming-students/</v>
      </c>
      <c r="O545" s="3" t="str">
        <f>IFERROR(__xludf.DUMMYFUNCTION("""COMPUTED_VALUE"""),"Más información / Informazio gehigarria")</f>
        <v>Más información / Informazio gehigarria</v>
      </c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30.0" customHeight="1">
      <c r="A546" s="2" t="str">
        <f>IFERROR(__xludf.DUMMYFUNCTION("""COMPUTED_VALUE"""),"Italia")</f>
        <v>Italia</v>
      </c>
      <c r="B546" s="2" t="str">
        <f>IFERROR(__xludf.DUMMYFUNCTION("""COMPUTED_VALUE"""),"I VENEZIA01")</f>
        <v>I VENEZIA01</v>
      </c>
      <c r="C546" s="3" t="str">
        <f>IFERROR(__xludf.DUMMYFUNCTION("""COMPUTED_VALUE"""),"Università Ca´Foscari Venezia")</f>
        <v>Università Ca´Foscari Venezia</v>
      </c>
      <c r="D546" s="2" t="str">
        <f>IFERROR(__xludf.DUMMYFUNCTION("""COMPUTED_VALUE"""),"Erasmus+")</f>
        <v>Erasmus+</v>
      </c>
      <c r="E546" s="2">
        <f>IFERROR(__xludf.DUMMYFUNCTION("""COMPUTED_VALUE"""),4.0)</f>
        <v>4</v>
      </c>
      <c r="F546" s="2" t="str">
        <f>IFERROR(__xludf.DUMMYFUNCTION("""COMPUTED_VALUE"""),"Semestre")</f>
        <v>Semestre</v>
      </c>
      <c r="G546" s="2" t="str">
        <f>IFERROR(__xludf.DUMMYFUNCTION("""COMPUTED_VALUE"""),"Ambos")</f>
        <v>Ambos</v>
      </c>
      <c r="H546" s="2" t="str">
        <f>IFERROR(__xludf.DUMMYFUNCTION("""COMPUTED_VALUE"""),"Ciencias Sociales y Humanas")</f>
        <v>Ciencias Sociales y Humanas</v>
      </c>
      <c r="I546" s="2" t="str">
        <f>IFERROR(__xludf.DUMMYFUNCTION("""COMPUTED_VALUE"""),"Relaciones Internacionales")</f>
        <v>Relaciones Internacionales</v>
      </c>
      <c r="J546" s="2" t="str">
        <f>IFERROR(__xludf.DUMMYFUNCTION("""COMPUTED_VALUE"""),"Grado")</f>
        <v>Grado</v>
      </c>
      <c r="K546" s="2" t="str">
        <f>IFERROR(__xludf.DUMMYFUNCTION("""COMPUTED_VALUE"""),"Italiano / Inglés")</f>
        <v>Italiano / Inglés</v>
      </c>
      <c r="L546" s="2" t="str">
        <f>IFERROR(__xludf.DUMMYFUNCTION("""COMPUTED_VALUE"""),"B2")</f>
        <v>B2</v>
      </c>
      <c r="M546" s="2"/>
      <c r="N546" s="3" t="str">
        <f>IFERROR(__xludf.DUMMYFUNCTION("""COMPUTED_VALUE"""),"https://www.unive.it/pag/fileadmin/user_upload/ateneo/internazionale/documenti/destinazione_cafoscari/I__VENEZIA01_infosheet_23-24.pdf")</f>
        <v>https://www.unive.it/pag/fileadmin/user_upload/ateneo/internazionale/documenti/destinazione_cafoscari/I__VENEZIA01_infosheet_23-24.pdf</v>
      </c>
      <c r="O546" s="3" t="str">
        <f>IFERROR(__xludf.DUMMYFUNCTION("""COMPUTED_VALUE"""),"Más información / Informazio gehigarria")</f>
        <v>Más información / Informazio gehigarria</v>
      </c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30.0" customHeight="1">
      <c r="A547" s="2" t="str">
        <f>IFERROR(__xludf.DUMMYFUNCTION("""COMPUTED_VALUE"""),"Italia")</f>
        <v>Italia</v>
      </c>
      <c r="B547" s="2" t="str">
        <f>IFERROR(__xludf.DUMMYFUNCTION("""COMPUTED_VALUE"""),"I BRESCIA01")</f>
        <v>I BRESCIA01</v>
      </c>
      <c r="C547" s="3" t="str">
        <f>IFERROR(__xludf.DUMMYFUNCTION("""COMPUTED_VALUE"""),"Universitá degli Studi di Brescia")</f>
        <v>Universitá degli Studi di Brescia</v>
      </c>
      <c r="D547" s="2" t="str">
        <f>IFERROR(__xludf.DUMMYFUNCTION("""COMPUTED_VALUE"""),"Erasmus+")</f>
        <v>Erasmus+</v>
      </c>
      <c r="E547" s="2">
        <f>IFERROR(__xludf.DUMMYFUNCTION("""COMPUTED_VALUE"""),2.0)</f>
        <v>2</v>
      </c>
      <c r="F547" s="2" t="str">
        <f>IFERROR(__xludf.DUMMYFUNCTION("""COMPUTED_VALUE"""),"Semestre")</f>
        <v>Semestre</v>
      </c>
      <c r="G547" s="2" t="str">
        <f>IFERROR(__xludf.DUMMYFUNCTION("""COMPUTED_VALUE"""),"Bilbao")</f>
        <v>Bilbao</v>
      </c>
      <c r="H547" s="2" t="str">
        <f>IFERROR(__xludf.DUMMYFUNCTION("""COMPUTED_VALUE"""),"Derecho")</f>
        <v>Derecho</v>
      </c>
      <c r="I547" s="2" t="str">
        <f>IFERROR(__xludf.DUMMYFUNCTION("""COMPUTED_VALUE"""),"Derecho, Derecho + Relaciones Laborales")</f>
        <v>Derecho, Derecho + Relaciones Laborales</v>
      </c>
      <c r="J547" s="2" t="str">
        <f>IFERROR(__xludf.DUMMYFUNCTION("""COMPUTED_VALUE"""),"Grado")</f>
        <v>Grado</v>
      </c>
      <c r="K547" s="2" t="str">
        <f>IFERROR(__xludf.DUMMYFUNCTION("""COMPUTED_VALUE"""),"Italiano ")</f>
        <v>Italiano </v>
      </c>
      <c r="L547" s="2" t="str">
        <f>IFERROR(__xludf.DUMMYFUNCTION("""COMPUTED_VALUE"""),"B1")</f>
        <v>B1</v>
      </c>
      <c r="M547" s="2" t="str">
        <f>IFERROR(__xludf.DUMMYFUNCTION("""COMPUTED_VALUE"""),"No")</f>
        <v>No</v>
      </c>
      <c r="N547" s="3" t="str">
        <f>IFERROR(__xludf.DUMMYFUNCTION("""COMPUTED_VALUE"""),"https://www.unibs.it/it/internazionale/incoming-exchange/erasmus-studies")</f>
        <v>https://www.unibs.it/it/internazionale/incoming-exchange/erasmus-studies</v>
      </c>
      <c r="O547" s="3" t="str">
        <f>IFERROR(__xludf.DUMMYFUNCTION("""COMPUTED_VALUE"""),"Más información / Informazio gehigarria")</f>
        <v>Más información / Informazio gehigarria</v>
      </c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30.0" customHeight="1">
      <c r="A548" s="2" t="str">
        <f>IFERROR(__xludf.DUMMYFUNCTION("""COMPUTED_VALUE"""),"Italia")</f>
        <v>Italia</v>
      </c>
      <c r="B548" s="2" t="str">
        <f>IFERROR(__xludf.DUMMYFUNCTION("""COMPUTED_VALUE"""),"I FOGGIA03")</f>
        <v>I FOGGIA03</v>
      </c>
      <c r="C548" s="3" t="str">
        <f>IFERROR(__xludf.DUMMYFUNCTION("""COMPUTED_VALUE"""),"Università degli studi di Foggia")</f>
        <v>Università degli studi di Foggia</v>
      </c>
      <c r="D548" s="2" t="str">
        <f>IFERROR(__xludf.DUMMYFUNCTION("""COMPUTED_VALUE"""),"Erasmus+")</f>
        <v>Erasmus+</v>
      </c>
      <c r="E548" s="2">
        <f>IFERROR(__xludf.DUMMYFUNCTION("""COMPUTED_VALUE"""),4.0)</f>
        <v>4</v>
      </c>
      <c r="F548" s="2" t="str">
        <f>IFERROR(__xludf.DUMMYFUNCTION("""COMPUTED_VALUE"""),"Semestre")</f>
        <v>Semestre</v>
      </c>
      <c r="G548" s="2" t="str">
        <f>IFERROR(__xludf.DUMMYFUNCTION("""COMPUTED_VALUE"""),"Bilbao")</f>
        <v>Bilbao</v>
      </c>
      <c r="H548" s="2" t="str">
        <f>IFERROR(__xludf.DUMMYFUNCTION("""COMPUTED_VALUE"""),"Derecho")</f>
        <v>Derecho</v>
      </c>
      <c r="I548" s="2" t="str">
        <f>IFERROR(__xludf.DUMMYFUNCTION("""COMPUTED_VALUE"""),"Derecho, Derecho + Relaciones Laborales")</f>
        <v>Derecho, Derecho + Relaciones Laborales</v>
      </c>
      <c r="J548" s="2" t="str">
        <f>IFERROR(__xludf.DUMMYFUNCTION("""COMPUTED_VALUE"""),"Grado")</f>
        <v>Grado</v>
      </c>
      <c r="K548" s="2" t="str">
        <f>IFERROR(__xludf.DUMMYFUNCTION("""COMPUTED_VALUE"""),"Inglés")</f>
        <v>Inglés</v>
      </c>
      <c r="L548" s="2" t="str">
        <f>IFERROR(__xludf.DUMMYFUNCTION("""COMPUTED_VALUE"""),"B2")</f>
        <v>B2</v>
      </c>
      <c r="M548" s="2" t="str">
        <f>IFERROR(__xludf.DUMMYFUNCTION("""COMPUTED_VALUE"""),"No")</f>
        <v>No</v>
      </c>
      <c r="N548" s="3" t="str">
        <f>IFERROR(__xludf.DUMMYFUNCTION("""COMPUTED_VALUE"""),"https://www.unifg.it/it")</f>
        <v>https://www.unifg.it/it</v>
      </c>
      <c r="O548" s="3" t="str">
        <f>IFERROR(__xludf.DUMMYFUNCTION("""COMPUTED_VALUE"""),"Más información / Informazio gehigarria")</f>
        <v>Más información / Informazio gehigarria</v>
      </c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30.0" customHeight="1">
      <c r="A549" s="2" t="str">
        <f>IFERROR(__xludf.DUMMYFUNCTION("""COMPUTED_VALUE"""),"Japón")</f>
        <v>Japón</v>
      </c>
      <c r="B549" s="2"/>
      <c r="C549" s="3" t="str">
        <f>IFERROR(__xludf.DUMMYFUNCTION("""COMPUTED_VALUE"""),"Kyushu University")</f>
        <v>Kyushu University</v>
      </c>
      <c r="D549" s="2" t="str">
        <f>IFERROR(__xludf.DUMMYFUNCTION("""COMPUTED_VALUE"""),"Ac. Bilaterales (no Erasmus)")</f>
        <v>Ac. Bilaterales (no Erasmus)</v>
      </c>
      <c r="E549" s="2">
        <f>IFERROR(__xludf.DUMMYFUNCTION("""COMPUTED_VALUE"""),4.0)</f>
        <v>4</v>
      </c>
      <c r="F549" s="2" t="str">
        <f>IFERROR(__xludf.DUMMYFUNCTION("""COMPUTED_VALUE"""),"Semestre")</f>
        <v>Semestre</v>
      </c>
      <c r="G549" s="2" t="str">
        <f>IFERROR(__xludf.DUMMYFUNCTION("""COMPUTED_VALUE"""),"Bilbao")</f>
        <v>Bilbao</v>
      </c>
      <c r="H549" s="2" t="str">
        <f>IFERROR(__xludf.DUMMYFUNCTION("""COMPUTED_VALUE"""),"Deusto Business School")</f>
        <v>Deusto Business School</v>
      </c>
      <c r="I549" s="2" t="str">
        <f>IFERROR(__xludf.DUMMYFUNCTION("""COMPUTED_VALUE"""),"Administración y Dirección de Empresas")</f>
        <v>Administración y Dirección de Empresas</v>
      </c>
      <c r="J549" s="2" t="str">
        <f>IFERROR(__xludf.DUMMYFUNCTION("""COMPUTED_VALUE"""),"Grado")</f>
        <v>Grado</v>
      </c>
      <c r="K549" s="2" t="str">
        <f>IFERROR(__xludf.DUMMYFUNCTION("""COMPUTED_VALUE"""),"Inglés")</f>
        <v>Inglés</v>
      </c>
      <c r="L549" s="2" t="str">
        <f>IFERROR(__xludf.DUMMYFUNCTION("""COMPUTED_VALUE"""),"C1")</f>
        <v>C1</v>
      </c>
      <c r="M549" s="2" t="str">
        <f>IFERROR(__xludf.DUMMYFUNCTION("""COMPUTED_VALUE"""),"Sí")</f>
        <v>Sí</v>
      </c>
      <c r="N549" s="3" t="str">
        <f>IFERROR(__xludf.DUMMYFUNCTION("""COMPUTED_VALUE"""),"https://www.isc.kyushu-u.ac.jp/intlweb/en/admission/exchangetop")</f>
        <v>https://www.isc.kyushu-u.ac.jp/intlweb/en/admission/exchangetop</v>
      </c>
      <c r="O549" s="3" t="str">
        <f>IFERROR(__xludf.DUMMYFUNCTION("""COMPUTED_VALUE"""),"Más información / Informazio gehigarria")</f>
        <v>Más información / Informazio gehigarria</v>
      </c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30.0" customHeight="1">
      <c r="A550" s="2" t="str">
        <f>IFERROR(__xludf.DUMMYFUNCTION("""COMPUTED_VALUE"""),"Japón")</f>
        <v>Japón</v>
      </c>
      <c r="B550" s="2"/>
      <c r="C550" s="3" t="str">
        <f>IFERROR(__xludf.DUMMYFUNCTION("""COMPUTED_VALUE"""),"Kyushu University")</f>
        <v>Kyushu University</v>
      </c>
      <c r="D550" s="2" t="str">
        <f>IFERROR(__xludf.DUMMYFUNCTION("""COMPUTED_VALUE"""),"Ac. Bilaterales (no Erasmus)")</f>
        <v>Ac. Bilaterales (no Erasmus)</v>
      </c>
      <c r="E550" s="2">
        <f>IFERROR(__xludf.DUMMYFUNCTION("""COMPUTED_VALUE"""),2.0)</f>
        <v>2</v>
      </c>
      <c r="F550" s="2" t="str">
        <f>IFERROR(__xludf.DUMMYFUNCTION("""COMPUTED_VALUE"""),"Anual")</f>
        <v>Anual</v>
      </c>
      <c r="G550" s="2" t="str">
        <f>IFERROR(__xludf.DUMMYFUNCTION("""COMPUTED_VALUE"""),"Bilbao")</f>
        <v>Bilbao</v>
      </c>
      <c r="H550" s="2" t="str">
        <f>IFERROR(__xludf.DUMMYFUNCTION("""COMPUTED_VALUE"""),"Ciencias Sociales y Humanas")</f>
        <v>Ciencias Sociales y Humanas</v>
      </c>
      <c r="I550" s="2" t="str">
        <f>IFERROR(__xludf.DUMMYFUNCTION("""COMPUTED_VALUE"""),"Relaciones Internacionales, Relaciones Internacionales + Derecho")</f>
        <v>Relaciones Internacionales, Relaciones Internacionales + Derecho</v>
      </c>
      <c r="J550" s="2" t="str">
        <f>IFERROR(__xludf.DUMMYFUNCTION("""COMPUTED_VALUE"""),"Grado")</f>
        <v>Grado</v>
      </c>
      <c r="K550" s="2" t="str">
        <f>IFERROR(__xludf.DUMMYFUNCTION("""COMPUTED_VALUE"""),"Inglés")</f>
        <v>Inglés</v>
      </c>
      <c r="L550" s="2" t="str">
        <f>IFERROR(__xludf.DUMMYFUNCTION("""COMPUTED_VALUE"""),"B2")</f>
        <v>B2</v>
      </c>
      <c r="M550" s="2" t="str">
        <f>IFERROR(__xludf.DUMMYFUNCTION("""COMPUTED_VALUE"""),"Sí")</f>
        <v>Sí</v>
      </c>
      <c r="N550" s="3" t="str">
        <f>IFERROR(__xludf.DUMMYFUNCTION("""COMPUTED_VALUE"""),"https://www.isc.kyushu-u.ac.jp/intlweb/en/admission/exchangetop")</f>
        <v>https://www.isc.kyushu-u.ac.jp/intlweb/en/admission/exchangetop</v>
      </c>
      <c r="O550" s="3" t="str">
        <f>IFERROR(__xludf.DUMMYFUNCTION("""COMPUTED_VALUE"""),"Más información / Informazio gehigarria")</f>
        <v>Más información / Informazio gehigarria</v>
      </c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30.0" customHeight="1">
      <c r="A551" s="2" t="str">
        <f>IFERROR(__xludf.DUMMYFUNCTION("""COMPUTED_VALUE"""),"Japón")</f>
        <v>Japón</v>
      </c>
      <c r="B551" s="2" t="str">
        <f>IFERROR(__xludf.DUMMYFUNCTION("""COMPUTED_VALUE"""),"J TOKIO01")</f>
        <v>J TOKIO01</v>
      </c>
      <c r="C551" s="3" t="str">
        <f>IFERROR(__xludf.DUMMYFUNCTION("""COMPUTED_VALUE"""),"Sophia University")</f>
        <v>Sophia University</v>
      </c>
      <c r="D551" s="2" t="str">
        <f>IFERROR(__xludf.DUMMYFUNCTION("""COMPUTED_VALUE"""),"Ac. Bilaterales (no Erasmus)")</f>
        <v>Ac. Bilaterales (no Erasmus)</v>
      </c>
      <c r="E551" s="2">
        <f>IFERROR(__xludf.DUMMYFUNCTION("""COMPUTED_VALUE"""),2.0)</f>
        <v>2</v>
      </c>
      <c r="F551" s="2" t="str">
        <f>IFERROR(__xludf.DUMMYFUNCTION("""COMPUTED_VALUE"""),"Semestre")</f>
        <v>Semestre</v>
      </c>
      <c r="G551" s="2" t="str">
        <f>IFERROR(__xludf.DUMMYFUNCTION("""COMPUTED_VALUE"""),"Bilbao")</f>
        <v>Bilbao</v>
      </c>
      <c r="H551" s="2" t="str">
        <f>IFERROR(__xludf.DUMMYFUNCTION("""COMPUTED_VALUE"""),"Derecho")</f>
        <v>Derecho</v>
      </c>
      <c r="I551" s="2" t="str">
        <f>IFERROR(__xludf.DUMMYFUNCTION("""COMPUTED_VALUE"""),"Derecho, Derecho + Relaciones Laborales")</f>
        <v>Derecho, Derecho + Relaciones Laborales</v>
      </c>
      <c r="J551" s="2" t="str">
        <f>IFERROR(__xludf.DUMMYFUNCTION("""COMPUTED_VALUE"""),"Grado")</f>
        <v>Grado</v>
      </c>
      <c r="K551" s="2" t="str">
        <f>IFERROR(__xludf.DUMMYFUNCTION("""COMPUTED_VALUE"""),"Inglés")</f>
        <v>Inglés</v>
      </c>
      <c r="L551" s="2" t="str">
        <f>IFERROR(__xludf.DUMMYFUNCTION("""COMPUTED_VALUE"""),"B2")</f>
        <v>B2</v>
      </c>
      <c r="M551" s="2" t="str">
        <f>IFERROR(__xludf.DUMMYFUNCTION("""COMPUTED_VALUE"""),"Sí")</f>
        <v>Sí</v>
      </c>
      <c r="N551" s="3" t="str">
        <f>IFERROR(__xludf.DUMMYFUNCTION("""COMPUTED_VALUE"""),"https://www.isc.kyushu-u.ac.jp/intlweb/en/admission/exchangetop")</f>
        <v>https://www.isc.kyushu-u.ac.jp/intlweb/en/admission/exchangetop</v>
      </c>
      <c r="O551" s="3" t="str">
        <f>IFERROR(__xludf.DUMMYFUNCTION("""COMPUTED_VALUE"""),"Más información / Informazio gehigarria")</f>
        <v>Más información / Informazio gehigarria</v>
      </c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30.0" customHeight="1">
      <c r="A552" s="2" t="str">
        <f>IFERROR(__xludf.DUMMYFUNCTION("""COMPUTED_VALUE"""),"Japón")</f>
        <v>Japón</v>
      </c>
      <c r="B552" s="2" t="str">
        <f>IFERROR(__xludf.DUMMYFUNCTION("""COMPUTED_VALUE"""),"J TOKIO01")</f>
        <v>J TOKIO01</v>
      </c>
      <c r="C552" s="3" t="str">
        <f>IFERROR(__xludf.DUMMYFUNCTION("""COMPUTED_VALUE"""),"Sophia University")</f>
        <v>Sophia University</v>
      </c>
      <c r="D552" s="2" t="str">
        <f>IFERROR(__xludf.DUMMYFUNCTION("""COMPUTED_VALUE"""),"Ac. Bilaterales (no Erasmus)")</f>
        <v>Ac. Bilaterales (no Erasmus)</v>
      </c>
      <c r="E552" s="2">
        <f>IFERROR(__xludf.DUMMYFUNCTION("""COMPUTED_VALUE"""),2.0)</f>
        <v>2</v>
      </c>
      <c r="F552" s="2" t="str">
        <f>IFERROR(__xludf.DUMMYFUNCTION("""COMPUTED_VALUE"""),"Semestre")</f>
        <v>Semestre</v>
      </c>
      <c r="G552" s="2" t="str">
        <f>IFERROR(__xludf.DUMMYFUNCTION("""COMPUTED_VALUE"""),"Bilbao")</f>
        <v>Bilbao</v>
      </c>
      <c r="H552" s="2" t="str">
        <f>IFERROR(__xludf.DUMMYFUNCTION("""COMPUTED_VALUE"""),"Ingeniería")</f>
        <v>Ingeniería</v>
      </c>
      <c r="I552" s="2" t="str">
        <f>IFERROR(__xludf.DUMMYFUNCTION("""COMPUTED_VALUE"""),"Tecnologías Industriales, Ingeniería Mecánica, Diseño Industrial + Ingeniería Mecánica")</f>
        <v>Tecnologías Industriales, Ingeniería Mecánica, Diseño Industrial + Ingeniería Mecánica</v>
      </c>
      <c r="J552" s="2" t="str">
        <f>IFERROR(__xludf.DUMMYFUNCTION("""COMPUTED_VALUE"""),"Grado")</f>
        <v>Grado</v>
      </c>
      <c r="K552" s="2" t="str">
        <f>IFERROR(__xludf.DUMMYFUNCTION("""COMPUTED_VALUE"""),"Inglés")</f>
        <v>Inglés</v>
      </c>
      <c r="L552" s="2" t="str">
        <f>IFERROR(__xludf.DUMMYFUNCTION("""COMPUTED_VALUE"""),"B2")</f>
        <v>B2</v>
      </c>
      <c r="M552" s="2" t="str">
        <f>IFERROR(__xludf.DUMMYFUNCTION("""COMPUTED_VALUE"""),"Sí")</f>
        <v>Sí</v>
      </c>
      <c r="N552" s="3" t="str">
        <f>IFERROR(__xludf.DUMMYFUNCTION("""COMPUTED_VALUE"""),"https://www.isc.kyushu-u.ac.jp/intlweb/en/admission/exchangetop")</f>
        <v>https://www.isc.kyushu-u.ac.jp/intlweb/en/admission/exchangetop</v>
      </c>
      <c r="O552" s="3" t="str">
        <f>IFERROR(__xludf.DUMMYFUNCTION("""COMPUTED_VALUE"""),"Más información / Informazio gehigarria")</f>
        <v>Más información / Informazio gehigarria</v>
      </c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30.0" customHeight="1">
      <c r="A553" s="2" t="str">
        <f>IFERROR(__xludf.DUMMYFUNCTION("""COMPUTED_VALUE"""),"Japón")</f>
        <v>Japón</v>
      </c>
      <c r="B553" s="2" t="str">
        <f>IFERROR(__xludf.DUMMYFUNCTION("""COMPUTED_VALUE"""),"J TOKIO01")</f>
        <v>J TOKIO01</v>
      </c>
      <c r="C553" s="3" t="str">
        <f>IFERROR(__xludf.DUMMYFUNCTION("""COMPUTED_VALUE"""),"Sophia University")</f>
        <v>Sophia University</v>
      </c>
      <c r="D553" s="2" t="str">
        <f>IFERROR(__xludf.DUMMYFUNCTION("""COMPUTED_VALUE"""),"Ac. Bilaterales (no Erasmus)")</f>
        <v>Ac. Bilaterales (no Erasmus)</v>
      </c>
      <c r="E553" s="2">
        <f>IFERROR(__xludf.DUMMYFUNCTION("""COMPUTED_VALUE"""),2.0)</f>
        <v>2</v>
      </c>
      <c r="F553" s="2" t="str">
        <f>IFERROR(__xludf.DUMMYFUNCTION("""COMPUTED_VALUE"""),"Anual")</f>
        <v>Anual</v>
      </c>
      <c r="G553" s="2" t="str">
        <f>IFERROR(__xludf.DUMMYFUNCTION("""COMPUTED_VALUE"""),"Bilbao")</f>
        <v>Bilbao</v>
      </c>
      <c r="H553" s="2" t="str">
        <f>IFERROR(__xludf.DUMMYFUNCTION("""COMPUTED_VALUE"""),"Ciencias Sociales y Humanas")</f>
        <v>Ciencias Sociales y Humanas</v>
      </c>
      <c r="I553" s="2" t="str">
        <f>IFERROR(__xludf.DUMMYFUNCTION("""COMPUTED_VALUE"""),"Relaciones Internacionales, Relaciones Internacionales + Derecho")</f>
        <v>Relaciones Internacionales, Relaciones Internacionales + Derecho</v>
      </c>
      <c r="J553" s="2" t="str">
        <f>IFERROR(__xludf.DUMMYFUNCTION("""COMPUTED_VALUE"""),"Grado")</f>
        <v>Grado</v>
      </c>
      <c r="K553" s="2" t="str">
        <f>IFERROR(__xludf.DUMMYFUNCTION("""COMPUTED_VALUE"""),"Inglés")</f>
        <v>Inglés</v>
      </c>
      <c r="L553" s="2" t="str">
        <f>IFERROR(__xludf.DUMMYFUNCTION("""COMPUTED_VALUE"""),"B2")</f>
        <v>B2</v>
      </c>
      <c r="M553" s="2" t="str">
        <f>IFERROR(__xludf.DUMMYFUNCTION("""COMPUTED_VALUE"""),"Sí")</f>
        <v>Sí</v>
      </c>
      <c r="N553" s="3" t="str">
        <f>IFERROR(__xludf.DUMMYFUNCTION("""COMPUTED_VALUE"""),"https://www.isc.kyushu-u.ac.jp/intlweb/en/admission/exchangetop")</f>
        <v>https://www.isc.kyushu-u.ac.jp/intlweb/en/admission/exchangetop</v>
      </c>
      <c r="O553" s="3" t="str">
        <f>IFERROR(__xludf.DUMMYFUNCTION("""COMPUTED_VALUE"""),"Más información / Informazio gehigarria")</f>
        <v>Más información / Informazio gehigarria</v>
      </c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30.0" customHeight="1">
      <c r="A554" s="2" t="str">
        <f>IFERROR(__xludf.DUMMYFUNCTION("""COMPUTED_VALUE"""),"Japón")</f>
        <v>Japón</v>
      </c>
      <c r="B554" s="2" t="str">
        <f>IFERROR(__xludf.DUMMYFUNCTION("""COMPUTED_VALUE"""),"J TOKIO02")</f>
        <v>J TOKIO02</v>
      </c>
      <c r="C554" s="3" t="str">
        <f>IFERROR(__xludf.DUMMYFUNCTION("""COMPUTED_VALUE"""),"Toyo University")</f>
        <v>Toyo University</v>
      </c>
      <c r="D554" s="2" t="str">
        <f>IFERROR(__xludf.DUMMYFUNCTION("""COMPUTED_VALUE"""),"Ac. Bilaterales (no Erasmus)")</f>
        <v>Ac. Bilaterales (no Erasmus)</v>
      </c>
      <c r="E554" s="2">
        <f>IFERROR(__xludf.DUMMYFUNCTION("""COMPUTED_VALUE"""),2.0)</f>
        <v>2</v>
      </c>
      <c r="F554" s="2" t="str">
        <f>IFERROR(__xludf.DUMMYFUNCTION("""COMPUTED_VALUE"""),"Ambos semestres")</f>
        <v>Ambos semestres</v>
      </c>
      <c r="G554" s="2" t="str">
        <f>IFERROR(__xludf.DUMMYFUNCTION("""COMPUTED_VALUE"""),"Bilbao")</f>
        <v>Bilbao</v>
      </c>
      <c r="H554" s="2" t="str">
        <f>IFERROR(__xludf.DUMMYFUNCTION("""COMPUTED_VALUE"""),"Deusto Business School")</f>
        <v>Deusto Business School</v>
      </c>
      <c r="I554" s="2" t="str">
        <f>IFERROR(__xludf.DUMMYFUNCTION("""COMPUTED_VALUE"""),"Administración y Dirección de Empresas")</f>
        <v>Administración y Dirección de Empresas</v>
      </c>
      <c r="J554" s="2" t="str">
        <f>IFERROR(__xludf.DUMMYFUNCTION("""COMPUTED_VALUE"""),"Grado")</f>
        <v>Grado</v>
      </c>
      <c r="K554" s="2" t="str">
        <f>IFERROR(__xludf.DUMMYFUNCTION("""COMPUTED_VALUE"""),"Inglés")</f>
        <v>Inglés</v>
      </c>
      <c r="L554" s="2" t="str">
        <f>IFERROR(__xludf.DUMMYFUNCTION("""COMPUTED_VALUE"""),"C1")</f>
        <v>C1</v>
      </c>
      <c r="M554" s="2" t="str">
        <f>IFERROR(__xludf.DUMMYFUNCTION("""COMPUTED_VALUE"""),"Sí")</f>
        <v>Sí</v>
      </c>
      <c r="N554" s="3" t="str">
        <f>IFERROR(__xludf.DUMMYFUNCTION("""COMPUTED_VALUE"""),"https://www.toyo.ac.jp/-/media/Images/Toyo/international-exchange/international/english-ep/2023Spring/Toyo-Study-Abroad-Program-Fact-Sheet-for-2023-SpringEnrollment-Exchange.ashx?la=en&amp;hash=1551332E958ACBCA7710930B2BC873D2965BB046")</f>
        <v>https://www.toyo.ac.jp/-/media/Images/Toyo/international-exchange/international/english-ep/2023Spring/Toyo-Study-Abroad-Program-Fact-Sheet-for-2023-SpringEnrollment-Exchange.ashx?la=en&amp;hash=1551332E958ACBCA7710930B2BC873D2965BB046</v>
      </c>
      <c r="O554" s="3" t="str">
        <f>IFERROR(__xludf.DUMMYFUNCTION("""COMPUTED_VALUE"""),"Más información / Informazio gehigarria")</f>
        <v>Más información / Informazio gehigarria</v>
      </c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30.0" customHeight="1">
      <c r="A555" s="2" t="str">
        <f>IFERROR(__xludf.DUMMYFUNCTION("""COMPUTED_VALUE"""),"Japón")</f>
        <v>Japón</v>
      </c>
      <c r="B555" s="2" t="str">
        <f>IFERROR(__xludf.DUMMYFUNCTION("""COMPUTED_VALUE"""),"J TOKIO02")</f>
        <v>J TOKIO02</v>
      </c>
      <c r="C555" s="3" t="str">
        <f>IFERROR(__xludf.DUMMYFUNCTION("""COMPUTED_VALUE"""),"Toyo University")</f>
        <v>Toyo University</v>
      </c>
      <c r="D555" s="2" t="str">
        <f>IFERROR(__xludf.DUMMYFUNCTION("""COMPUTED_VALUE"""),"Ac. Bilaterales (no Erasmus)")</f>
        <v>Ac. Bilaterales (no Erasmus)</v>
      </c>
      <c r="E555" s="2">
        <f>IFERROR(__xludf.DUMMYFUNCTION("""COMPUTED_VALUE"""),4.0)</f>
        <v>4</v>
      </c>
      <c r="F555" s="2" t="str">
        <f>IFERROR(__xludf.DUMMYFUNCTION("""COMPUTED_VALUE"""),"Anual")</f>
        <v>Anual</v>
      </c>
      <c r="G555" s="2" t="str">
        <f>IFERROR(__xludf.DUMMYFUNCTION("""COMPUTED_VALUE"""),"Bilbao")</f>
        <v>Bilbao</v>
      </c>
      <c r="H555" s="2" t="str">
        <f>IFERROR(__xludf.DUMMYFUNCTION("""COMPUTED_VALUE"""),"Ciencias Sociales y Humanas")</f>
        <v>Ciencias Sociales y Humanas</v>
      </c>
      <c r="I555" s="2" t="str">
        <f>IFERROR(__xludf.DUMMYFUNCTION("""COMPUTED_VALUE"""),"Relaciones Internacionales, Relaciones Internacionales + Derecho")</f>
        <v>Relaciones Internacionales, Relaciones Internacionales + Derecho</v>
      </c>
      <c r="J555" s="2" t="str">
        <f>IFERROR(__xludf.DUMMYFUNCTION("""COMPUTED_VALUE"""),"Grado")</f>
        <v>Grado</v>
      </c>
      <c r="K555" s="2" t="str">
        <f>IFERROR(__xludf.DUMMYFUNCTION("""COMPUTED_VALUE"""),"Inglés")</f>
        <v>Inglés</v>
      </c>
      <c r="L555" s="2" t="str">
        <f>IFERROR(__xludf.DUMMYFUNCTION("""COMPUTED_VALUE"""),"B2")</f>
        <v>B2</v>
      </c>
      <c r="M555" s="2" t="str">
        <f>IFERROR(__xludf.DUMMYFUNCTION("""COMPUTED_VALUE"""),"Sí")</f>
        <v>Sí</v>
      </c>
      <c r="N555" s="3" t="str">
        <f>IFERROR(__xludf.DUMMYFUNCTION("""COMPUTED_VALUE"""),"https://www.toyo.ac.jp/-/media/Images/Toyo/international-exchange/international/english-ep/2023Spring/Toyo-Study-Abroad-Program-Fact-Sheet-for-2023-SpringEnrollment-Exchange.ashx?la=en&amp;hash=1551332E958ACBCA7710930B2BC873D2965BB046")</f>
        <v>https://www.toyo.ac.jp/-/media/Images/Toyo/international-exchange/international/english-ep/2023Spring/Toyo-Study-Abroad-Program-Fact-Sheet-for-2023-SpringEnrollment-Exchange.ashx?la=en&amp;hash=1551332E958ACBCA7710930B2BC873D2965BB046</v>
      </c>
      <c r="O555" s="3" t="str">
        <f>IFERROR(__xludf.DUMMYFUNCTION("""COMPUTED_VALUE"""),"Más información / Informazio gehigarria")</f>
        <v>Más información / Informazio gehigarria</v>
      </c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30.0" customHeight="1">
      <c r="A556" s="2" t="str">
        <f>IFERROR(__xludf.DUMMYFUNCTION("""COMPUTED_VALUE"""),"Japón")</f>
        <v>Japón</v>
      </c>
      <c r="B556" s="2" t="str">
        <f>IFERROR(__xludf.DUMMYFUNCTION("""COMPUTED_VALUE"""),"J TOKIO02")</f>
        <v>J TOKIO02</v>
      </c>
      <c r="C556" s="3" t="str">
        <f>IFERROR(__xludf.DUMMYFUNCTION("""COMPUTED_VALUE"""),"Toyo University")</f>
        <v>Toyo University</v>
      </c>
      <c r="D556" s="2" t="str">
        <f>IFERROR(__xludf.DUMMYFUNCTION("""COMPUTED_VALUE"""),"Ac. Bilaterales (no Erasmus)")</f>
        <v>Ac. Bilaterales (no Erasmus)</v>
      </c>
      <c r="E556" s="2">
        <f>IFERROR(__xludf.DUMMYFUNCTION("""COMPUTED_VALUE"""),2.0)</f>
        <v>2</v>
      </c>
      <c r="F556" s="2" t="str">
        <f>IFERROR(__xludf.DUMMYFUNCTION("""COMPUTED_VALUE"""),"Semestre")</f>
        <v>Semestre</v>
      </c>
      <c r="G556" s="2" t="str">
        <f>IFERROR(__xludf.DUMMYFUNCTION("""COMPUTED_VALUE"""),"San Sebastián")</f>
        <v>San Sebastián</v>
      </c>
      <c r="H556" s="2" t="str">
        <f>IFERROR(__xludf.DUMMYFUNCTION("""COMPUTED_VALUE"""),"Deusto Business School")</f>
        <v>Deusto Business School</v>
      </c>
      <c r="I556" s="2" t="str">
        <f>IFERROR(__xludf.DUMMYFUNCTION("""COMPUTED_VALUE"""),"Administración y Dirección de Empresas")</f>
        <v>Administración y Dirección de Empresas</v>
      </c>
      <c r="J556" s="2" t="str">
        <f>IFERROR(__xludf.DUMMYFUNCTION("""COMPUTED_VALUE"""),"Grado")</f>
        <v>Grado</v>
      </c>
      <c r="K556" s="2" t="str">
        <f>IFERROR(__xludf.DUMMYFUNCTION("""COMPUTED_VALUE"""),"Inglés")</f>
        <v>Inglés</v>
      </c>
      <c r="L556" s="2" t="str">
        <f>IFERROR(__xludf.DUMMYFUNCTION("""COMPUTED_VALUE"""),"C1")</f>
        <v>C1</v>
      </c>
      <c r="M556" s="2" t="str">
        <f>IFERROR(__xludf.DUMMYFUNCTION("""COMPUTED_VALUE"""),"Sí")</f>
        <v>Sí</v>
      </c>
      <c r="N556" s="3" t="str">
        <f>IFERROR(__xludf.DUMMYFUNCTION("""COMPUTED_VALUE"""),"https://www.toyo.ac.jp/-/media/Images/Toyo/international-exchange/international/english-ep/2023Spring/Toyo-Study-Abroad-Program-Fact-Sheet-for-2023-SpringEnrollment-Exchange.ashx?la=en&amp;hash=1551332E958ACBCA7710930B2BC873D2965BB046")</f>
        <v>https://www.toyo.ac.jp/-/media/Images/Toyo/international-exchange/international/english-ep/2023Spring/Toyo-Study-Abroad-Program-Fact-Sheet-for-2023-SpringEnrollment-Exchange.ashx?la=en&amp;hash=1551332E958ACBCA7710930B2BC873D2965BB046</v>
      </c>
      <c r="O556" s="3" t="str">
        <f>IFERROR(__xludf.DUMMYFUNCTION("""COMPUTED_VALUE"""),"Más información / Informazio gehigarria")</f>
        <v>Más información / Informazio gehigarria</v>
      </c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30.0" customHeight="1">
      <c r="A557" s="2" t="str">
        <f>IFERROR(__xludf.DUMMYFUNCTION("""COMPUTED_VALUE"""),"Kazajistán")</f>
        <v>Kazajistán</v>
      </c>
      <c r="B557" s="2" t="str">
        <f>IFERROR(__xludf.DUMMYFUNCTION("""COMPUTED_VALUE"""),"KAZ ALMATY03")</f>
        <v>KAZ ALMATY03</v>
      </c>
      <c r="C557" s="3" t="str">
        <f>IFERROR(__xludf.DUMMYFUNCTION("""COMPUTED_VALUE"""),"KIMEP University")</f>
        <v>KIMEP University</v>
      </c>
      <c r="D557" s="2" t="str">
        <f>IFERROR(__xludf.DUMMYFUNCTION("""COMPUTED_VALUE"""),"Ac. Bilaterales (no Erasmus)")</f>
        <v>Ac. Bilaterales (no Erasmus)</v>
      </c>
      <c r="E557" s="2">
        <f>IFERROR(__xludf.DUMMYFUNCTION("""COMPUTED_VALUE"""),2.0)</f>
        <v>2</v>
      </c>
      <c r="F557" s="2" t="str">
        <f>IFERROR(__xludf.DUMMYFUNCTION("""COMPUTED_VALUE"""),"Anual")</f>
        <v>Anual</v>
      </c>
      <c r="G557" s="2" t="str">
        <f>IFERROR(__xludf.DUMMYFUNCTION("""COMPUTED_VALUE"""),"Bilbao")</f>
        <v>Bilbao</v>
      </c>
      <c r="H557" s="2" t="str">
        <f>IFERROR(__xludf.DUMMYFUNCTION("""COMPUTED_VALUE"""),"Ciencias Sociales y Humanas")</f>
        <v>Ciencias Sociales y Humanas</v>
      </c>
      <c r="I557" s="2" t="str">
        <f>IFERROR(__xludf.DUMMYFUNCTION("""COMPUTED_VALUE"""),"Relaciones Internacionales, Relaciones Internacionales + Derecho")</f>
        <v>Relaciones Internacionales, Relaciones Internacionales + Derecho</v>
      </c>
      <c r="J557" s="2" t="str">
        <f>IFERROR(__xludf.DUMMYFUNCTION("""COMPUTED_VALUE"""),"Grado")</f>
        <v>Grado</v>
      </c>
      <c r="K557" s="2" t="str">
        <f>IFERROR(__xludf.DUMMYFUNCTION("""COMPUTED_VALUE"""),"Inglés")</f>
        <v>Inglés</v>
      </c>
      <c r="L557" s="2" t="str">
        <f>IFERROR(__xludf.DUMMYFUNCTION("""COMPUTED_VALUE"""),"B2")</f>
        <v>B2</v>
      </c>
      <c r="M557" s="2" t="str">
        <f>IFERROR(__xludf.DUMMYFUNCTION("""COMPUTED_VALUE"""),"Sí")</f>
        <v>Sí</v>
      </c>
      <c r="N557" s="3" t="str">
        <f>IFERROR(__xludf.DUMMYFUNCTION("""COMPUTED_VALUE"""),"https://www.kimep.kz/diam/en/study-abroad-opportunities-for-kimep-students/#:~:text=Eligibility%20criteria%3A&amp;text=B%20(3.0)%2F%20IELTS%206,above%20(out%20of%204.33)%3B")</f>
        <v>https://www.kimep.kz/diam/en/study-abroad-opportunities-for-kimep-students/#:~:text=Eligibility%20criteria%3A&amp;text=B%20(3.0)%2F%20IELTS%206,above%20(out%20of%204.33)%3B</v>
      </c>
      <c r="O557" s="3" t="str">
        <f>IFERROR(__xludf.DUMMYFUNCTION("""COMPUTED_VALUE"""),"Más información / Informazio gehigarria")</f>
        <v>Más información / Informazio gehigarria</v>
      </c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30.0" customHeight="1">
      <c r="A558" s="2" t="str">
        <f>IFERROR(__xludf.DUMMYFUNCTION("""COMPUTED_VALUE"""),"Letonia")</f>
        <v>Letonia</v>
      </c>
      <c r="B558" s="2" t="str">
        <f>IFERROR(__xludf.DUMMYFUNCTION("""COMPUTED_VALUE"""),"LV RIGA01")</f>
        <v>LV RIGA01</v>
      </c>
      <c r="C558" s="3" t="str">
        <f>IFERROR(__xludf.DUMMYFUNCTION("""COMPUTED_VALUE"""),"Latvijas Universitáte")</f>
        <v>Latvijas Universitáte</v>
      </c>
      <c r="D558" s="2" t="str">
        <f>IFERROR(__xludf.DUMMYFUNCTION("""COMPUTED_VALUE"""),"Erasmus+")</f>
        <v>Erasmus+</v>
      </c>
      <c r="E558" s="2">
        <f>IFERROR(__xludf.DUMMYFUNCTION("""COMPUTED_VALUE"""),2.0)</f>
        <v>2</v>
      </c>
      <c r="F558" s="2" t="str">
        <f>IFERROR(__xludf.DUMMYFUNCTION("""COMPUTED_VALUE"""),"Ambos semestres")</f>
        <v>Ambos semestres</v>
      </c>
      <c r="G558" s="2" t="str">
        <f>IFERROR(__xludf.DUMMYFUNCTION("""COMPUTED_VALUE"""),"Bilbao")</f>
        <v>Bilbao</v>
      </c>
      <c r="H558" s="2" t="str">
        <f>IFERROR(__xludf.DUMMYFUNCTION("""COMPUTED_VALUE"""),"Deusto Business School")</f>
        <v>Deusto Business School</v>
      </c>
      <c r="I558" s="2" t="str">
        <f>IFERROR(__xludf.DUMMYFUNCTION("""COMPUTED_VALUE"""),"Administración y Dirección de Empresas")</f>
        <v>Administración y Dirección de Empresas</v>
      </c>
      <c r="J558" s="2" t="str">
        <f>IFERROR(__xludf.DUMMYFUNCTION("""COMPUTED_VALUE"""),"Grado")</f>
        <v>Grado</v>
      </c>
      <c r="K558" s="2" t="str">
        <f>IFERROR(__xludf.DUMMYFUNCTION("""COMPUTED_VALUE"""),"Inglés")</f>
        <v>Inglés</v>
      </c>
      <c r="L558" s="2" t="str">
        <f>IFERROR(__xludf.DUMMYFUNCTION("""COMPUTED_VALUE"""),"C1")</f>
        <v>C1</v>
      </c>
      <c r="M558" s="2" t="str">
        <f>IFERROR(__xludf.DUMMYFUNCTION("""COMPUTED_VALUE"""),"No")</f>
        <v>No</v>
      </c>
      <c r="N558" s="3" t="str">
        <f>IFERROR(__xludf.DUMMYFUNCTION("""COMPUTED_VALUE"""),"https://www.lu.lv/en/gribustudet/arzemju-studentiem-eng/degree/language/")</f>
        <v>https://www.lu.lv/en/gribustudet/arzemju-studentiem-eng/degree/language/</v>
      </c>
      <c r="O558" s="3" t="str">
        <f>IFERROR(__xludf.DUMMYFUNCTION("""COMPUTED_VALUE"""),"Más información / Informazio gehigarria")</f>
        <v>Más información / Informazio gehigarria</v>
      </c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30.0" customHeight="1">
      <c r="A559" s="2" t="str">
        <f>IFERROR(__xludf.DUMMYFUNCTION("""COMPUTED_VALUE"""),"Letonia")</f>
        <v>Letonia</v>
      </c>
      <c r="B559" s="2" t="str">
        <f>IFERROR(__xludf.DUMMYFUNCTION("""COMPUTED_VALUE"""),"LV RIGA01")</f>
        <v>LV RIGA01</v>
      </c>
      <c r="C559" s="3" t="str">
        <f>IFERROR(__xludf.DUMMYFUNCTION("""COMPUTED_VALUE"""),"Latvijas Universitáte")</f>
        <v>Latvijas Universitáte</v>
      </c>
      <c r="D559" s="2" t="str">
        <f>IFERROR(__xludf.DUMMYFUNCTION("""COMPUTED_VALUE"""),"Erasmus+")</f>
        <v>Erasmus+</v>
      </c>
      <c r="E559" s="2">
        <f>IFERROR(__xludf.DUMMYFUNCTION("""COMPUTED_VALUE"""),2.0)</f>
        <v>2</v>
      </c>
      <c r="F559" s="2" t="str">
        <f>IFERROR(__xludf.DUMMYFUNCTION("""COMPUTED_VALUE"""),"Semestre")</f>
        <v>Semestre</v>
      </c>
      <c r="G559" s="2" t="str">
        <f>IFERROR(__xludf.DUMMYFUNCTION("""COMPUTED_VALUE"""),"Bilbao")</f>
        <v>Bilbao</v>
      </c>
      <c r="H559" s="2" t="str">
        <f>IFERROR(__xludf.DUMMYFUNCTION("""COMPUTED_VALUE"""),"Ingeniería")</f>
        <v>Ingeniería</v>
      </c>
      <c r="I559" s="2" t="str">
        <f>IFERROR(__xludf.DUMMYFUNCTION("""COMPUTED_VALUE"""),"Organización Industrial")</f>
        <v>Organización Industrial</v>
      </c>
      <c r="J559" s="2" t="str">
        <f>IFERROR(__xludf.DUMMYFUNCTION("""COMPUTED_VALUE"""),"Grado")</f>
        <v>Grado</v>
      </c>
      <c r="K559" s="2" t="str">
        <f>IFERROR(__xludf.DUMMYFUNCTION("""COMPUTED_VALUE"""),"Inglés")</f>
        <v>Inglés</v>
      </c>
      <c r="L559" s="2" t="str">
        <f>IFERROR(__xludf.DUMMYFUNCTION("""COMPUTED_VALUE"""),"B2")</f>
        <v>B2</v>
      </c>
      <c r="M559" s="2" t="str">
        <f>IFERROR(__xludf.DUMMYFUNCTION("""COMPUTED_VALUE"""),"Sí")</f>
        <v>Sí</v>
      </c>
      <c r="N559" s="3" t="str">
        <f>IFERROR(__xludf.DUMMYFUNCTION("""COMPUTED_VALUE"""),"https://www.lu.lv/en/admissions/exchange-studies/")</f>
        <v>https://www.lu.lv/en/admissions/exchange-studies/</v>
      </c>
      <c r="O559" s="3" t="str">
        <f>IFERROR(__xludf.DUMMYFUNCTION("""COMPUTED_VALUE"""),"Más información / Informazio gehigarria")</f>
        <v>Más información / Informazio gehigarria</v>
      </c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30.0" customHeight="1">
      <c r="A560" s="2" t="str">
        <f>IFERROR(__xludf.DUMMYFUNCTION("""COMPUTED_VALUE"""),"Letonia")</f>
        <v>Letonia</v>
      </c>
      <c r="B560" s="2" t="str">
        <f>IFERROR(__xludf.DUMMYFUNCTION("""COMPUTED_VALUE"""),"LV RIGA34")</f>
        <v>LV RIGA34</v>
      </c>
      <c r="C560" s="3" t="str">
        <f>IFERROR(__xludf.DUMMYFUNCTION("""COMPUTED_VALUE"""),"Riga Graduate School of Law")</f>
        <v>Riga Graduate School of Law</v>
      </c>
      <c r="D560" s="2" t="str">
        <f>IFERROR(__xludf.DUMMYFUNCTION("""COMPUTED_VALUE"""),"Erasmus+")</f>
        <v>Erasmus+</v>
      </c>
      <c r="E560" s="2">
        <f>IFERROR(__xludf.DUMMYFUNCTION("""COMPUTED_VALUE"""),2.0)</f>
        <v>2</v>
      </c>
      <c r="F560" s="2" t="str">
        <f>IFERROR(__xludf.DUMMYFUNCTION("""COMPUTED_VALUE"""),"Semestre")</f>
        <v>Semestre</v>
      </c>
      <c r="G560" s="2" t="str">
        <f>IFERROR(__xludf.DUMMYFUNCTION("""COMPUTED_VALUE"""),"Ambos")</f>
        <v>Ambos</v>
      </c>
      <c r="H560" s="2" t="str">
        <f>IFERROR(__xludf.DUMMYFUNCTION("""COMPUTED_VALUE"""),"Derecho")</f>
        <v>Derecho</v>
      </c>
      <c r="I560" s="2" t="str">
        <f>IFERROR(__xludf.DUMMYFUNCTION("""COMPUTED_VALUE"""),"Derecho, Derecho + Relaciones Laborales")</f>
        <v>Derecho, Derecho + Relaciones Laborales</v>
      </c>
      <c r="J560" s="2" t="str">
        <f>IFERROR(__xludf.DUMMYFUNCTION("""COMPUTED_VALUE"""),"Grado")</f>
        <v>Grado</v>
      </c>
      <c r="K560" s="2" t="str">
        <f>IFERROR(__xludf.DUMMYFUNCTION("""COMPUTED_VALUE"""),"Inglés")</f>
        <v>Inglés</v>
      </c>
      <c r="L560" s="2" t="str">
        <f>IFERROR(__xludf.DUMMYFUNCTION("""COMPUTED_VALUE"""),"B2")</f>
        <v>B2</v>
      </c>
      <c r="M560" s="2" t="str">
        <f>IFERROR(__xludf.DUMMYFUNCTION("""COMPUTED_VALUE"""),"No")</f>
        <v>No</v>
      </c>
      <c r="N560" s="3" t="str">
        <f>IFERROR(__xludf.DUMMYFUNCTION("""COMPUTED_VALUE"""),"https://www.rgsl.edu.lv/data/pdf-files/guidelines-spring-incoming-2025-030924.pdf")</f>
        <v>https://www.rgsl.edu.lv/data/pdf-files/guidelines-spring-incoming-2025-030924.pdf</v>
      </c>
      <c r="O560" s="3" t="str">
        <f>IFERROR(__xludf.DUMMYFUNCTION("""COMPUTED_VALUE"""),"Más información / Informazio gehigarria")</f>
        <v>Más información / Informazio gehigarria</v>
      </c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30.0" customHeight="1">
      <c r="A561" s="2" t="str">
        <f>IFERROR(__xludf.DUMMYFUNCTION("""COMPUTED_VALUE"""),"Letonia")</f>
        <v>Letonia</v>
      </c>
      <c r="B561" s="2" t="str">
        <f>IFERROR(__xludf.DUMMYFUNCTION("""COMPUTED_VALUE"""),"LV VENTSPI01")</f>
        <v>LV VENTSPI01</v>
      </c>
      <c r="C561" s="3" t="str">
        <f>IFERROR(__xludf.DUMMYFUNCTION("""COMPUTED_VALUE"""),"Ventspils University College")</f>
        <v>Ventspils University College</v>
      </c>
      <c r="D561" s="2" t="str">
        <f>IFERROR(__xludf.DUMMYFUNCTION("""COMPUTED_VALUE"""),"Erasmus+")</f>
        <v>Erasmus+</v>
      </c>
      <c r="E561" s="2">
        <f>IFERROR(__xludf.DUMMYFUNCTION("""COMPUTED_VALUE"""),5.0)</f>
        <v>5</v>
      </c>
      <c r="F561" s="2" t="str">
        <f>IFERROR(__xludf.DUMMYFUNCTION("""COMPUTED_VALUE"""),"Anual")</f>
        <v>Anual</v>
      </c>
      <c r="G561" s="2" t="str">
        <f>IFERROR(__xludf.DUMMYFUNCTION("""COMPUTED_VALUE"""),"Bilbao")</f>
        <v>Bilbao</v>
      </c>
      <c r="H561" s="2" t="str">
        <f>IFERROR(__xludf.DUMMYFUNCTION("""COMPUTED_VALUE"""),"Ciencias Sociales y Humanas")</f>
        <v>Ciencias Sociales y Humanas</v>
      </c>
      <c r="I561" s="2" t="str">
        <f>IFERROR(__xludf.DUMMYFUNCTION("""COMPUTED_VALUE"""),"Lenguas Modernas")</f>
        <v>Lenguas Modernas</v>
      </c>
      <c r="J561" s="2" t="str">
        <f>IFERROR(__xludf.DUMMYFUNCTION("""COMPUTED_VALUE"""),"Grado")</f>
        <v>Grado</v>
      </c>
      <c r="K561" s="2" t="str">
        <f>IFERROR(__xludf.DUMMYFUNCTION("""COMPUTED_VALUE"""),"Inglés")</f>
        <v>Inglés</v>
      </c>
      <c r="L561" s="2" t="str">
        <f>IFERROR(__xludf.DUMMYFUNCTION("""COMPUTED_VALUE"""),"B2")</f>
        <v>B2</v>
      </c>
      <c r="M561" s="2" t="str">
        <f>IFERROR(__xludf.DUMMYFUNCTION("""COMPUTED_VALUE"""),"No")</f>
        <v>No</v>
      </c>
      <c r="N561" s="3" t="str">
        <f>IFERROR(__xludf.DUMMYFUNCTION("""COMPUTED_VALUE"""),"https://apply.venta.lv/courses/course/21-incoming-exchange")</f>
        <v>https://apply.venta.lv/courses/course/21-incoming-exchange</v>
      </c>
      <c r="O561" s="3" t="str">
        <f>IFERROR(__xludf.DUMMYFUNCTION("""COMPUTED_VALUE"""),"Más información / Informazio gehigarria")</f>
        <v>Más información / Informazio gehigarria</v>
      </c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30.0" customHeight="1">
      <c r="A562" s="2" t="str">
        <f>IFERROR(__xludf.DUMMYFUNCTION("""COMPUTED_VALUE"""),"Letonia")</f>
        <v>Letonia</v>
      </c>
      <c r="B562" s="2" t="str">
        <f>IFERROR(__xludf.DUMMYFUNCTION("""COMPUTED_VALUE"""),"LV VENTSPI01")</f>
        <v>LV VENTSPI01</v>
      </c>
      <c r="C562" s="3" t="str">
        <f>IFERROR(__xludf.DUMMYFUNCTION("""COMPUTED_VALUE"""),"Ventspils University College")</f>
        <v>Ventspils University College</v>
      </c>
      <c r="D562" s="2" t="str">
        <f>IFERROR(__xludf.DUMMYFUNCTION("""COMPUTED_VALUE"""),"Erasmus+")</f>
        <v>Erasmus+</v>
      </c>
      <c r="E562" s="2">
        <f>IFERROR(__xludf.DUMMYFUNCTION("""COMPUTED_VALUE"""),3.0)</f>
        <v>3</v>
      </c>
      <c r="F562" s="2" t="str">
        <f>IFERROR(__xludf.DUMMYFUNCTION("""COMPUTED_VALUE"""),"Semestre")</f>
        <v>Semestre</v>
      </c>
      <c r="G562" s="2" t="str">
        <f>IFERROR(__xludf.DUMMYFUNCTION("""COMPUTED_VALUE"""),"Bilbao")</f>
        <v>Bilbao</v>
      </c>
      <c r="H562" s="2" t="str">
        <f>IFERROR(__xludf.DUMMYFUNCTION("""COMPUTED_VALUE"""),"Ciencias Sociales y Humanas")</f>
        <v>Ciencias Sociales y Humanas</v>
      </c>
      <c r="I562" s="2" t="str">
        <f>IFERROR(__xludf.DUMMYFUNCTION("""COMPUTED_VALUE"""),"Lenguas Modernas y Gestión, Lengua y Cultura Vasca + Lenguas Modernas, Euskal Hizkuntza eta Kultura")</f>
        <v>Lenguas Modernas y Gestión, Lengua y Cultura Vasca + Lenguas Modernas, Euskal Hizkuntza eta Kultura</v>
      </c>
      <c r="J562" s="2" t="str">
        <f>IFERROR(__xludf.DUMMYFUNCTION("""COMPUTED_VALUE"""),"Grado")</f>
        <v>Grado</v>
      </c>
      <c r="K562" s="2" t="str">
        <f>IFERROR(__xludf.DUMMYFUNCTION("""COMPUTED_VALUE"""),"Inglés")</f>
        <v>Inglés</v>
      </c>
      <c r="L562" s="2" t="str">
        <f>IFERROR(__xludf.DUMMYFUNCTION("""COMPUTED_VALUE"""),"B2")</f>
        <v>B2</v>
      </c>
      <c r="M562" s="2" t="str">
        <f>IFERROR(__xludf.DUMMYFUNCTION("""COMPUTED_VALUE"""),"No")</f>
        <v>No</v>
      </c>
      <c r="N562" s="3" t="str">
        <f>IFERROR(__xludf.DUMMYFUNCTION("""COMPUTED_VALUE"""),"https://apply.venta.lv/courses/course/21-incoming-exchange")</f>
        <v>https://apply.venta.lv/courses/course/21-incoming-exchange</v>
      </c>
      <c r="O562" s="3" t="str">
        <f>IFERROR(__xludf.DUMMYFUNCTION("""COMPUTED_VALUE"""),"Más información / Informazio gehigarria")</f>
        <v>Más información / Informazio gehigarria</v>
      </c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30.0" customHeight="1">
      <c r="A563" s="2" t="str">
        <f>IFERROR(__xludf.DUMMYFUNCTION("""COMPUTED_VALUE"""),"Letonia")</f>
        <v>Letonia</v>
      </c>
      <c r="B563" s="2" t="str">
        <f>IFERROR(__xludf.DUMMYFUNCTION("""COMPUTED_VALUE"""),"LV RIGA31")</f>
        <v>LV RIGA31</v>
      </c>
      <c r="C563" s="3" t="str">
        <f>IFERROR(__xludf.DUMMYFUNCTION("""COMPUTED_VALUE"""),"Transport and Telecommunication Institute - TSI")</f>
        <v>Transport and Telecommunication Institute - TSI</v>
      </c>
      <c r="D563" s="2" t="str">
        <f>IFERROR(__xludf.DUMMYFUNCTION("""COMPUTED_VALUE"""),"Erasmus+")</f>
        <v>Erasmus+</v>
      </c>
      <c r="E563" s="2">
        <f>IFERROR(__xludf.DUMMYFUNCTION("""COMPUTED_VALUE"""),2.0)</f>
        <v>2</v>
      </c>
      <c r="F563" s="2" t="str">
        <f>IFERROR(__xludf.DUMMYFUNCTION("""COMPUTED_VALUE"""),"Semestre")</f>
        <v>Semestre</v>
      </c>
      <c r="G563" s="2" t="str">
        <f>IFERROR(__xludf.DUMMYFUNCTION("""COMPUTED_VALUE"""),"Ambos")</f>
        <v>Ambos</v>
      </c>
      <c r="H563" s="2" t="str">
        <f>IFERROR(__xludf.DUMMYFUNCTION("""COMPUTED_VALUE"""),"Ingeniería")</f>
        <v>Ingeniería</v>
      </c>
      <c r="I563" s="2" t="str">
        <f>IFERROR(__xludf.DUMMYFUNCTION("""COMPUTED_VALUE"""),"Ingeniería Informática")</f>
        <v>Ingeniería Informática</v>
      </c>
      <c r="J563" s="2" t="str">
        <f>IFERROR(__xludf.DUMMYFUNCTION("""COMPUTED_VALUE"""),"Grado")</f>
        <v>Grado</v>
      </c>
      <c r="K563" s="2" t="str">
        <f>IFERROR(__xludf.DUMMYFUNCTION("""COMPUTED_VALUE"""),"Inglés")</f>
        <v>Inglés</v>
      </c>
      <c r="L563" s="2" t="str">
        <f>IFERROR(__xludf.DUMMYFUNCTION("""COMPUTED_VALUE"""),"B2")</f>
        <v>B2</v>
      </c>
      <c r="M563" s="2"/>
      <c r="N563" s="3" t="str">
        <f>IFERROR(__xludf.DUMMYFUNCTION("""COMPUTED_VALUE"""),"https://tsi.lv/")</f>
        <v>https://tsi.lv/</v>
      </c>
      <c r="O563" s="3" t="str">
        <f>IFERROR(__xludf.DUMMYFUNCTION("""COMPUTED_VALUE"""),"Más información / Informazio gehigarria")</f>
        <v>Más información / Informazio gehigarria</v>
      </c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30.0" customHeight="1">
      <c r="A564" s="2" t="str">
        <f>IFERROR(__xludf.DUMMYFUNCTION("""COMPUTED_VALUE"""),"Líbano")</f>
        <v>Líbano</v>
      </c>
      <c r="B564" s="2" t="str">
        <f>IFERROR(__xludf.DUMMYFUNCTION("""COMPUTED_VALUE"""),"RL BEIRUT01")</f>
        <v>RL BEIRUT01</v>
      </c>
      <c r="C564" s="3" t="str">
        <f>IFERROR(__xludf.DUMMYFUNCTION("""COMPUTED_VALUE"""),"Saint Joseph University")</f>
        <v>Saint Joseph University</v>
      </c>
      <c r="D564" s="2" t="str">
        <f>IFERROR(__xludf.DUMMYFUNCTION("""COMPUTED_VALUE"""),"Ac. Bilaterales (no Erasmus)")</f>
        <v>Ac. Bilaterales (no Erasmus)</v>
      </c>
      <c r="E564" s="2">
        <f>IFERROR(__xludf.DUMMYFUNCTION("""COMPUTED_VALUE"""),1.0)</f>
        <v>1</v>
      </c>
      <c r="F564" s="2" t="str">
        <f>IFERROR(__xludf.DUMMYFUNCTION("""COMPUTED_VALUE"""),"Anual")</f>
        <v>Anual</v>
      </c>
      <c r="G564" s="2" t="str">
        <f>IFERROR(__xludf.DUMMYFUNCTION("""COMPUTED_VALUE"""),"Bilbao")</f>
        <v>Bilbao</v>
      </c>
      <c r="H564" s="2" t="str">
        <f>IFERROR(__xludf.DUMMYFUNCTION("""COMPUTED_VALUE"""),"Ciencias Sociales y Humanas")</f>
        <v>Ciencias Sociales y Humanas</v>
      </c>
      <c r="I564" s="2" t="str">
        <f>IFERROR(__xludf.DUMMYFUNCTION("""COMPUTED_VALUE"""),"Relaciones Internacionales, Relaciones Internacionales + Derecho")</f>
        <v>Relaciones Internacionales, Relaciones Internacionales + Derecho</v>
      </c>
      <c r="J564" s="2" t="str">
        <f>IFERROR(__xludf.DUMMYFUNCTION("""COMPUTED_VALUE"""),"Grado")</f>
        <v>Grado</v>
      </c>
      <c r="K564" s="2" t="str">
        <f>IFERROR(__xludf.DUMMYFUNCTION("""COMPUTED_VALUE"""),"Inglés")</f>
        <v>Inglés</v>
      </c>
      <c r="L564" s="2" t="str">
        <f>IFERROR(__xludf.DUMMYFUNCTION("""COMPUTED_VALUE"""),"B2")</f>
        <v>B2</v>
      </c>
      <c r="M564" s="2" t="str">
        <f>IFERROR(__xludf.DUMMYFUNCTION("""COMPUTED_VALUE"""),"Sí")</f>
        <v>Sí</v>
      </c>
      <c r="N564" s="3" t="str">
        <f>IFERROR(__xludf.DUMMYFUNCTION("""COMPUTED_VALUE"""),"https://www.usj.edu/admissions/international-students/")</f>
        <v>https://www.usj.edu/admissions/international-students/</v>
      </c>
      <c r="O564" s="3" t="str">
        <f>IFERROR(__xludf.DUMMYFUNCTION("""COMPUTED_VALUE"""),"Más información / Informazio gehigarria")</f>
        <v>Más información / Informazio gehigarria</v>
      </c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30.0" customHeight="1">
      <c r="A565" s="2" t="str">
        <f>IFERROR(__xludf.DUMMYFUNCTION("""COMPUTED_VALUE"""),"Lituania")</f>
        <v>Lituania</v>
      </c>
      <c r="B565" s="2" t="str">
        <f>IFERROR(__xludf.DUMMYFUNCTION("""COMPUTED_VALUE"""),"LT KAUNAS02")</f>
        <v>LT KAUNAS02</v>
      </c>
      <c r="C565" s="3" t="str">
        <f>IFERROR(__xludf.DUMMYFUNCTION("""COMPUTED_VALUE"""),"Kaunas University of Technology")</f>
        <v>Kaunas University of Technology</v>
      </c>
      <c r="D565" s="2" t="str">
        <f>IFERROR(__xludf.DUMMYFUNCTION("""COMPUTED_VALUE"""),"Erasmus+")</f>
        <v>Erasmus+</v>
      </c>
      <c r="E565" s="2">
        <f>IFERROR(__xludf.DUMMYFUNCTION("""COMPUTED_VALUE"""),4.0)</f>
        <v>4</v>
      </c>
      <c r="F565" s="2" t="str">
        <f>IFERROR(__xludf.DUMMYFUNCTION("""COMPUTED_VALUE"""),"Semestre")</f>
        <v>Semestre</v>
      </c>
      <c r="G565" s="2" t="str">
        <f>IFERROR(__xludf.DUMMYFUNCTION("""COMPUTED_VALUE"""),"Bilbao")</f>
        <v>Bilbao</v>
      </c>
      <c r="H565" s="2" t="str">
        <f>IFERROR(__xludf.DUMMYFUNCTION("""COMPUTED_VALUE"""),"Ingeniería")</f>
        <v>Ingeniería</v>
      </c>
      <c r="I565" s="2" t="str">
        <f>IFERROR(__xludf.DUMMYFUNCTION("""COMPUTED_VALUE"""),"Diseño Industrial, Diseño Industrial + Ingeniería Mecánica")</f>
        <v>Diseño Industrial, Diseño Industrial + Ingeniería Mecánica</v>
      </c>
      <c r="J565" s="2" t="str">
        <f>IFERROR(__xludf.DUMMYFUNCTION("""COMPUTED_VALUE"""),"Grado")</f>
        <v>Grado</v>
      </c>
      <c r="K565" s="2" t="str">
        <f>IFERROR(__xludf.DUMMYFUNCTION("""COMPUTED_VALUE"""),"Inglés")</f>
        <v>Inglés</v>
      </c>
      <c r="L565" s="2" t="str">
        <f>IFERROR(__xludf.DUMMYFUNCTION("""COMPUTED_VALUE"""),"B2")</f>
        <v>B2</v>
      </c>
      <c r="M565" s="2" t="str">
        <f>IFERROR(__xludf.DUMMYFUNCTION("""COMPUTED_VALUE"""),"Sí")</f>
        <v>Sí</v>
      </c>
      <c r="N565" s="3" t="str">
        <f>IFERROR(__xludf.DUMMYFUNCTION("""COMPUTED_VALUE"""),"https://admissions.ktu.edu/exchange-students/#application")</f>
        <v>https://admissions.ktu.edu/exchange-students/#application</v>
      </c>
      <c r="O565" s="3" t="str">
        <f>IFERROR(__xludf.DUMMYFUNCTION("""COMPUTED_VALUE"""),"Más información / Informazio gehigarria")</f>
        <v>Más información / Informazio gehigarria</v>
      </c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30.0" customHeight="1">
      <c r="A566" s="2" t="str">
        <f>IFERROR(__xludf.DUMMYFUNCTION("""COMPUTED_VALUE"""),"Lituania")</f>
        <v>Lituania</v>
      </c>
      <c r="B566" s="2" t="str">
        <f>IFERROR(__xludf.DUMMYFUNCTION("""COMPUTED_VALUE"""),"LT KAUNAS02")</f>
        <v>LT KAUNAS02</v>
      </c>
      <c r="C566" s="3" t="str">
        <f>IFERROR(__xludf.DUMMYFUNCTION("""COMPUTED_VALUE"""),"Kaunas University of Technology")</f>
        <v>Kaunas University of Technology</v>
      </c>
      <c r="D566" s="2" t="str">
        <f>IFERROR(__xludf.DUMMYFUNCTION("""COMPUTED_VALUE"""),"Erasmus+")</f>
        <v>Erasmus+</v>
      </c>
      <c r="E566" s="2">
        <f>IFERROR(__xludf.DUMMYFUNCTION("""COMPUTED_VALUE"""),2.0)</f>
        <v>2</v>
      </c>
      <c r="F566" s="2" t="str">
        <f>IFERROR(__xludf.DUMMYFUNCTION("""COMPUTED_VALUE"""),"Semestre")</f>
        <v>Semestre</v>
      </c>
      <c r="G566" s="2" t="str">
        <f>IFERROR(__xludf.DUMMYFUNCTION("""COMPUTED_VALUE"""),"Ambos")</f>
        <v>Ambos</v>
      </c>
      <c r="H566" s="2" t="str">
        <f>IFERROR(__xludf.DUMMYFUNCTION("""COMPUTED_VALUE"""),"Ingeniería")</f>
        <v>Ingeniería</v>
      </c>
      <c r="I566" s="2" t="str">
        <f>IFERROR(__xludf.DUMMYFUNCTION("""COMPUTED_VALUE"""),"Ingeniería Mecánica, Tecnologías Industriales, Electrónica y Automática, Ingeniería Informática, Organización Industrial, Ciencia de Datos e IA, Ciencia de Datos e IA + Ingeniería Informática, Diseño Industrial + Ingeniería Mecánica, Ingeniería Informátic"&amp;"a + Videojuegos")</f>
        <v>Ingeniería Mecánica, Tecnologías Industriales, Electrónica y Automática, Ingeniería Informática, Organización Industrial, Ciencia de Datos e IA, Ciencia de Datos e IA + Ingeniería Informática, Diseño Industrial + Ingeniería Mecánica, Ingeniería Informática + Videojuegos</v>
      </c>
      <c r="J566" s="2" t="str">
        <f>IFERROR(__xludf.DUMMYFUNCTION("""COMPUTED_VALUE"""),"Grado")</f>
        <v>Grado</v>
      </c>
      <c r="K566" s="2" t="str">
        <f>IFERROR(__xludf.DUMMYFUNCTION("""COMPUTED_VALUE"""),"Inglés")</f>
        <v>Inglés</v>
      </c>
      <c r="L566" s="2" t="str">
        <f>IFERROR(__xludf.DUMMYFUNCTION("""COMPUTED_VALUE"""),"B2")</f>
        <v>B2</v>
      </c>
      <c r="M566" s="2" t="str">
        <f>IFERROR(__xludf.DUMMYFUNCTION("""COMPUTED_VALUE"""),"Sí")</f>
        <v>Sí</v>
      </c>
      <c r="N566" s="3" t="str">
        <f>IFERROR(__xludf.DUMMYFUNCTION("""COMPUTED_VALUE"""),"https://admissions.ktu.edu/exchange-students/#application")</f>
        <v>https://admissions.ktu.edu/exchange-students/#application</v>
      </c>
      <c r="O566" s="3" t="str">
        <f>IFERROR(__xludf.DUMMYFUNCTION("""COMPUTED_VALUE"""),"Más información / Informazio gehigarria")</f>
        <v>Más información / Informazio gehigarria</v>
      </c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30.0" customHeight="1">
      <c r="A567" s="2" t="str">
        <f>IFERROR(__xludf.DUMMYFUNCTION("""COMPUTED_VALUE"""),"Lituania")</f>
        <v>Lituania</v>
      </c>
      <c r="B567" s="2" t="str">
        <f>IFERROR(__xludf.DUMMYFUNCTION("""COMPUTED_VALUE"""),"LT KAUNAS02")</f>
        <v>LT KAUNAS02</v>
      </c>
      <c r="C567" s="3" t="str">
        <f>IFERROR(__xludf.DUMMYFUNCTION("""COMPUTED_VALUE"""),"Kaunas University of Technology")</f>
        <v>Kaunas University of Technology</v>
      </c>
      <c r="D567" s="2" t="str">
        <f>IFERROR(__xludf.DUMMYFUNCTION("""COMPUTED_VALUE"""),"Erasmus+")</f>
        <v>Erasmus+</v>
      </c>
      <c r="E567" s="2">
        <f>IFERROR(__xludf.DUMMYFUNCTION("""COMPUTED_VALUE"""),4.0)</f>
        <v>4</v>
      </c>
      <c r="F567" s="2" t="str">
        <f>IFERROR(__xludf.DUMMYFUNCTION("""COMPUTED_VALUE"""),"Semestre")</f>
        <v>Semestre</v>
      </c>
      <c r="G567" s="2" t="str">
        <f>IFERROR(__xludf.DUMMYFUNCTION("""COMPUTED_VALUE"""),"Bilbao")</f>
        <v>Bilbao</v>
      </c>
      <c r="H567" s="2" t="str">
        <f>IFERROR(__xludf.DUMMYFUNCTION("""COMPUTED_VALUE"""),"Ingeniería")</f>
        <v>Ingeniería</v>
      </c>
      <c r="I567" s="2" t="str">
        <f>IFERROR(__xludf.DUMMYFUNCTION("""COMPUTED_VALUE"""),"Electrónica y Automática, Ingeniería Biomédica")</f>
        <v>Electrónica y Automática, Ingeniería Biomédica</v>
      </c>
      <c r="J567" s="2" t="str">
        <f>IFERROR(__xludf.DUMMYFUNCTION("""COMPUTED_VALUE"""),"Grado")</f>
        <v>Grado</v>
      </c>
      <c r="K567" s="2" t="str">
        <f>IFERROR(__xludf.DUMMYFUNCTION("""COMPUTED_VALUE"""),"Inglés")</f>
        <v>Inglés</v>
      </c>
      <c r="L567" s="2" t="str">
        <f>IFERROR(__xludf.DUMMYFUNCTION("""COMPUTED_VALUE"""),"B2")</f>
        <v>B2</v>
      </c>
      <c r="M567" s="2" t="str">
        <f>IFERROR(__xludf.DUMMYFUNCTION("""COMPUTED_VALUE"""),"Sí")</f>
        <v>Sí</v>
      </c>
      <c r="N567" s="3" t="str">
        <f>IFERROR(__xludf.DUMMYFUNCTION("""COMPUTED_VALUE"""),"https://admissions.ktu.edu/exchange-students/#application")</f>
        <v>https://admissions.ktu.edu/exchange-students/#application</v>
      </c>
      <c r="O567" s="3" t="str">
        <f>IFERROR(__xludf.DUMMYFUNCTION("""COMPUTED_VALUE"""),"Más información / Informazio gehigarria")</f>
        <v>Más información / Informazio gehigarria</v>
      </c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30.0" customHeight="1">
      <c r="A568" s="2" t="str">
        <f>IFERROR(__xludf.DUMMYFUNCTION("""COMPUTED_VALUE"""),"Lituania")</f>
        <v>Lituania</v>
      </c>
      <c r="B568" s="2" t="str">
        <f>IFERROR(__xludf.DUMMYFUNCTION("""COMPUTED_VALUE"""),"LT KLAIPED09")</f>
        <v>LT KLAIPED09</v>
      </c>
      <c r="C568" s="3" t="str">
        <f>IFERROR(__xludf.DUMMYFUNCTION("""COMPUTED_VALUE"""),"Klaipeda State University of Applied Science")</f>
        <v>Klaipeda State University of Applied Science</v>
      </c>
      <c r="D568" s="2" t="str">
        <f>IFERROR(__xludf.DUMMYFUNCTION("""COMPUTED_VALUE"""),"Erasmus+")</f>
        <v>Erasmus+</v>
      </c>
      <c r="E568" s="2">
        <f>IFERROR(__xludf.DUMMYFUNCTION("""COMPUTED_VALUE"""),1.0)</f>
        <v>1</v>
      </c>
      <c r="F568" s="2" t="str">
        <f>IFERROR(__xludf.DUMMYFUNCTION("""COMPUTED_VALUE"""),"Semestre")</f>
        <v>Semestre</v>
      </c>
      <c r="G568" s="2" t="str">
        <f>IFERROR(__xludf.DUMMYFUNCTION("""COMPUTED_VALUE"""),"Bilbao")</f>
        <v>Bilbao</v>
      </c>
      <c r="H568" s="2" t="str">
        <f>IFERROR(__xludf.DUMMYFUNCTION("""COMPUTED_VALUE"""),"Ingeniería")</f>
        <v>Ingeniería</v>
      </c>
      <c r="I568" s="2" t="str">
        <f>IFERROR(__xludf.DUMMYFUNCTION("""COMPUTED_VALUE"""),"Ingeniería Mecánica, Tecnologías Industriales, Electrónica y Automática, Organización Industrial, Diseño Industrial + Ingeniería Mecánica")</f>
        <v>Ingeniería Mecánica, Tecnologías Industriales, Electrónica y Automática, Organización Industrial, Diseño Industrial + Ingeniería Mecánica</v>
      </c>
      <c r="J568" s="2" t="str">
        <f>IFERROR(__xludf.DUMMYFUNCTION("""COMPUTED_VALUE"""),"Grado")</f>
        <v>Grado</v>
      </c>
      <c r="K568" s="2" t="str">
        <f>IFERROR(__xludf.DUMMYFUNCTION("""COMPUTED_VALUE"""),"Inglés")</f>
        <v>Inglés</v>
      </c>
      <c r="L568" s="2" t="str">
        <f>IFERROR(__xludf.DUMMYFUNCTION("""COMPUTED_VALUE"""),"B2")</f>
        <v>B2</v>
      </c>
      <c r="M568" s="2" t="str">
        <f>IFERROR(__xludf.DUMMYFUNCTION("""COMPUTED_VALUE"""),"Sí")</f>
        <v>Sí</v>
      </c>
      <c r="N568" s="3" t="str">
        <f>IFERROR(__xludf.DUMMYFUNCTION("""COMPUTED_VALUE"""),"https://www.kvk.lt/en/degree-studies/admission/#:~:text=English%20language%20requirements,3%2C%20LanguageCert%20IESOL%20B1%20Achiever.")</f>
        <v>https://www.kvk.lt/en/degree-studies/admission/#:~:text=English%20language%20requirements,3%2C%20LanguageCert%20IESOL%20B1%20Achiever.</v>
      </c>
      <c r="O568" s="3" t="str">
        <f>IFERROR(__xludf.DUMMYFUNCTION("""COMPUTED_VALUE"""),"Más información / Informazio gehigarria")</f>
        <v>Más información / Informazio gehigarria</v>
      </c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30.0" customHeight="1">
      <c r="A569" s="2" t="str">
        <f>IFERROR(__xludf.DUMMYFUNCTION("""COMPUTED_VALUE"""),"Lituania")</f>
        <v>Lituania</v>
      </c>
      <c r="B569" s="2" t="str">
        <f>IFERROR(__xludf.DUMMYFUNCTION("""COMPUTED_VALUE"""),"LT KLAIPED09")</f>
        <v>LT KLAIPED09</v>
      </c>
      <c r="C569" s="3" t="str">
        <f>IFERROR(__xludf.DUMMYFUNCTION("""COMPUTED_VALUE"""),"Klaipeda State University of Applied Science")</f>
        <v>Klaipeda State University of Applied Science</v>
      </c>
      <c r="D569" s="2" t="str">
        <f>IFERROR(__xludf.DUMMYFUNCTION("""COMPUTED_VALUE"""),"Erasmus+")</f>
        <v>Erasmus+</v>
      </c>
      <c r="E569" s="2">
        <f>IFERROR(__xludf.DUMMYFUNCTION("""COMPUTED_VALUE"""),1.0)</f>
        <v>1</v>
      </c>
      <c r="F569" s="2" t="str">
        <f>IFERROR(__xludf.DUMMYFUNCTION("""COMPUTED_VALUE"""),"Semestre")</f>
        <v>Semestre</v>
      </c>
      <c r="G569" s="2" t="str">
        <f>IFERROR(__xludf.DUMMYFUNCTION("""COMPUTED_VALUE"""),"Bilbao")</f>
        <v>Bilbao</v>
      </c>
      <c r="H569" s="2" t="str">
        <f>IFERROR(__xludf.DUMMYFUNCTION("""COMPUTED_VALUE"""),"Ciencias Sociales y Humanas")</f>
        <v>Ciencias Sociales y Humanas</v>
      </c>
      <c r="I569" s="2" t="str">
        <f>IFERROR(__xludf.DUMMYFUNCTION("""COMPUTED_VALUE"""),"Turismo")</f>
        <v>Turismo</v>
      </c>
      <c r="J569" s="2" t="str">
        <f>IFERROR(__xludf.DUMMYFUNCTION("""COMPUTED_VALUE"""),"Grado")</f>
        <v>Grado</v>
      </c>
      <c r="K569" s="2" t="str">
        <f>IFERROR(__xludf.DUMMYFUNCTION("""COMPUTED_VALUE"""),"Inglés")</f>
        <v>Inglés</v>
      </c>
      <c r="L569" s="2" t="str">
        <f>IFERROR(__xludf.DUMMYFUNCTION("""COMPUTED_VALUE"""),"B2")</f>
        <v>B2</v>
      </c>
      <c r="M569" s="2" t="str">
        <f>IFERROR(__xludf.DUMMYFUNCTION("""COMPUTED_VALUE"""),"Sí")</f>
        <v>Sí</v>
      </c>
      <c r="N569" s="3" t="str">
        <f>IFERROR(__xludf.DUMMYFUNCTION("""COMPUTED_VALUE"""),"https://www.kvk.lt/en/degree-studies/admission/#:~:text=English%20language%20requirements,3%2C%20LanguageCert%20IESOL%20B1%20Achiever.")</f>
        <v>https://www.kvk.lt/en/degree-studies/admission/#:~:text=English%20language%20requirements,3%2C%20LanguageCert%20IESOL%20B1%20Achiever.</v>
      </c>
      <c r="O569" s="3" t="str">
        <f>IFERROR(__xludf.DUMMYFUNCTION("""COMPUTED_VALUE"""),"Más información / Informazio gehigarria")</f>
        <v>Más información / Informazio gehigarria</v>
      </c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30.0" customHeight="1">
      <c r="A570" s="2" t="str">
        <f>IFERROR(__xludf.DUMMYFUNCTION("""COMPUTED_VALUE"""),"Lituania")</f>
        <v>Lituania</v>
      </c>
      <c r="B570" s="2" t="str">
        <f>IFERROR(__xludf.DUMMYFUNCTION("""COMPUTED_VALUE"""),"LT KLAIPED04")</f>
        <v>LT KLAIPED04</v>
      </c>
      <c r="C570" s="2" t="str">
        <f>IFERROR(__xludf.DUMMYFUNCTION("""COMPUTED_VALUE"""),"SMK University of Applied Sciences")</f>
        <v>SMK University of Applied Sciences</v>
      </c>
      <c r="D570" s="2" t="str">
        <f>IFERROR(__xludf.DUMMYFUNCTION("""COMPUTED_VALUE"""),"Erasmus+")</f>
        <v>Erasmus+</v>
      </c>
      <c r="E570" s="2">
        <f>IFERROR(__xludf.DUMMYFUNCTION("""COMPUTED_VALUE"""),2.0)</f>
        <v>2</v>
      </c>
      <c r="F570" s="2" t="str">
        <f>IFERROR(__xludf.DUMMYFUNCTION("""COMPUTED_VALUE"""),"Semestre")</f>
        <v>Semestre</v>
      </c>
      <c r="G570" s="2" t="str">
        <f>IFERROR(__xludf.DUMMYFUNCTION("""COMPUTED_VALUE"""),"Bilbao")</f>
        <v>Bilbao</v>
      </c>
      <c r="H570" s="2" t="str">
        <f>IFERROR(__xludf.DUMMYFUNCTION("""COMPUTED_VALUE"""),"Derecho")</f>
        <v>Derecho</v>
      </c>
      <c r="I570" s="2" t="str">
        <f>IFERROR(__xludf.DUMMYFUNCTION("""COMPUTED_VALUE"""),"Derecho, Derecho + Relaciones Laborales")</f>
        <v>Derecho, Derecho + Relaciones Laborales</v>
      </c>
      <c r="J570" s="2" t="str">
        <f>IFERROR(__xludf.DUMMYFUNCTION("""COMPUTED_VALUE"""),"Grado")</f>
        <v>Grado</v>
      </c>
      <c r="K570" s="2" t="str">
        <f>IFERROR(__xludf.DUMMYFUNCTION("""COMPUTED_VALUE"""),"Inglés")</f>
        <v>Inglés</v>
      </c>
      <c r="L570" s="2" t="str">
        <f>IFERROR(__xludf.DUMMYFUNCTION("""COMPUTED_VALUE"""),"B2")</f>
        <v>B2</v>
      </c>
      <c r="M570" s="2" t="str">
        <f>IFERROR(__xludf.DUMMYFUNCTION("""COMPUTED_VALUE"""),"No")</f>
        <v>No</v>
      </c>
      <c r="N570" s="3" t="str">
        <f>IFERROR(__xludf.DUMMYFUNCTION("""COMPUTED_VALUE"""),"https://www.smk.lt/en/erasmus/#:~:text=We%20offer%20Bachelor%20level%20courses,to%20the%20European%20language%20levels.")</f>
        <v>https://www.smk.lt/en/erasmus/#:~:text=We%20offer%20Bachelor%20level%20courses,to%20the%20European%20language%20levels.</v>
      </c>
      <c r="O570" s="3" t="str">
        <f>IFERROR(__xludf.DUMMYFUNCTION("""COMPUTED_VALUE"""),"Más información / Informazio gehigarria")</f>
        <v>Más información / Informazio gehigarria</v>
      </c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30.0" customHeight="1">
      <c r="A571" s="2" t="str">
        <f>IFERROR(__xludf.DUMMYFUNCTION("""COMPUTED_VALUE"""),"Lituania")</f>
        <v>Lituania</v>
      </c>
      <c r="B571" s="2" t="str">
        <f>IFERROR(__xludf.DUMMYFUNCTION("""COMPUTED_VALUE"""),"LT KLAIPED04")</f>
        <v>LT KLAIPED04</v>
      </c>
      <c r="C571" s="3" t="str">
        <f>IFERROR(__xludf.DUMMYFUNCTION("""COMPUTED_VALUE"""),"SMK University of Applied Sciences")</f>
        <v>SMK University of Applied Sciences</v>
      </c>
      <c r="D571" s="2" t="str">
        <f>IFERROR(__xludf.DUMMYFUNCTION("""COMPUTED_VALUE"""),"Erasmus+")</f>
        <v>Erasmus+</v>
      </c>
      <c r="E571" s="2">
        <f>IFERROR(__xludf.DUMMYFUNCTION("""COMPUTED_VALUE"""),4.0)</f>
        <v>4</v>
      </c>
      <c r="F571" s="2" t="str">
        <f>IFERROR(__xludf.DUMMYFUNCTION("""COMPUTED_VALUE"""),"Semestre")</f>
        <v>Semestre</v>
      </c>
      <c r="G571" s="2" t="str">
        <f>IFERROR(__xludf.DUMMYFUNCTION("""COMPUTED_VALUE"""),"Bilbao")</f>
        <v>Bilbao</v>
      </c>
      <c r="H571" s="2" t="str">
        <f>IFERROR(__xludf.DUMMYFUNCTION("""COMPUTED_VALUE"""),"Ciencias Sociales y Humanas")</f>
        <v>Ciencias Sociales y Humanas</v>
      </c>
      <c r="I571" s="2" t="str">
        <f>IFERROR(__xludf.DUMMYFUNCTION("""COMPUTED_VALUE"""),"Turismo")</f>
        <v>Turismo</v>
      </c>
      <c r="J571" s="2" t="str">
        <f>IFERROR(__xludf.DUMMYFUNCTION("""COMPUTED_VALUE"""),"Grado")</f>
        <v>Grado</v>
      </c>
      <c r="K571" s="2" t="str">
        <f>IFERROR(__xludf.DUMMYFUNCTION("""COMPUTED_VALUE"""),"Inglés")</f>
        <v>Inglés</v>
      </c>
      <c r="L571" s="2" t="str">
        <f>IFERROR(__xludf.DUMMYFUNCTION("""COMPUTED_VALUE"""),"B2")</f>
        <v>B2</v>
      </c>
      <c r="M571" s="2" t="str">
        <f>IFERROR(__xludf.DUMMYFUNCTION("""COMPUTED_VALUE"""),"No")</f>
        <v>No</v>
      </c>
      <c r="N571" s="3" t="str">
        <f>IFERROR(__xludf.DUMMYFUNCTION("""COMPUTED_VALUE"""),"https://www.smk.lt/en/erasmus/#:~:text=We%20offer%20Bachelor%20level%20courses,at%20the%20SMK%20Vilnius%20branch.")</f>
        <v>https://www.smk.lt/en/erasmus/#:~:text=We%20offer%20Bachelor%20level%20courses,at%20the%20SMK%20Vilnius%20branch.</v>
      </c>
      <c r="O571" s="2" t="str">
        <f>IFERROR(__xludf.DUMMYFUNCTION("""COMPUTED_VALUE"""),"n/a")</f>
        <v>n/a</v>
      </c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30.0" customHeight="1">
      <c r="A572" s="2" t="str">
        <f>IFERROR(__xludf.DUMMYFUNCTION("""COMPUTED_VALUE"""),"Lituania")</f>
        <v>Lituania</v>
      </c>
      <c r="B572" s="2" t="str">
        <f>IFERROR(__xludf.DUMMYFUNCTION("""COMPUTED_VALUE"""),"LT KLAIPED04")</f>
        <v>LT KLAIPED04</v>
      </c>
      <c r="C572" s="3" t="str">
        <f>IFERROR(__xludf.DUMMYFUNCTION("""COMPUTED_VALUE"""),"SMK University of Applied Sciences")</f>
        <v>SMK University of Applied Sciences</v>
      </c>
      <c r="D572" s="2" t="str">
        <f>IFERROR(__xludf.DUMMYFUNCTION("""COMPUTED_VALUE"""),"Erasmus+")</f>
        <v>Erasmus+</v>
      </c>
      <c r="E572" s="2">
        <f>IFERROR(__xludf.DUMMYFUNCTION("""COMPUTED_VALUE"""),2.0)</f>
        <v>2</v>
      </c>
      <c r="F572" s="2" t="str">
        <f>IFERROR(__xludf.DUMMYFUNCTION("""COMPUTED_VALUE"""),"Semestre")</f>
        <v>Semestre</v>
      </c>
      <c r="G572" s="2" t="str">
        <f>IFERROR(__xludf.DUMMYFUNCTION("""COMPUTED_VALUE"""),"Ambos")</f>
        <v>Ambos</v>
      </c>
      <c r="H572" s="2" t="str">
        <f>IFERROR(__xludf.DUMMYFUNCTION("""COMPUTED_VALUE"""),"Ciencias de la Salud")</f>
        <v>Ciencias de la Salud</v>
      </c>
      <c r="I572" s="2" t="str">
        <f>IFERROR(__xludf.DUMMYFUNCTION("""COMPUTED_VALUE"""),"Enfermería")</f>
        <v>Enfermería</v>
      </c>
      <c r="J572" s="2" t="str">
        <f>IFERROR(__xludf.DUMMYFUNCTION("""COMPUTED_VALUE"""),"Grado")</f>
        <v>Grado</v>
      </c>
      <c r="K572" s="2" t="str">
        <f>IFERROR(__xludf.DUMMYFUNCTION("""COMPUTED_VALUE"""),"Inglés")</f>
        <v>Inglés</v>
      </c>
      <c r="L572" s="2" t="str">
        <f>IFERROR(__xludf.DUMMYFUNCTION("""COMPUTED_VALUE"""),"C1")</f>
        <v>C1</v>
      </c>
      <c r="M572" s="2" t="str">
        <f>IFERROR(__xludf.DUMMYFUNCTION("""COMPUTED_VALUE"""),"No")</f>
        <v>No</v>
      </c>
      <c r="N572" s="3" t="str">
        <f>IFERROR(__xludf.DUMMYFUNCTION("""COMPUTED_VALUE"""),"https://www.smk.lt/en/erasmus/#:~:text=We%20offer%20Bachelor%20level%20courses,at%20the%20SMK%20Vilnius%20branch.")</f>
        <v>https://www.smk.lt/en/erasmus/#:~:text=We%20offer%20Bachelor%20level%20courses,at%20the%20SMK%20Vilnius%20branch.</v>
      </c>
      <c r="O572" s="2" t="str">
        <f>IFERROR(__xludf.DUMMYFUNCTION("""COMPUTED_VALUE"""),"n/a")</f>
        <v>n/a</v>
      </c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30.0" customHeight="1">
      <c r="A573" s="2" t="str">
        <f>IFERROR(__xludf.DUMMYFUNCTION("""COMPUTED_VALUE"""),"Lituania")</f>
        <v>Lituania</v>
      </c>
      <c r="B573" s="2" t="str">
        <f>IFERROR(__xludf.DUMMYFUNCTION("""COMPUTED_VALUE"""),"LT VILNIUS01")</f>
        <v>LT VILNIUS01</v>
      </c>
      <c r="C573" s="3" t="str">
        <f>IFERROR(__xludf.DUMMYFUNCTION("""COMPUTED_VALUE"""),"Vilniaus Universitetas")</f>
        <v>Vilniaus Universitetas</v>
      </c>
      <c r="D573" s="2" t="str">
        <f>IFERROR(__xludf.DUMMYFUNCTION("""COMPUTED_VALUE"""),"Erasmus+")</f>
        <v>Erasmus+</v>
      </c>
      <c r="E573" s="2">
        <f>IFERROR(__xludf.DUMMYFUNCTION("""COMPUTED_VALUE"""),2.0)</f>
        <v>2</v>
      </c>
      <c r="F573" s="2" t="str">
        <f>IFERROR(__xludf.DUMMYFUNCTION("""COMPUTED_VALUE"""),"Ambos semestres")</f>
        <v>Ambos semestres</v>
      </c>
      <c r="G573" s="2" t="str">
        <f>IFERROR(__xludf.DUMMYFUNCTION("""COMPUTED_VALUE"""),"Bilbao")</f>
        <v>Bilbao</v>
      </c>
      <c r="H573" s="2" t="str">
        <f>IFERROR(__xludf.DUMMYFUNCTION("""COMPUTED_VALUE"""),"Deusto Business School")</f>
        <v>Deusto Business School</v>
      </c>
      <c r="I573" s="2" t="str">
        <f>IFERROR(__xludf.DUMMYFUNCTION("""COMPUTED_VALUE"""),"Administración y Dirección de Empresas")</f>
        <v>Administración y Dirección de Empresas</v>
      </c>
      <c r="J573" s="2" t="str">
        <f>IFERROR(__xludf.DUMMYFUNCTION("""COMPUTED_VALUE"""),"Grado")</f>
        <v>Grado</v>
      </c>
      <c r="K573" s="2" t="str">
        <f>IFERROR(__xludf.DUMMYFUNCTION("""COMPUTED_VALUE"""),"Inglés")</f>
        <v>Inglés</v>
      </c>
      <c r="L573" s="2" t="str">
        <f>IFERROR(__xludf.DUMMYFUNCTION("""COMPUTED_VALUE"""),"C1")</f>
        <v>C1</v>
      </c>
      <c r="M573" s="2" t="str">
        <f>IFERROR(__xludf.DUMMYFUNCTION("""COMPUTED_VALUE"""),"Sí")</f>
        <v>Sí</v>
      </c>
      <c r="N573" s="3" t="str">
        <f>IFERROR(__xludf.DUMMYFUNCTION("""COMPUTED_VALUE"""),"https://www.vu.lt/en/studies/exchange-students/how-to-apply")</f>
        <v>https://www.vu.lt/en/studies/exchange-students/how-to-apply</v>
      </c>
      <c r="O573" s="2" t="str">
        <f>IFERROR(__xludf.DUMMYFUNCTION("""COMPUTED_VALUE"""),"n/a")</f>
        <v>n/a</v>
      </c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30.0" customHeight="1">
      <c r="A574" s="2" t="str">
        <f>IFERROR(__xludf.DUMMYFUNCTION("""COMPUTED_VALUE"""),"Lituania")</f>
        <v>Lituania</v>
      </c>
      <c r="B574" s="2" t="str">
        <f>IFERROR(__xludf.DUMMYFUNCTION("""COMPUTED_VALUE"""),"LT VILNIUS02")</f>
        <v>LT VILNIUS02</v>
      </c>
      <c r="C574" s="3" t="str">
        <f>IFERROR(__xludf.DUMMYFUNCTION("""COMPUTED_VALUE"""),"Vilnius Gediminas Technical University")</f>
        <v>Vilnius Gediminas Technical University</v>
      </c>
      <c r="D574" s="2" t="str">
        <f>IFERROR(__xludf.DUMMYFUNCTION("""COMPUTED_VALUE"""),"Erasmus+")</f>
        <v>Erasmus+</v>
      </c>
      <c r="E574" s="2">
        <f>IFERROR(__xludf.DUMMYFUNCTION("""COMPUTED_VALUE"""),2.0)</f>
        <v>2</v>
      </c>
      <c r="F574" s="2" t="str">
        <f>IFERROR(__xludf.DUMMYFUNCTION("""COMPUTED_VALUE"""),"Semestre")</f>
        <v>Semestre</v>
      </c>
      <c r="G574" s="2" t="str">
        <f>IFERROR(__xludf.DUMMYFUNCTION("""COMPUTED_VALUE"""),"Bilbao")</f>
        <v>Bilbao</v>
      </c>
      <c r="H574" s="2" t="str">
        <f>IFERROR(__xludf.DUMMYFUNCTION("""COMPUTED_VALUE"""),"Ingeniería")</f>
        <v>Ingeniería</v>
      </c>
      <c r="I574" s="2" t="str">
        <f>IFERROR(__xludf.DUMMYFUNCTION("""COMPUTED_VALUE"""),"Ingeniería Mecánica, Tecnologías Industriales, Electrónica y Automática, Organización Industrial, Diseño Industrial + Ingeniería Mecánica")</f>
        <v>Ingeniería Mecánica, Tecnologías Industriales, Electrónica y Automática, Organización Industrial, Diseño Industrial + Ingeniería Mecánica</v>
      </c>
      <c r="J574" s="2" t="str">
        <f>IFERROR(__xludf.DUMMYFUNCTION("""COMPUTED_VALUE"""),"Grado")</f>
        <v>Grado</v>
      </c>
      <c r="K574" s="2" t="str">
        <f>IFERROR(__xludf.DUMMYFUNCTION("""COMPUTED_VALUE"""),"Inglés")</f>
        <v>Inglés</v>
      </c>
      <c r="L574" s="2" t="str">
        <f>IFERROR(__xludf.DUMMYFUNCTION("""COMPUTED_VALUE"""),"B2")</f>
        <v>B2</v>
      </c>
      <c r="M574" s="2" t="str">
        <f>IFERROR(__xludf.DUMMYFUNCTION("""COMPUTED_VALUE"""),"Sí")</f>
        <v>Sí</v>
      </c>
      <c r="N574" s="3" t="str">
        <f>IFERROR(__xludf.DUMMYFUNCTION("""COMPUTED_VALUE"""),"https://vilniustech.lt/for-international-students/admission-20242025-------scholarships/admission-requirements-for-international-students/language-requirements/54069?lang=2#:~:text=TOEFL%20(Test%20of%20English%20as,Reading%2C%20Writing)%3A%20Communicator%"&amp;"20B2.")</f>
        <v>https://vilniustech.lt/for-international-students/admission-20242025-------scholarships/admission-requirements-for-international-students/language-requirements/54069?lang=2#:~:text=TOEFL%20(Test%20of%20English%20as,Reading%2C%20Writing)%3A%20Communicator%20B2.</v>
      </c>
      <c r="O574" s="2" t="str">
        <f>IFERROR(__xludf.DUMMYFUNCTION("""COMPUTED_VALUE"""),"n/a")</f>
        <v>n/a</v>
      </c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30.0" customHeight="1">
      <c r="A575" s="2" t="str">
        <f>IFERROR(__xludf.DUMMYFUNCTION("""COMPUTED_VALUE"""),"Lituania")</f>
        <v>Lituania</v>
      </c>
      <c r="B575" s="2" t="str">
        <f>IFERROR(__xludf.DUMMYFUNCTION("""COMPUTED_VALUE"""),"LT VILNIUS02")</f>
        <v>LT VILNIUS02</v>
      </c>
      <c r="C575" s="3" t="str">
        <f>IFERROR(__xludf.DUMMYFUNCTION("""COMPUTED_VALUE"""),"Vilnius Gediminas Technical University")</f>
        <v>Vilnius Gediminas Technical University</v>
      </c>
      <c r="D575" s="2" t="str">
        <f>IFERROR(__xludf.DUMMYFUNCTION("""COMPUTED_VALUE"""),"Erasmus+")</f>
        <v>Erasmus+</v>
      </c>
      <c r="E575" s="2">
        <f>IFERROR(__xludf.DUMMYFUNCTION("""COMPUTED_VALUE"""),2.0)</f>
        <v>2</v>
      </c>
      <c r="F575" s="2" t="str">
        <f>IFERROR(__xludf.DUMMYFUNCTION("""COMPUTED_VALUE"""),"Semestre")</f>
        <v>Semestre</v>
      </c>
      <c r="G575" s="2" t="str">
        <f>IFERROR(__xludf.DUMMYFUNCTION("""COMPUTED_VALUE"""),"Bilbao")</f>
        <v>Bilbao</v>
      </c>
      <c r="H575" s="2" t="str">
        <f>IFERROR(__xludf.DUMMYFUNCTION("""COMPUTED_VALUE"""),"Ingeniería")</f>
        <v>Ingeniería</v>
      </c>
      <c r="I575" s="2" t="str">
        <f>IFERROR(__xludf.DUMMYFUNCTION("""COMPUTED_VALUE"""),"Ingeniería Biomédica")</f>
        <v>Ingeniería Biomédica</v>
      </c>
      <c r="J575" s="2" t="str">
        <f>IFERROR(__xludf.DUMMYFUNCTION("""COMPUTED_VALUE"""),"Grado")</f>
        <v>Grado</v>
      </c>
      <c r="K575" s="2" t="str">
        <f>IFERROR(__xludf.DUMMYFUNCTION("""COMPUTED_VALUE"""),"Inglés")</f>
        <v>Inglés</v>
      </c>
      <c r="L575" s="2" t="str">
        <f>IFERROR(__xludf.DUMMYFUNCTION("""COMPUTED_VALUE"""),"B2")</f>
        <v>B2</v>
      </c>
      <c r="M575" s="2" t="str">
        <f>IFERROR(__xludf.DUMMYFUNCTION("""COMPUTED_VALUE"""),"Sí")</f>
        <v>Sí</v>
      </c>
      <c r="N575" s="3" t="str">
        <f>IFERROR(__xludf.DUMMYFUNCTION("""COMPUTED_VALUE"""),"https://vilniustech.lt/for-international-students/admission-20242025-------scholarships/admission-requirements-for-international-students/language-requirements/54069?lang=2#:~:text=TOEFL%20(Test%20of%20English%20as,Reading%2C%20Writing)%3A%20Communicator%"&amp;"20B2.")</f>
        <v>https://vilniustech.lt/for-international-students/admission-20242025-------scholarships/admission-requirements-for-international-students/language-requirements/54069?lang=2#:~:text=TOEFL%20(Test%20of%20English%20as,Reading%2C%20Writing)%3A%20Communicator%20B2.</v>
      </c>
      <c r="O575" s="2" t="str">
        <f>IFERROR(__xludf.DUMMYFUNCTION("""COMPUTED_VALUE"""),"n/a")</f>
        <v>n/a</v>
      </c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30.0" customHeight="1">
      <c r="A576" s="2" t="str">
        <f>IFERROR(__xludf.DUMMYFUNCTION("""COMPUTED_VALUE"""),"Lituania")</f>
        <v>Lituania</v>
      </c>
      <c r="B576" s="2" t="str">
        <f>IFERROR(__xludf.DUMMYFUNCTION("""COMPUTED_VALUE"""),"LT VILNIUS10")</f>
        <v>LT VILNIUS10</v>
      </c>
      <c r="C576" s="3" t="str">
        <f>IFERROR(__xludf.DUMMYFUNCTION("""COMPUTED_VALUE"""),"Vilniaus Kolegija")</f>
        <v>Vilniaus Kolegija</v>
      </c>
      <c r="D576" s="2" t="str">
        <f>IFERROR(__xludf.DUMMYFUNCTION("""COMPUTED_VALUE"""),"Erasmus+")</f>
        <v>Erasmus+</v>
      </c>
      <c r="E576" s="2">
        <f>IFERROR(__xludf.DUMMYFUNCTION("""COMPUTED_VALUE"""),2.0)</f>
        <v>2</v>
      </c>
      <c r="F576" s="2" t="str">
        <f>IFERROR(__xludf.DUMMYFUNCTION("""COMPUTED_VALUE"""),"Semestre")</f>
        <v>Semestre</v>
      </c>
      <c r="G576" s="2" t="str">
        <f>IFERROR(__xludf.DUMMYFUNCTION("""COMPUTED_VALUE"""),"Ambos")</f>
        <v>Ambos</v>
      </c>
      <c r="H576" s="2" t="str">
        <f>IFERROR(__xludf.DUMMYFUNCTION("""COMPUTED_VALUE"""),"Educación y Deporte")</f>
        <v>Educación y Deporte</v>
      </c>
      <c r="I576" s="2" t="str">
        <f>IFERROR(__xludf.DUMMYFUNCTION("""COMPUTED_VALUE"""),"Educación Primaria")</f>
        <v>Educación Primaria</v>
      </c>
      <c r="J576" s="2" t="str">
        <f>IFERROR(__xludf.DUMMYFUNCTION("""COMPUTED_VALUE"""),"Grado")</f>
        <v>Grado</v>
      </c>
      <c r="K576" s="2" t="str">
        <f>IFERROR(__xludf.DUMMYFUNCTION("""COMPUTED_VALUE"""),"Inglés")</f>
        <v>Inglés</v>
      </c>
      <c r="L576" s="2" t="str">
        <f>IFERROR(__xludf.DUMMYFUNCTION("""COMPUTED_VALUE"""),"B2")</f>
        <v>B2</v>
      </c>
      <c r="M576" s="2" t="str">
        <f>IFERROR(__xludf.DUMMYFUNCTION("""COMPUTED_VALUE"""),"Sí")</f>
        <v>Sí</v>
      </c>
      <c r="N576" s="3" t="str">
        <f>IFERROR(__xludf.DUMMYFUNCTION("""COMPUTED_VALUE"""),"https://en.viko.lt/for-students/admission-requirements/")</f>
        <v>https://en.viko.lt/for-students/admission-requirements/</v>
      </c>
      <c r="O576" s="3" t="str">
        <f>IFERROR(__xludf.DUMMYFUNCTION("""COMPUTED_VALUE"""),"Más información / Informazio gehigarria")</f>
        <v>Más información / Informazio gehigarria</v>
      </c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30.0" customHeight="1">
      <c r="A577" s="2" t="str">
        <f>IFERROR(__xludf.DUMMYFUNCTION("""COMPUTED_VALUE"""),"Macedonia")</f>
        <v>Macedonia</v>
      </c>
      <c r="B577" s="2" t="str">
        <f>IFERROR(__xludf.DUMMYFUNCTION("""COMPUTED_VALUE"""),"MK TETOVO02")</f>
        <v>MK TETOVO02</v>
      </c>
      <c r="C577" s="3" t="str">
        <f>IFERROR(__xludf.DUMMYFUNCTION("""COMPUTED_VALUE"""),"South-East European University")</f>
        <v>South-East European University</v>
      </c>
      <c r="D577" s="2" t="str">
        <f>IFERROR(__xludf.DUMMYFUNCTION("""COMPUTED_VALUE"""),"Erasmus+")</f>
        <v>Erasmus+</v>
      </c>
      <c r="E577" s="2">
        <f>IFERROR(__xludf.DUMMYFUNCTION("""COMPUTED_VALUE"""),1.0)</f>
        <v>1</v>
      </c>
      <c r="F577" s="2" t="str">
        <f>IFERROR(__xludf.DUMMYFUNCTION("""COMPUTED_VALUE"""),"Anual")</f>
        <v>Anual</v>
      </c>
      <c r="G577" s="2" t="str">
        <f>IFERROR(__xludf.DUMMYFUNCTION("""COMPUTED_VALUE"""),"Bilbao")</f>
        <v>Bilbao</v>
      </c>
      <c r="H577" s="2" t="str">
        <f>IFERROR(__xludf.DUMMYFUNCTION("""COMPUTED_VALUE"""),"Ciencias Sociales y Humanas")</f>
        <v>Ciencias Sociales y Humanas</v>
      </c>
      <c r="I577" s="2" t="str">
        <f>IFERROR(__xludf.DUMMYFUNCTION("""COMPUTED_VALUE"""),"Relaciones Internacionales, Relaciones Internacionales + Derecho")</f>
        <v>Relaciones Internacionales, Relaciones Internacionales + Derecho</v>
      </c>
      <c r="J577" s="2" t="str">
        <f>IFERROR(__xludf.DUMMYFUNCTION("""COMPUTED_VALUE"""),"Grado")</f>
        <v>Grado</v>
      </c>
      <c r="K577" s="2" t="str">
        <f>IFERROR(__xludf.DUMMYFUNCTION("""COMPUTED_VALUE"""),"Inglés")</f>
        <v>Inglés</v>
      </c>
      <c r="L577" s="2" t="str">
        <f>IFERROR(__xludf.DUMMYFUNCTION("""COMPUTED_VALUE"""),"B2")</f>
        <v>B2</v>
      </c>
      <c r="M577" s="2" t="str">
        <f>IFERROR(__xludf.DUMMYFUNCTION("""COMPUTED_VALUE"""),"Sí")</f>
        <v>Sí</v>
      </c>
      <c r="N577" s="3" t="str">
        <f>IFERROR(__xludf.DUMMYFUNCTION("""COMPUTED_VALUE"""),"https://www.seeu.edu.mk/en/current-students/international-relation/incoming-students-staff#:~:text=Exchange%20students%20must%20demonstrate%20a,original%20signature%20and%20stamp%2Fseal")</f>
        <v>https://www.seeu.edu.mk/en/current-students/international-relation/incoming-students-staff#:~:text=Exchange%20students%20must%20demonstrate%20a,original%20signature%20and%20stamp%2Fseal</v>
      </c>
      <c r="O577" s="3" t="str">
        <f>IFERROR(__xludf.DUMMYFUNCTION("""COMPUTED_VALUE"""),"Más información / Informazio gehigarria")</f>
        <v>Más información / Informazio gehigarria</v>
      </c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30.0" customHeight="1">
      <c r="A578" s="2" t="str">
        <f>IFERROR(__xludf.DUMMYFUNCTION("""COMPUTED_VALUE"""),"Macedonia")</f>
        <v>Macedonia</v>
      </c>
      <c r="B578" s="2" t="str">
        <f>IFERROR(__xludf.DUMMYFUNCTION("""COMPUTED_VALUE"""),"MK SKOPJE01")</f>
        <v>MK SKOPJE01</v>
      </c>
      <c r="C578" s="3" t="str">
        <f>IFERROR(__xludf.DUMMYFUNCTION("""COMPUTED_VALUE"""),"University Ss Cyril and Methodius")</f>
        <v>University Ss Cyril and Methodius</v>
      </c>
      <c r="D578" s="2" t="str">
        <f>IFERROR(__xludf.DUMMYFUNCTION("""COMPUTED_VALUE"""),"Erasmus+")</f>
        <v>Erasmus+</v>
      </c>
      <c r="E578" s="2">
        <f>IFERROR(__xludf.DUMMYFUNCTION("""COMPUTED_VALUE"""),2.0)</f>
        <v>2</v>
      </c>
      <c r="F578" s="2" t="str">
        <f>IFERROR(__xludf.DUMMYFUNCTION("""COMPUTED_VALUE"""),"Semestre")</f>
        <v>Semestre</v>
      </c>
      <c r="G578" s="2" t="str">
        <f>IFERROR(__xludf.DUMMYFUNCTION("""COMPUTED_VALUE"""),"Ambos")</f>
        <v>Ambos</v>
      </c>
      <c r="H578" s="2" t="str">
        <f>IFERROR(__xludf.DUMMYFUNCTION("""COMPUTED_VALUE"""),"Ciencias Sociales y Humanas")</f>
        <v>Ciencias Sociales y Humanas</v>
      </c>
      <c r="I578" s="2" t="str">
        <f>IFERROR(__xludf.DUMMYFUNCTION("""COMPUTED_VALUE"""),"Trabajo Social")</f>
        <v>Trabajo Social</v>
      </c>
      <c r="J578" s="2" t="str">
        <f>IFERROR(__xludf.DUMMYFUNCTION("""COMPUTED_VALUE"""),"Grado")</f>
        <v>Grado</v>
      </c>
      <c r="K578" s="2" t="str">
        <f>IFERROR(__xludf.DUMMYFUNCTION("""COMPUTED_VALUE"""),"Inglés")</f>
        <v>Inglés</v>
      </c>
      <c r="L578" s="2" t="str">
        <f>IFERROR(__xludf.DUMMYFUNCTION("""COMPUTED_VALUE"""),"B2")</f>
        <v>B2</v>
      </c>
      <c r="M578" s="2" t="str">
        <f>IFERROR(__xludf.DUMMYFUNCTION("""COMPUTED_VALUE"""),"No")</f>
        <v>No</v>
      </c>
      <c r="N578" s="3" t="str">
        <f>IFERROR(__xludf.DUMMYFUNCTION("""COMPUTED_VALUE"""),"https://www.sc-politiche.unifi.it/upload/sub/mobilita-internazionale/Fact%20Sheet%20e%20Info%20Atenei%20Partner/1920/FactSheet_M_SKOPJE01_1920.pdf")</f>
        <v>https://www.sc-politiche.unifi.it/upload/sub/mobilita-internazionale/Fact%20Sheet%20e%20Info%20Atenei%20Partner/1920/FactSheet_M_SKOPJE01_1920.pdf</v>
      </c>
      <c r="O578" s="3" t="str">
        <f>IFERROR(__xludf.DUMMYFUNCTION("""COMPUTED_VALUE"""),"Más información / Informazio gehigarria")</f>
        <v>Más información / Informazio gehigarria</v>
      </c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30.0" customHeight="1">
      <c r="A579" s="2" t="str">
        <f>IFERROR(__xludf.DUMMYFUNCTION("""COMPUTED_VALUE"""),"Malasia")</f>
        <v>Malasia</v>
      </c>
      <c r="B579" s="2"/>
      <c r="C579" s="3" t="str">
        <f>IFERROR(__xludf.DUMMYFUNCTION("""COMPUTED_VALUE"""),"University of Malaya")</f>
        <v>University of Malaya</v>
      </c>
      <c r="D579" s="2" t="str">
        <f>IFERROR(__xludf.DUMMYFUNCTION("""COMPUTED_VALUE"""),"Ac. Bilaterales (no Erasmus)")</f>
        <v>Ac. Bilaterales (no Erasmus)</v>
      </c>
      <c r="E579" s="2">
        <f>IFERROR(__xludf.DUMMYFUNCTION("""COMPUTED_VALUE"""),1.0)</f>
        <v>1</v>
      </c>
      <c r="F579" s="2" t="str">
        <f>IFERROR(__xludf.DUMMYFUNCTION("""COMPUTED_VALUE"""),"Ambos semestres")</f>
        <v>Ambos semestres</v>
      </c>
      <c r="G579" s="2" t="str">
        <f>IFERROR(__xludf.DUMMYFUNCTION("""COMPUTED_VALUE"""),"Bilbao")</f>
        <v>Bilbao</v>
      </c>
      <c r="H579" s="2" t="str">
        <f>IFERROR(__xludf.DUMMYFUNCTION("""COMPUTED_VALUE"""),"Deusto Business School")</f>
        <v>Deusto Business School</v>
      </c>
      <c r="I579" s="2" t="str">
        <f>IFERROR(__xludf.DUMMYFUNCTION("""COMPUTED_VALUE"""),"Administración y Dirección de Empresas")</f>
        <v>Administración y Dirección de Empresas</v>
      </c>
      <c r="J579" s="2" t="str">
        <f>IFERROR(__xludf.DUMMYFUNCTION("""COMPUTED_VALUE"""),"Grado")</f>
        <v>Grado</v>
      </c>
      <c r="K579" s="2" t="str">
        <f>IFERROR(__xludf.DUMMYFUNCTION("""COMPUTED_VALUE"""),"Inglés")</f>
        <v>Inglés</v>
      </c>
      <c r="L579" s="2" t="str">
        <f>IFERROR(__xludf.DUMMYFUNCTION("""COMPUTED_VALUE"""),"C1")</f>
        <v>C1</v>
      </c>
      <c r="M579" s="2" t="str">
        <f>IFERROR(__xludf.DUMMYFUNCTION("""COMPUTED_VALUE"""),"Sí")</f>
        <v>Sí</v>
      </c>
      <c r="N579" s="3" t="str">
        <f>IFERROR(__xludf.DUMMYFUNCTION("""COMPUTED_VALUE"""),"https://study.um.edu.my/entry-requirements")</f>
        <v>https://study.um.edu.my/entry-requirements</v>
      </c>
      <c r="O579" s="3" t="str">
        <f>IFERROR(__xludf.DUMMYFUNCTION("""COMPUTED_VALUE"""),"Más información / Informazio gehigarria")</f>
        <v>Más información / Informazio gehigarria</v>
      </c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30.0" customHeight="1">
      <c r="A580" s="2" t="str">
        <f>IFERROR(__xludf.DUMMYFUNCTION("""COMPUTED_VALUE"""),"Malta")</f>
        <v>Malta</v>
      </c>
      <c r="B580" s="2" t="str">
        <f>IFERROR(__xludf.DUMMYFUNCTION("""COMPUTED_VALUE"""),"MT MALTA01")</f>
        <v>MT MALTA01</v>
      </c>
      <c r="C580" s="3" t="str">
        <f>IFERROR(__xludf.DUMMYFUNCTION("""COMPUTED_VALUE"""),"University of Malta")</f>
        <v>University of Malta</v>
      </c>
      <c r="D580" s="2" t="str">
        <f>IFERROR(__xludf.DUMMYFUNCTION("""COMPUTED_VALUE"""),"Erasmus+")</f>
        <v>Erasmus+</v>
      </c>
      <c r="E580" s="2">
        <f>IFERROR(__xludf.DUMMYFUNCTION("""COMPUTED_VALUE"""),1.0)</f>
        <v>1</v>
      </c>
      <c r="F580" s="2" t="str">
        <f>IFERROR(__xludf.DUMMYFUNCTION("""COMPUTED_VALUE"""),"Anual")</f>
        <v>Anual</v>
      </c>
      <c r="G580" s="2" t="str">
        <f>IFERROR(__xludf.DUMMYFUNCTION("""COMPUTED_VALUE"""),"Bilbao")</f>
        <v>Bilbao</v>
      </c>
      <c r="H580" s="2" t="str">
        <f>IFERROR(__xludf.DUMMYFUNCTION("""COMPUTED_VALUE"""),"Ciencias Sociales y Humanas")</f>
        <v>Ciencias Sociales y Humanas</v>
      </c>
      <c r="I580" s="2" t="str">
        <f>IFERROR(__xludf.DUMMYFUNCTION("""COMPUTED_VALUE"""),"Relaciones Internacionales, Relaciones Internacionales + Derecho")</f>
        <v>Relaciones Internacionales, Relaciones Internacionales + Derecho</v>
      </c>
      <c r="J580" s="2" t="str">
        <f>IFERROR(__xludf.DUMMYFUNCTION("""COMPUTED_VALUE"""),"Grado")</f>
        <v>Grado</v>
      </c>
      <c r="K580" s="2" t="str">
        <f>IFERROR(__xludf.DUMMYFUNCTION("""COMPUTED_VALUE"""),"Inglés")</f>
        <v>Inglés</v>
      </c>
      <c r="L580" s="2" t="str">
        <f>IFERROR(__xludf.DUMMYFUNCTION("""COMPUTED_VALUE"""),"B2 / C1")</f>
        <v>B2 / C1</v>
      </c>
      <c r="M580" s="2" t="str">
        <f>IFERROR(__xludf.DUMMYFUNCTION("""COMPUTED_VALUE"""),"Sí")</f>
        <v>Sí</v>
      </c>
      <c r="N580" s="3" t="str">
        <f>IFERROR(__xludf.DUMMYFUNCTION("""COMPUTED_VALUE"""),"https://www.um.edu.mt/study/admissionsadvice/international/englishlanguagerequirements/")</f>
        <v>https://www.um.edu.mt/study/admissionsadvice/international/englishlanguagerequirements/</v>
      </c>
      <c r="O580" s="3" t="str">
        <f>IFERROR(__xludf.DUMMYFUNCTION("""COMPUTED_VALUE"""),"Más información / Informazio gehigarria")</f>
        <v>Más información / Informazio gehigarria</v>
      </c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30.0" customHeight="1">
      <c r="A581" s="2" t="str">
        <f>IFERROR(__xludf.DUMMYFUNCTION("""COMPUTED_VALUE"""),"Marruecos")</f>
        <v>Marruecos</v>
      </c>
      <c r="B581" s="2" t="str">
        <f>IFERROR(__xludf.DUMMYFUNCTION("""COMPUTED_VALUE"""),"MA RABAT02")</f>
        <v>MA RABAT02</v>
      </c>
      <c r="C581" s="3" t="str">
        <f>IFERROR(__xludf.DUMMYFUNCTION("""COMPUTED_VALUE"""),"Université Internationale de Rabat")</f>
        <v>Université Internationale de Rabat</v>
      </c>
      <c r="D581" s="2" t="str">
        <f>IFERROR(__xludf.DUMMYFUNCTION("""COMPUTED_VALUE"""),"Ac. Bilaterales (no Erasmus)")</f>
        <v>Ac. Bilaterales (no Erasmus)</v>
      </c>
      <c r="E581" s="2">
        <f>IFERROR(__xludf.DUMMYFUNCTION("""COMPUTED_VALUE"""),4.0)</f>
        <v>4</v>
      </c>
      <c r="F581" s="2" t="str">
        <f>IFERROR(__xludf.DUMMYFUNCTION("""COMPUTED_VALUE"""),"Anual")</f>
        <v>Anual</v>
      </c>
      <c r="G581" s="2" t="str">
        <f>IFERROR(__xludf.DUMMYFUNCTION("""COMPUTED_VALUE"""),"Bilbao")</f>
        <v>Bilbao</v>
      </c>
      <c r="H581" s="2" t="str">
        <f>IFERROR(__xludf.DUMMYFUNCTION("""COMPUTED_VALUE"""),"Ciencias Sociales y Humanas")</f>
        <v>Ciencias Sociales y Humanas</v>
      </c>
      <c r="I581" s="2" t="str">
        <f>IFERROR(__xludf.DUMMYFUNCTION("""COMPUTED_VALUE"""),"Relaciones Internacionales, Relaciones Internacionales + Derecho")</f>
        <v>Relaciones Internacionales, Relaciones Internacionales + Derecho</v>
      </c>
      <c r="J581" s="2" t="str">
        <f>IFERROR(__xludf.DUMMYFUNCTION("""COMPUTED_VALUE"""),"Grado")</f>
        <v>Grado</v>
      </c>
      <c r="K581" s="2" t="str">
        <f>IFERROR(__xludf.DUMMYFUNCTION("""COMPUTED_VALUE"""),"Francés / Inglés")</f>
        <v>Francés / Inglés</v>
      </c>
      <c r="L581" s="2" t="str">
        <f>IFERROR(__xludf.DUMMYFUNCTION("""COMPUTED_VALUE"""),"B2")</f>
        <v>B2</v>
      </c>
      <c r="M581" s="2" t="str">
        <f>IFERROR(__xludf.DUMMYFUNCTION("""COMPUTED_VALUE"""),"Sí")</f>
        <v>Sí</v>
      </c>
      <c r="N581" s="3" t="str">
        <f>IFERROR(__xludf.DUMMYFUNCTION("""COMPUTED_VALUE"""),"Más información.")</f>
        <v>Más información.</v>
      </c>
      <c r="O581" s="2" t="str">
        <f>IFERROR(__xludf.DUMMYFUNCTION("""COMPUTED_VALUE"""),"n/a")</f>
        <v>n/a</v>
      </c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30.0" customHeight="1">
      <c r="A582" s="2" t="str">
        <f>IFERROR(__xludf.DUMMYFUNCTION("""COMPUTED_VALUE"""),"Marruecos")</f>
        <v>Marruecos</v>
      </c>
      <c r="B582" s="2"/>
      <c r="C582" s="3" t="str">
        <f>IFERROR(__xludf.DUMMYFUNCTION("""COMPUTED_VALUE"""),"ESCA École de Management")</f>
        <v>ESCA École de Management</v>
      </c>
      <c r="D582" s="2" t="str">
        <f>IFERROR(__xludf.DUMMYFUNCTION("""COMPUTED_VALUE"""),"AC. Bilaterales (no Erasmus)")</f>
        <v>AC. Bilaterales (no Erasmus)</v>
      </c>
      <c r="E582" s="2">
        <f>IFERROR(__xludf.DUMMYFUNCTION("""COMPUTED_VALUE"""),2.0)</f>
        <v>2</v>
      </c>
      <c r="F582" s="2" t="str">
        <f>IFERROR(__xludf.DUMMYFUNCTION("""COMPUTED_VALUE"""),"Semestre")</f>
        <v>Semestre</v>
      </c>
      <c r="G582" s="2" t="str">
        <f>IFERROR(__xludf.DUMMYFUNCTION("""COMPUTED_VALUE"""),"Bilbao")</f>
        <v>Bilbao</v>
      </c>
      <c r="H582" s="2" t="str">
        <f>IFERROR(__xludf.DUMMYFUNCTION("""COMPUTED_VALUE"""),"Deusto Business School")</f>
        <v>Deusto Business School</v>
      </c>
      <c r="I582" s="2" t="str">
        <f>IFERROR(__xludf.DUMMYFUNCTION("""COMPUTED_VALUE"""),"Administración y Dirección de Empresas")</f>
        <v>Administración y Dirección de Empresas</v>
      </c>
      <c r="J582" s="2" t="str">
        <f>IFERROR(__xludf.DUMMYFUNCTION("""COMPUTED_VALUE"""),"Grado")</f>
        <v>Grado</v>
      </c>
      <c r="K582" s="2" t="str">
        <f>IFERROR(__xludf.DUMMYFUNCTION("""COMPUTED_VALUE"""),"Francés /Inglés")</f>
        <v>Francés /Inglés</v>
      </c>
      <c r="L582" s="2" t="str">
        <f>IFERROR(__xludf.DUMMYFUNCTION("""COMPUTED_VALUE"""),"B2")</f>
        <v>B2</v>
      </c>
      <c r="M582" s="2"/>
      <c r="N582" s="3" t="str">
        <f>IFERROR(__xludf.DUMMYFUNCTION("""COMPUTED_VALUE"""),"https://esca.ma/#")</f>
        <v>https://esca.ma/#</v>
      </c>
      <c r="O582" s="2" t="str">
        <f>IFERROR(__xludf.DUMMYFUNCTION("""COMPUTED_VALUE"""),"n/a")</f>
        <v>n/a</v>
      </c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30.0" customHeight="1">
      <c r="A583" s="2" t="str">
        <f>IFERROR(__xludf.DUMMYFUNCTION("""COMPUTED_VALUE"""),"México")</f>
        <v>México</v>
      </c>
      <c r="B583" s="2"/>
      <c r="C583" s="3" t="str">
        <f>IFERROR(__xludf.DUMMYFUNCTION("""COMPUTED_VALUE"""),"Benemérita Universidad Autónoma de Puebla")</f>
        <v>Benemérita Universidad Autónoma de Puebla</v>
      </c>
      <c r="D583" s="2" t="str">
        <f>IFERROR(__xludf.DUMMYFUNCTION("""COMPUTED_VALUE"""),"Ac. Bilaterales (no Erasmus)")</f>
        <v>Ac. Bilaterales (no Erasmus)</v>
      </c>
      <c r="E583" s="2">
        <f>IFERROR(__xludf.DUMMYFUNCTION("""COMPUTED_VALUE"""),2.0)</f>
        <v>2</v>
      </c>
      <c r="F583" s="2" t="str">
        <f>IFERROR(__xludf.DUMMYFUNCTION("""COMPUTED_VALUE"""),"Semestre")</f>
        <v>Semestre</v>
      </c>
      <c r="G583" s="2" t="str">
        <f>IFERROR(__xludf.DUMMYFUNCTION("""COMPUTED_VALUE"""),"Bilbao")</f>
        <v>Bilbao</v>
      </c>
      <c r="H583" s="2" t="str">
        <f>IFERROR(__xludf.DUMMYFUNCTION("""COMPUTED_VALUE"""),"Educación y Deporte")</f>
        <v>Educación y Deporte</v>
      </c>
      <c r="I583" s="2" t="str">
        <f>IFERROR(__xludf.DUMMYFUNCTION("""COMPUTED_VALUE"""),"CAFyD")</f>
        <v>CAFyD</v>
      </c>
      <c r="J583" s="2" t="str">
        <f>IFERROR(__xludf.DUMMYFUNCTION("""COMPUTED_VALUE"""),"Grado")</f>
        <v>Grado</v>
      </c>
      <c r="K583" s="2" t="str">
        <f>IFERROR(__xludf.DUMMYFUNCTION("""COMPUTED_VALUE"""),"Español")</f>
        <v>Español</v>
      </c>
      <c r="L583" s="2" t="str">
        <f>IFERROR(__xludf.DUMMYFUNCTION("""COMPUTED_VALUE"""),"n/a")</f>
        <v>n/a</v>
      </c>
      <c r="M583" s="2" t="str">
        <f>IFERROR(__xludf.DUMMYFUNCTION("""COMPUTED_VALUE"""),"No")</f>
        <v>No</v>
      </c>
      <c r="N583" s="2" t="str">
        <f>IFERROR(__xludf.DUMMYFUNCTION("""COMPUTED_VALUE"""),"n/a")</f>
        <v>n/a</v>
      </c>
      <c r="O583" s="2" t="str">
        <f>IFERROR(__xludf.DUMMYFUNCTION("""COMPUTED_VALUE"""),"n/a")</f>
        <v>n/a</v>
      </c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30.0" customHeight="1">
      <c r="A584" s="2" t="str">
        <f>IFERROR(__xludf.DUMMYFUNCTION("""COMPUTED_VALUE"""),"México")</f>
        <v>México</v>
      </c>
      <c r="B584" s="2"/>
      <c r="C584" s="3" t="str">
        <f>IFERROR(__xludf.DUMMYFUNCTION("""COMPUTED_VALUE"""),"Centro de Investigación y Docencia Económicas")</f>
        <v>Centro de Investigación y Docencia Económicas</v>
      </c>
      <c r="D584" s="2" t="str">
        <f>IFERROR(__xludf.DUMMYFUNCTION("""COMPUTED_VALUE"""),"Ac. Bilaterales (no Erasmus)")</f>
        <v>Ac. Bilaterales (no Erasmus)</v>
      </c>
      <c r="E584" s="2">
        <f>IFERROR(__xludf.DUMMYFUNCTION("""COMPUTED_VALUE"""),2.0)</f>
        <v>2</v>
      </c>
      <c r="F584" s="2" t="str">
        <f>IFERROR(__xludf.DUMMYFUNCTION("""COMPUTED_VALUE"""),"Semestre")</f>
        <v>Semestre</v>
      </c>
      <c r="G584" s="2" t="str">
        <f>IFERROR(__xludf.DUMMYFUNCTION("""COMPUTED_VALUE"""),"Bilbao")</f>
        <v>Bilbao</v>
      </c>
      <c r="H584" s="2" t="str">
        <f>IFERROR(__xludf.DUMMYFUNCTION("""COMPUTED_VALUE"""),"Derecho")</f>
        <v>Derecho</v>
      </c>
      <c r="I584" s="2" t="str">
        <f>IFERROR(__xludf.DUMMYFUNCTION("""COMPUTED_VALUE"""),"Derecho, Derecho + Relaciones Laborales")</f>
        <v>Derecho, Derecho + Relaciones Laborales</v>
      </c>
      <c r="J584" s="2" t="str">
        <f>IFERROR(__xludf.DUMMYFUNCTION("""COMPUTED_VALUE"""),"Grado")</f>
        <v>Grado</v>
      </c>
      <c r="K584" s="2" t="str">
        <f>IFERROR(__xludf.DUMMYFUNCTION("""COMPUTED_VALUE"""),"Español")</f>
        <v>Español</v>
      </c>
      <c r="L584" s="2" t="str">
        <f>IFERROR(__xludf.DUMMYFUNCTION("""COMPUTED_VALUE"""),"n/a")</f>
        <v>n/a</v>
      </c>
      <c r="M584" s="2" t="str">
        <f>IFERROR(__xludf.DUMMYFUNCTION("""COMPUTED_VALUE"""),"No")</f>
        <v>No</v>
      </c>
      <c r="N584" s="3" t="str">
        <f>IFERROR(__xludf.DUMMYFUNCTION("""COMPUTED_VALUE"""),"https://www.cide.edu/")</f>
        <v>https://www.cide.edu/</v>
      </c>
      <c r="O584" s="2" t="str">
        <f>IFERROR(__xludf.DUMMYFUNCTION("""COMPUTED_VALUE"""),"n/a")</f>
        <v>n/a</v>
      </c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30.0" customHeight="1">
      <c r="A585" s="2" t="str">
        <f>IFERROR(__xludf.DUMMYFUNCTION("""COMPUTED_VALUE"""),"México")</f>
        <v>México</v>
      </c>
      <c r="B585" s="2" t="str">
        <f>IFERROR(__xludf.DUMMYFUNCTION("""COMPUTED_VALUE"""),"MEXMEXICO01")</f>
        <v>MEXMEXICO01</v>
      </c>
      <c r="C585" s="2" t="str">
        <f>IFERROR(__xludf.DUMMYFUNCTION("""COMPUTED_VALUE"""),"Universidad Iberoamericana Ciudad de Mexico (*)")</f>
        <v>Universidad Iberoamericana Ciudad de Mexico (*)</v>
      </c>
      <c r="D585" s="2" t="str">
        <f>IFERROR(__xludf.DUMMYFUNCTION("""COMPUTED_VALUE"""),"Ac. Bilaterales (no Erasmus)")</f>
        <v>Ac. Bilaterales (no Erasmus)</v>
      </c>
      <c r="E585" s="2">
        <f>IFERROR(__xludf.DUMMYFUNCTION("""COMPUTED_VALUE"""),2.0)</f>
        <v>2</v>
      </c>
      <c r="F585" s="2" t="str">
        <f>IFERROR(__xludf.DUMMYFUNCTION("""COMPUTED_VALUE"""),"Semestre")</f>
        <v>Semestre</v>
      </c>
      <c r="G585" s="2" t="str">
        <f>IFERROR(__xludf.DUMMYFUNCTION("""COMPUTED_VALUE"""),"Bilbao")</f>
        <v>Bilbao</v>
      </c>
      <c r="H585" s="2" t="str">
        <f>IFERROR(__xludf.DUMMYFUNCTION("""COMPUTED_VALUE"""),"Ingeniería")</f>
        <v>Ingeniería</v>
      </c>
      <c r="I585" s="2" t="str">
        <f>IFERROR(__xludf.DUMMYFUNCTION("""COMPUTED_VALUE"""),"Tecnologías Industriales, Ingeniería Mecánica, Electrónica y Automática, Organización Industrial, Diseño Industrial, Industria Digital, Diseño Industrial + Ingeniería Mecánica, Ingeniería Biomédica")</f>
        <v>Tecnologías Industriales, Ingeniería Mecánica, Electrónica y Automática, Organización Industrial, Diseño Industrial, Industria Digital, Diseño Industrial + Ingeniería Mecánica, Ingeniería Biomédica</v>
      </c>
      <c r="J585" s="2" t="str">
        <f>IFERROR(__xludf.DUMMYFUNCTION("""COMPUTED_VALUE"""),"Grado")</f>
        <v>Grado</v>
      </c>
      <c r="K585" s="2" t="str">
        <f>IFERROR(__xludf.DUMMYFUNCTION("""COMPUTED_VALUE"""),"Español")</f>
        <v>Español</v>
      </c>
      <c r="L585" s="2" t="str">
        <f>IFERROR(__xludf.DUMMYFUNCTION("""COMPUTED_VALUE"""),"n/a")</f>
        <v>n/a</v>
      </c>
      <c r="M585" s="2" t="str">
        <f>IFERROR(__xludf.DUMMYFUNCTION("""COMPUTED_VALUE"""),"No")</f>
        <v>No</v>
      </c>
      <c r="N585" s="3" t="str">
        <f>IFERROR(__xludf.DUMMYFUNCTION("""COMPUTED_VALUE"""),"https://internacional.ibero.mx/en/incoming-students/?_ga=2.61887724.1315224387.1729753695-1141839035.1729753695")</f>
        <v>https://internacional.ibero.mx/en/incoming-students/?_ga=2.61887724.1315224387.1729753695-1141839035.1729753695</v>
      </c>
      <c r="O585" s="2" t="str">
        <f>IFERROR(__xludf.DUMMYFUNCTION("""COMPUTED_VALUE"""),"n/a")</f>
        <v>n/a</v>
      </c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30.0" customHeight="1">
      <c r="A586" s="2" t="str">
        <f>IFERROR(__xludf.DUMMYFUNCTION("""COMPUTED_VALUE"""),"México")</f>
        <v>México</v>
      </c>
      <c r="B586" s="2" t="str">
        <f>IFERROR(__xludf.DUMMYFUNCTION("""COMPUTED_VALUE"""),"MEXMEXICO01")</f>
        <v>MEXMEXICO01</v>
      </c>
      <c r="C586" s="3" t="str">
        <f>IFERROR(__xludf.DUMMYFUNCTION("""COMPUTED_VALUE"""),"Universidad Iberoamericana Ciudad de Mexico")</f>
        <v>Universidad Iberoamericana Ciudad de Mexico</v>
      </c>
      <c r="D586" s="2" t="str">
        <f>IFERROR(__xludf.DUMMYFUNCTION("""COMPUTED_VALUE"""),"Ac. Bilaterales (no Erasmus)")</f>
        <v>Ac. Bilaterales (no Erasmus)</v>
      </c>
      <c r="E586" s="2">
        <f>IFERROR(__xludf.DUMMYFUNCTION("""COMPUTED_VALUE"""),2.0)</f>
        <v>2</v>
      </c>
      <c r="F586" s="2" t="str">
        <f>IFERROR(__xludf.DUMMYFUNCTION("""COMPUTED_VALUE"""),"Semestre")</f>
        <v>Semestre</v>
      </c>
      <c r="G586" s="2" t="str">
        <f>IFERROR(__xludf.DUMMYFUNCTION("""COMPUTED_VALUE"""),"Ambos")</f>
        <v>Ambos</v>
      </c>
      <c r="H586" s="2" t="str">
        <f>IFERROR(__xludf.DUMMYFUNCTION("""COMPUTED_VALUE"""),"Educación y Deporte")</f>
        <v>Educación y Deporte</v>
      </c>
      <c r="I586" s="2" t="str">
        <f>IFERROR(__xludf.DUMMYFUNCTION("""COMPUTED_VALUE"""),"Educación Primaria")</f>
        <v>Educación Primaria</v>
      </c>
      <c r="J586" s="2" t="str">
        <f>IFERROR(__xludf.DUMMYFUNCTION("""COMPUTED_VALUE"""),"Grado")</f>
        <v>Grado</v>
      </c>
      <c r="K586" s="2" t="str">
        <f>IFERROR(__xludf.DUMMYFUNCTION("""COMPUTED_VALUE"""),"Español")</f>
        <v>Español</v>
      </c>
      <c r="L586" s="2" t="str">
        <f>IFERROR(__xludf.DUMMYFUNCTION("""COMPUTED_VALUE"""),"n/a")</f>
        <v>n/a</v>
      </c>
      <c r="M586" s="2" t="str">
        <f>IFERROR(__xludf.DUMMYFUNCTION("""COMPUTED_VALUE"""),"No")</f>
        <v>No</v>
      </c>
      <c r="N586" s="3" t="str">
        <f>IFERROR(__xludf.DUMMYFUNCTION("""COMPUTED_VALUE"""),"https://internacional.ibero.mx/en/incoming-students/?_ga=2.61887724.1315224387.1729753695-1141839035.1729753695")</f>
        <v>https://internacional.ibero.mx/en/incoming-students/?_ga=2.61887724.1315224387.1729753695-1141839035.1729753695</v>
      </c>
      <c r="O586" s="2" t="str">
        <f>IFERROR(__xludf.DUMMYFUNCTION("""COMPUTED_VALUE"""),"n/a")</f>
        <v>n/a</v>
      </c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30.0" customHeight="1">
      <c r="A587" s="2" t="str">
        <f>IFERROR(__xludf.DUMMYFUNCTION("""COMPUTED_VALUE"""),"México")</f>
        <v>México</v>
      </c>
      <c r="B587" s="2" t="str">
        <f>IFERROR(__xludf.DUMMYFUNCTION("""COMPUTED_VALUE"""),"MEXMEXICO01")</f>
        <v>MEXMEXICO01</v>
      </c>
      <c r="C587" s="3" t="str">
        <f>IFERROR(__xludf.DUMMYFUNCTION("""COMPUTED_VALUE"""),"Universidad Iberoamericana Ciudad de Mexico")</f>
        <v>Universidad Iberoamericana Ciudad de Mexico</v>
      </c>
      <c r="D587" s="2" t="str">
        <f>IFERROR(__xludf.DUMMYFUNCTION("""COMPUTED_VALUE"""),"Ac. Bilaterales (no Erasmus)")</f>
        <v>Ac. Bilaterales (no Erasmus)</v>
      </c>
      <c r="E587" s="2">
        <f>IFERROR(__xludf.DUMMYFUNCTION("""COMPUTED_VALUE"""),4.0)</f>
        <v>4</v>
      </c>
      <c r="F587" s="2" t="str">
        <f>IFERROR(__xludf.DUMMYFUNCTION("""COMPUTED_VALUE"""),"Anual")</f>
        <v>Anual</v>
      </c>
      <c r="G587" s="2" t="str">
        <f>IFERROR(__xludf.DUMMYFUNCTION("""COMPUTED_VALUE"""),"Ambos")</f>
        <v>Ambos</v>
      </c>
      <c r="H587" s="2" t="str">
        <f>IFERROR(__xludf.DUMMYFUNCTION("""COMPUTED_VALUE"""),"Derecho")</f>
        <v>Derecho</v>
      </c>
      <c r="I587" s="2" t="str">
        <f>IFERROR(__xludf.DUMMYFUNCTION("""COMPUTED_VALUE"""),"Derecho, Derecho + Relaciones Laborales")</f>
        <v>Derecho, Derecho + Relaciones Laborales</v>
      </c>
      <c r="J587" s="2" t="str">
        <f>IFERROR(__xludf.DUMMYFUNCTION("""COMPUTED_VALUE"""),"Grado")</f>
        <v>Grado</v>
      </c>
      <c r="K587" s="2" t="str">
        <f>IFERROR(__xludf.DUMMYFUNCTION("""COMPUTED_VALUE"""),"Español")</f>
        <v>Español</v>
      </c>
      <c r="L587" s="2" t="str">
        <f>IFERROR(__xludf.DUMMYFUNCTION("""COMPUTED_VALUE"""),"n/a")</f>
        <v>n/a</v>
      </c>
      <c r="M587" s="2" t="str">
        <f>IFERROR(__xludf.DUMMYFUNCTION("""COMPUTED_VALUE"""),"No")</f>
        <v>No</v>
      </c>
      <c r="N587" s="3" t="str">
        <f>IFERROR(__xludf.DUMMYFUNCTION("""COMPUTED_VALUE"""),"https://internacional.ibero.mx/en/incoming-students/?_ga=2.61887724.1315224387.1729753695-1141839035.1729753695")</f>
        <v>https://internacional.ibero.mx/en/incoming-students/?_ga=2.61887724.1315224387.1729753695-1141839035.1729753695</v>
      </c>
      <c r="O587" s="2" t="str">
        <f>IFERROR(__xludf.DUMMYFUNCTION("""COMPUTED_VALUE"""),"n/a")</f>
        <v>n/a</v>
      </c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30.0" customHeight="1">
      <c r="A588" s="2" t="str">
        <f>IFERROR(__xludf.DUMMYFUNCTION("""COMPUTED_VALUE"""),"México")</f>
        <v>México</v>
      </c>
      <c r="B588" s="2" t="str">
        <f>IFERROR(__xludf.DUMMYFUNCTION("""COMPUTED_VALUE"""),"MEXMONTER01")</f>
        <v>MEXMONTER01</v>
      </c>
      <c r="C588" s="3" t="str">
        <f>IFERROR(__xludf.DUMMYFUNCTION("""COMPUTED_VALUE"""),"Instituto Tecnológico y de Estudios Superiores de Monterrey")</f>
        <v>Instituto Tecnológico y de Estudios Superiores de Monterrey</v>
      </c>
      <c r="D588" s="2" t="str">
        <f>IFERROR(__xludf.DUMMYFUNCTION("""COMPUTED_VALUE"""),"Ac. Bilaterales (no Erasmus)")</f>
        <v>Ac. Bilaterales (no Erasmus)</v>
      </c>
      <c r="E588" s="2" t="str">
        <f>IFERROR(__xludf.DUMMYFUNCTION("""COMPUTED_VALUE"""),"Convenio Marco")</f>
        <v>Convenio Marco</v>
      </c>
      <c r="F588" s="2" t="str">
        <f>IFERROR(__xludf.DUMMYFUNCTION("""COMPUTED_VALUE"""),"Semestre")</f>
        <v>Semestre</v>
      </c>
      <c r="G588" s="2" t="str">
        <f>IFERROR(__xludf.DUMMYFUNCTION("""COMPUTED_VALUE"""),"Bilbao")</f>
        <v>Bilbao</v>
      </c>
      <c r="H588" s="2" t="str">
        <f>IFERROR(__xludf.DUMMYFUNCTION("""COMPUTED_VALUE"""),"Ingeniería")</f>
        <v>Ingeniería</v>
      </c>
      <c r="I588" s="2" t="str">
        <f>IFERROR(__xludf.DUMMYFUNCTION("""COMPUTED_VALUE"""),"Tecnologías Industriales, Ingeniería Mecánica, Electrónica y Automática, Organización Industrial, Diseño Industrial, Industria Digital, Diseño Industrial + Ingeniería Mecánica")</f>
        <v>Tecnologías Industriales, Ingeniería Mecánica, Electrónica y Automática, Organización Industrial, Diseño Industrial, Industria Digital, Diseño Industrial + Ingeniería Mecánica</v>
      </c>
      <c r="J588" s="2" t="str">
        <f>IFERROR(__xludf.DUMMYFUNCTION("""COMPUTED_VALUE"""),"Grado")</f>
        <v>Grado</v>
      </c>
      <c r="K588" s="2" t="str">
        <f>IFERROR(__xludf.DUMMYFUNCTION("""COMPUTED_VALUE"""),"Español / Inglés")</f>
        <v>Español / Inglés</v>
      </c>
      <c r="L588" s="2" t="str">
        <f>IFERROR(__xludf.DUMMYFUNCTION("""COMPUTED_VALUE"""),"n/a")</f>
        <v>n/a</v>
      </c>
      <c r="M588" s="2" t="str">
        <f>IFERROR(__xludf.DUMMYFUNCTION("""COMPUTED_VALUE"""),"No")</f>
        <v>No</v>
      </c>
      <c r="N588" s="3" t="str">
        <f>IFERROR(__xludf.DUMMYFUNCTION("""COMPUTED_VALUE"""),"https://tec.mx/es")</f>
        <v>https://tec.mx/es</v>
      </c>
      <c r="O588" s="2" t="str">
        <f>IFERROR(__xludf.DUMMYFUNCTION("""COMPUTED_VALUE"""),"n/a")</f>
        <v>n/a</v>
      </c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30.0" customHeight="1">
      <c r="A589" s="2" t="str">
        <f>IFERROR(__xludf.DUMMYFUNCTION("""COMPUTED_VALUE"""),"México")</f>
        <v>México</v>
      </c>
      <c r="B589" s="2"/>
      <c r="C589" s="3" t="str">
        <f>IFERROR(__xludf.DUMMYFUNCTION("""COMPUTED_VALUE"""),"Facultad Libre de Derecho de Monterrey")</f>
        <v>Facultad Libre de Derecho de Monterrey</v>
      </c>
      <c r="D589" s="2" t="str">
        <f>IFERROR(__xludf.DUMMYFUNCTION("""COMPUTED_VALUE"""),"Ac. Bilaterales (no Erasmus)")</f>
        <v>Ac. Bilaterales (no Erasmus)</v>
      </c>
      <c r="E589" s="2">
        <f>IFERROR(__xludf.DUMMYFUNCTION("""COMPUTED_VALUE"""),2.0)</f>
        <v>2</v>
      </c>
      <c r="F589" s="2" t="str">
        <f>IFERROR(__xludf.DUMMYFUNCTION("""COMPUTED_VALUE"""),"Semestre")</f>
        <v>Semestre</v>
      </c>
      <c r="G589" s="2" t="str">
        <f>IFERROR(__xludf.DUMMYFUNCTION("""COMPUTED_VALUE"""),"Bilbao")</f>
        <v>Bilbao</v>
      </c>
      <c r="H589" s="2" t="str">
        <f>IFERROR(__xludf.DUMMYFUNCTION("""COMPUTED_VALUE"""),"Derecho")</f>
        <v>Derecho</v>
      </c>
      <c r="I589" s="2" t="str">
        <f>IFERROR(__xludf.DUMMYFUNCTION("""COMPUTED_VALUE"""),"Derecho, Derecho + Relaciones Laborales")</f>
        <v>Derecho, Derecho + Relaciones Laborales</v>
      </c>
      <c r="J589" s="2" t="str">
        <f>IFERROR(__xludf.DUMMYFUNCTION("""COMPUTED_VALUE"""),"Grado")</f>
        <v>Grado</v>
      </c>
      <c r="K589" s="2" t="str">
        <f>IFERROR(__xludf.DUMMYFUNCTION("""COMPUTED_VALUE"""),"Español")</f>
        <v>Español</v>
      </c>
      <c r="L589" s="2" t="str">
        <f>IFERROR(__xludf.DUMMYFUNCTION("""COMPUTED_VALUE"""),"n/a")</f>
        <v>n/a</v>
      </c>
      <c r="M589" s="2" t="str">
        <f>IFERROR(__xludf.DUMMYFUNCTION("""COMPUTED_VALUE"""),"No")</f>
        <v>No</v>
      </c>
      <c r="N589" s="3" t="str">
        <f>IFERROR(__xludf.DUMMYFUNCTION("""COMPUTED_VALUE"""),"https://www.fldmglobal.mx/")</f>
        <v>https://www.fldmglobal.mx/</v>
      </c>
      <c r="O589" s="2" t="str">
        <f>IFERROR(__xludf.DUMMYFUNCTION("""COMPUTED_VALUE"""),"n/a")</f>
        <v>n/a</v>
      </c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30.0" customHeight="1">
      <c r="A590" s="2" t="str">
        <f>IFERROR(__xludf.DUMMYFUNCTION("""COMPUTED_VALUE"""),"México")</f>
        <v>México</v>
      </c>
      <c r="B590" s="2" t="str">
        <f>IFERROR(__xludf.DUMMYFUNCTION("""COMPUTED_VALUE"""),"MEXMONTER01")</f>
        <v>MEXMONTER01</v>
      </c>
      <c r="C590" s="2" t="str">
        <f>IFERROR(__xludf.DUMMYFUNCTION("""COMPUTED_VALUE"""),"Instituto Tecnológico y de Estudios Superiores de Monterrey")</f>
        <v>Instituto Tecnológico y de Estudios Superiores de Monterrey</v>
      </c>
      <c r="D590" s="2" t="str">
        <f>IFERROR(__xludf.DUMMYFUNCTION("""COMPUTED_VALUE"""),"Ac. Bilaterales (no Erasmus)")</f>
        <v>Ac. Bilaterales (no Erasmus)</v>
      </c>
      <c r="E590" s="2">
        <f>IFERROR(__xludf.DUMMYFUNCTION("""COMPUTED_VALUE"""),3.0)</f>
        <v>3</v>
      </c>
      <c r="F590" s="2" t="str">
        <f>IFERROR(__xludf.DUMMYFUNCTION("""COMPUTED_VALUE"""),"Semestre")</f>
        <v>Semestre</v>
      </c>
      <c r="G590" s="2" t="str">
        <f>IFERROR(__xludf.DUMMYFUNCTION("""COMPUTED_VALUE"""),"San Sebastián")</f>
        <v>San Sebastián</v>
      </c>
      <c r="H590" s="2" t="str">
        <f>IFERROR(__xludf.DUMMYFUNCTION("""COMPUTED_VALUE"""),"Ciencias Sociales y Humanas")</f>
        <v>Ciencias Sociales y Humanas</v>
      </c>
      <c r="I590" s="2" t="str">
        <f>IFERROR(__xludf.DUMMYFUNCTION("""COMPUTED_VALUE"""),"Comunicación")</f>
        <v>Comunicación</v>
      </c>
      <c r="J590" s="2" t="str">
        <f>IFERROR(__xludf.DUMMYFUNCTION("""COMPUTED_VALUE"""),"Grado")</f>
        <v>Grado</v>
      </c>
      <c r="K590" s="2" t="str">
        <f>IFERROR(__xludf.DUMMYFUNCTION("""COMPUTED_VALUE"""),"Español")</f>
        <v>Español</v>
      </c>
      <c r="L590" s="2" t="str">
        <f>IFERROR(__xludf.DUMMYFUNCTION("""COMPUTED_VALUE"""),"n/a")</f>
        <v>n/a</v>
      </c>
      <c r="M590" s="2" t="str">
        <f>IFERROR(__xludf.DUMMYFUNCTION("""COMPUTED_VALUE"""),"No")</f>
        <v>No</v>
      </c>
      <c r="N590" s="3" t="str">
        <f>IFERROR(__xludf.DUMMYFUNCTION("""COMPUTED_VALUE"""),"https://tec.mx/es")</f>
        <v>https://tec.mx/es</v>
      </c>
      <c r="O590" s="2" t="str">
        <f>IFERROR(__xludf.DUMMYFUNCTION("""COMPUTED_VALUE"""),"n/a")</f>
        <v>n/a</v>
      </c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30.0" customHeight="1">
      <c r="A591" s="2" t="str">
        <f>IFERROR(__xludf.DUMMYFUNCTION("""COMPUTED_VALUE"""),"México")</f>
        <v>México</v>
      </c>
      <c r="B591" s="2" t="str">
        <f>IFERROR(__xludf.DUMMYFUNCTION("""COMPUTED_VALUE"""),"MEXMONTER01")</f>
        <v>MEXMONTER01</v>
      </c>
      <c r="C591" s="2" t="str">
        <f>IFERROR(__xludf.DUMMYFUNCTION("""COMPUTED_VALUE"""),"Instituto Tecnológico y de Estudios Superiores de Monterrey")</f>
        <v>Instituto Tecnológico y de Estudios Superiores de Monterrey</v>
      </c>
      <c r="D591" s="2" t="str">
        <f>IFERROR(__xludf.DUMMYFUNCTION("""COMPUTED_VALUE"""),"Ac. Bilaterales (no Erasmus)")</f>
        <v>Ac. Bilaterales (no Erasmus)</v>
      </c>
      <c r="E591" s="2">
        <f>IFERROR(__xludf.DUMMYFUNCTION("""COMPUTED_VALUE"""),2.0)</f>
        <v>2</v>
      </c>
      <c r="F591" s="2" t="str">
        <f>IFERROR(__xludf.DUMMYFUNCTION("""COMPUTED_VALUE"""),"Semestre")</f>
        <v>Semestre</v>
      </c>
      <c r="G591" s="2" t="str">
        <f>IFERROR(__xludf.DUMMYFUNCTION("""COMPUTED_VALUE"""),"Bilbao")</f>
        <v>Bilbao</v>
      </c>
      <c r="H591" s="2" t="str">
        <f>IFERROR(__xludf.DUMMYFUNCTION("""COMPUTED_VALUE"""),"Derecho")</f>
        <v>Derecho</v>
      </c>
      <c r="I591" s="2" t="str">
        <f>IFERROR(__xludf.DUMMYFUNCTION("""COMPUTED_VALUE"""),"Derecho, Derecho + Relaciones Laborales")</f>
        <v>Derecho, Derecho + Relaciones Laborales</v>
      </c>
      <c r="J591" s="2" t="str">
        <f>IFERROR(__xludf.DUMMYFUNCTION("""COMPUTED_VALUE"""),"Grado")</f>
        <v>Grado</v>
      </c>
      <c r="K591" s="2"/>
      <c r="L591" s="2"/>
      <c r="M591" s="2" t="str">
        <f>IFERROR(__xludf.DUMMYFUNCTION("""COMPUTED_VALUE"""),"No")</f>
        <v>No</v>
      </c>
      <c r="N591" s="3" t="str">
        <f>IFERROR(__xludf.DUMMYFUNCTION("""COMPUTED_VALUE"""),"https://tec.mx/es")</f>
        <v>https://tec.mx/es</v>
      </c>
      <c r="O591" s="2" t="str">
        <f>IFERROR(__xludf.DUMMYFUNCTION("""COMPUTED_VALUE"""),"n/a")</f>
        <v>n/a</v>
      </c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30.0" customHeight="1">
      <c r="A592" s="2" t="str">
        <f>IFERROR(__xludf.DUMMYFUNCTION("""COMPUTED_VALUE"""),"México")</f>
        <v>México</v>
      </c>
      <c r="B592" s="2" t="str">
        <f>IFERROR(__xludf.DUMMYFUNCTION("""COMPUTED_VALUE"""),"MEX S.PEDR01")</f>
        <v>MEX S.PEDR01</v>
      </c>
      <c r="C592" s="3" t="str">
        <f>IFERROR(__xludf.DUMMYFUNCTION("""COMPUTED_VALUE"""),"Universidad de Monterrey")</f>
        <v>Universidad de Monterrey</v>
      </c>
      <c r="D592" s="2" t="str">
        <f>IFERROR(__xludf.DUMMYFUNCTION("""COMPUTED_VALUE"""),"Ac. Bilaterales (no Erasmus)")</f>
        <v>Ac. Bilaterales (no Erasmus)</v>
      </c>
      <c r="E592" s="2">
        <f>IFERROR(__xludf.DUMMYFUNCTION("""COMPUTED_VALUE"""),6.0)</f>
        <v>6</v>
      </c>
      <c r="F592" s="2" t="str">
        <f>IFERROR(__xludf.DUMMYFUNCTION("""COMPUTED_VALUE"""),"Semestre")</f>
        <v>Semestre</v>
      </c>
      <c r="G592" s="2" t="str">
        <f>IFERROR(__xludf.DUMMYFUNCTION("""COMPUTED_VALUE"""),"Bilbao")</f>
        <v>Bilbao</v>
      </c>
      <c r="H592" s="2" t="str">
        <f>IFERROR(__xludf.DUMMYFUNCTION("""COMPUTED_VALUE"""),"Derecho")</f>
        <v>Derecho</v>
      </c>
      <c r="I592" s="2" t="str">
        <f>IFERROR(__xludf.DUMMYFUNCTION("""COMPUTED_VALUE"""),"Derecho, Derecho + Relaciones Laborales")</f>
        <v>Derecho, Derecho + Relaciones Laborales</v>
      </c>
      <c r="J592" s="2" t="str">
        <f>IFERROR(__xludf.DUMMYFUNCTION("""COMPUTED_VALUE"""),"Grado")</f>
        <v>Grado</v>
      </c>
      <c r="K592" s="2" t="str">
        <f>IFERROR(__xludf.DUMMYFUNCTION("""COMPUTED_VALUE"""),"Español")</f>
        <v>Español</v>
      </c>
      <c r="L592" s="2" t="str">
        <f>IFERROR(__xludf.DUMMYFUNCTION("""COMPUTED_VALUE"""),"n/a")</f>
        <v>n/a</v>
      </c>
      <c r="M592" s="2" t="str">
        <f>IFERROR(__xludf.DUMMYFUNCTION("""COMPUTED_VALUE"""),"No")</f>
        <v>No</v>
      </c>
      <c r="N592" s="3" t="str">
        <f>IFERROR(__xludf.DUMMYFUNCTION("""COMPUTED_VALUE"""),"https://www.udem.edu.mx/es")</f>
        <v>https://www.udem.edu.mx/es</v>
      </c>
      <c r="O592" s="2" t="str">
        <f>IFERROR(__xludf.DUMMYFUNCTION("""COMPUTED_VALUE"""),"n/a")</f>
        <v>n/a</v>
      </c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30.0" customHeight="1">
      <c r="A593" s="2" t="str">
        <f>IFERROR(__xludf.DUMMYFUNCTION("""COMPUTED_VALUE"""),"México")</f>
        <v>México</v>
      </c>
      <c r="B593" s="2"/>
      <c r="C593" s="3" t="str">
        <f>IFERROR(__xludf.DUMMYFUNCTION("""COMPUTED_VALUE"""),"Universidad de Monterrey")</f>
        <v>Universidad de Monterrey</v>
      </c>
      <c r="D593" s="2" t="str">
        <f>IFERROR(__xludf.DUMMYFUNCTION("""COMPUTED_VALUE"""),"Ac. Bilaterales (no Erasmus)")</f>
        <v>Ac. Bilaterales (no Erasmus)</v>
      </c>
      <c r="E593" s="2">
        <f>IFERROR(__xludf.DUMMYFUNCTION("""COMPUTED_VALUE"""),2.0)</f>
        <v>2</v>
      </c>
      <c r="F593" s="2" t="str">
        <f>IFERROR(__xludf.DUMMYFUNCTION("""COMPUTED_VALUE"""),"Anual")</f>
        <v>Anual</v>
      </c>
      <c r="G593" s="2" t="str">
        <f>IFERROR(__xludf.DUMMYFUNCTION("""COMPUTED_VALUE"""),"Bilbao")</f>
        <v>Bilbao</v>
      </c>
      <c r="H593" s="2" t="str">
        <f>IFERROR(__xludf.DUMMYFUNCTION("""COMPUTED_VALUE"""),"Ciencias Sociales y Humanas")</f>
        <v>Ciencias Sociales y Humanas</v>
      </c>
      <c r="I593" s="2" t="str">
        <f>IFERROR(__xludf.DUMMYFUNCTION("""COMPUTED_VALUE"""),"Relaciones Internacionales, Relaciones Internacionales + Derecho")</f>
        <v>Relaciones Internacionales, Relaciones Internacionales + Derecho</v>
      </c>
      <c r="J593" s="2" t="str">
        <f>IFERROR(__xludf.DUMMYFUNCTION("""COMPUTED_VALUE"""),"Grado")</f>
        <v>Grado</v>
      </c>
      <c r="K593" s="2" t="str">
        <f>IFERROR(__xludf.DUMMYFUNCTION("""COMPUTED_VALUE"""),"Español")</f>
        <v>Español</v>
      </c>
      <c r="L593" s="2" t="str">
        <f>IFERROR(__xludf.DUMMYFUNCTION("""COMPUTED_VALUE"""),"n/a")</f>
        <v>n/a</v>
      </c>
      <c r="M593" s="2" t="str">
        <f>IFERROR(__xludf.DUMMYFUNCTION("""COMPUTED_VALUE"""),"No")</f>
        <v>No</v>
      </c>
      <c r="N593" s="2"/>
      <c r="O593" s="2" t="str">
        <f>IFERROR(__xludf.DUMMYFUNCTION("""COMPUTED_VALUE"""),"n/a")</f>
        <v>n/a</v>
      </c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30.0" customHeight="1">
      <c r="A594" s="2" t="str">
        <f>IFERROR(__xludf.DUMMYFUNCTION("""COMPUTED_VALUE"""),"México")</f>
        <v>México</v>
      </c>
      <c r="B594" s="2"/>
      <c r="C594" s="3" t="str">
        <f>IFERROR(__xludf.DUMMYFUNCTION("""COMPUTED_VALUE"""),"Universidad de Monterrey")</f>
        <v>Universidad de Monterrey</v>
      </c>
      <c r="D594" s="2" t="str">
        <f>IFERROR(__xludf.DUMMYFUNCTION("""COMPUTED_VALUE"""),"Ac. Bilaterales (no Erasmus)")</f>
        <v>Ac. Bilaterales (no Erasmus)</v>
      </c>
      <c r="E594" s="2">
        <f>IFERROR(__xludf.DUMMYFUNCTION("""COMPUTED_VALUE"""),2.0)</f>
        <v>2</v>
      </c>
      <c r="F594" s="2" t="str">
        <f>IFERROR(__xludf.DUMMYFUNCTION("""COMPUTED_VALUE"""),"Semestre")</f>
        <v>Semestre</v>
      </c>
      <c r="G594" s="2" t="str">
        <f>IFERROR(__xludf.DUMMYFUNCTION("""COMPUTED_VALUE"""),"Bilbao")</f>
        <v>Bilbao</v>
      </c>
      <c r="H594" s="2" t="str">
        <f>IFERROR(__xludf.DUMMYFUNCTION("""COMPUTED_VALUE"""),"Ciencias Sociales y Humanas")</f>
        <v>Ciencias Sociales y Humanas</v>
      </c>
      <c r="I594" s="2" t="str">
        <f>IFERROR(__xludf.DUMMYFUNCTION("""COMPUTED_VALUE"""),"Filosofía, Política y Economía")</f>
        <v>Filosofía, Política y Economía</v>
      </c>
      <c r="J594" s="2" t="str">
        <f>IFERROR(__xludf.DUMMYFUNCTION("""COMPUTED_VALUE"""),"Grado")</f>
        <v>Grado</v>
      </c>
      <c r="K594" s="2" t="str">
        <f>IFERROR(__xludf.DUMMYFUNCTION("""COMPUTED_VALUE"""),"Español")</f>
        <v>Español</v>
      </c>
      <c r="L594" s="2" t="str">
        <f>IFERROR(__xludf.DUMMYFUNCTION("""COMPUTED_VALUE"""),"n/a")</f>
        <v>n/a</v>
      </c>
      <c r="M594" s="2" t="str">
        <f>IFERROR(__xludf.DUMMYFUNCTION("""COMPUTED_VALUE"""),"No")</f>
        <v>No</v>
      </c>
      <c r="N594" s="2"/>
      <c r="O594" s="2" t="str">
        <f>IFERROR(__xludf.DUMMYFUNCTION("""COMPUTED_VALUE"""),"n/a")</f>
        <v>n/a</v>
      </c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30.0" customHeight="1">
      <c r="A595" s="2" t="str">
        <f>IFERROR(__xludf.DUMMYFUNCTION("""COMPUTED_VALUE"""),"México")</f>
        <v>México</v>
      </c>
      <c r="B595" s="2"/>
      <c r="C595" s="3" t="str">
        <f>IFERROR(__xludf.DUMMYFUNCTION("""COMPUTED_VALUE"""),"ITESO Guadalajara")</f>
        <v>ITESO Guadalajara</v>
      </c>
      <c r="D595" s="2" t="str">
        <f>IFERROR(__xludf.DUMMYFUNCTION("""COMPUTED_VALUE"""),"Ac. Bilaterales (no Erasmus)")</f>
        <v>Ac. Bilaterales (no Erasmus)</v>
      </c>
      <c r="E595" s="2">
        <f>IFERROR(__xludf.DUMMYFUNCTION("""COMPUTED_VALUE"""),6.0)</f>
        <v>6</v>
      </c>
      <c r="F595" s="2" t="str">
        <f>IFERROR(__xludf.DUMMYFUNCTION("""COMPUTED_VALUE"""),"Semestre")</f>
        <v>Semestre</v>
      </c>
      <c r="G595" s="2" t="str">
        <f>IFERROR(__xludf.DUMMYFUNCTION("""COMPUTED_VALUE"""),"San Sebastián")</f>
        <v>San Sebastián</v>
      </c>
      <c r="H595" s="2" t="str">
        <f>IFERROR(__xludf.DUMMYFUNCTION("""COMPUTED_VALUE"""),"Deusto Business School")</f>
        <v>Deusto Business School</v>
      </c>
      <c r="I595" s="2" t="str">
        <f>IFERROR(__xludf.DUMMYFUNCTION("""COMPUTED_VALUE"""),"Administración y Dirección de Empresas")</f>
        <v>Administración y Dirección de Empresas</v>
      </c>
      <c r="J595" s="2" t="str">
        <f>IFERROR(__xludf.DUMMYFUNCTION("""COMPUTED_VALUE"""),"Grado")</f>
        <v>Grado</v>
      </c>
      <c r="K595" s="2" t="str">
        <f>IFERROR(__xludf.DUMMYFUNCTION("""COMPUTED_VALUE"""),"Español")</f>
        <v>Español</v>
      </c>
      <c r="L595" s="2" t="str">
        <f>IFERROR(__xludf.DUMMYFUNCTION("""COMPUTED_VALUE"""),"n/a")</f>
        <v>n/a</v>
      </c>
      <c r="M595" s="2" t="str">
        <f>IFERROR(__xludf.DUMMYFUNCTION("""COMPUTED_VALUE"""),"No")</f>
        <v>No</v>
      </c>
      <c r="N595" s="3" t="str">
        <f>IFERROR(__xludf.DUMMYFUNCTION("""COMPUTED_VALUE"""),"https://internacional.iteso.mx/es/visiting_students")</f>
        <v>https://internacional.iteso.mx/es/visiting_students</v>
      </c>
      <c r="O595" s="2" t="str">
        <f>IFERROR(__xludf.DUMMYFUNCTION("""COMPUTED_VALUE"""),"n/a")</f>
        <v>n/a</v>
      </c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30.0" customHeight="1">
      <c r="A596" s="2" t="str">
        <f>IFERROR(__xludf.DUMMYFUNCTION("""COMPUTED_VALUE"""),"México")</f>
        <v>México</v>
      </c>
      <c r="B596" s="2" t="str">
        <f>IFERROR(__xludf.DUMMYFUNCTION("""COMPUTED_VALUE"""),"MEX TLAQUE01")</f>
        <v>MEX TLAQUE01</v>
      </c>
      <c r="C596" s="3" t="str">
        <f>IFERROR(__xludf.DUMMYFUNCTION("""COMPUTED_VALUE"""),"ITESO Guadalajara")</f>
        <v>ITESO Guadalajara</v>
      </c>
      <c r="D596" s="2" t="str">
        <f>IFERROR(__xludf.DUMMYFUNCTION("""COMPUTED_VALUE"""),"Ac. Bilaterales (no Erasmus)")</f>
        <v>Ac. Bilaterales (no Erasmus)</v>
      </c>
      <c r="E596" s="2">
        <f>IFERROR(__xludf.DUMMYFUNCTION("""COMPUTED_VALUE"""),2.0)</f>
        <v>2</v>
      </c>
      <c r="F596" s="2" t="str">
        <f>IFERROR(__xludf.DUMMYFUNCTION("""COMPUTED_VALUE"""),"Semestre")</f>
        <v>Semestre</v>
      </c>
      <c r="G596" s="2" t="str">
        <f>IFERROR(__xludf.DUMMYFUNCTION("""COMPUTED_VALUE"""),"Ambos")</f>
        <v>Ambos</v>
      </c>
      <c r="H596" s="2" t="str">
        <f>IFERROR(__xludf.DUMMYFUNCTION("""COMPUTED_VALUE"""),"Ciencias Sociales y Humanas")</f>
        <v>Ciencias Sociales y Humanas</v>
      </c>
      <c r="I596" s="2" t="str">
        <f>IFERROR(__xludf.DUMMYFUNCTION("""COMPUTED_VALUE"""),"Trabajo Social")</f>
        <v>Trabajo Social</v>
      </c>
      <c r="J596" s="2" t="str">
        <f>IFERROR(__xludf.DUMMYFUNCTION("""COMPUTED_VALUE"""),"Grado")</f>
        <v>Grado</v>
      </c>
      <c r="K596" s="2" t="str">
        <f>IFERROR(__xludf.DUMMYFUNCTION("""COMPUTED_VALUE"""),"Inglés")</f>
        <v>Inglés</v>
      </c>
      <c r="L596" s="2" t="str">
        <f>IFERROR(__xludf.DUMMYFUNCTION("""COMPUTED_VALUE"""),"B2")</f>
        <v>B2</v>
      </c>
      <c r="M596" s="2" t="str">
        <f>IFERROR(__xludf.DUMMYFUNCTION("""COMPUTED_VALUE"""),"Sí")</f>
        <v>Sí</v>
      </c>
      <c r="N596" s="3" t="str">
        <f>IFERROR(__xludf.DUMMYFUNCTION("""COMPUTED_VALUE"""),"https://iteso.mx/en/web/general/detalle?group_id=56690")</f>
        <v>https://iteso.mx/en/web/general/detalle?group_id=56690</v>
      </c>
      <c r="O596" s="2" t="str">
        <f>IFERROR(__xludf.DUMMYFUNCTION("""COMPUTED_VALUE"""),"n/a")</f>
        <v>n/a</v>
      </c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30.0" customHeight="1">
      <c r="A597" s="2" t="str">
        <f>IFERROR(__xludf.DUMMYFUNCTION("""COMPUTED_VALUE"""),"México")</f>
        <v>México</v>
      </c>
      <c r="B597" s="2"/>
      <c r="C597" s="3" t="str">
        <f>IFERROR(__xludf.DUMMYFUNCTION("""COMPUTED_VALUE"""),"ITESO Guadalajara")</f>
        <v>ITESO Guadalajara</v>
      </c>
      <c r="D597" s="2" t="str">
        <f>IFERROR(__xludf.DUMMYFUNCTION("""COMPUTED_VALUE"""),"Ac. Bilaterales (no Erasmus)")</f>
        <v>Ac. Bilaterales (no Erasmus)</v>
      </c>
      <c r="E597" s="2">
        <f>IFERROR(__xludf.DUMMYFUNCTION("""COMPUTED_VALUE"""),5.0)</f>
        <v>5</v>
      </c>
      <c r="F597" s="2" t="str">
        <f>IFERROR(__xludf.DUMMYFUNCTION("""COMPUTED_VALUE"""),"Anual")</f>
        <v>Anual</v>
      </c>
      <c r="G597" s="2" t="str">
        <f>IFERROR(__xludf.DUMMYFUNCTION("""COMPUTED_VALUE"""),"Bilbao")</f>
        <v>Bilbao</v>
      </c>
      <c r="H597" s="2" t="str">
        <f>IFERROR(__xludf.DUMMYFUNCTION("""COMPUTED_VALUE"""),"Ciencias Sociales y Humanas")</f>
        <v>Ciencias Sociales y Humanas</v>
      </c>
      <c r="I597" s="2" t="str">
        <f>IFERROR(__xludf.DUMMYFUNCTION("""COMPUTED_VALUE"""),"Relaciones Internacionales, Relaciones Internacionales + Derecho")</f>
        <v>Relaciones Internacionales, Relaciones Internacionales + Derecho</v>
      </c>
      <c r="J597" s="2" t="str">
        <f>IFERROR(__xludf.DUMMYFUNCTION("""COMPUTED_VALUE"""),"Grado")</f>
        <v>Grado</v>
      </c>
      <c r="K597" s="2" t="str">
        <f>IFERROR(__xludf.DUMMYFUNCTION("""COMPUTED_VALUE"""),"Español")</f>
        <v>Español</v>
      </c>
      <c r="L597" s="2" t="str">
        <f>IFERROR(__xludf.DUMMYFUNCTION("""COMPUTED_VALUE"""),"n/a")</f>
        <v>n/a</v>
      </c>
      <c r="M597" s="2" t="str">
        <f>IFERROR(__xludf.DUMMYFUNCTION("""COMPUTED_VALUE"""),"No")</f>
        <v>No</v>
      </c>
      <c r="N597" s="2" t="str">
        <f>IFERROR(__xludf.DUMMYFUNCTION("""COMPUTED_VALUE"""),"n/a")</f>
        <v>n/a</v>
      </c>
      <c r="O597" s="2" t="str">
        <f>IFERROR(__xludf.DUMMYFUNCTION("""COMPUTED_VALUE"""),"n/a")</f>
        <v>n/a</v>
      </c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30.0" customHeight="1">
      <c r="A598" s="2" t="str">
        <f>IFERROR(__xludf.DUMMYFUNCTION("""COMPUTED_VALUE"""),"México")</f>
        <v>México</v>
      </c>
      <c r="B598" s="2"/>
      <c r="C598" s="3" t="str">
        <f>IFERROR(__xludf.DUMMYFUNCTION("""COMPUTED_VALUE"""),"ITESO Guadalajara")</f>
        <v>ITESO Guadalajara</v>
      </c>
      <c r="D598" s="2" t="str">
        <f>IFERROR(__xludf.DUMMYFUNCTION("""COMPUTED_VALUE"""),"Ac. Bilaterales (no Erasmus)")</f>
        <v>Ac. Bilaterales (no Erasmus)</v>
      </c>
      <c r="E598" s="2">
        <f>IFERROR(__xludf.DUMMYFUNCTION("""COMPUTED_VALUE"""),2.0)</f>
        <v>2</v>
      </c>
      <c r="F598" s="2" t="str">
        <f>IFERROR(__xludf.DUMMYFUNCTION("""COMPUTED_VALUE"""),"Semestre")</f>
        <v>Semestre</v>
      </c>
      <c r="G598" s="2" t="str">
        <f>IFERROR(__xludf.DUMMYFUNCTION("""COMPUTED_VALUE"""),"Ambos")</f>
        <v>Ambos</v>
      </c>
      <c r="H598" s="2" t="str">
        <f>IFERROR(__xludf.DUMMYFUNCTION("""COMPUTED_VALUE"""),"Ingeniería")</f>
        <v>Ingeniería</v>
      </c>
      <c r="I598" s="2" t="str">
        <f>IFERROR(__xludf.DUMMYFUNCTION("""COMPUTED_VALUE"""),"Ciencia de Datos e IA")</f>
        <v>Ciencia de Datos e IA</v>
      </c>
      <c r="J598" s="2" t="str">
        <f>IFERROR(__xludf.DUMMYFUNCTION("""COMPUTED_VALUE"""),"Grado")</f>
        <v>Grado</v>
      </c>
      <c r="K598" s="2" t="str">
        <f>IFERROR(__xludf.DUMMYFUNCTION("""COMPUTED_VALUE"""),"Español")</f>
        <v>Español</v>
      </c>
      <c r="L598" s="2" t="str">
        <f>IFERROR(__xludf.DUMMYFUNCTION("""COMPUTED_VALUE"""),"n/a")</f>
        <v>n/a</v>
      </c>
      <c r="M598" s="2" t="str">
        <f>IFERROR(__xludf.DUMMYFUNCTION("""COMPUTED_VALUE"""),"No")</f>
        <v>No</v>
      </c>
      <c r="N598" s="2" t="str">
        <f>IFERROR(__xludf.DUMMYFUNCTION("""COMPUTED_VALUE"""),"n/a")</f>
        <v>n/a</v>
      </c>
      <c r="O598" s="2" t="str">
        <f>IFERROR(__xludf.DUMMYFUNCTION("""COMPUTED_VALUE"""),"n/a")</f>
        <v>n/a</v>
      </c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30.0" customHeight="1">
      <c r="A599" s="2" t="str">
        <f>IFERROR(__xludf.DUMMYFUNCTION("""COMPUTED_VALUE"""),"México")</f>
        <v>México</v>
      </c>
      <c r="B599" s="2" t="str">
        <f>IFERROR(__xludf.DUMMYFUNCTION("""COMPUTED_VALUE"""),"MEXMERIDA01")</f>
        <v>MEXMERIDA01</v>
      </c>
      <c r="C599" s="3" t="str">
        <f>IFERROR(__xludf.DUMMYFUNCTION("""COMPUTED_VALUE"""),"Universidad Autónoma de Yucatán")</f>
        <v>Universidad Autónoma de Yucatán</v>
      </c>
      <c r="D599" s="2" t="str">
        <f>IFERROR(__xludf.DUMMYFUNCTION("""COMPUTED_VALUE"""),"Ac. Bilaterales (no Erasmus)")</f>
        <v>Ac. Bilaterales (no Erasmus)</v>
      </c>
      <c r="E599" s="2">
        <f>IFERROR(__xludf.DUMMYFUNCTION("""COMPUTED_VALUE"""),2.0)</f>
        <v>2</v>
      </c>
      <c r="F599" s="2" t="str">
        <f>IFERROR(__xludf.DUMMYFUNCTION("""COMPUTED_VALUE"""),"Anual")</f>
        <v>Anual</v>
      </c>
      <c r="G599" s="2" t="str">
        <f>IFERROR(__xludf.DUMMYFUNCTION("""COMPUTED_VALUE"""),"Bilbao")</f>
        <v>Bilbao</v>
      </c>
      <c r="H599" s="2" t="str">
        <f>IFERROR(__xludf.DUMMYFUNCTION("""COMPUTED_VALUE"""),"Ciencias de la Salud")</f>
        <v>Ciencias de la Salud</v>
      </c>
      <c r="I599" s="2" t="str">
        <f>IFERROR(__xludf.DUMMYFUNCTION("""COMPUTED_VALUE"""),"Psicología")</f>
        <v>Psicología</v>
      </c>
      <c r="J599" s="2" t="str">
        <f>IFERROR(__xludf.DUMMYFUNCTION("""COMPUTED_VALUE"""),"Grado")</f>
        <v>Grado</v>
      </c>
      <c r="K599" s="2" t="str">
        <f>IFERROR(__xludf.DUMMYFUNCTION("""COMPUTED_VALUE"""),"Español")</f>
        <v>Español</v>
      </c>
      <c r="L599" s="2" t="str">
        <f>IFERROR(__xludf.DUMMYFUNCTION("""COMPUTED_VALUE"""),"n/a")</f>
        <v>n/a</v>
      </c>
      <c r="M599" s="2" t="str">
        <f>IFERROR(__xludf.DUMMYFUNCTION("""COMPUTED_VALUE"""),"No")</f>
        <v>No</v>
      </c>
      <c r="N599" s="2" t="str">
        <f>IFERROR(__xludf.DUMMYFUNCTION("""COMPUTED_VALUE"""),"n/a")</f>
        <v>n/a</v>
      </c>
      <c r="O599" s="3" t="str">
        <f>IFERROR(__xludf.DUMMYFUNCTION("""COMPUTED_VALUE"""),"Más información / Informazio gehigarria")</f>
        <v>Más información / Informazio gehigarria</v>
      </c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30.0" customHeight="1">
      <c r="A600" s="2" t="str">
        <f>IFERROR(__xludf.DUMMYFUNCTION("""COMPUTED_VALUE"""),"México")</f>
        <v>México</v>
      </c>
      <c r="B600" s="2" t="str">
        <f>IFERROR(__xludf.DUMMYFUNCTION("""COMPUTED_VALUE"""),"MEX MEXICO04")</f>
        <v>MEX MEXICO04</v>
      </c>
      <c r="C600" s="3" t="str">
        <f>IFERROR(__xludf.DUMMYFUNCTION("""COMPUTED_VALUE"""),"Universidad Autónoma del Estado de México")</f>
        <v>Universidad Autónoma del Estado de México</v>
      </c>
      <c r="D600" s="2" t="str">
        <f>IFERROR(__xludf.DUMMYFUNCTION("""COMPUTED_VALUE"""),"Ac. Bilaterales (no Erasmus)")</f>
        <v>Ac. Bilaterales (no Erasmus)</v>
      </c>
      <c r="E600" s="2">
        <f>IFERROR(__xludf.DUMMYFUNCTION("""COMPUTED_VALUE"""),2.0)</f>
        <v>2</v>
      </c>
      <c r="F600" s="2" t="str">
        <f>IFERROR(__xludf.DUMMYFUNCTION("""COMPUTED_VALUE"""),"Anual")</f>
        <v>Anual</v>
      </c>
      <c r="G600" s="2" t="str">
        <f>IFERROR(__xludf.DUMMYFUNCTION("""COMPUTED_VALUE"""),"Bilbao")</f>
        <v>Bilbao</v>
      </c>
      <c r="H600" s="2" t="str">
        <f>IFERROR(__xludf.DUMMYFUNCTION("""COMPUTED_VALUE"""),"Ciencias de la Salud")</f>
        <v>Ciencias de la Salud</v>
      </c>
      <c r="I600" s="2" t="str">
        <f>IFERROR(__xludf.DUMMYFUNCTION("""COMPUTED_VALUE"""),"Psicología")</f>
        <v>Psicología</v>
      </c>
      <c r="J600" s="2" t="str">
        <f>IFERROR(__xludf.DUMMYFUNCTION("""COMPUTED_VALUE"""),"Grado")</f>
        <v>Grado</v>
      </c>
      <c r="K600" s="2" t="str">
        <f>IFERROR(__xludf.DUMMYFUNCTION("""COMPUTED_VALUE"""),"Español")</f>
        <v>Español</v>
      </c>
      <c r="L600" s="2" t="str">
        <f>IFERROR(__xludf.DUMMYFUNCTION("""COMPUTED_VALUE"""),"n/a")</f>
        <v>n/a</v>
      </c>
      <c r="M600" s="2" t="str">
        <f>IFERROR(__xludf.DUMMYFUNCTION("""COMPUTED_VALUE"""),"No")</f>
        <v>No</v>
      </c>
      <c r="N600" s="2" t="str">
        <f>IFERROR(__xludf.DUMMYFUNCTION("""COMPUTED_VALUE"""),"n/a")</f>
        <v>n/a</v>
      </c>
      <c r="O600" s="3" t="str">
        <f>IFERROR(__xludf.DUMMYFUNCTION("""COMPUTED_VALUE"""),"Más información / Informazio gehigarria")</f>
        <v>Más información / Informazio gehigarria</v>
      </c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30.0" customHeight="1">
      <c r="A601" s="2" t="str">
        <f>IFERROR(__xludf.DUMMYFUNCTION("""COMPUTED_VALUE"""),"México")</f>
        <v>México</v>
      </c>
      <c r="B601" s="2" t="str">
        <f>IFERROR(__xludf.DUMMYFUNCTION("""COMPUTED_VALUE"""),"MEX MEXICO04")</f>
        <v>MEX MEXICO04</v>
      </c>
      <c r="C601" s="3" t="str">
        <f>IFERROR(__xludf.DUMMYFUNCTION("""COMPUTED_VALUE"""),"Universidad Autónoma del Estado de México")</f>
        <v>Universidad Autónoma del Estado de México</v>
      </c>
      <c r="D601" s="2" t="str">
        <f>IFERROR(__xludf.DUMMYFUNCTION("""COMPUTED_VALUE"""),"Ac. Bilaterales (no Erasmus)")</f>
        <v>Ac. Bilaterales (no Erasmus)</v>
      </c>
      <c r="E601" s="2">
        <f>IFERROR(__xludf.DUMMYFUNCTION("""COMPUTED_VALUE"""),2.0)</f>
        <v>2</v>
      </c>
      <c r="F601" s="2" t="str">
        <f>IFERROR(__xludf.DUMMYFUNCTION("""COMPUTED_VALUE"""),"Semestre")</f>
        <v>Semestre</v>
      </c>
      <c r="G601" s="2" t="str">
        <f>IFERROR(__xludf.DUMMYFUNCTION("""COMPUTED_VALUE"""),"Ambos")</f>
        <v>Ambos</v>
      </c>
      <c r="H601" s="2" t="str">
        <f>IFERROR(__xludf.DUMMYFUNCTION("""COMPUTED_VALUE"""),"Ciencias Sociales y Humanas")</f>
        <v>Ciencias Sociales y Humanas</v>
      </c>
      <c r="I601" s="2" t="str">
        <f>IFERROR(__xludf.DUMMYFUNCTION("""COMPUTED_VALUE"""),"Trabajo Social")</f>
        <v>Trabajo Social</v>
      </c>
      <c r="J601" s="2" t="str">
        <f>IFERROR(__xludf.DUMMYFUNCTION("""COMPUTED_VALUE"""),"Grado")</f>
        <v>Grado</v>
      </c>
      <c r="K601" s="2" t="str">
        <f>IFERROR(__xludf.DUMMYFUNCTION("""COMPUTED_VALUE"""),"Español")</f>
        <v>Español</v>
      </c>
      <c r="L601" s="2" t="str">
        <f>IFERROR(__xludf.DUMMYFUNCTION("""COMPUTED_VALUE"""),"n/a")</f>
        <v>n/a</v>
      </c>
      <c r="M601" s="2" t="str">
        <f>IFERROR(__xludf.DUMMYFUNCTION("""COMPUTED_VALUE"""),"No")</f>
        <v>No</v>
      </c>
      <c r="N601" s="3" t="str">
        <f>IFERROR(__xludf.DUMMYFUNCTION("""COMPUTED_VALUE"""),"https://www.uaemex.mx/#")</f>
        <v>https://www.uaemex.mx/#</v>
      </c>
      <c r="O601" s="3" t="str">
        <f>IFERROR(__xludf.DUMMYFUNCTION("""COMPUTED_VALUE"""),"Más información / Informazio gehigarria")</f>
        <v>Más información / Informazio gehigarria</v>
      </c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30.0" customHeight="1">
      <c r="A602" s="2" t="str">
        <f>IFERROR(__xludf.DUMMYFUNCTION("""COMPUTED_VALUE"""),"México")</f>
        <v>México</v>
      </c>
      <c r="B602" s="2" t="str">
        <f>IFERROR(__xludf.DUMMYFUNCTION("""COMPUTED_VALUE"""),"MEX OAX01")</f>
        <v>MEX OAX01</v>
      </c>
      <c r="C602" s="3" t="str">
        <f>IFERROR(__xludf.DUMMYFUNCTION("""COMPUTED_VALUE"""),"Universidad de Anáhuac")</f>
        <v>Universidad de Anáhuac</v>
      </c>
      <c r="D602" s="2" t="str">
        <f>IFERROR(__xludf.DUMMYFUNCTION("""COMPUTED_VALUE"""),"Ac. Bilaterales (no Erasmus)")</f>
        <v>Ac. Bilaterales (no Erasmus)</v>
      </c>
      <c r="E602" s="2">
        <f>IFERROR(__xludf.DUMMYFUNCTION("""COMPUTED_VALUE"""),2.0)</f>
        <v>2</v>
      </c>
      <c r="F602" s="2" t="str">
        <f>IFERROR(__xludf.DUMMYFUNCTION("""COMPUTED_VALUE"""),"Semestre")</f>
        <v>Semestre</v>
      </c>
      <c r="G602" s="2" t="str">
        <f>IFERROR(__xludf.DUMMYFUNCTION("""COMPUTED_VALUE"""),"Bilbao")</f>
        <v>Bilbao</v>
      </c>
      <c r="H602" s="2" t="str">
        <f>IFERROR(__xludf.DUMMYFUNCTION("""COMPUTED_VALUE"""),"Derecho")</f>
        <v>Derecho</v>
      </c>
      <c r="I602" s="2" t="str">
        <f>IFERROR(__xludf.DUMMYFUNCTION("""COMPUTED_VALUE"""),"Derecho, Derecho + Relaciones Laborales")</f>
        <v>Derecho, Derecho + Relaciones Laborales</v>
      </c>
      <c r="J602" s="2" t="str">
        <f>IFERROR(__xludf.DUMMYFUNCTION("""COMPUTED_VALUE"""),"Grado")</f>
        <v>Grado</v>
      </c>
      <c r="K602" s="2" t="str">
        <f>IFERROR(__xludf.DUMMYFUNCTION("""COMPUTED_VALUE"""),"Español")</f>
        <v>Español</v>
      </c>
      <c r="L602" s="2" t="str">
        <f>IFERROR(__xludf.DUMMYFUNCTION("""COMPUTED_VALUE"""),"n/a")</f>
        <v>n/a</v>
      </c>
      <c r="M602" s="2" t="str">
        <f>IFERROR(__xludf.DUMMYFUNCTION("""COMPUTED_VALUE"""),"No")</f>
        <v>No</v>
      </c>
      <c r="N602" s="3" t="str">
        <f>IFERROR(__xludf.DUMMYFUNCTION("""COMPUTED_VALUE"""),"https://www.anahuac.mx/movilidad")</f>
        <v>https://www.anahuac.mx/movilidad</v>
      </c>
      <c r="O602" s="3" t="str">
        <f>IFERROR(__xludf.DUMMYFUNCTION("""COMPUTED_VALUE"""),"Más información / Informazio gehigarria")</f>
        <v>Más información / Informazio gehigarria</v>
      </c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30.0" customHeight="1">
      <c r="A603" s="2" t="str">
        <f>IFERROR(__xludf.DUMMYFUNCTION("""COMPUTED_VALUE"""),"México")</f>
        <v>México</v>
      </c>
      <c r="B603" s="2" t="str">
        <f>IFERROR(__xludf.DUMMYFUNCTION("""COMPUTED_VALUE"""),"MEX OAX01")</f>
        <v>MEX OAX01</v>
      </c>
      <c r="C603" s="3" t="str">
        <f>IFERROR(__xludf.DUMMYFUNCTION("""COMPUTED_VALUE"""),"Universidad de Anáhuac")</f>
        <v>Universidad de Anáhuac</v>
      </c>
      <c r="D603" s="2" t="str">
        <f>IFERROR(__xludf.DUMMYFUNCTION("""COMPUTED_VALUE"""),"Ac. Bilaterales (no Erasmus)")</f>
        <v>Ac. Bilaterales (no Erasmus)</v>
      </c>
      <c r="E603" s="2">
        <f>IFERROR(__xludf.DUMMYFUNCTION("""COMPUTED_VALUE"""),5.0)</f>
        <v>5</v>
      </c>
      <c r="F603" s="2" t="str">
        <f>IFERROR(__xludf.DUMMYFUNCTION("""COMPUTED_VALUE"""),"Semestre")</f>
        <v>Semestre</v>
      </c>
      <c r="G603" s="2" t="str">
        <f>IFERROR(__xludf.DUMMYFUNCTION("""COMPUTED_VALUE"""),"Bilbao")</f>
        <v>Bilbao</v>
      </c>
      <c r="H603" s="2" t="str">
        <f>IFERROR(__xludf.DUMMYFUNCTION("""COMPUTED_VALUE"""),"Begoñako Andramari, BAM")</f>
        <v>Begoñako Andramari, BAM</v>
      </c>
      <c r="I603" s="2" t="str">
        <f>IFERROR(__xludf.DUMMYFUNCTION("""COMPUTED_VALUE"""),"Educación Primaria, Educación Infantil")</f>
        <v>Educación Primaria, Educación Infantil</v>
      </c>
      <c r="J603" s="2" t="str">
        <f>IFERROR(__xludf.DUMMYFUNCTION("""COMPUTED_VALUE"""),"Grado")</f>
        <v>Grado</v>
      </c>
      <c r="K603" s="2" t="str">
        <f>IFERROR(__xludf.DUMMYFUNCTION("""COMPUTED_VALUE"""),"Español")</f>
        <v>Español</v>
      </c>
      <c r="L603" s="2" t="str">
        <f>IFERROR(__xludf.DUMMYFUNCTION("""COMPUTED_VALUE"""),"n/a")</f>
        <v>n/a</v>
      </c>
      <c r="M603" s="2" t="str">
        <f>IFERROR(__xludf.DUMMYFUNCTION("""COMPUTED_VALUE"""),"No")</f>
        <v>No</v>
      </c>
      <c r="N603" s="2" t="str">
        <f>IFERROR(__xludf.DUMMYFUNCTION("""COMPUTED_VALUE"""),"n/a")</f>
        <v>n/a</v>
      </c>
      <c r="O603" s="3" t="str">
        <f>IFERROR(__xludf.DUMMYFUNCTION("""COMPUTED_VALUE"""),"Más información / Informazio gehigarria")</f>
        <v>Más información / Informazio gehigarria</v>
      </c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30.0" customHeight="1">
      <c r="A604" s="2" t="str">
        <f>IFERROR(__xludf.DUMMYFUNCTION("""COMPUTED_VALUE"""),"México")</f>
        <v>México</v>
      </c>
      <c r="B604" s="2" t="str">
        <f>IFERROR(__xludf.DUMMYFUNCTION("""COMPUTED_VALUE"""),"MEXGUADAL01")</f>
        <v>MEXGUADAL01</v>
      </c>
      <c r="C604" s="3" t="str">
        <f>IFERROR(__xludf.DUMMYFUNCTION("""COMPUTED_VALUE"""),"Universidad de Guadalajara")</f>
        <v>Universidad de Guadalajara</v>
      </c>
      <c r="D604" s="2" t="str">
        <f>IFERROR(__xludf.DUMMYFUNCTION("""COMPUTED_VALUE"""),"Ac. Bilaterales (no Erasmus)")</f>
        <v>Ac. Bilaterales (no Erasmus)</v>
      </c>
      <c r="E604" s="2">
        <f>IFERROR(__xludf.DUMMYFUNCTION("""COMPUTED_VALUE"""),2.0)</f>
        <v>2</v>
      </c>
      <c r="F604" s="2" t="str">
        <f>IFERROR(__xludf.DUMMYFUNCTION("""COMPUTED_VALUE"""),"Semestre")</f>
        <v>Semestre</v>
      </c>
      <c r="G604" s="2" t="str">
        <f>IFERROR(__xludf.DUMMYFUNCTION("""COMPUTED_VALUE"""),"Bilbao")</f>
        <v>Bilbao</v>
      </c>
      <c r="H604" s="2" t="str">
        <f>IFERROR(__xludf.DUMMYFUNCTION("""COMPUTED_VALUE"""),"Begoñako Andramari, BAM")</f>
        <v>Begoñako Andramari, BAM</v>
      </c>
      <c r="I604" s="2" t="str">
        <f>IFERROR(__xludf.DUMMYFUNCTION("""COMPUTED_VALUE"""),"Educación Primaria, Educación Infantil")</f>
        <v>Educación Primaria, Educación Infantil</v>
      </c>
      <c r="J604" s="2" t="str">
        <f>IFERROR(__xludf.DUMMYFUNCTION("""COMPUTED_VALUE"""),"Grado")</f>
        <v>Grado</v>
      </c>
      <c r="K604" s="2" t="str">
        <f>IFERROR(__xludf.DUMMYFUNCTION("""COMPUTED_VALUE"""),"Español")</f>
        <v>Español</v>
      </c>
      <c r="L604" s="2" t="str">
        <f>IFERROR(__xludf.DUMMYFUNCTION("""COMPUTED_VALUE"""),"n/a")</f>
        <v>n/a</v>
      </c>
      <c r="M604" s="2" t="str">
        <f>IFERROR(__xludf.DUMMYFUNCTION("""COMPUTED_VALUE"""),"No")</f>
        <v>No</v>
      </c>
      <c r="N604" s="2" t="str">
        <f>IFERROR(__xludf.DUMMYFUNCTION("""COMPUTED_VALUE"""),"n/a")</f>
        <v>n/a</v>
      </c>
      <c r="O604" s="3" t="str">
        <f>IFERROR(__xludf.DUMMYFUNCTION("""COMPUTED_VALUE"""),"Más información / Informazio gehigarria")</f>
        <v>Más información / Informazio gehigarria</v>
      </c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30.0" customHeight="1">
      <c r="A605" s="2" t="str">
        <f>IFERROR(__xludf.DUMMYFUNCTION("""COMPUTED_VALUE"""),"México")</f>
        <v>México</v>
      </c>
      <c r="B605" s="2" t="str">
        <f>IFERROR(__xludf.DUMMYFUNCTION("""COMPUTED_VALUE"""),"MEXMEXICO01")</f>
        <v>MEXMEXICO01</v>
      </c>
      <c r="C605" s="3" t="str">
        <f>IFERROR(__xludf.DUMMYFUNCTION("""COMPUTED_VALUE"""),"Universidad Iberoamericana Ciudad de Mexico")</f>
        <v>Universidad Iberoamericana Ciudad de Mexico</v>
      </c>
      <c r="D605" s="2" t="str">
        <f>IFERROR(__xludf.DUMMYFUNCTION("""COMPUTED_VALUE"""),"Ac. Bilaterales (no Erasmus)")</f>
        <v>Ac. Bilaterales (no Erasmus)</v>
      </c>
      <c r="E605" s="2">
        <f>IFERROR(__xludf.DUMMYFUNCTION("""COMPUTED_VALUE"""),2.0)</f>
        <v>2</v>
      </c>
      <c r="F605" s="2" t="str">
        <f>IFERROR(__xludf.DUMMYFUNCTION("""COMPUTED_VALUE"""),"Semestre")</f>
        <v>Semestre</v>
      </c>
      <c r="G605" s="2" t="str">
        <f>IFERROR(__xludf.DUMMYFUNCTION("""COMPUTED_VALUE"""),"Ambos")</f>
        <v>Ambos</v>
      </c>
      <c r="H605" s="2" t="str">
        <f>IFERROR(__xludf.DUMMYFUNCTION("""COMPUTED_VALUE"""),"Educación y Deporte")</f>
        <v>Educación y Deporte</v>
      </c>
      <c r="I605" s="2" t="str">
        <f>IFERROR(__xludf.DUMMYFUNCTION("""COMPUTED_VALUE"""),"Educación Primaria")</f>
        <v>Educación Primaria</v>
      </c>
      <c r="J605" s="2" t="str">
        <f>IFERROR(__xludf.DUMMYFUNCTION("""COMPUTED_VALUE"""),"Grado")</f>
        <v>Grado</v>
      </c>
      <c r="K605" s="2" t="str">
        <f>IFERROR(__xludf.DUMMYFUNCTION("""COMPUTED_VALUE"""),"Español")</f>
        <v>Español</v>
      </c>
      <c r="L605" s="2" t="str">
        <f>IFERROR(__xludf.DUMMYFUNCTION("""COMPUTED_VALUE"""),"n/a")</f>
        <v>n/a</v>
      </c>
      <c r="M605" s="2" t="str">
        <f>IFERROR(__xludf.DUMMYFUNCTION("""COMPUTED_VALUE"""),"No")</f>
        <v>No</v>
      </c>
      <c r="N605" s="3" t="str">
        <f>IFERROR(__xludf.DUMMYFUNCTION("""COMPUTED_VALUE"""),"https://internacional.ibero.mx/en/incoming-students/?_ga=2.61887724.1315224387.1729753695-1141839035.1729753695")</f>
        <v>https://internacional.ibero.mx/en/incoming-students/?_ga=2.61887724.1315224387.1729753695-1141839035.1729753695</v>
      </c>
      <c r="O605" s="3" t="str">
        <f>IFERROR(__xludf.DUMMYFUNCTION("""COMPUTED_VALUE"""),"Más información / Informazio gehigarria")</f>
        <v>Más información / Informazio gehigarria</v>
      </c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30.0" customHeight="1">
      <c r="A606" s="2" t="str">
        <f>IFERROR(__xludf.DUMMYFUNCTION("""COMPUTED_VALUE"""),"México")</f>
        <v>México</v>
      </c>
      <c r="B606" s="2" t="str">
        <f>IFERROR(__xludf.DUMMYFUNCTION("""COMPUTED_VALUE"""),"MEXPUEBLA01")</f>
        <v>MEXPUEBLA01</v>
      </c>
      <c r="C606" s="3" t="str">
        <f>IFERROR(__xludf.DUMMYFUNCTION("""COMPUTED_VALUE"""),"Universidad Iberoamericana de la Puebla")</f>
        <v>Universidad Iberoamericana de la Puebla</v>
      </c>
      <c r="D606" s="2" t="str">
        <f>IFERROR(__xludf.DUMMYFUNCTION("""COMPUTED_VALUE"""),"Ac. Bilaterales (no Erasmus)")</f>
        <v>Ac. Bilaterales (no Erasmus)</v>
      </c>
      <c r="E606" s="2">
        <f>IFERROR(__xludf.DUMMYFUNCTION("""COMPUTED_VALUE"""),2.0)</f>
        <v>2</v>
      </c>
      <c r="F606" s="2" t="str">
        <f>IFERROR(__xludf.DUMMYFUNCTION("""COMPUTED_VALUE"""),"Semestre")</f>
        <v>Semestre</v>
      </c>
      <c r="G606" s="2" t="str">
        <f>IFERROR(__xludf.DUMMYFUNCTION("""COMPUTED_VALUE"""),"Bilbao")</f>
        <v>Bilbao</v>
      </c>
      <c r="H606" s="2" t="str">
        <f>IFERROR(__xludf.DUMMYFUNCTION("""COMPUTED_VALUE"""),"Ingeniería")</f>
        <v>Ingeniería</v>
      </c>
      <c r="I606" s="2" t="str">
        <f>IFERROR(__xludf.DUMMYFUNCTION("""COMPUTED_VALUE"""),"Tecnologías Industriales, Ingeniería Mecánica, Electrónica y Automática, Organización Industrial, Diseño Industrial, Industria Digital, Diseño Industrial + Ingeniería Mecánica")</f>
        <v>Tecnologías Industriales, Ingeniería Mecánica, Electrónica y Automática, Organización Industrial, Diseño Industrial, Industria Digital, Diseño Industrial + Ingeniería Mecánica</v>
      </c>
      <c r="J606" s="2" t="str">
        <f>IFERROR(__xludf.DUMMYFUNCTION("""COMPUTED_VALUE"""),"Grado")</f>
        <v>Grado</v>
      </c>
      <c r="K606" s="2" t="str">
        <f>IFERROR(__xludf.DUMMYFUNCTION("""COMPUTED_VALUE"""),"Español")</f>
        <v>Español</v>
      </c>
      <c r="L606" s="2" t="str">
        <f>IFERROR(__xludf.DUMMYFUNCTION("""COMPUTED_VALUE"""),"n/a")</f>
        <v>n/a</v>
      </c>
      <c r="M606" s="2" t="str">
        <f>IFERROR(__xludf.DUMMYFUNCTION("""COMPUTED_VALUE"""),"No")</f>
        <v>No</v>
      </c>
      <c r="N606" s="2" t="str">
        <f>IFERROR(__xludf.DUMMYFUNCTION("""COMPUTED_VALUE"""),"n/a")</f>
        <v>n/a</v>
      </c>
      <c r="O606" s="3" t="str">
        <f>IFERROR(__xludf.DUMMYFUNCTION("""COMPUTED_VALUE"""),"Más información / Informazio gehigarria")</f>
        <v>Más información / Informazio gehigarria</v>
      </c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30.0" customHeight="1">
      <c r="A607" s="2" t="str">
        <f>IFERROR(__xludf.DUMMYFUNCTION("""COMPUTED_VALUE"""),"México")</f>
        <v>México</v>
      </c>
      <c r="B607" s="2" t="str">
        <f>IFERROR(__xludf.DUMMYFUNCTION("""COMPUTED_VALUE"""),"MEXPUEBLA01")</f>
        <v>MEXPUEBLA01</v>
      </c>
      <c r="C607" s="3" t="str">
        <f>IFERROR(__xludf.DUMMYFUNCTION("""COMPUTED_VALUE"""),"Universidad Iberoamericana de la Puebla")</f>
        <v>Universidad Iberoamericana de la Puebla</v>
      </c>
      <c r="D607" s="2" t="str">
        <f>IFERROR(__xludf.DUMMYFUNCTION("""COMPUTED_VALUE"""),"Ac. Bilaterales (no Erasmus)")</f>
        <v>Ac. Bilaterales (no Erasmus)</v>
      </c>
      <c r="E607" s="2">
        <f>IFERROR(__xludf.DUMMYFUNCTION("""COMPUTED_VALUE"""),2.0)</f>
        <v>2</v>
      </c>
      <c r="F607" s="2" t="str">
        <f>IFERROR(__xludf.DUMMYFUNCTION("""COMPUTED_VALUE"""),"Semestre")</f>
        <v>Semestre</v>
      </c>
      <c r="G607" s="2" t="str">
        <f>IFERROR(__xludf.DUMMYFUNCTION("""COMPUTED_VALUE"""),"Ambos")</f>
        <v>Ambos</v>
      </c>
      <c r="H607" s="2" t="str">
        <f>IFERROR(__xludf.DUMMYFUNCTION("""COMPUTED_VALUE"""),"Ciencias Sociales y Humanas")</f>
        <v>Ciencias Sociales y Humanas</v>
      </c>
      <c r="I607" s="2" t="str">
        <f>IFERROR(__xludf.DUMMYFUNCTION("""COMPUTED_VALUE"""),"Trabajo Social")</f>
        <v>Trabajo Social</v>
      </c>
      <c r="J607" s="2" t="str">
        <f>IFERROR(__xludf.DUMMYFUNCTION("""COMPUTED_VALUE"""),"Grado")</f>
        <v>Grado</v>
      </c>
      <c r="K607" s="2" t="str">
        <f>IFERROR(__xludf.DUMMYFUNCTION("""COMPUTED_VALUE"""),"Español")</f>
        <v>Español</v>
      </c>
      <c r="L607" s="2" t="str">
        <f>IFERROR(__xludf.DUMMYFUNCTION("""COMPUTED_VALUE"""),"n/a")</f>
        <v>n/a</v>
      </c>
      <c r="M607" s="2" t="str">
        <f>IFERROR(__xludf.DUMMYFUNCTION("""COMPUTED_VALUE"""),"No")</f>
        <v>No</v>
      </c>
      <c r="N607" s="3" t="str">
        <f>IFERROR(__xludf.DUMMYFUNCTION("""COMPUTED_VALUE"""),"https://www.iberopuebla.mx/")</f>
        <v>https://www.iberopuebla.mx/</v>
      </c>
      <c r="O607" s="3" t="str">
        <f>IFERROR(__xludf.DUMMYFUNCTION("""COMPUTED_VALUE"""),"Más información / Informazio gehigarria")</f>
        <v>Más información / Informazio gehigarria</v>
      </c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30.0" customHeight="1">
      <c r="A608" s="2" t="str">
        <f>IFERROR(__xludf.DUMMYFUNCTION("""COMPUTED_VALUE"""),"México")</f>
        <v>México</v>
      </c>
      <c r="B608" s="2" t="str">
        <f>IFERROR(__xludf.DUMMYFUNCTION("""COMPUTED_VALUE"""),"MEXPUEBLA01")</f>
        <v>MEXPUEBLA01</v>
      </c>
      <c r="C608" s="3" t="str">
        <f>IFERROR(__xludf.DUMMYFUNCTION("""COMPUTED_VALUE"""),"Universidad Iberoamericana de la Puebla")</f>
        <v>Universidad Iberoamericana de la Puebla</v>
      </c>
      <c r="D608" s="2" t="str">
        <f>IFERROR(__xludf.DUMMYFUNCTION("""COMPUTED_VALUE"""),"Ac. Bilaterales (no Erasmus)")</f>
        <v>Ac. Bilaterales (no Erasmus)</v>
      </c>
      <c r="E608" s="2">
        <f>IFERROR(__xludf.DUMMYFUNCTION("""COMPUTED_VALUE"""),2.0)</f>
        <v>2</v>
      </c>
      <c r="F608" s="2" t="str">
        <f>IFERROR(__xludf.DUMMYFUNCTION("""COMPUTED_VALUE"""),"Semestre")</f>
        <v>Semestre</v>
      </c>
      <c r="G608" s="2" t="str">
        <f>IFERROR(__xludf.DUMMYFUNCTION("""COMPUTED_VALUE"""),"San Sebastián")</f>
        <v>San Sebastián</v>
      </c>
      <c r="H608" s="2" t="str">
        <f>IFERROR(__xludf.DUMMYFUNCTION("""COMPUTED_VALUE"""),"Ciencias Sociales y Humanas")</f>
        <v>Ciencias Sociales y Humanas</v>
      </c>
      <c r="I608" s="2" t="str">
        <f>IFERROR(__xludf.DUMMYFUNCTION("""COMPUTED_VALUE"""),"Comunicación")</f>
        <v>Comunicación</v>
      </c>
      <c r="J608" s="2" t="str">
        <f>IFERROR(__xludf.DUMMYFUNCTION("""COMPUTED_VALUE"""),"Grado")</f>
        <v>Grado</v>
      </c>
      <c r="K608" s="2" t="str">
        <f>IFERROR(__xludf.DUMMYFUNCTION("""COMPUTED_VALUE"""),"Español")</f>
        <v>Español</v>
      </c>
      <c r="L608" s="2" t="str">
        <f>IFERROR(__xludf.DUMMYFUNCTION("""COMPUTED_VALUE"""),"n/a")</f>
        <v>n/a</v>
      </c>
      <c r="M608" s="2" t="str">
        <f>IFERROR(__xludf.DUMMYFUNCTION("""COMPUTED_VALUE"""),"No")</f>
        <v>No</v>
      </c>
      <c r="N608" s="3" t="str">
        <f>IFERROR(__xludf.DUMMYFUNCTION("""COMPUTED_VALUE"""),"https://www.iberopuebla.mx/")</f>
        <v>https://www.iberopuebla.mx/</v>
      </c>
      <c r="O608" s="3" t="str">
        <f>IFERROR(__xludf.DUMMYFUNCTION("""COMPUTED_VALUE"""),"Más información / Informazio gehigarria")</f>
        <v>Más información / Informazio gehigarria</v>
      </c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30.0" customHeight="1">
      <c r="A609" s="2" t="str">
        <f>IFERROR(__xludf.DUMMYFUNCTION("""COMPUTED_VALUE"""),"México")</f>
        <v>México</v>
      </c>
      <c r="B609" s="2" t="str">
        <f>IFERROR(__xludf.DUMMYFUNCTION("""COMPUTED_VALUE"""),"MEXPUEBLA01")</f>
        <v>MEXPUEBLA01</v>
      </c>
      <c r="C609" s="3" t="str">
        <f>IFERROR(__xludf.DUMMYFUNCTION("""COMPUTED_VALUE"""),"Universidad Iberoamericana de la Puebla")</f>
        <v>Universidad Iberoamericana de la Puebla</v>
      </c>
      <c r="D609" s="2" t="str">
        <f>IFERROR(__xludf.DUMMYFUNCTION("""COMPUTED_VALUE"""),"Ac. Bilaterales (no Erasmus)")</f>
        <v>Ac. Bilaterales (no Erasmus)</v>
      </c>
      <c r="E609" s="2">
        <f>IFERROR(__xludf.DUMMYFUNCTION("""COMPUTED_VALUE"""),2.0)</f>
        <v>2</v>
      </c>
      <c r="F609" s="2" t="str">
        <f>IFERROR(__xludf.DUMMYFUNCTION("""COMPUTED_VALUE"""),"Semestre")</f>
        <v>Semestre</v>
      </c>
      <c r="G609" s="2" t="str">
        <f>IFERROR(__xludf.DUMMYFUNCTION("""COMPUTED_VALUE"""),"Bilbao")</f>
        <v>Bilbao</v>
      </c>
      <c r="H609" s="2" t="str">
        <f>IFERROR(__xludf.DUMMYFUNCTION("""COMPUTED_VALUE"""),"Ciencias Sociales y Humanas")</f>
        <v>Ciencias Sociales y Humanas</v>
      </c>
      <c r="I609" s="2" t="str">
        <f>IFERROR(__xludf.DUMMYFUNCTION("""COMPUTED_VALUE"""),"Turismo")</f>
        <v>Turismo</v>
      </c>
      <c r="J609" s="2" t="str">
        <f>IFERROR(__xludf.DUMMYFUNCTION("""COMPUTED_VALUE"""),"Grado")</f>
        <v>Grado</v>
      </c>
      <c r="K609" s="2" t="str">
        <f>IFERROR(__xludf.DUMMYFUNCTION("""COMPUTED_VALUE"""),"Español")</f>
        <v>Español</v>
      </c>
      <c r="L609" s="2" t="str">
        <f>IFERROR(__xludf.DUMMYFUNCTION("""COMPUTED_VALUE"""),"n/a")</f>
        <v>n/a</v>
      </c>
      <c r="M609" s="2" t="str">
        <f>IFERROR(__xludf.DUMMYFUNCTION("""COMPUTED_VALUE"""),"No")</f>
        <v>No</v>
      </c>
      <c r="N609" s="2" t="str">
        <f>IFERROR(__xludf.DUMMYFUNCTION("""COMPUTED_VALUE"""),"n/a")</f>
        <v>n/a</v>
      </c>
      <c r="O609" s="3" t="str">
        <f>IFERROR(__xludf.DUMMYFUNCTION("""COMPUTED_VALUE"""),"Más información / Informazio gehigarria")</f>
        <v>Más información / Informazio gehigarria</v>
      </c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30.0" customHeight="1">
      <c r="A610" s="2" t="str">
        <f>IFERROR(__xludf.DUMMYFUNCTION("""COMPUTED_VALUE"""),"México")</f>
        <v>México</v>
      </c>
      <c r="B610" s="2" t="str">
        <f>IFERROR(__xludf.DUMMYFUNCTION("""COMPUTED_VALUE"""),"MEX MONTER02")</f>
        <v>MEX MONTER02</v>
      </c>
      <c r="C610" s="3" t="str">
        <f>IFERROR(__xludf.DUMMYFUNCTION("""COMPUTED_VALUE"""),"Universidad TEC Milenio")</f>
        <v>Universidad TEC Milenio</v>
      </c>
      <c r="D610" s="2" t="str">
        <f>IFERROR(__xludf.DUMMYFUNCTION("""COMPUTED_VALUE"""),"Ac. Bilaterales (no Erasmus)")</f>
        <v>Ac. Bilaterales (no Erasmus)</v>
      </c>
      <c r="E610" s="2">
        <f>IFERROR(__xludf.DUMMYFUNCTION("""COMPUTED_VALUE"""),2.0)</f>
        <v>2</v>
      </c>
      <c r="F610" s="2" t="str">
        <f>IFERROR(__xludf.DUMMYFUNCTION("""COMPUTED_VALUE"""),"Semestre")</f>
        <v>Semestre</v>
      </c>
      <c r="G610" s="2" t="str">
        <f>IFERROR(__xludf.DUMMYFUNCTION("""COMPUTED_VALUE"""),"Bilbao")</f>
        <v>Bilbao</v>
      </c>
      <c r="H610" s="2" t="str">
        <f>IFERROR(__xludf.DUMMYFUNCTION("""COMPUTED_VALUE"""),"Ciencias Sociales y Humanas")</f>
        <v>Ciencias Sociales y Humanas</v>
      </c>
      <c r="I610" s="2" t="str">
        <f>IFERROR(__xludf.DUMMYFUNCTION("""COMPUTED_VALUE"""),"Turismo")</f>
        <v>Turismo</v>
      </c>
      <c r="J610" s="2" t="str">
        <f>IFERROR(__xludf.DUMMYFUNCTION("""COMPUTED_VALUE"""),"Grado")</f>
        <v>Grado</v>
      </c>
      <c r="K610" s="2" t="str">
        <f>IFERROR(__xludf.DUMMYFUNCTION("""COMPUTED_VALUE"""),"Español")</f>
        <v>Español</v>
      </c>
      <c r="L610" s="2" t="str">
        <f>IFERROR(__xludf.DUMMYFUNCTION("""COMPUTED_VALUE"""),"n/a")</f>
        <v>n/a</v>
      </c>
      <c r="M610" s="2" t="str">
        <f>IFERROR(__xludf.DUMMYFUNCTION("""COMPUTED_VALUE"""),"No")</f>
        <v>No</v>
      </c>
      <c r="N610" s="2" t="str">
        <f>IFERROR(__xludf.DUMMYFUNCTION("""COMPUTED_VALUE"""),"n/a")</f>
        <v>n/a</v>
      </c>
      <c r="O610" s="3" t="str">
        <f>IFERROR(__xludf.DUMMYFUNCTION("""COMPUTED_VALUE"""),"Más información / Informazio gehigarria")</f>
        <v>Más información / Informazio gehigarria</v>
      </c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30.0" customHeight="1">
      <c r="A611" s="2" t="str">
        <f>IFERROR(__xludf.DUMMYFUNCTION("""COMPUTED_VALUE"""),"México")</f>
        <v>México</v>
      </c>
      <c r="B611" s="2"/>
      <c r="C611" s="3" t="str">
        <f>IFERROR(__xludf.DUMMYFUNCTION("""COMPUTED_VALUE"""),"Universidad Xochicalco")</f>
        <v>Universidad Xochicalco</v>
      </c>
      <c r="D611" s="2" t="str">
        <f>IFERROR(__xludf.DUMMYFUNCTION("""COMPUTED_VALUE"""),"Ac. Bilaterales (no Erasmus)")</f>
        <v>Ac. Bilaterales (no Erasmus)</v>
      </c>
      <c r="E611" s="2">
        <f>IFERROR(__xludf.DUMMYFUNCTION("""COMPUTED_VALUE"""),2.0)</f>
        <v>2</v>
      </c>
      <c r="F611" s="2" t="str">
        <f>IFERROR(__xludf.DUMMYFUNCTION("""COMPUTED_VALUE"""),"Semestre")</f>
        <v>Semestre</v>
      </c>
      <c r="G611" s="2" t="str">
        <f>IFERROR(__xludf.DUMMYFUNCTION("""COMPUTED_VALUE"""),"Ambos")</f>
        <v>Ambos</v>
      </c>
      <c r="H611" s="2" t="str">
        <f>IFERROR(__xludf.DUMMYFUNCTION("""COMPUTED_VALUE"""),"Educación y Deporte")</f>
        <v>Educación y Deporte</v>
      </c>
      <c r="I611" s="2" t="str">
        <f>IFERROR(__xludf.DUMMYFUNCTION("""COMPUTED_VALUE"""),"Educación Primaria")</f>
        <v>Educación Primaria</v>
      </c>
      <c r="J611" s="2" t="str">
        <f>IFERROR(__xludf.DUMMYFUNCTION("""COMPUTED_VALUE"""),"Grado")</f>
        <v>Grado</v>
      </c>
      <c r="K611" s="2" t="str">
        <f>IFERROR(__xludf.DUMMYFUNCTION("""COMPUTED_VALUE"""),"Español")</f>
        <v>Español</v>
      </c>
      <c r="L611" s="2" t="str">
        <f>IFERROR(__xludf.DUMMYFUNCTION("""COMPUTED_VALUE"""),"n/a")</f>
        <v>n/a</v>
      </c>
      <c r="M611" s="2" t="str">
        <f>IFERROR(__xludf.DUMMYFUNCTION("""COMPUTED_VALUE"""),"No")</f>
        <v>No</v>
      </c>
      <c r="N611" s="3" t="str">
        <f>IFERROR(__xludf.DUMMYFUNCTION("""COMPUTED_VALUE"""),"https://www.xochicalco.edu.mx/movilidad-estudiantil")</f>
        <v>https://www.xochicalco.edu.mx/movilidad-estudiantil</v>
      </c>
      <c r="O611" s="3" t="str">
        <f>IFERROR(__xludf.DUMMYFUNCTION("""COMPUTED_VALUE"""),"Más información / Informazio gehigarria")</f>
        <v>Más información / Informazio gehigarria</v>
      </c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30.0" customHeight="1">
      <c r="A612" s="2" t="str">
        <f>IFERROR(__xludf.DUMMYFUNCTION("""COMPUTED_VALUE"""),"México")</f>
        <v>México</v>
      </c>
      <c r="B612" s="2"/>
      <c r="C612" s="3" t="str">
        <f>IFERROR(__xludf.DUMMYFUNCTION("""COMPUTED_VALUE"""),"Universidad Xochicalco")</f>
        <v>Universidad Xochicalco</v>
      </c>
      <c r="D612" s="2" t="str">
        <f>IFERROR(__xludf.DUMMYFUNCTION("""COMPUTED_VALUE"""),"Ac. Bilaterales (no Erasmus)")</f>
        <v>Ac. Bilaterales (no Erasmus)</v>
      </c>
      <c r="E612" s="2">
        <f>IFERROR(__xludf.DUMMYFUNCTION("""COMPUTED_VALUE"""),2.0)</f>
        <v>2</v>
      </c>
      <c r="F612" s="2" t="str">
        <f>IFERROR(__xludf.DUMMYFUNCTION("""COMPUTED_VALUE"""),"Semestre")</f>
        <v>Semestre</v>
      </c>
      <c r="G612" s="2" t="str">
        <f>IFERROR(__xludf.DUMMYFUNCTION("""COMPUTED_VALUE"""),"Bilbao")</f>
        <v>Bilbao</v>
      </c>
      <c r="H612" s="2" t="str">
        <f>IFERROR(__xludf.DUMMYFUNCTION("""COMPUTED_VALUE"""),"Educación y Deporte")</f>
        <v>Educación y Deporte</v>
      </c>
      <c r="I612" s="2" t="str">
        <f>IFERROR(__xludf.DUMMYFUNCTION("""COMPUTED_VALUE"""),"CAFyD")</f>
        <v>CAFyD</v>
      </c>
      <c r="J612" s="2" t="str">
        <f>IFERROR(__xludf.DUMMYFUNCTION("""COMPUTED_VALUE"""),"Grado")</f>
        <v>Grado</v>
      </c>
      <c r="K612" s="2" t="str">
        <f>IFERROR(__xludf.DUMMYFUNCTION("""COMPUTED_VALUE"""),"Español")</f>
        <v>Español</v>
      </c>
      <c r="L612" s="2" t="str">
        <f>IFERROR(__xludf.DUMMYFUNCTION("""COMPUTED_VALUE"""),"n/a")</f>
        <v>n/a</v>
      </c>
      <c r="M612" s="2" t="str">
        <f>IFERROR(__xludf.DUMMYFUNCTION("""COMPUTED_VALUE"""),"No")</f>
        <v>No</v>
      </c>
      <c r="N612" s="2" t="str">
        <f>IFERROR(__xludf.DUMMYFUNCTION("""COMPUTED_VALUE"""),"n/a")</f>
        <v>n/a</v>
      </c>
      <c r="O612" s="3" t="str">
        <f>IFERROR(__xludf.DUMMYFUNCTION("""COMPUTED_VALUE"""),"Más información / Informazio gehigarria")</f>
        <v>Más información / Informazio gehigarria</v>
      </c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30.0" customHeight="1">
      <c r="A613" s="2" t="str">
        <f>IFERROR(__xludf.DUMMYFUNCTION("""COMPUTED_VALUE"""),"México")</f>
        <v>México</v>
      </c>
      <c r="B613" s="2"/>
      <c r="C613" s="3" t="str">
        <f>IFERROR(__xludf.DUMMYFUNCTION("""COMPUTED_VALUE"""),"Universidad Xochicalco")</f>
        <v>Universidad Xochicalco</v>
      </c>
      <c r="D613" s="2" t="str">
        <f>IFERROR(__xludf.DUMMYFUNCTION("""COMPUTED_VALUE"""),"Ac. Bilaterales (no Erasmus)")</f>
        <v>Ac. Bilaterales (no Erasmus)</v>
      </c>
      <c r="E613" s="2">
        <f>IFERROR(__xludf.DUMMYFUNCTION("""COMPUTED_VALUE"""),2.0)</f>
        <v>2</v>
      </c>
      <c r="F613" s="2" t="str">
        <f>IFERROR(__xludf.DUMMYFUNCTION("""COMPUTED_VALUE"""),"Semestre")</f>
        <v>Semestre</v>
      </c>
      <c r="G613" s="2" t="str">
        <f>IFERROR(__xludf.DUMMYFUNCTION("""COMPUTED_VALUE"""),"San Sebastián")</f>
        <v>San Sebastián</v>
      </c>
      <c r="H613" s="2" t="str">
        <f>IFERROR(__xludf.DUMMYFUNCTION("""COMPUTED_VALUE"""),"Ciencias Sociales y Humanas")</f>
        <v>Ciencias Sociales y Humanas</v>
      </c>
      <c r="I613" s="2" t="str">
        <f>IFERROR(__xludf.DUMMYFUNCTION("""COMPUTED_VALUE"""),"Comunicación")</f>
        <v>Comunicación</v>
      </c>
      <c r="J613" s="2" t="str">
        <f>IFERROR(__xludf.DUMMYFUNCTION("""COMPUTED_VALUE"""),"Grado")</f>
        <v>Grado</v>
      </c>
      <c r="K613" s="2" t="str">
        <f>IFERROR(__xludf.DUMMYFUNCTION("""COMPUTED_VALUE"""),"Español")</f>
        <v>Español</v>
      </c>
      <c r="L613" s="2" t="str">
        <f>IFERROR(__xludf.DUMMYFUNCTION("""COMPUTED_VALUE"""),"n/a")</f>
        <v>n/a</v>
      </c>
      <c r="M613" s="2" t="str">
        <f>IFERROR(__xludf.DUMMYFUNCTION("""COMPUTED_VALUE"""),"No")</f>
        <v>No</v>
      </c>
      <c r="N613" s="3" t="str">
        <f>IFERROR(__xludf.DUMMYFUNCTION("""COMPUTED_VALUE"""),"https://www.xochicalco.edu.mx/movilidad-estudiantil")</f>
        <v>https://www.xochicalco.edu.mx/movilidad-estudiantil</v>
      </c>
      <c r="O613" s="3" t="str">
        <f>IFERROR(__xludf.DUMMYFUNCTION("""COMPUTED_VALUE"""),"Más información / Informazio gehigarria")</f>
        <v>Más información / Informazio gehigarria</v>
      </c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30.0" customHeight="1">
      <c r="A614" s="2" t="str">
        <f>IFERROR(__xludf.DUMMYFUNCTION("""COMPUTED_VALUE"""),"México")</f>
        <v>México</v>
      </c>
      <c r="B614" s="2"/>
      <c r="C614" s="3" t="str">
        <f>IFERROR(__xludf.DUMMYFUNCTION("""COMPUTED_VALUE"""),"Universidad La Salle México")</f>
        <v>Universidad La Salle México</v>
      </c>
      <c r="D614" s="2" t="str">
        <f>IFERROR(__xludf.DUMMYFUNCTION("""COMPUTED_VALUE"""),"Ac. Bilaterales (no Erasmus)")</f>
        <v>Ac. Bilaterales (no Erasmus)</v>
      </c>
      <c r="E614" s="2">
        <f>IFERROR(__xludf.DUMMYFUNCTION("""COMPUTED_VALUE"""),2.0)</f>
        <v>2</v>
      </c>
      <c r="F614" s="2" t="str">
        <f>IFERROR(__xludf.DUMMYFUNCTION("""COMPUTED_VALUE"""),"Semestre")</f>
        <v>Semestre</v>
      </c>
      <c r="G614" s="2" t="str">
        <f>IFERROR(__xludf.DUMMYFUNCTION("""COMPUTED_VALUE"""),"Ambos")</f>
        <v>Ambos</v>
      </c>
      <c r="H614" s="2" t="str">
        <f>IFERROR(__xludf.DUMMYFUNCTION("""COMPUTED_VALUE"""),"Ciencias de la Salud")</f>
        <v>Ciencias de la Salud</v>
      </c>
      <c r="I614" s="2" t="str">
        <f>IFERROR(__xludf.DUMMYFUNCTION("""COMPUTED_VALUE"""),"Enfermería")</f>
        <v>Enfermería</v>
      </c>
      <c r="J614" s="2" t="str">
        <f>IFERROR(__xludf.DUMMYFUNCTION("""COMPUTED_VALUE"""),"Grado")</f>
        <v>Grado</v>
      </c>
      <c r="K614" s="2" t="str">
        <f>IFERROR(__xludf.DUMMYFUNCTION("""COMPUTED_VALUE"""),"Español")</f>
        <v>Español</v>
      </c>
      <c r="L614" s="2" t="str">
        <f>IFERROR(__xludf.DUMMYFUNCTION("""COMPUTED_VALUE"""),"n/a")</f>
        <v>n/a</v>
      </c>
      <c r="M614" s="2" t="str">
        <f>IFERROR(__xludf.DUMMYFUNCTION("""COMPUTED_VALUE"""),"No")</f>
        <v>No</v>
      </c>
      <c r="N614" s="3" t="str">
        <f>IFERROR(__xludf.DUMMYFUNCTION("""COMPUTED_VALUE"""),"https://lasalle.mx/perfil/international-student/")</f>
        <v>https://lasalle.mx/perfil/international-student/</v>
      </c>
      <c r="O614" s="3" t="str">
        <f>IFERROR(__xludf.DUMMYFUNCTION("""COMPUTED_VALUE"""),"Más información / Informazio gehigarria")</f>
        <v>Más información / Informazio gehigarria</v>
      </c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30.0" customHeight="1">
      <c r="A615" s="2" t="str">
        <f>IFERROR(__xludf.DUMMYFUNCTION("""COMPUTED_VALUE"""),"México")</f>
        <v>México</v>
      </c>
      <c r="B615" s="2" t="str">
        <f>IFERROR(__xludf.DUMMYFUNCTION("""COMPUTED_VALUE"""),"MEXTORREO01")</f>
        <v>MEXTORREO01</v>
      </c>
      <c r="C615" s="3" t="str">
        <f>IFERROR(__xludf.DUMMYFUNCTION("""COMPUTED_VALUE"""),"Universidad Iberoamericana Torreón")</f>
        <v>Universidad Iberoamericana Torreón</v>
      </c>
      <c r="D615" s="2" t="str">
        <f>IFERROR(__xludf.DUMMYFUNCTION("""COMPUTED_VALUE"""),"Ac. Bilaterales (no Erasmus)")</f>
        <v>Ac. Bilaterales (no Erasmus)</v>
      </c>
      <c r="E615" s="2">
        <f>IFERROR(__xludf.DUMMYFUNCTION("""COMPUTED_VALUE"""),2.0)</f>
        <v>2</v>
      </c>
      <c r="F615" s="2" t="str">
        <f>IFERROR(__xludf.DUMMYFUNCTION("""COMPUTED_VALUE"""),"Anual ")</f>
        <v>Anual </v>
      </c>
      <c r="G615" s="2" t="str">
        <f>IFERROR(__xludf.DUMMYFUNCTION("""COMPUTED_VALUE"""),"Bilbao")</f>
        <v>Bilbao</v>
      </c>
      <c r="H615" s="2" t="str">
        <f>IFERROR(__xludf.DUMMYFUNCTION("""COMPUTED_VALUE"""),"Ciencias Sociales y Humanas")</f>
        <v>Ciencias Sociales y Humanas</v>
      </c>
      <c r="I615" s="2" t="str">
        <f>IFERROR(__xludf.DUMMYFUNCTION("""COMPUTED_VALUE"""),"Relaciones Internacionales")</f>
        <v>Relaciones Internacionales</v>
      </c>
      <c r="J615" s="2" t="str">
        <f>IFERROR(__xludf.DUMMYFUNCTION("""COMPUTED_VALUE"""),"Grado")</f>
        <v>Grado</v>
      </c>
      <c r="K615" s="2" t="str">
        <f>IFERROR(__xludf.DUMMYFUNCTION("""COMPUTED_VALUE"""),"Español")</f>
        <v>Español</v>
      </c>
      <c r="L615" s="2" t="str">
        <f>IFERROR(__xludf.DUMMYFUNCTION("""COMPUTED_VALUE"""),"n/a")</f>
        <v>n/a</v>
      </c>
      <c r="M615" s="2" t="str">
        <f>IFERROR(__xludf.DUMMYFUNCTION("""COMPUTED_VALUE"""),"No")</f>
        <v>No</v>
      </c>
      <c r="N615" s="2"/>
      <c r="O615" s="2" t="str">
        <f>IFERROR(__xludf.DUMMYFUNCTION("""COMPUTED_VALUE"""),"Más información / Informazio gehigarria")</f>
        <v>Más información / Informazio gehigarria</v>
      </c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30.0" customHeight="1">
      <c r="A616" s="2" t="str">
        <f>IFERROR(__xludf.DUMMYFUNCTION("""COMPUTED_VALUE"""),"México")</f>
        <v>México</v>
      </c>
      <c r="B616" s="2" t="str">
        <f>IFERROR(__xludf.DUMMYFUNCTION("""COMPUTED_VALUE"""),"MEXTORREO01")</f>
        <v>MEXTORREO01</v>
      </c>
      <c r="C616" s="3" t="str">
        <f>IFERROR(__xludf.DUMMYFUNCTION("""COMPUTED_VALUE"""),"Universidad Iberoamericana Torreón")</f>
        <v>Universidad Iberoamericana Torreón</v>
      </c>
      <c r="D616" s="2" t="str">
        <f>IFERROR(__xludf.DUMMYFUNCTION("""COMPUTED_VALUE"""),"Ac. Bilaterales (no Erasmus)")</f>
        <v>Ac. Bilaterales (no Erasmus)</v>
      </c>
      <c r="E616" s="2">
        <f>IFERROR(__xludf.DUMMYFUNCTION("""COMPUTED_VALUE"""),2.0)</f>
        <v>2</v>
      </c>
      <c r="F616" s="2" t="str">
        <f>IFERROR(__xludf.DUMMYFUNCTION("""COMPUTED_VALUE"""),"Semestre")</f>
        <v>Semestre</v>
      </c>
      <c r="G616" s="2" t="str">
        <f>IFERROR(__xludf.DUMMYFUNCTION("""COMPUTED_VALUE"""),"Bilbao")</f>
        <v>Bilbao</v>
      </c>
      <c r="H616" s="2" t="str">
        <f>IFERROR(__xludf.DUMMYFUNCTION("""COMPUTED_VALUE"""),"Derecho")</f>
        <v>Derecho</v>
      </c>
      <c r="I616" s="2" t="str">
        <f>IFERROR(__xludf.DUMMYFUNCTION("""COMPUTED_VALUE"""),"Derecho, Derecho + Relaciones Laborales")</f>
        <v>Derecho, Derecho + Relaciones Laborales</v>
      </c>
      <c r="J616" s="2" t="str">
        <f>IFERROR(__xludf.DUMMYFUNCTION("""COMPUTED_VALUE"""),"Grado")</f>
        <v>Grado</v>
      </c>
      <c r="K616" s="2" t="str">
        <f>IFERROR(__xludf.DUMMYFUNCTION("""COMPUTED_VALUE"""),"Español")</f>
        <v>Español</v>
      </c>
      <c r="L616" s="2" t="str">
        <f>IFERROR(__xludf.DUMMYFUNCTION("""COMPUTED_VALUE"""),"n/a")</f>
        <v>n/a</v>
      </c>
      <c r="M616" s="2" t="str">
        <f>IFERROR(__xludf.DUMMYFUNCTION("""COMPUTED_VALUE"""),"No")</f>
        <v>No</v>
      </c>
      <c r="N616" s="3" t="str">
        <f>IFERROR(__xludf.DUMMYFUNCTION("""COMPUTED_VALUE"""),"https://www.iberotorreon.mx/publico/actividades-estudiantiles.php")</f>
        <v>https://www.iberotorreon.mx/publico/actividades-estudiantiles.php</v>
      </c>
      <c r="O616" s="3" t="str">
        <f>IFERROR(__xludf.DUMMYFUNCTION("""COMPUTED_VALUE"""),"Más información / Informazio gehigarria")</f>
        <v>Más información / Informazio gehigarria</v>
      </c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30.0" customHeight="1">
      <c r="A617" s="2" t="str">
        <f>IFERROR(__xludf.DUMMYFUNCTION("""COMPUTED_VALUE"""),"México")</f>
        <v>México</v>
      </c>
      <c r="B617" s="2" t="str">
        <f>IFERROR(__xludf.DUMMYFUNCTION("""COMPUTED_VALUE"""),"MEXTORREO01")</f>
        <v>MEXTORREO01</v>
      </c>
      <c r="C617" s="3" t="str">
        <f>IFERROR(__xludf.DUMMYFUNCTION("""COMPUTED_VALUE"""),"Universidad Iberoamericana Torreón")</f>
        <v>Universidad Iberoamericana Torreón</v>
      </c>
      <c r="D617" s="2" t="str">
        <f>IFERROR(__xludf.DUMMYFUNCTION("""COMPUTED_VALUE"""),"Ac. Bilaterales (no Erasmus)")</f>
        <v>Ac. Bilaterales (no Erasmus)</v>
      </c>
      <c r="E617" s="2">
        <f>IFERROR(__xludf.DUMMYFUNCTION("""COMPUTED_VALUE"""),2.0)</f>
        <v>2</v>
      </c>
      <c r="F617" s="2" t="str">
        <f>IFERROR(__xludf.DUMMYFUNCTION("""COMPUTED_VALUE"""),"Semestre")</f>
        <v>Semestre</v>
      </c>
      <c r="G617" s="2" t="str">
        <f>IFERROR(__xludf.DUMMYFUNCTION("""COMPUTED_VALUE"""),"Bilbao")</f>
        <v>Bilbao</v>
      </c>
      <c r="H617" s="2" t="str">
        <f>IFERROR(__xludf.DUMMYFUNCTION("""COMPUTED_VALUE"""),"Ingeniería")</f>
        <v>Ingeniería</v>
      </c>
      <c r="I617" s="2" t="str">
        <f>IFERROR(__xludf.DUMMYFUNCTION("""COMPUTED_VALUE"""),"Ingeniería")</f>
        <v>Ingeniería</v>
      </c>
      <c r="J617" s="2" t="str">
        <f>IFERROR(__xludf.DUMMYFUNCTION("""COMPUTED_VALUE"""),"Grado")</f>
        <v>Grado</v>
      </c>
      <c r="K617" s="2" t="str">
        <f>IFERROR(__xludf.DUMMYFUNCTION("""COMPUTED_VALUE"""),"Español")</f>
        <v>Español</v>
      </c>
      <c r="L617" s="2" t="str">
        <f>IFERROR(__xludf.DUMMYFUNCTION("""COMPUTED_VALUE"""),"n/a")</f>
        <v>n/a</v>
      </c>
      <c r="M617" s="2" t="str">
        <f>IFERROR(__xludf.DUMMYFUNCTION("""COMPUTED_VALUE"""),"No")</f>
        <v>No</v>
      </c>
      <c r="N617" s="3" t="str">
        <f>IFERROR(__xludf.DUMMYFUNCTION("""COMPUTED_VALUE"""),"https://www.iberotorreon.mx/publico/actividades-estudiantiles.php")</f>
        <v>https://www.iberotorreon.mx/publico/actividades-estudiantiles.php</v>
      </c>
      <c r="O617" s="3" t="str">
        <f>IFERROR(__xludf.DUMMYFUNCTION("""COMPUTED_VALUE"""),"Más información / Informazio gehigarria")</f>
        <v>Más información / Informazio gehigarria</v>
      </c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30.0" customHeight="1">
      <c r="A618" s="2" t="str">
        <f>IFERROR(__xludf.DUMMYFUNCTION("""COMPUTED_VALUE"""),"México")</f>
        <v>México</v>
      </c>
      <c r="B618" s="2" t="str">
        <f>IFERROR(__xludf.DUMMYFUNCTION("""COMPUTED_VALUE"""),"MEXTORREO01")</f>
        <v>MEXTORREO01</v>
      </c>
      <c r="C618" s="3" t="str">
        <f>IFERROR(__xludf.DUMMYFUNCTION("""COMPUTED_VALUE"""),"Universidad Iberoamericana Torreón")</f>
        <v>Universidad Iberoamericana Torreón</v>
      </c>
      <c r="D618" s="2" t="str">
        <f>IFERROR(__xludf.DUMMYFUNCTION("""COMPUTED_VALUE"""),"Ac. Bilaterales (no Erasmus)")</f>
        <v>Ac. Bilaterales (no Erasmus)</v>
      </c>
      <c r="E618" s="2">
        <f>IFERROR(__xludf.DUMMYFUNCTION("""COMPUTED_VALUE"""),2.0)</f>
        <v>2</v>
      </c>
      <c r="F618" s="2" t="str">
        <f>IFERROR(__xludf.DUMMYFUNCTION("""COMPUTED_VALUE"""),"Anual")</f>
        <v>Anual</v>
      </c>
      <c r="G618" s="2" t="str">
        <f>IFERROR(__xludf.DUMMYFUNCTION("""COMPUTED_VALUE"""),"Bilbao")</f>
        <v>Bilbao</v>
      </c>
      <c r="H618" s="2" t="str">
        <f>IFERROR(__xludf.DUMMYFUNCTION("""COMPUTED_VALUE"""),"Ciencias de la Salud")</f>
        <v>Ciencias de la Salud</v>
      </c>
      <c r="I618" s="2" t="str">
        <f>IFERROR(__xludf.DUMMYFUNCTION("""COMPUTED_VALUE"""),"Psicología")</f>
        <v>Psicología</v>
      </c>
      <c r="J618" s="2" t="str">
        <f>IFERROR(__xludf.DUMMYFUNCTION("""COMPUTED_VALUE"""),"Grado")</f>
        <v>Grado</v>
      </c>
      <c r="K618" s="2" t="str">
        <f>IFERROR(__xludf.DUMMYFUNCTION("""COMPUTED_VALUE"""),"Español")</f>
        <v>Español</v>
      </c>
      <c r="L618" s="2" t="str">
        <f>IFERROR(__xludf.DUMMYFUNCTION("""COMPUTED_VALUE"""),"n/a")</f>
        <v>n/a</v>
      </c>
      <c r="M618" s="2" t="str">
        <f>IFERROR(__xludf.DUMMYFUNCTION("""COMPUTED_VALUE"""),"No")</f>
        <v>No</v>
      </c>
      <c r="N618" s="2"/>
      <c r="O618" s="2" t="str">
        <f>IFERROR(__xludf.DUMMYFUNCTION("""COMPUTED_VALUE"""),"Más información / Informazio gehigarria")</f>
        <v>Más información / Informazio gehigarria</v>
      </c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30.0" customHeight="1">
      <c r="A619" s="2" t="str">
        <f>IFERROR(__xludf.DUMMYFUNCTION("""COMPUTED_VALUE"""),"México")</f>
        <v>México</v>
      </c>
      <c r="B619" s="2" t="str">
        <f>IFERROR(__xludf.DUMMYFUNCTION("""COMPUTED_VALUE"""),"MEXTORREO01")</f>
        <v>MEXTORREO01</v>
      </c>
      <c r="C619" s="3" t="str">
        <f>IFERROR(__xludf.DUMMYFUNCTION("""COMPUTED_VALUE"""),"Universidad Iberoamericana Torreón")</f>
        <v>Universidad Iberoamericana Torreón</v>
      </c>
      <c r="D619" s="2" t="str">
        <f>IFERROR(__xludf.DUMMYFUNCTION("""COMPUTED_VALUE"""),"Ac. Bilaterales (no Erasmus)")</f>
        <v>Ac. Bilaterales (no Erasmus)</v>
      </c>
      <c r="E619" s="2">
        <f>IFERROR(__xludf.DUMMYFUNCTION("""COMPUTED_VALUE"""),2.0)</f>
        <v>2</v>
      </c>
      <c r="F619" s="2" t="str">
        <f>IFERROR(__xludf.DUMMYFUNCTION("""COMPUTED_VALUE"""),"Semestre")</f>
        <v>Semestre</v>
      </c>
      <c r="G619" s="2" t="str">
        <f>IFERROR(__xludf.DUMMYFUNCTION("""COMPUTED_VALUE"""),"Ambos")</f>
        <v>Ambos</v>
      </c>
      <c r="H619" s="2" t="str">
        <f>IFERROR(__xludf.DUMMYFUNCTION("""COMPUTED_VALUE"""),"Educación y Deporte")</f>
        <v>Educación y Deporte</v>
      </c>
      <c r="I619" s="2" t="str">
        <f>IFERROR(__xludf.DUMMYFUNCTION("""COMPUTED_VALUE"""),"Educación Prmaria")</f>
        <v>Educación Prmaria</v>
      </c>
      <c r="J619" s="2" t="str">
        <f>IFERROR(__xludf.DUMMYFUNCTION("""COMPUTED_VALUE"""),"Grado")</f>
        <v>Grado</v>
      </c>
      <c r="K619" s="2" t="str">
        <f>IFERROR(__xludf.DUMMYFUNCTION("""COMPUTED_VALUE"""),"Español")</f>
        <v>Español</v>
      </c>
      <c r="L619" s="2" t="str">
        <f>IFERROR(__xludf.DUMMYFUNCTION("""COMPUTED_VALUE"""),"n/a")</f>
        <v>n/a</v>
      </c>
      <c r="M619" s="2" t="str">
        <f>IFERROR(__xludf.DUMMYFUNCTION("""COMPUTED_VALUE"""),"No")</f>
        <v>No</v>
      </c>
      <c r="N619" s="3" t="str">
        <f>IFERROR(__xludf.DUMMYFUNCTION("""COMPUTED_VALUE"""),"https://www.iberotorreon.mx/publico/actividades-estudiantiles.php")</f>
        <v>https://www.iberotorreon.mx/publico/actividades-estudiantiles.php</v>
      </c>
      <c r="O619" s="3" t="str">
        <f>IFERROR(__xludf.DUMMYFUNCTION("""COMPUTED_VALUE"""),"Más información / Informazio gehigarria")</f>
        <v>Más información / Informazio gehigarria</v>
      </c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30.0" customHeight="1">
      <c r="A620" s="2" t="str">
        <f>IFERROR(__xludf.DUMMYFUNCTION("""COMPUTED_VALUE"""),"Nicaragua")</f>
        <v>Nicaragua</v>
      </c>
      <c r="B620" s="2" t="str">
        <f>IFERROR(__xludf.DUMMYFUNCTION("""COMPUTED_VALUE"""),"NICMANAGU01")</f>
        <v>NICMANAGU01</v>
      </c>
      <c r="C620" s="3" t="str">
        <f>IFERROR(__xludf.DUMMYFUNCTION("""COMPUTED_VALUE"""),"Universidad Centroamericana")</f>
        <v>Universidad Centroamericana</v>
      </c>
      <c r="D620" s="2" t="str">
        <f>IFERROR(__xludf.DUMMYFUNCTION("""COMPUTED_VALUE"""),"Ac. Bilaterales (no Erasmus)")</f>
        <v>Ac. Bilaterales (no Erasmus)</v>
      </c>
      <c r="E620" s="2">
        <f>IFERROR(__xludf.DUMMYFUNCTION("""COMPUTED_VALUE"""),4.0)</f>
        <v>4</v>
      </c>
      <c r="F620" s="2" t="str">
        <f>IFERROR(__xludf.DUMMYFUNCTION("""COMPUTED_VALUE"""),"Anual")</f>
        <v>Anual</v>
      </c>
      <c r="G620" s="2" t="str">
        <f>IFERROR(__xludf.DUMMYFUNCTION("""COMPUTED_VALUE"""),"Bilbao")</f>
        <v>Bilbao</v>
      </c>
      <c r="H620" s="2" t="str">
        <f>IFERROR(__xludf.DUMMYFUNCTION("""COMPUTED_VALUE"""),"Ciencias de la Salud")</f>
        <v>Ciencias de la Salud</v>
      </c>
      <c r="I620" s="2" t="str">
        <f>IFERROR(__xludf.DUMMYFUNCTION("""COMPUTED_VALUE"""),"Psicología")</f>
        <v>Psicología</v>
      </c>
      <c r="J620" s="2" t="str">
        <f>IFERROR(__xludf.DUMMYFUNCTION("""COMPUTED_VALUE"""),"Grado")</f>
        <v>Grado</v>
      </c>
      <c r="K620" s="2" t="str">
        <f>IFERROR(__xludf.DUMMYFUNCTION("""COMPUTED_VALUE"""),"Español")</f>
        <v>Español</v>
      </c>
      <c r="L620" s="2" t="str">
        <f>IFERROR(__xludf.DUMMYFUNCTION("""COMPUTED_VALUE"""),"n/a")</f>
        <v>n/a</v>
      </c>
      <c r="M620" s="2" t="str">
        <f>IFERROR(__xludf.DUMMYFUNCTION("""COMPUTED_VALUE"""),"No")</f>
        <v>No</v>
      </c>
      <c r="N620" s="2" t="str">
        <f>IFERROR(__xludf.DUMMYFUNCTION("""COMPUTED_VALUE"""),"n/a")</f>
        <v>n/a</v>
      </c>
      <c r="O620" s="3" t="str">
        <f>IFERROR(__xludf.DUMMYFUNCTION("""COMPUTED_VALUE"""),"Más información / Informazio gehigarria")</f>
        <v>Más información / Informazio gehigarria</v>
      </c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30.0" customHeight="1">
      <c r="A621" s="2" t="str">
        <f>IFERROR(__xludf.DUMMYFUNCTION("""COMPUTED_VALUE"""),"Noruega")</f>
        <v>Noruega</v>
      </c>
      <c r="B621" s="2" t="str">
        <f>IFERROR(__xludf.DUMMYFUNCTION("""COMPUTED_VALUE"""),"N ELVERUM02")</f>
        <v>N ELVERUM02</v>
      </c>
      <c r="C621" s="3" t="str">
        <f>IFERROR(__xludf.DUMMYFUNCTION("""COMPUTED_VALUE"""),"Inland Norway University of Applied Sciences")</f>
        <v>Inland Norway University of Applied Sciences</v>
      </c>
      <c r="D621" s="2" t="str">
        <f>IFERROR(__xludf.DUMMYFUNCTION("""COMPUTED_VALUE"""),"Erasmus+")</f>
        <v>Erasmus+</v>
      </c>
      <c r="E621" s="2">
        <f>IFERROR(__xludf.DUMMYFUNCTION("""COMPUTED_VALUE"""),2.0)</f>
        <v>2</v>
      </c>
      <c r="F621" s="2" t="str">
        <f>IFERROR(__xludf.DUMMYFUNCTION("""COMPUTED_VALUE"""),"Semestre")</f>
        <v>Semestre</v>
      </c>
      <c r="G621" s="2" t="str">
        <f>IFERROR(__xludf.DUMMYFUNCTION("""COMPUTED_VALUE"""),"Ambos")</f>
        <v>Ambos</v>
      </c>
      <c r="H621" s="2" t="str">
        <f>IFERROR(__xludf.DUMMYFUNCTION("""COMPUTED_VALUE"""),"Educación y Deporte")</f>
        <v>Educación y Deporte</v>
      </c>
      <c r="I621" s="2" t="str">
        <f>IFERROR(__xludf.DUMMYFUNCTION("""COMPUTED_VALUE"""),"Educación Primaria")</f>
        <v>Educación Primaria</v>
      </c>
      <c r="J621" s="2" t="str">
        <f>IFERROR(__xludf.DUMMYFUNCTION("""COMPUTED_VALUE"""),"Grado")</f>
        <v>Grado</v>
      </c>
      <c r="K621" s="2" t="str">
        <f>IFERROR(__xludf.DUMMYFUNCTION("""COMPUTED_VALUE"""),"Inglés")</f>
        <v>Inglés</v>
      </c>
      <c r="L621" s="2" t="str">
        <f>IFERROR(__xludf.DUMMYFUNCTION("""COMPUTED_VALUE"""),"B2")</f>
        <v>B2</v>
      </c>
      <c r="M621" s="2" t="str">
        <f>IFERROR(__xludf.DUMMYFUNCTION("""COMPUTED_VALUE"""),"No")</f>
        <v>No</v>
      </c>
      <c r="N621" s="3" t="str">
        <f>IFERROR(__xludf.DUMMYFUNCTION("""COMPUTED_VALUE"""),"https://www.inn.no/english/study-options/incoming-exchange-students/application-process/how-to-submit-an-application-for-your-exchange/#:~:text=Erasmus%2B%20%26%20EEA%2FNorway%20grant%20students,Reference%20for%20Languages%20(CEFR).")</f>
        <v>https://www.inn.no/english/study-options/incoming-exchange-students/application-process/how-to-submit-an-application-for-your-exchange/#:~:text=Erasmus%2B%20%26%20EEA%2FNorway%20grant%20students,Reference%20for%20Languages%20(CEFR).</v>
      </c>
      <c r="O621" s="3" t="str">
        <f>IFERROR(__xludf.DUMMYFUNCTION("""COMPUTED_VALUE"""),"Más información / Informazio gehigarria")</f>
        <v>Más información / Informazio gehigarria</v>
      </c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30.0" customHeight="1">
      <c r="A622" s="2" t="str">
        <f>IFERROR(__xludf.DUMMYFUNCTION("""COMPUTED_VALUE"""),"Noruega")</f>
        <v>Noruega</v>
      </c>
      <c r="B622" s="2" t="str">
        <f>IFERROR(__xludf.DUMMYFUNCTION("""COMPUTED_VALUE"""),"N ELVERUM02")</f>
        <v>N ELVERUM02</v>
      </c>
      <c r="C622" s="3" t="str">
        <f>IFERROR(__xludf.DUMMYFUNCTION("""COMPUTED_VALUE"""),"Inland Norway University of Applied Sciences")</f>
        <v>Inland Norway University of Applied Sciences</v>
      </c>
      <c r="D622" s="2" t="str">
        <f>IFERROR(__xludf.DUMMYFUNCTION("""COMPUTED_VALUE"""),"Erasmus+")</f>
        <v>Erasmus+</v>
      </c>
      <c r="E622" s="2">
        <f>IFERROR(__xludf.DUMMYFUNCTION("""COMPUTED_VALUE"""),2.0)</f>
        <v>2</v>
      </c>
      <c r="F622" s="2" t="str">
        <f>IFERROR(__xludf.DUMMYFUNCTION("""COMPUTED_VALUE"""),"Semestre")</f>
        <v>Semestre</v>
      </c>
      <c r="G622" s="2" t="str">
        <f>IFERROR(__xludf.DUMMYFUNCTION("""COMPUTED_VALUE"""),"Bilbao")</f>
        <v>Bilbao</v>
      </c>
      <c r="H622" s="2" t="str">
        <f>IFERROR(__xludf.DUMMYFUNCTION("""COMPUTED_VALUE"""),"Ciencias Sociales y Humanas")</f>
        <v>Ciencias Sociales y Humanas</v>
      </c>
      <c r="I622" s="2" t="str">
        <f>IFERROR(__xludf.DUMMYFUNCTION("""COMPUTED_VALUE"""),"Turismo")</f>
        <v>Turismo</v>
      </c>
      <c r="J622" s="2" t="str">
        <f>IFERROR(__xludf.DUMMYFUNCTION("""COMPUTED_VALUE"""),"Grado")</f>
        <v>Grado</v>
      </c>
      <c r="K622" s="2" t="str">
        <f>IFERROR(__xludf.DUMMYFUNCTION("""COMPUTED_VALUE"""),"Inglés")</f>
        <v>Inglés</v>
      </c>
      <c r="L622" s="2" t="str">
        <f>IFERROR(__xludf.DUMMYFUNCTION("""COMPUTED_VALUE"""),"B2")</f>
        <v>B2</v>
      </c>
      <c r="M622" s="2" t="str">
        <f>IFERROR(__xludf.DUMMYFUNCTION("""COMPUTED_VALUE"""),"No")</f>
        <v>No</v>
      </c>
      <c r="N622" s="3" t="str">
        <f>IFERROR(__xludf.DUMMYFUNCTION("""COMPUTED_VALUE"""),"https://www.inn.no/english/study-options/incoming-exchange-students/application-process/how-to-submit-an-application-for-your-exchange/#:~:text=Erasmus%2B%20%26%20EEA%2FNorway%20grant%20students,Reference%20for%20Languages%20(CEFR).")</f>
        <v>https://www.inn.no/english/study-options/incoming-exchange-students/application-process/how-to-submit-an-application-for-your-exchange/#:~:text=Erasmus%2B%20%26%20EEA%2FNorway%20grant%20students,Reference%20for%20Languages%20(CEFR).</v>
      </c>
      <c r="O622" s="3" t="str">
        <f>IFERROR(__xludf.DUMMYFUNCTION("""COMPUTED_VALUE"""),"Más información / Informazio gehigarria")</f>
        <v>Más información / Informazio gehigarria</v>
      </c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30.0" customHeight="1">
      <c r="A623" s="2" t="str">
        <f>IFERROR(__xludf.DUMMYFUNCTION("""COMPUTED_VALUE"""),"Noruega")</f>
        <v>Noruega</v>
      </c>
      <c r="B623" s="2" t="str">
        <f>IFERROR(__xludf.DUMMYFUNCTION("""COMPUTED_VALUE"""),"N BERGEN02")</f>
        <v>N BERGEN02</v>
      </c>
      <c r="C623" s="3" t="str">
        <f>IFERROR(__xludf.DUMMYFUNCTION("""COMPUTED_VALUE"""),"Norwegian School of Economics")</f>
        <v>Norwegian School of Economics</v>
      </c>
      <c r="D623" s="2" t="str">
        <f>IFERROR(__xludf.DUMMYFUNCTION("""COMPUTED_VALUE"""),"Erasmus+")</f>
        <v>Erasmus+</v>
      </c>
      <c r="E623" s="2">
        <f>IFERROR(__xludf.DUMMYFUNCTION("""COMPUTED_VALUE"""),2.0)</f>
        <v>2</v>
      </c>
      <c r="F623" s="2" t="str">
        <f>IFERROR(__xludf.DUMMYFUNCTION("""COMPUTED_VALUE"""),"Ambos semestres")</f>
        <v>Ambos semestres</v>
      </c>
      <c r="G623" s="2" t="str">
        <f>IFERROR(__xludf.DUMMYFUNCTION("""COMPUTED_VALUE"""),"Bilbao")</f>
        <v>Bilbao</v>
      </c>
      <c r="H623" s="2" t="str">
        <f>IFERROR(__xludf.DUMMYFUNCTION("""COMPUTED_VALUE"""),"Deusto Business School")</f>
        <v>Deusto Business School</v>
      </c>
      <c r="I623" s="2" t="str">
        <f>IFERROR(__xludf.DUMMYFUNCTION("""COMPUTED_VALUE"""),"Administración y Dirección de Empresas")</f>
        <v>Administración y Dirección de Empresas</v>
      </c>
      <c r="J623" s="2" t="str">
        <f>IFERROR(__xludf.DUMMYFUNCTION("""COMPUTED_VALUE"""),"Grado")</f>
        <v>Grado</v>
      </c>
      <c r="K623" s="2" t="str">
        <f>IFERROR(__xludf.DUMMYFUNCTION("""COMPUTED_VALUE"""),"Inglés")</f>
        <v>Inglés</v>
      </c>
      <c r="L623" s="2" t="str">
        <f>IFERROR(__xludf.DUMMYFUNCTION("""COMPUTED_VALUE"""),"C1")</f>
        <v>C1</v>
      </c>
      <c r="M623" s="2" t="str">
        <f>IFERROR(__xludf.DUMMYFUNCTION("""COMPUTED_VALUE"""),"No")</f>
        <v>No</v>
      </c>
      <c r="N623" s="3" t="str">
        <f>IFERROR(__xludf.DUMMYFUNCTION("""COMPUTED_VALUE"""),"http://web.nbs.ntu.edu.sg/graduatestudies/nanyangmba/InternationalOpportunities/documents/FACTSHEETS/EUROPE/Norway/Norwegian%20School%20of%20Management.pdf")</f>
        <v>http://web.nbs.ntu.edu.sg/graduatestudies/nanyangmba/InternationalOpportunities/documents/FACTSHEETS/EUROPE/Norway/Norwegian%20School%20of%20Management.pdf</v>
      </c>
      <c r="O623" s="3" t="str">
        <f>IFERROR(__xludf.DUMMYFUNCTION("""COMPUTED_VALUE"""),"Más información / Informazio gehigarria")</f>
        <v>Más información / Informazio gehigarria</v>
      </c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30.0" customHeight="1">
      <c r="A624" s="2" t="str">
        <f>IFERROR(__xludf.DUMMYFUNCTION("""COMPUTED_VALUE"""),"Noruega")</f>
        <v>Noruega</v>
      </c>
      <c r="B624" s="2" t="str">
        <f>IFERROR(__xludf.DUMMYFUNCTION("""COMPUTED_VALUE"""),"N TRONDHE01")</f>
        <v>N TRONDHE01</v>
      </c>
      <c r="C624" s="3" t="str">
        <f>IFERROR(__xludf.DUMMYFUNCTION("""COMPUTED_VALUE"""),"Norwegian University of Technology and Science (NTNU)")</f>
        <v>Norwegian University of Technology and Science (NTNU)</v>
      </c>
      <c r="D624" s="2" t="str">
        <f>IFERROR(__xludf.DUMMYFUNCTION("""COMPUTED_VALUE"""),"Erasmus+")</f>
        <v>Erasmus+</v>
      </c>
      <c r="E624" s="2">
        <f>IFERROR(__xludf.DUMMYFUNCTION("""COMPUTED_VALUE"""),2.0)</f>
        <v>2</v>
      </c>
      <c r="F624" s="2" t="str">
        <f>IFERROR(__xludf.DUMMYFUNCTION("""COMPUTED_VALUE"""),"Semestre")</f>
        <v>Semestre</v>
      </c>
      <c r="G624" s="2" t="str">
        <f>IFERROR(__xludf.DUMMYFUNCTION("""COMPUTED_VALUE"""),"Ambos")</f>
        <v>Ambos</v>
      </c>
      <c r="H624" s="2" t="str">
        <f>IFERROR(__xludf.DUMMYFUNCTION("""COMPUTED_VALUE"""),"Educación y Deporte")</f>
        <v>Educación y Deporte</v>
      </c>
      <c r="I624" s="2" t="str">
        <f>IFERROR(__xludf.DUMMYFUNCTION("""COMPUTED_VALUE"""),"Educación Primaria")</f>
        <v>Educación Primaria</v>
      </c>
      <c r="J624" s="2" t="str">
        <f>IFERROR(__xludf.DUMMYFUNCTION("""COMPUTED_VALUE"""),"Grado")</f>
        <v>Grado</v>
      </c>
      <c r="K624" s="2" t="str">
        <f>IFERROR(__xludf.DUMMYFUNCTION("""COMPUTED_VALUE"""),"Inglés")</f>
        <v>Inglés</v>
      </c>
      <c r="L624" s="2" t="str">
        <f>IFERROR(__xludf.DUMMYFUNCTION("""COMPUTED_VALUE"""),"B2")</f>
        <v>B2</v>
      </c>
      <c r="M624" s="2" t="str">
        <f>IFERROR(__xludf.DUMMYFUNCTION("""COMPUTED_VALUE"""),"Sí")</f>
        <v>Sí</v>
      </c>
      <c r="N624" s="3" t="str">
        <f>IFERROR(__xludf.DUMMYFUNCTION("""COMPUTED_VALUE"""),"https://www.ntnu.edu/studies/exchange/how_to_apply#:~:text=Exchange%20students%20from%20outside%20the,overall%20band%20score%20of%206.5")</f>
        <v>https://www.ntnu.edu/studies/exchange/how_to_apply#:~:text=Exchange%20students%20from%20outside%20the,overall%20band%20score%20of%206.5</v>
      </c>
      <c r="O624" s="3" t="str">
        <f>IFERROR(__xludf.DUMMYFUNCTION("""COMPUTED_VALUE"""),"Más información / Informazio gehigarria")</f>
        <v>Más información / Informazio gehigarria</v>
      </c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30.0" customHeight="1">
      <c r="A625" s="2" t="str">
        <f>IFERROR(__xludf.DUMMYFUNCTION("""COMPUTED_VALUE"""),"Noruega")</f>
        <v>Noruega</v>
      </c>
      <c r="B625" s="2" t="str">
        <f>IFERROR(__xludf.DUMMYFUNCTION("""COMPUTED_VALUE"""),"N HALDEN02")</f>
        <v>N HALDEN02</v>
      </c>
      <c r="C625" s="3" t="str">
        <f>IFERROR(__xludf.DUMMYFUNCTION("""COMPUTED_VALUE"""),"Østfold University College")</f>
        <v>Østfold University College</v>
      </c>
      <c r="D625" s="2" t="str">
        <f>IFERROR(__xludf.DUMMYFUNCTION("""COMPUTED_VALUE"""),"Erasmus+")</f>
        <v>Erasmus+</v>
      </c>
      <c r="E625" s="2">
        <f>IFERROR(__xludf.DUMMYFUNCTION("""COMPUTED_VALUE"""),2.0)</f>
        <v>2</v>
      </c>
      <c r="F625" s="2" t="str">
        <f>IFERROR(__xludf.DUMMYFUNCTION("""COMPUTED_VALUE"""),"Semestre")</f>
        <v>Semestre</v>
      </c>
      <c r="G625" s="2" t="str">
        <f>IFERROR(__xludf.DUMMYFUNCTION("""COMPUTED_VALUE"""),"Ambos")</f>
        <v>Ambos</v>
      </c>
      <c r="H625" s="2" t="str">
        <f>IFERROR(__xludf.DUMMYFUNCTION("""COMPUTED_VALUE"""),"Educación y Deporte")</f>
        <v>Educación y Deporte</v>
      </c>
      <c r="I625" s="2" t="str">
        <f>IFERROR(__xludf.DUMMYFUNCTION("""COMPUTED_VALUE"""),"Educación Primaria")</f>
        <v>Educación Primaria</v>
      </c>
      <c r="J625" s="2" t="str">
        <f>IFERROR(__xludf.DUMMYFUNCTION("""COMPUTED_VALUE"""),"Grado")</f>
        <v>Grado</v>
      </c>
      <c r="K625" s="2" t="str">
        <f>IFERROR(__xludf.DUMMYFUNCTION("""COMPUTED_VALUE"""),"Inglés")</f>
        <v>Inglés</v>
      </c>
      <c r="L625" s="2" t="str">
        <f>IFERROR(__xludf.DUMMYFUNCTION("""COMPUTED_VALUE"""),"B2")</f>
        <v>B2</v>
      </c>
      <c r="M625" s="2" t="str">
        <f>IFERROR(__xludf.DUMMYFUNCTION("""COMPUTED_VALUE"""),"Sí")</f>
        <v>Sí</v>
      </c>
      <c r="N625" s="3" t="str">
        <f>IFERROR(__xludf.DUMMYFUNCTION("""COMPUTED_VALUE"""),"https://www.hiof.no/english/studies/exchange-students/how-to-apply/required-documentation/")</f>
        <v>https://www.hiof.no/english/studies/exchange-students/how-to-apply/required-documentation/</v>
      </c>
      <c r="O625" s="3" t="str">
        <f>IFERROR(__xludf.DUMMYFUNCTION("""COMPUTED_VALUE"""),"Más información / Informazio gehigarria")</f>
        <v>Más información / Informazio gehigarria</v>
      </c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30.0" customHeight="1">
      <c r="A626" s="2" t="str">
        <f>IFERROR(__xludf.DUMMYFUNCTION("""COMPUTED_VALUE"""),"Noruega")</f>
        <v>Noruega</v>
      </c>
      <c r="B626" s="2" t="str">
        <f>IFERROR(__xludf.DUMMYFUNCTION("""COMPUTED_VALUE"""),"N HALDEN02")</f>
        <v>N HALDEN02</v>
      </c>
      <c r="C626" s="3" t="str">
        <f>IFERROR(__xludf.DUMMYFUNCTION("""COMPUTED_VALUE"""),"Østfold University College")</f>
        <v>Østfold University College</v>
      </c>
      <c r="D626" s="2" t="str">
        <f>IFERROR(__xludf.DUMMYFUNCTION("""COMPUTED_VALUE"""),"Erasmus+")</f>
        <v>Erasmus+</v>
      </c>
      <c r="E626" s="2">
        <f>IFERROR(__xludf.DUMMYFUNCTION("""COMPUTED_VALUE"""),2.0)</f>
        <v>2</v>
      </c>
      <c r="F626" s="2" t="str">
        <f>IFERROR(__xludf.DUMMYFUNCTION("""COMPUTED_VALUE"""),"Anual")</f>
        <v>Anual</v>
      </c>
      <c r="G626" s="2" t="str">
        <f>IFERROR(__xludf.DUMMYFUNCTION("""COMPUTED_VALUE"""),"Bilbao")</f>
        <v>Bilbao</v>
      </c>
      <c r="H626" s="2" t="str">
        <f>IFERROR(__xludf.DUMMYFUNCTION("""COMPUTED_VALUE"""),"Ciencias Sociales y Humanas")</f>
        <v>Ciencias Sociales y Humanas</v>
      </c>
      <c r="I626" s="2" t="str">
        <f>IFERROR(__xludf.DUMMYFUNCTION("""COMPUTED_VALUE"""),"Lenguas Modernas")</f>
        <v>Lenguas Modernas</v>
      </c>
      <c r="J626" s="2" t="str">
        <f>IFERROR(__xludf.DUMMYFUNCTION("""COMPUTED_VALUE"""),"Grado")</f>
        <v>Grado</v>
      </c>
      <c r="K626" s="2" t="str">
        <f>IFERROR(__xludf.DUMMYFUNCTION("""COMPUTED_VALUE"""),"Inglés")</f>
        <v>Inglés</v>
      </c>
      <c r="L626" s="2" t="str">
        <f>IFERROR(__xludf.DUMMYFUNCTION("""COMPUTED_VALUE"""),"B2")</f>
        <v>B2</v>
      </c>
      <c r="M626" s="2" t="str">
        <f>IFERROR(__xludf.DUMMYFUNCTION("""COMPUTED_VALUE"""),"Sí")</f>
        <v>Sí</v>
      </c>
      <c r="N626" s="3" t="str">
        <f>IFERROR(__xludf.DUMMYFUNCTION("""COMPUTED_VALUE"""),"https://www.hiof.no/english/studies/exchange-students/how-to-apply/required-documentation/")</f>
        <v>https://www.hiof.no/english/studies/exchange-students/how-to-apply/required-documentation/</v>
      </c>
      <c r="O626" s="3" t="str">
        <f>IFERROR(__xludf.DUMMYFUNCTION("""COMPUTED_VALUE"""),"Más información / Informazio gehigarria")</f>
        <v>Más información / Informazio gehigarria</v>
      </c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30.0" customHeight="1">
      <c r="A627" s="2" t="str">
        <f>IFERROR(__xludf.DUMMYFUNCTION("""COMPUTED_VALUE"""),"Noruega")</f>
        <v>Noruega</v>
      </c>
      <c r="B627" s="2" t="str">
        <f>IFERROR(__xludf.DUMMYFUNCTION("""COMPUTED_VALUE"""),"N KRISTIA01")</f>
        <v>N KRISTIA01</v>
      </c>
      <c r="C627" s="3" t="str">
        <f>IFERROR(__xludf.DUMMYFUNCTION("""COMPUTED_VALUE"""),"University of Agder")</f>
        <v>University of Agder</v>
      </c>
      <c r="D627" s="2" t="str">
        <f>IFERROR(__xludf.DUMMYFUNCTION("""COMPUTED_VALUE"""),"Erasmus+")</f>
        <v>Erasmus+</v>
      </c>
      <c r="E627" s="2">
        <f>IFERROR(__xludf.DUMMYFUNCTION("""COMPUTED_VALUE"""),2.0)</f>
        <v>2</v>
      </c>
      <c r="F627" s="2" t="str">
        <f>IFERROR(__xludf.DUMMYFUNCTION("""COMPUTED_VALUE"""),"Ambos semestres")</f>
        <v>Ambos semestres</v>
      </c>
      <c r="G627" s="2" t="str">
        <f>IFERROR(__xludf.DUMMYFUNCTION("""COMPUTED_VALUE"""),"Bilbao")</f>
        <v>Bilbao</v>
      </c>
      <c r="H627" s="2" t="str">
        <f>IFERROR(__xludf.DUMMYFUNCTION("""COMPUTED_VALUE"""),"Deusto Business School")</f>
        <v>Deusto Business School</v>
      </c>
      <c r="I627" s="2" t="str">
        <f>IFERROR(__xludf.DUMMYFUNCTION("""COMPUTED_VALUE"""),"Administración y Dirección de Empresas")</f>
        <v>Administración y Dirección de Empresas</v>
      </c>
      <c r="J627" s="2" t="str">
        <f>IFERROR(__xludf.DUMMYFUNCTION("""COMPUTED_VALUE"""),"Grado")</f>
        <v>Grado</v>
      </c>
      <c r="K627" s="2" t="str">
        <f>IFERROR(__xludf.DUMMYFUNCTION("""COMPUTED_VALUE"""),"Inglés")</f>
        <v>Inglés</v>
      </c>
      <c r="L627" s="2" t="str">
        <f>IFERROR(__xludf.DUMMYFUNCTION("""COMPUTED_VALUE"""),"C1")</f>
        <v>C1</v>
      </c>
      <c r="M627" s="2" t="str">
        <f>IFERROR(__xludf.DUMMYFUNCTION("""COMPUTED_VALUE"""),"No")</f>
        <v>No</v>
      </c>
      <c r="N627" s="3" t="str">
        <f>IFERROR(__xludf.DUMMYFUNCTION("""COMPUTED_VALUE"""),"https://www.uia.no/en/studies/exchange-students/english-proficiency-requirements-for-exchange-students")</f>
        <v>https://www.uia.no/en/studies/exchange-students/english-proficiency-requirements-for-exchange-students</v>
      </c>
      <c r="O627" s="3" t="str">
        <f>IFERROR(__xludf.DUMMYFUNCTION("""COMPUTED_VALUE"""),"Más información / Informazio gehigarria")</f>
        <v>Más información / Informazio gehigarria</v>
      </c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30.0" customHeight="1">
      <c r="A628" s="2" t="str">
        <f>IFERROR(__xludf.DUMMYFUNCTION("""COMPUTED_VALUE"""),"Noruega")</f>
        <v>Noruega</v>
      </c>
      <c r="B628" s="2" t="str">
        <f>IFERROR(__xludf.DUMMYFUNCTION("""COMPUTED_VALUE"""),"N KRISTIA01")</f>
        <v>N KRISTIA01</v>
      </c>
      <c r="C628" s="3" t="str">
        <f>IFERROR(__xludf.DUMMYFUNCTION("""COMPUTED_VALUE"""),"University of Agder")</f>
        <v>University of Agder</v>
      </c>
      <c r="D628" s="2" t="str">
        <f>IFERROR(__xludf.DUMMYFUNCTION("""COMPUTED_VALUE"""),"Erasmus+")</f>
        <v>Erasmus+</v>
      </c>
      <c r="E628" s="2">
        <f>IFERROR(__xludf.DUMMYFUNCTION("""COMPUTED_VALUE"""),2.0)</f>
        <v>2</v>
      </c>
      <c r="F628" s="2" t="str">
        <f>IFERROR(__xludf.DUMMYFUNCTION("""COMPUTED_VALUE"""),"Semestre")</f>
        <v>Semestre</v>
      </c>
      <c r="G628" s="2" t="str">
        <f>IFERROR(__xludf.DUMMYFUNCTION("""COMPUTED_VALUE"""),"Bilbao")</f>
        <v>Bilbao</v>
      </c>
      <c r="H628" s="2" t="str">
        <f>IFERROR(__xludf.DUMMYFUNCTION("""COMPUTED_VALUE"""),"Derecho")</f>
        <v>Derecho</v>
      </c>
      <c r="I628" s="2" t="str">
        <f>IFERROR(__xludf.DUMMYFUNCTION("""COMPUTED_VALUE"""),"Derecho, Derecho + Relaciones Laborales")</f>
        <v>Derecho, Derecho + Relaciones Laborales</v>
      </c>
      <c r="J628" s="2" t="str">
        <f>IFERROR(__xludf.DUMMYFUNCTION("""COMPUTED_VALUE"""),"Grado")</f>
        <v>Grado</v>
      </c>
      <c r="K628" s="2" t="str">
        <f>IFERROR(__xludf.DUMMYFUNCTION("""COMPUTED_VALUE"""),"Inglés")</f>
        <v>Inglés</v>
      </c>
      <c r="L628" s="2" t="str">
        <f>IFERROR(__xludf.DUMMYFUNCTION("""COMPUTED_VALUE"""),"B2")</f>
        <v>B2</v>
      </c>
      <c r="M628" s="2" t="str">
        <f>IFERROR(__xludf.DUMMYFUNCTION("""COMPUTED_VALUE"""),"Sí")</f>
        <v>Sí</v>
      </c>
      <c r="N628" s="3" t="str">
        <f>IFERROR(__xludf.DUMMYFUNCTION("""COMPUTED_VALUE"""),"https://www.uia.no/en/studies/exchange-students/english-proficiency-requirements-for-exchange-students")</f>
        <v>https://www.uia.no/en/studies/exchange-students/english-proficiency-requirements-for-exchange-students</v>
      </c>
      <c r="O628" s="3" t="str">
        <f>IFERROR(__xludf.DUMMYFUNCTION("""COMPUTED_VALUE"""),"Más información / Informazio gehigarria")</f>
        <v>Más información / Informazio gehigarria</v>
      </c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30.0" customHeight="1">
      <c r="A629" s="2" t="str">
        <f>IFERROR(__xludf.DUMMYFUNCTION("""COMPUTED_VALUE"""),"Noruega")</f>
        <v>Noruega</v>
      </c>
      <c r="B629" s="2" t="str">
        <f>IFERROR(__xludf.DUMMYFUNCTION("""COMPUTED_VALUE"""),"N KRISTIA01")</f>
        <v>N KRISTIA01</v>
      </c>
      <c r="C629" s="3" t="str">
        <f>IFERROR(__xludf.DUMMYFUNCTION("""COMPUTED_VALUE"""),"University of Agder")</f>
        <v>University of Agder</v>
      </c>
      <c r="D629" s="2" t="str">
        <f>IFERROR(__xludf.DUMMYFUNCTION("""COMPUTED_VALUE"""),"Erasmus+")</f>
        <v>Erasmus+</v>
      </c>
      <c r="E629" s="2">
        <f>IFERROR(__xludf.DUMMYFUNCTION("""COMPUTED_VALUE"""),2.0)</f>
        <v>2</v>
      </c>
      <c r="F629" s="2" t="str">
        <f>IFERROR(__xludf.DUMMYFUNCTION("""COMPUTED_VALUE"""),"Semestre")</f>
        <v>Semestre</v>
      </c>
      <c r="G629" s="2" t="str">
        <f>IFERROR(__xludf.DUMMYFUNCTION("""COMPUTED_VALUE"""),"San Sebastián")</f>
        <v>San Sebastián</v>
      </c>
      <c r="H629" s="2" t="str">
        <f>IFERROR(__xludf.DUMMYFUNCTION("""COMPUTED_VALUE"""),"Deusto Business School")</f>
        <v>Deusto Business School</v>
      </c>
      <c r="I629" s="2" t="str">
        <f>IFERROR(__xludf.DUMMYFUNCTION("""COMPUTED_VALUE"""),"Administración y Dirección de Empresas")</f>
        <v>Administración y Dirección de Empresas</v>
      </c>
      <c r="J629" s="2" t="str">
        <f>IFERROR(__xludf.DUMMYFUNCTION("""COMPUTED_VALUE"""),"Grado")</f>
        <v>Grado</v>
      </c>
      <c r="K629" s="2" t="str">
        <f>IFERROR(__xludf.DUMMYFUNCTION("""COMPUTED_VALUE"""),"Inglés")</f>
        <v>Inglés</v>
      </c>
      <c r="L629" s="2" t="str">
        <f>IFERROR(__xludf.DUMMYFUNCTION("""COMPUTED_VALUE"""),"C1")</f>
        <v>C1</v>
      </c>
      <c r="M629" s="2" t="str">
        <f>IFERROR(__xludf.DUMMYFUNCTION("""COMPUTED_VALUE"""),"No")</f>
        <v>No</v>
      </c>
      <c r="N629" s="3" t="str">
        <f>IFERROR(__xludf.DUMMYFUNCTION("""COMPUTED_VALUE"""),"https://www.uia.no/en/studies/exchange-students/english-proficiency-requirements-for-exchange-students")</f>
        <v>https://www.uia.no/en/studies/exchange-students/english-proficiency-requirements-for-exchange-students</v>
      </c>
      <c r="O629" s="3" t="str">
        <f>IFERROR(__xludf.DUMMYFUNCTION("""COMPUTED_VALUE"""),"Más información / Informazio gehigarria")</f>
        <v>Más información / Informazio gehigarria</v>
      </c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30.0" customHeight="1">
      <c r="A630" s="2" t="str">
        <f>IFERROR(__xludf.DUMMYFUNCTION("""COMPUTED_VALUE"""),"Noruega")</f>
        <v>Noruega</v>
      </c>
      <c r="B630" s="2" t="str">
        <f>IFERROR(__xludf.DUMMYFUNCTION("""COMPUTED_VALUE"""),"N KRISTIA01")</f>
        <v>N KRISTIA01</v>
      </c>
      <c r="C630" s="3" t="str">
        <f>IFERROR(__xludf.DUMMYFUNCTION("""COMPUTED_VALUE"""),"University of Agder")</f>
        <v>University of Agder</v>
      </c>
      <c r="D630" s="2" t="str">
        <f>IFERROR(__xludf.DUMMYFUNCTION("""COMPUTED_VALUE"""),"Erasmus+")</f>
        <v>Erasmus+</v>
      </c>
      <c r="E630" s="2">
        <f>IFERROR(__xludf.DUMMYFUNCTION("""COMPUTED_VALUE"""),4.0)</f>
        <v>4</v>
      </c>
      <c r="F630" s="2" t="str">
        <f>IFERROR(__xludf.DUMMYFUNCTION("""COMPUTED_VALUE"""),"Semestre")</f>
        <v>Semestre</v>
      </c>
      <c r="G630" s="2" t="str">
        <f>IFERROR(__xludf.DUMMYFUNCTION("""COMPUTED_VALUE"""),"Ambos")</f>
        <v>Ambos</v>
      </c>
      <c r="H630" s="2" t="str">
        <f>IFERROR(__xludf.DUMMYFUNCTION("""COMPUTED_VALUE"""),"Educación y Deporte")</f>
        <v>Educación y Deporte</v>
      </c>
      <c r="I630" s="2" t="str">
        <f>IFERROR(__xludf.DUMMYFUNCTION("""COMPUTED_VALUE"""),"Educación Primaria")</f>
        <v>Educación Primaria</v>
      </c>
      <c r="J630" s="2" t="str">
        <f>IFERROR(__xludf.DUMMYFUNCTION("""COMPUTED_VALUE"""),"Grado")</f>
        <v>Grado</v>
      </c>
      <c r="K630" s="2" t="str">
        <f>IFERROR(__xludf.DUMMYFUNCTION("""COMPUTED_VALUE"""),"Inglés")</f>
        <v>Inglés</v>
      </c>
      <c r="L630" s="2" t="str">
        <f>IFERROR(__xludf.DUMMYFUNCTION("""COMPUTED_VALUE"""),"B2")</f>
        <v>B2</v>
      </c>
      <c r="M630" s="2" t="str">
        <f>IFERROR(__xludf.DUMMYFUNCTION("""COMPUTED_VALUE"""),"Sí")</f>
        <v>Sí</v>
      </c>
      <c r="N630" s="3" t="str">
        <f>IFERROR(__xludf.DUMMYFUNCTION("""COMPUTED_VALUE"""),"https://www.uia.no/en/studies/exchange-students/english-proficiency-requirements-for-exchange-students")</f>
        <v>https://www.uia.no/en/studies/exchange-students/english-proficiency-requirements-for-exchange-students</v>
      </c>
      <c r="O630" s="3" t="str">
        <f>IFERROR(__xludf.DUMMYFUNCTION("""COMPUTED_VALUE"""),"Más información / Informazio gehigarria")</f>
        <v>Más información / Informazio gehigarria</v>
      </c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30.0" customHeight="1">
      <c r="A631" s="2" t="str">
        <f>IFERROR(__xludf.DUMMYFUNCTION("""COMPUTED_VALUE"""),"Noruega")</f>
        <v>Noruega</v>
      </c>
      <c r="B631" s="2" t="str">
        <f>IFERROR(__xludf.DUMMYFUNCTION("""COMPUTED_VALUE"""),"N KRISTIA01")</f>
        <v>N KRISTIA01</v>
      </c>
      <c r="C631" s="3" t="str">
        <f>IFERROR(__xludf.DUMMYFUNCTION("""COMPUTED_VALUE"""),"University of Agder")</f>
        <v>University of Agder</v>
      </c>
      <c r="D631" s="2" t="str">
        <f>IFERROR(__xludf.DUMMYFUNCTION("""COMPUTED_VALUE"""),"Erasmus+")</f>
        <v>Erasmus+</v>
      </c>
      <c r="E631" s="2">
        <f>IFERROR(__xludf.DUMMYFUNCTION("""COMPUTED_VALUE"""),2.0)</f>
        <v>2</v>
      </c>
      <c r="F631" s="2" t="str">
        <f>IFERROR(__xludf.DUMMYFUNCTION("""COMPUTED_VALUE"""),"Anual")</f>
        <v>Anual</v>
      </c>
      <c r="G631" s="2" t="str">
        <f>IFERROR(__xludf.DUMMYFUNCTION("""COMPUTED_VALUE"""),"Bilbao")</f>
        <v>Bilbao</v>
      </c>
      <c r="H631" s="2" t="str">
        <f>IFERROR(__xludf.DUMMYFUNCTION("""COMPUTED_VALUE"""),"Ciencias Sociales y Humanas")</f>
        <v>Ciencias Sociales y Humanas</v>
      </c>
      <c r="I631" s="2" t="str">
        <f>IFERROR(__xludf.DUMMYFUNCTION("""COMPUTED_VALUE"""),"Relaciones Internacionales, Relaciones Internacionales + Derecho")</f>
        <v>Relaciones Internacionales, Relaciones Internacionales + Derecho</v>
      </c>
      <c r="J631" s="2" t="str">
        <f>IFERROR(__xludf.DUMMYFUNCTION("""COMPUTED_VALUE"""),"Grado")</f>
        <v>Grado</v>
      </c>
      <c r="K631" s="2" t="str">
        <f>IFERROR(__xludf.DUMMYFUNCTION("""COMPUTED_VALUE"""),"Inglés")</f>
        <v>Inglés</v>
      </c>
      <c r="L631" s="2" t="str">
        <f>IFERROR(__xludf.DUMMYFUNCTION("""COMPUTED_VALUE"""),"B2")</f>
        <v>B2</v>
      </c>
      <c r="M631" s="2" t="str">
        <f>IFERROR(__xludf.DUMMYFUNCTION("""COMPUTED_VALUE"""),"Sí")</f>
        <v>Sí</v>
      </c>
      <c r="N631" s="3" t="str">
        <f>IFERROR(__xludf.DUMMYFUNCTION("""COMPUTED_VALUE"""),"https://www.uia.no/en/studies/exchange-students/english-proficiency-requirements-for-exchange-students")</f>
        <v>https://www.uia.no/en/studies/exchange-students/english-proficiency-requirements-for-exchange-students</v>
      </c>
      <c r="O631" s="3" t="str">
        <f>IFERROR(__xludf.DUMMYFUNCTION("""COMPUTED_VALUE"""),"Más información / Informazio gehigarria")</f>
        <v>Más información / Informazio gehigarria</v>
      </c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30.0" customHeight="1">
      <c r="A632" s="2" t="str">
        <f>IFERROR(__xludf.DUMMYFUNCTION("""COMPUTED_VALUE"""),"Noruega")</f>
        <v>Noruega</v>
      </c>
      <c r="B632" s="2" t="str">
        <f>IFERROR(__xludf.DUMMYFUNCTION("""COMPUTED_VALUE"""),"N OSLO01")</f>
        <v>N OSLO01</v>
      </c>
      <c r="C632" s="3" t="str">
        <f>IFERROR(__xludf.DUMMYFUNCTION("""COMPUTED_VALUE"""),"University of Oslo")</f>
        <v>University of Oslo</v>
      </c>
      <c r="D632" s="2" t="str">
        <f>IFERROR(__xludf.DUMMYFUNCTION("""COMPUTED_VALUE"""),"Erasmus+")</f>
        <v>Erasmus+</v>
      </c>
      <c r="E632" s="2">
        <f>IFERROR(__xludf.DUMMYFUNCTION("""COMPUTED_VALUE"""),2.0)</f>
        <v>2</v>
      </c>
      <c r="F632" s="2" t="str">
        <f>IFERROR(__xludf.DUMMYFUNCTION("""COMPUTED_VALUE"""),"Semestre")</f>
        <v>Semestre</v>
      </c>
      <c r="G632" s="2" t="str">
        <f>IFERROR(__xludf.DUMMYFUNCTION("""COMPUTED_VALUE"""),"Ambos")</f>
        <v>Ambos</v>
      </c>
      <c r="H632" s="2" t="str">
        <f>IFERROR(__xludf.DUMMYFUNCTION("""COMPUTED_VALUE"""),"Derecho")</f>
        <v>Derecho</v>
      </c>
      <c r="I632" s="2" t="str">
        <f>IFERROR(__xludf.DUMMYFUNCTION("""COMPUTED_VALUE"""),"Derecho, Derecho + Relaciones Laborales")</f>
        <v>Derecho, Derecho + Relaciones Laborales</v>
      </c>
      <c r="J632" s="2" t="str">
        <f>IFERROR(__xludf.DUMMYFUNCTION("""COMPUTED_VALUE"""),"Grado")</f>
        <v>Grado</v>
      </c>
      <c r="K632" s="2" t="str">
        <f>IFERROR(__xludf.DUMMYFUNCTION("""COMPUTED_VALUE"""),"Inglés")</f>
        <v>Inglés</v>
      </c>
      <c r="L632" s="2" t="str">
        <f>IFERROR(__xludf.DUMMYFUNCTION("""COMPUTED_VALUE"""),"B2")</f>
        <v>B2</v>
      </c>
      <c r="M632" s="2" t="str">
        <f>IFERROR(__xludf.DUMMYFUNCTION("""COMPUTED_VALUE"""),"Sí")</f>
        <v>Sí</v>
      </c>
      <c r="N632" s="3" t="str">
        <f>IFERROR(__xludf.DUMMYFUNCTION("""COMPUTED_VALUE"""),"https://www.uio.no/english/studies/admission/exchange/english-requirements.html")</f>
        <v>https://www.uio.no/english/studies/admission/exchange/english-requirements.html</v>
      </c>
      <c r="O632" s="3" t="str">
        <f>IFERROR(__xludf.DUMMYFUNCTION("""COMPUTED_VALUE"""),"Más información / Informazio gehigarria")</f>
        <v>Más información / Informazio gehigarria</v>
      </c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30.0" customHeight="1">
      <c r="A633" s="2" t="str">
        <f>IFERROR(__xludf.DUMMYFUNCTION("""COMPUTED_VALUE"""),"Noruega")</f>
        <v>Noruega</v>
      </c>
      <c r="B633" s="2" t="str">
        <f>IFERROR(__xludf.DUMMYFUNCTION("""COMPUTED_VALUE"""),"N STAVANG01")</f>
        <v>N STAVANG01</v>
      </c>
      <c r="C633" s="3" t="str">
        <f>IFERROR(__xludf.DUMMYFUNCTION("""COMPUTED_VALUE"""),"University of Stavanger")</f>
        <v>University of Stavanger</v>
      </c>
      <c r="D633" s="2" t="str">
        <f>IFERROR(__xludf.DUMMYFUNCTION("""COMPUTED_VALUE"""),"Erasmus+")</f>
        <v>Erasmus+</v>
      </c>
      <c r="E633" s="2">
        <f>IFERROR(__xludf.DUMMYFUNCTION("""COMPUTED_VALUE"""),2.0)</f>
        <v>2</v>
      </c>
      <c r="F633" s="2" t="str">
        <f>IFERROR(__xludf.DUMMYFUNCTION("""COMPUTED_VALUE"""),"Semestre")</f>
        <v>Semestre</v>
      </c>
      <c r="G633" s="2" t="str">
        <f>IFERROR(__xludf.DUMMYFUNCTION("""COMPUTED_VALUE"""),"Bilbao")</f>
        <v>Bilbao</v>
      </c>
      <c r="H633" s="2" t="str">
        <f>IFERROR(__xludf.DUMMYFUNCTION("""COMPUTED_VALUE"""),"Begoñako Andramari, BAM")</f>
        <v>Begoñako Andramari, BAM</v>
      </c>
      <c r="I633" s="2" t="str">
        <f>IFERROR(__xludf.DUMMYFUNCTION("""COMPUTED_VALUE"""),"Educación Primaria, Educación Infantil")</f>
        <v>Educación Primaria, Educación Infantil</v>
      </c>
      <c r="J633" s="2" t="str">
        <f>IFERROR(__xludf.DUMMYFUNCTION("""COMPUTED_VALUE"""),"Grado")</f>
        <v>Grado</v>
      </c>
      <c r="K633" s="2" t="str">
        <f>IFERROR(__xludf.DUMMYFUNCTION("""COMPUTED_VALUE"""),"Inglés")</f>
        <v>Inglés</v>
      </c>
      <c r="L633" s="2" t="str">
        <f>IFERROR(__xludf.DUMMYFUNCTION("""COMPUTED_VALUE"""),"B2")</f>
        <v>B2</v>
      </c>
      <c r="M633" s="2" t="str">
        <f>IFERROR(__xludf.DUMMYFUNCTION("""COMPUTED_VALUE"""),"No")</f>
        <v>No</v>
      </c>
      <c r="N633" s="3" t="str">
        <f>IFERROR(__xludf.DUMMYFUNCTION("""COMPUTED_VALUE"""),"https://apps.unive.it/common2/file/download/destinazioni_erasmus/63eb8740a28ec#:~:text=The%20minimum%20English%20language%20requirement,as%20described%20for%20each%20course.&amp;text=List%20of%20courses%20open%20for%20exchange%20students.")</f>
        <v>https://apps.unive.it/common2/file/download/destinazioni_erasmus/63eb8740a28ec#:~:text=The%20minimum%20English%20language%20requirement,as%20described%20for%20each%20course.&amp;text=List%20of%20courses%20open%20for%20exchange%20students.</v>
      </c>
      <c r="O633" s="3" t="str">
        <f>IFERROR(__xludf.DUMMYFUNCTION("""COMPUTED_VALUE"""),"Más información / Informazio gehigarria")</f>
        <v>Más información / Informazio gehigarria</v>
      </c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30.0" customHeight="1">
      <c r="A634" s="2" t="str">
        <f>IFERROR(__xludf.DUMMYFUNCTION("""COMPUTED_VALUE"""),"Noruega")</f>
        <v>Noruega</v>
      </c>
      <c r="B634" s="2" t="str">
        <f>IFERROR(__xludf.DUMMYFUNCTION("""COMPUTED_VALUE"""),"N STAVANG01")</f>
        <v>N STAVANG01</v>
      </c>
      <c r="C634" s="3" t="str">
        <f>IFERROR(__xludf.DUMMYFUNCTION("""COMPUTED_VALUE"""),"University of Stavanger")</f>
        <v>University of Stavanger</v>
      </c>
      <c r="D634" s="2" t="str">
        <f>IFERROR(__xludf.DUMMYFUNCTION("""COMPUTED_VALUE"""),"Erasmus+")</f>
        <v>Erasmus+</v>
      </c>
      <c r="E634" s="2">
        <f>IFERROR(__xludf.DUMMYFUNCTION("""COMPUTED_VALUE"""),1.0)</f>
        <v>1</v>
      </c>
      <c r="F634" s="2" t="str">
        <f>IFERROR(__xludf.DUMMYFUNCTION("""COMPUTED_VALUE"""),"Anual")</f>
        <v>Anual</v>
      </c>
      <c r="G634" s="2" t="str">
        <f>IFERROR(__xludf.DUMMYFUNCTION("""COMPUTED_VALUE"""),"Bilbao")</f>
        <v>Bilbao</v>
      </c>
      <c r="H634" s="2" t="str">
        <f>IFERROR(__xludf.DUMMYFUNCTION("""COMPUTED_VALUE"""),"Ciencias Sociales y Humanas")</f>
        <v>Ciencias Sociales y Humanas</v>
      </c>
      <c r="I634" s="2" t="str">
        <f>IFERROR(__xludf.DUMMYFUNCTION("""COMPUTED_VALUE"""),"Relaciones Internacionales, Relaciones Internacionales + Derecho")</f>
        <v>Relaciones Internacionales, Relaciones Internacionales + Derecho</v>
      </c>
      <c r="J634" s="2" t="str">
        <f>IFERROR(__xludf.DUMMYFUNCTION("""COMPUTED_VALUE"""),"Grado")</f>
        <v>Grado</v>
      </c>
      <c r="K634" s="2" t="str">
        <f>IFERROR(__xludf.DUMMYFUNCTION("""COMPUTED_VALUE"""),"Inglés")</f>
        <v>Inglés</v>
      </c>
      <c r="L634" s="2" t="str">
        <f>IFERROR(__xludf.DUMMYFUNCTION("""COMPUTED_VALUE"""),"B2")</f>
        <v>B2</v>
      </c>
      <c r="M634" s="2" t="str">
        <f>IFERROR(__xludf.DUMMYFUNCTION("""COMPUTED_VALUE"""),"No")</f>
        <v>No</v>
      </c>
      <c r="N634" s="3" t="str">
        <f>IFERROR(__xludf.DUMMYFUNCTION("""COMPUTED_VALUE"""),"https://apps.unive.it/common2/file/download/destinazioni_erasmus/63eb8740a28ec#:~:text=The%20minimum%20English%20language%20requirement,as%20described%20for%20each%20course.&amp;text=List%20of%20courses%20open%20for%20exchange%20students.")</f>
        <v>https://apps.unive.it/common2/file/download/destinazioni_erasmus/63eb8740a28ec#:~:text=The%20minimum%20English%20language%20requirement,as%20described%20for%20each%20course.&amp;text=List%20of%20courses%20open%20for%20exchange%20students.</v>
      </c>
      <c r="O634" s="3" t="str">
        <f>IFERROR(__xludf.DUMMYFUNCTION("""COMPUTED_VALUE"""),"Más información / Informazio gehigarria")</f>
        <v>Más información / Informazio gehigarria</v>
      </c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30.0" customHeight="1">
      <c r="A635" s="2" t="str">
        <f>IFERROR(__xludf.DUMMYFUNCTION("""COMPUTED_VALUE"""),"Noruega")</f>
        <v>Noruega</v>
      </c>
      <c r="B635" s="2" t="str">
        <f>IFERROR(__xludf.DUMMYFUNCTION("""COMPUTED_VALUE"""),"N STAVANG01")</f>
        <v>N STAVANG01</v>
      </c>
      <c r="C635" s="3" t="str">
        <f>IFERROR(__xludf.DUMMYFUNCTION("""COMPUTED_VALUE"""),"University of Stavanger")</f>
        <v>University of Stavanger</v>
      </c>
      <c r="D635" s="2" t="str">
        <f>IFERROR(__xludf.DUMMYFUNCTION("""COMPUTED_VALUE"""),"Erasmus+")</f>
        <v>Erasmus+</v>
      </c>
      <c r="E635" s="2">
        <f>IFERROR(__xludf.DUMMYFUNCTION("""COMPUTED_VALUE"""),4.0)</f>
        <v>4</v>
      </c>
      <c r="F635" s="2" t="str">
        <f>IFERROR(__xludf.DUMMYFUNCTION("""COMPUTED_VALUE"""),"Semestre")</f>
        <v>Semestre</v>
      </c>
      <c r="G635" s="2" t="str">
        <f>IFERROR(__xludf.DUMMYFUNCTION("""COMPUTED_VALUE"""),"Bilbao")</f>
        <v>Bilbao</v>
      </c>
      <c r="H635" s="2" t="str">
        <f>IFERROR(__xludf.DUMMYFUNCTION("""COMPUTED_VALUE"""),"Ciencias Sociales y Humanas")</f>
        <v>Ciencias Sociales y Humanas</v>
      </c>
      <c r="I635" s="2" t="str">
        <f>IFERROR(__xludf.DUMMYFUNCTION("""COMPUTED_VALUE"""),"Turismo")</f>
        <v>Turismo</v>
      </c>
      <c r="J635" s="2" t="str">
        <f>IFERROR(__xludf.DUMMYFUNCTION("""COMPUTED_VALUE"""),"Grado")</f>
        <v>Grado</v>
      </c>
      <c r="K635" s="2" t="str">
        <f>IFERROR(__xludf.DUMMYFUNCTION("""COMPUTED_VALUE"""),"Inglés")</f>
        <v>Inglés</v>
      </c>
      <c r="L635" s="2" t="str">
        <f>IFERROR(__xludf.DUMMYFUNCTION("""COMPUTED_VALUE"""),"B2")</f>
        <v>B2</v>
      </c>
      <c r="M635" s="2" t="str">
        <f>IFERROR(__xludf.DUMMYFUNCTION("""COMPUTED_VALUE"""),"No")</f>
        <v>No</v>
      </c>
      <c r="N635" s="3" t="str">
        <f>IFERROR(__xludf.DUMMYFUNCTION("""COMPUTED_VALUE"""),"https://apps.unive.it/common2/file/download/destinazioni_erasmus/63eb8740a28ec#:~:text=The%20minimum%20English%20language%20requirement,as%20described%20for%20each%20course.&amp;text=List%20of%20courses%20open%20for%20exchange%20students.")</f>
        <v>https://apps.unive.it/common2/file/download/destinazioni_erasmus/63eb8740a28ec#:~:text=The%20minimum%20English%20language%20requirement,as%20described%20for%20each%20course.&amp;text=List%20of%20courses%20open%20for%20exchange%20students.</v>
      </c>
      <c r="O635" s="3" t="str">
        <f>IFERROR(__xludf.DUMMYFUNCTION("""COMPUTED_VALUE"""),"Más información / Informazio gehigarria")</f>
        <v>Más información / Informazio gehigarria</v>
      </c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30.0" customHeight="1">
      <c r="A636" s="2" t="str">
        <f>IFERROR(__xludf.DUMMYFUNCTION("""COMPUTED_VALUE"""),"Noruega")</f>
        <v>Noruega</v>
      </c>
      <c r="B636" s="2" t="str">
        <f>IFERROR(__xludf.DUMMYFUNCTION("""COMPUTED_VALUE"""),"N OSLO67")</f>
        <v>N OSLO67</v>
      </c>
      <c r="C636" s="3" t="str">
        <f>IFERROR(__xludf.DUMMYFUNCTION("""COMPUTED_VALUE"""),"VID Specialized University")</f>
        <v>VID Specialized University</v>
      </c>
      <c r="D636" s="2" t="str">
        <f>IFERROR(__xludf.DUMMYFUNCTION("""COMPUTED_VALUE"""),"Erasmus+")</f>
        <v>Erasmus+</v>
      </c>
      <c r="E636" s="2">
        <f>IFERROR(__xludf.DUMMYFUNCTION("""COMPUTED_VALUE"""),2.0)</f>
        <v>2</v>
      </c>
      <c r="F636" s="2" t="str">
        <f>IFERROR(__xludf.DUMMYFUNCTION("""COMPUTED_VALUE"""),"Semestre")</f>
        <v>Semestre</v>
      </c>
      <c r="G636" s="2" t="str">
        <f>IFERROR(__xludf.DUMMYFUNCTION("""COMPUTED_VALUE"""),"Bilbao")</f>
        <v>Bilbao</v>
      </c>
      <c r="H636" s="2" t="str">
        <f>IFERROR(__xludf.DUMMYFUNCTION("""COMPUTED_VALUE"""),"Educación y Deporte")</f>
        <v>Educación y Deporte</v>
      </c>
      <c r="I636" s="2" t="str">
        <f>IFERROR(__xludf.DUMMYFUNCTION("""COMPUTED_VALUE"""),"Educación Social")</f>
        <v>Educación Social</v>
      </c>
      <c r="J636" s="2" t="str">
        <f>IFERROR(__xludf.DUMMYFUNCTION("""COMPUTED_VALUE"""),"Grado")</f>
        <v>Grado</v>
      </c>
      <c r="K636" s="2" t="str">
        <f>IFERROR(__xludf.DUMMYFUNCTION("""COMPUTED_VALUE"""),"Inglés")</f>
        <v>Inglés</v>
      </c>
      <c r="L636" s="2" t="str">
        <f>IFERROR(__xludf.DUMMYFUNCTION("""COMPUTED_VALUE"""),"B2")</f>
        <v>B2</v>
      </c>
      <c r="M636" s="2" t="str">
        <f>IFERROR(__xludf.DUMMYFUNCTION("""COMPUTED_VALUE"""),"No")</f>
        <v>No</v>
      </c>
      <c r="N636" s="3" t="str">
        <f>IFERROR(__xludf.DUMMYFUNCTION("""COMPUTED_VALUE"""),"https://www.vid.no/en/international/study-abroad/incoming-exchange-student/#:~:text=A%20high%20level%20of%20English,language%20competence%20that%20is%20documented.")</f>
        <v>https://www.vid.no/en/international/study-abroad/incoming-exchange-student/#:~:text=A%20high%20level%20of%20English,language%20competence%20that%20is%20documented.</v>
      </c>
      <c r="O636" s="3" t="str">
        <f>IFERROR(__xludf.DUMMYFUNCTION("""COMPUTED_VALUE"""),"Más información / Informazio gehigarria")</f>
        <v>Más información / Informazio gehigarria</v>
      </c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30.0" customHeight="1">
      <c r="A637" s="2" t="str">
        <f>IFERROR(__xludf.DUMMYFUNCTION("""COMPUTED_VALUE"""),"Noruega")</f>
        <v>Noruega</v>
      </c>
      <c r="B637" s="2" t="str">
        <f>IFERROR(__xludf.DUMMYFUNCTION("""COMPUTED_VALUE"""),"N VOLDA01")</f>
        <v>N VOLDA01</v>
      </c>
      <c r="C637" s="3" t="str">
        <f>IFERROR(__xludf.DUMMYFUNCTION("""COMPUTED_VALUE"""),"Volda University")</f>
        <v>Volda University</v>
      </c>
      <c r="D637" s="2" t="str">
        <f>IFERROR(__xludf.DUMMYFUNCTION("""COMPUTED_VALUE"""),"Erasmus+")</f>
        <v>Erasmus+</v>
      </c>
      <c r="E637" s="2">
        <f>IFERROR(__xludf.DUMMYFUNCTION("""COMPUTED_VALUE"""),3.0)</f>
        <v>3</v>
      </c>
      <c r="F637" s="2" t="str">
        <f>IFERROR(__xludf.DUMMYFUNCTION("""COMPUTED_VALUE"""),"Semestre")</f>
        <v>Semestre</v>
      </c>
      <c r="G637" s="2" t="str">
        <f>IFERROR(__xludf.DUMMYFUNCTION("""COMPUTED_VALUE"""),"Bilbao")</f>
        <v>Bilbao</v>
      </c>
      <c r="H637" s="2" t="str">
        <f>IFERROR(__xludf.DUMMYFUNCTION("""COMPUTED_VALUE"""),"Begoñako Andramari, BAM")</f>
        <v>Begoñako Andramari, BAM</v>
      </c>
      <c r="I637" s="2" t="str">
        <f>IFERROR(__xludf.DUMMYFUNCTION("""COMPUTED_VALUE"""),"Educación Primaria, Educación Infantil")</f>
        <v>Educación Primaria, Educación Infantil</v>
      </c>
      <c r="J637" s="2" t="str">
        <f>IFERROR(__xludf.DUMMYFUNCTION("""COMPUTED_VALUE"""),"Grado")</f>
        <v>Grado</v>
      </c>
      <c r="K637" s="2" t="str">
        <f>IFERROR(__xludf.DUMMYFUNCTION("""COMPUTED_VALUE"""),"Inglés")</f>
        <v>Inglés</v>
      </c>
      <c r="L637" s="2" t="str">
        <f>IFERROR(__xludf.DUMMYFUNCTION("""COMPUTED_VALUE"""),"B2")</f>
        <v>B2</v>
      </c>
      <c r="M637" s="2" t="str">
        <f>IFERROR(__xludf.DUMMYFUNCTION("""COMPUTED_VALUE"""),"No")</f>
        <v>No</v>
      </c>
      <c r="N637" s="3" t="str">
        <f>IFERROR(__xludf.DUMMYFUNCTION("""COMPUTED_VALUE"""),"https://www.hivolda.no/en/nis/nis-how-apply")</f>
        <v>https://www.hivolda.no/en/nis/nis-how-apply</v>
      </c>
      <c r="O637" s="3" t="str">
        <f>IFERROR(__xludf.DUMMYFUNCTION("""COMPUTED_VALUE"""),"Más información / Informazio gehigarria")</f>
        <v>Más información / Informazio gehigarria</v>
      </c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30.0" customHeight="1">
      <c r="A638" s="2" t="str">
        <f>IFERROR(__xludf.DUMMYFUNCTION("""COMPUTED_VALUE"""),"Países Bajos")</f>
        <v>Países Bajos</v>
      </c>
      <c r="B638" s="2" t="str">
        <f>IFERROR(__xludf.DUMMYFUNCTION("""COMPUTED_VALUE"""),"NL AMSTERD05")</f>
        <v>NL AMSTERD05</v>
      </c>
      <c r="C638" s="3" t="str">
        <f>IFERROR(__xludf.DUMMYFUNCTION("""COMPUTED_VALUE"""),"Amsterdam University of Applied Sciences")</f>
        <v>Amsterdam University of Applied Sciences</v>
      </c>
      <c r="D638" s="2" t="str">
        <f>IFERROR(__xludf.DUMMYFUNCTION("""COMPUTED_VALUE"""),"Erasmus+")</f>
        <v>Erasmus+</v>
      </c>
      <c r="E638" s="2">
        <f>IFERROR(__xludf.DUMMYFUNCTION("""COMPUTED_VALUE"""),2.0)</f>
        <v>2</v>
      </c>
      <c r="F638" s="2" t="str">
        <f>IFERROR(__xludf.DUMMYFUNCTION("""COMPUTED_VALUE"""),"Ambos semestres")</f>
        <v>Ambos semestres</v>
      </c>
      <c r="G638" s="2" t="str">
        <f>IFERROR(__xludf.DUMMYFUNCTION("""COMPUTED_VALUE"""),"Bilbao")</f>
        <v>Bilbao</v>
      </c>
      <c r="H638" s="2" t="str">
        <f>IFERROR(__xludf.DUMMYFUNCTION("""COMPUTED_VALUE"""),"Deusto Business School")</f>
        <v>Deusto Business School</v>
      </c>
      <c r="I638" s="2" t="str">
        <f>IFERROR(__xludf.DUMMYFUNCTION("""COMPUTED_VALUE"""),"Administración y Dirección de Empresas")</f>
        <v>Administración y Dirección de Empresas</v>
      </c>
      <c r="J638" s="2" t="str">
        <f>IFERROR(__xludf.DUMMYFUNCTION("""COMPUTED_VALUE"""),"Grado")</f>
        <v>Grado</v>
      </c>
      <c r="K638" s="2" t="str">
        <f>IFERROR(__xludf.DUMMYFUNCTION("""COMPUTED_VALUE"""),"Inglés")</f>
        <v>Inglés</v>
      </c>
      <c r="L638" s="2" t="str">
        <f>IFERROR(__xludf.DUMMYFUNCTION("""COMPUTED_VALUE"""),"C1")</f>
        <v>C1</v>
      </c>
      <c r="M638" s="2" t="str">
        <f>IFERROR(__xludf.DUMMYFUNCTION("""COMPUTED_VALUE"""),"No")</f>
        <v>No</v>
      </c>
      <c r="N638" s="3" t="str">
        <f>IFERROR(__xludf.DUMMYFUNCTION("""COMPUTED_VALUE"""),"https://www.amsterdamuas.com/study/education/exchange/business-and-economics/faq#application%20requirements")</f>
        <v>https://www.amsterdamuas.com/study/education/exchange/business-and-economics/faq#application%20requirements</v>
      </c>
      <c r="O638" s="3" t="str">
        <f>IFERROR(__xludf.DUMMYFUNCTION("""COMPUTED_VALUE"""),"Más información / Informazio gehigarria")</f>
        <v>Más información / Informazio gehigarria</v>
      </c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30.0" customHeight="1">
      <c r="A639" s="2" t="str">
        <f>IFERROR(__xludf.DUMMYFUNCTION("""COMPUTED_VALUE"""),"Países Bajos")</f>
        <v>Países Bajos</v>
      </c>
      <c r="B639" s="2" t="str">
        <f>IFERROR(__xludf.DUMMYFUNCTION("""COMPUTED_VALUE"""),"NL AMSTERD05")</f>
        <v>NL AMSTERD05</v>
      </c>
      <c r="C639" s="3" t="str">
        <f>IFERROR(__xludf.DUMMYFUNCTION("""COMPUTED_VALUE"""),"Amsterdam University of Applied Sciences")</f>
        <v>Amsterdam University of Applied Sciences</v>
      </c>
      <c r="D639" s="2" t="str">
        <f>IFERROR(__xludf.DUMMYFUNCTION("""COMPUTED_VALUE"""),"Erasmus+")</f>
        <v>Erasmus+</v>
      </c>
      <c r="E639" s="2">
        <f>IFERROR(__xludf.DUMMYFUNCTION("""COMPUTED_VALUE"""),7.0)</f>
        <v>7</v>
      </c>
      <c r="F639" s="2" t="str">
        <f>IFERROR(__xludf.DUMMYFUNCTION("""COMPUTED_VALUE"""),"Ambos semestres")</f>
        <v>Ambos semestres</v>
      </c>
      <c r="G639" s="2" t="str">
        <f>IFERROR(__xludf.DUMMYFUNCTION("""COMPUTED_VALUE"""),"San Sebastián")</f>
        <v>San Sebastián</v>
      </c>
      <c r="H639" s="2" t="str">
        <f>IFERROR(__xludf.DUMMYFUNCTION("""COMPUTED_VALUE"""),"Deusto Business School")</f>
        <v>Deusto Business School</v>
      </c>
      <c r="I639" s="2" t="str">
        <f>IFERROR(__xludf.DUMMYFUNCTION("""COMPUTED_VALUE"""),"Administración y Dirección de Empresas")</f>
        <v>Administración y Dirección de Empresas</v>
      </c>
      <c r="J639" s="2" t="str">
        <f>IFERROR(__xludf.DUMMYFUNCTION("""COMPUTED_VALUE"""),"Grado")</f>
        <v>Grado</v>
      </c>
      <c r="K639" s="2" t="str">
        <f>IFERROR(__xludf.DUMMYFUNCTION("""COMPUTED_VALUE"""),"Inglés")</f>
        <v>Inglés</v>
      </c>
      <c r="L639" s="2" t="str">
        <f>IFERROR(__xludf.DUMMYFUNCTION("""COMPUTED_VALUE"""),"B2")</f>
        <v>B2</v>
      </c>
      <c r="M639" s="2" t="str">
        <f>IFERROR(__xludf.DUMMYFUNCTION("""COMPUTED_VALUE"""),"No")</f>
        <v>No</v>
      </c>
      <c r="N639" s="3" t="str">
        <f>IFERROR(__xludf.DUMMYFUNCTION("""COMPUTED_VALUE"""),"https://www.amsterdamuas.com/study/education/exchange/business-and-economics/faq#application%20requirements")</f>
        <v>https://www.amsterdamuas.com/study/education/exchange/business-and-economics/faq#application%20requirements</v>
      </c>
      <c r="O639" s="3" t="str">
        <f>IFERROR(__xludf.DUMMYFUNCTION("""COMPUTED_VALUE"""),"Más información / Informazio gehigarria")</f>
        <v>Más información / Informazio gehigarria</v>
      </c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30.0" customHeight="1">
      <c r="A640" s="2" t="str">
        <f>IFERROR(__xludf.DUMMYFUNCTION("""COMPUTED_VALUE"""),"Países Bajos")</f>
        <v>Países Bajos</v>
      </c>
      <c r="B640" s="2" t="str">
        <f>IFERROR(__xludf.DUMMYFUNCTION("""COMPUTED_VALUE"""),"NL AMSTERD05")</f>
        <v>NL AMSTERD05</v>
      </c>
      <c r="C640" s="3" t="str">
        <f>IFERROR(__xludf.DUMMYFUNCTION("""COMPUTED_VALUE"""),"Amsterdam University of Applied Sciences")</f>
        <v>Amsterdam University of Applied Sciences</v>
      </c>
      <c r="D640" s="2" t="str">
        <f>IFERROR(__xludf.DUMMYFUNCTION("""COMPUTED_VALUE"""),"Erasmus+")</f>
        <v>Erasmus+</v>
      </c>
      <c r="E640" s="2">
        <f>IFERROR(__xludf.DUMMYFUNCTION("""COMPUTED_VALUE"""),2.0)</f>
        <v>2</v>
      </c>
      <c r="F640" s="2" t="str">
        <f>IFERROR(__xludf.DUMMYFUNCTION("""COMPUTED_VALUE"""),"Semestre")</f>
        <v>Semestre</v>
      </c>
      <c r="G640" s="2" t="str">
        <f>IFERROR(__xludf.DUMMYFUNCTION("""COMPUTED_VALUE"""),"San Sebastián")</f>
        <v>San Sebastián</v>
      </c>
      <c r="H640" s="2" t="str">
        <f>IFERROR(__xludf.DUMMYFUNCTION("""COMPUTED_VALUE"""),"Ciencias de la Salud")</f>
        <v>Ciencias de la Salud</v>
      </c>
      <c r="I640" s="2" t="str">
        <f>IFERROR(__xludf.DUMMYFUNCTION("""COMPUTED_VALUE"""),"Fisioterapia")</f>
        <v>Fisioterapia</v>
      </c>
      <c r="J640" s="2" t="str">
        <f>IFERROR(__xludf.DUMMYFUNCTION("""COMPUTED_VALUE"""),"Grado")</f>
        <v>Grado</v>
      </c>
      <c r="K640" s="2" t="str">
        <f>IFERROR(__xludf.DUMMYFUNCTION("""COMPUTED_VALUE"""),"Inglés")</f>
        <v>Inglés</v>
      </c>
      <c r="L640" s="2" t="str">
        <f>IFERROR(__xludf.DUMMYFUNCTION("""COMPUTED_VALUE"""),"B2")</f>
        <v>B2</v>
      </c>
      <c r="M640" s="2" t="str">
        <f>IFERROR(__xludf.DUMMYFUNCTION("""COMPUTED_VALUE"""),"No")</f>
        <v>No</v>
      </c>
      <c r="N640" s="3" t="str">
        <f>IFERROR(__xludf.DUMMYFUNCTION("""COMPUTED_VALUE"""),"https://www.amsterdamuas.com/study/education/exchange/business-and-economics/faq#application%20requirements")</f>
        <v>https://www.amsterdamuas.com/study/education/exchange/business-and-economics/faq#application%20requirements</v>
      </c>
      <c r="O640" s="3" t="str">
        <f>IFERROR(__xludf.DUMMYFUNCTION("""COMPUTED_VALUE"""),"Más información / Informazio gehigarria")</f>
        <v>Más información / Informazio gehigarria</v>
      </c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30.0" customHeight="1">
      <c r="A641" s="2" t="str">
        <f>IFERROR(__xludf.DUMMYFUNCTION("""COMPUTED_VALUE"""),"Países Bajos")</f>
        <v>Países Bajos</v>
      </c>
      <c r="B641" s="2" t="str">
        <f>IFERROR(__xludf.DUMMYFUNCTION("""COMPUTED_VALUE"""),"NL BREDA10")</f>
        <v>NL BREDA10</v>
      </c>
      <c r="C641" s="3" t="str">
        <f>IFERROR(__xludf.DUMMYFUNCTION("""COMPUTED_VALUE"""),"Breda University of Applied Sciences")</f>
        <v>Breda University of Applied Sciences</v>
      </c>
      <c r="D641" s="2" t="str">
        <f>IFERROR(__xludf.DUMMYFUNCTION("""COMPUTED_VALUE"""),"Erasmus+")</f>
        <v>Erasmus+</v>
      </c>
      <c r="E641" s="2">
        <f>IFERROR(__xludf.DUMMYFUNCTION("""COMPUTED_VALUE"""),4.0)</f>
        <v>4</v>
      </c>
      <c r="F641" s="2" t="str">
        <f>IFERROR(__xludf.DUMMYFUNCTION("""COMPUTED_VALUE"""),"Semestre")</f>
        <v>Semestre</v>
      </c>
      <c r="G641" s="2" t="str">
        <f>IFERROR(__xludf.DUMMYFUNCTION("""COMPUTED_VALUE"""),"Bilbao")</f>
        <v>Bilbao</v>
      </c>
      <c r="H641" s="2" t="str">
        <f>IFERROR(__xludf.DUMMYFUNCTION("""COMPUTED_VALUE"""),"Ciencias Sociales y Humanas")</f>
        <v>Ciencias Sociales y Humanas</v>
      </c>
      <c r="I641" s="2" t="str">
        <f>IFERROR(__xludf.DUMMYFUNCTION("""COMPUTED_VALUE"""),"Turismo")</f>
        <v>Turismo</v>
      </c>
      <c r="J641" s="2" t="str">
        <f>IFERROR(__xludf.DUMMYFUNCTION("""COMPUTED_VALUE"""),"Grado")</f>
        <v>Grado</v>
      </c>
      <c r="K641" s="2" t="str">
        <f>IFERROR(__xludf.DUMMYFUNCTION("""COMPUTED_VALUE"""),"Inglés")</f>
        <v>Inglés</v>
      </c>
      <c r="L641" s="2" t="str">
        <f>IFERROR(__xludf.DUMMYFUNCTION("""COMPUTED_VALUE"""),"B2")</f>
        <v>B2</v>
      </c>
      <c r="M641" s="2" t="str">
        <f>IFERROR(__xludf.DUMMYFUNCTION("""COMPUTED_VALUE"""),"Sí")</f>
        <v>Sí</v>
      </c>
      <c r="N641" s="3" t="str">
        <f>IFERROR(__xludf.DUMMYFUNCTION("""COMPUTED_VALUE"""),"https://www.buas.nl/en/programmes/exchange-programmes#:~:text=Test%20of%20English%20as%20a%20foreign%20language&amp;text=CAE%20(Cambridge%20Advanced%20Certificate)%20or,subscore%20of%2020%20for%20speaking)")</f>
        <v>https://www.buas.nl/en/programmes/exchange-programmes#:~:text=Test%20of%20English%20as%20a%20foreign%20language&amp;text=CAE%20(Cambridge%20Advanced%20Certificate)%20or,subscore%20of%2020%20for%20speaking)</v>
      </c>
      <c r="O641" s="3" t="str">
        <f>IFERROR(__xludf.DUMMYFUNCTION("""COMPUTED_VALUE"""),"Más información / Informazio gehigarria")</f>
        <v>Más información / Informazio gehigarria</v>
      </c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30.0" customHeight="1">
      <c r="A642" s="2" t="str">
        <f>IFERROR(__xludf.DUMMYFUNCTION("""COMPUTED_VALUE"""),"Países Bajos")</f>
        <v>Países Bajos</v>
      </c>
      <c r="B642" s="2" t="str">
        <f>IFERROR(__xludf.DUMMYFUNCTION("""COMPUTED_VALUE"""),"NL ARNHEM27")</f>
        <v>NL ARNHEM27</v>
      </c>
      <c r="C642" s="3" t="str">
        <f>IFERROR(__xludf.DUMMYFUNCTION("""COMPUTED_VALUE"""),"HAN University of Applied Sciences")</f>
        <v>HAN University of Applied Sciences</v>
      </c>
      <c r="D642" s="2" t="str">
        <f>IFERROR(__xludf.DUMMYFUNCTION("""COMPUTED_VALUE"""),"Erasmus+")</f>
        <v>Erasmus+</v>
      </c>
      <c r="E642" s="2">
        <f>IFERROR(__xludf.DUMMYFUNCTION("""COMPUTED_VALUE"""),5.0)</f>
        <v>5</v>
      </c>
      <c r="F642" s="2" t="str">
        <f>IFERROR(__xludf.DUMMYFUNCTION("""COMPUTED_VALUE"""),"Semestre")</f>
        <v>Semestre</v>
      </c>
      <c r="G642" s="2" t="str">
        <f>IFERROR(__xludf.DUMMYFUNCTION("""COMPUTED_VALUE"""),"San Sebastián")</f>
        <v>San Sebastián</v>
      </c>
      <c r="H642" s="2" t="str">
        <f>IFERROR(__xludf.DUMMYFUNCTION("""COMPUTED_VALUE"""),"Deusto Business School")</f>
        <v>Deusto Business School</v>
      </c>
      <c r="I642" s="2" t="str">
        <f>IFERROR(__xludf.DUMMYFUNCTION("""COMPUTED_VALUE"""),"Administración y Dirección de Empresas")</f>
        <v>Administración y Dirección de Empresas</v>
      </c>
      <c r="J642" s="2" t="str">
        <f>IFERROR(__xludf.DUMMYFUNCTION("""COMPUTED_VALUE"""),"Grado")</f>
        <v>Grado</v>
      </c>
      <c r="K642" s="2" t="str">
        <f>IFERROR(__xludf.DUMMYFUNCTION("""COMPUTED_VALUE"""),"Inglés")</f>
        <v>Inglés</v>
      </c>
      <c r="L642" s="2" t="str">
        <f>IFERROR(__xludf.DUMMYFUNCTION("""COMPUTED_VALUE"""),"B2")</f>
        <v>B2</v>
      </c>
      <c r="M642" s="2" t="str">
        <f>IFERROR(__xludf.DUMMYFUNCTION("""COMPUTED_VALUE"""),"No")</f>
        <v>No</v>
      </c>
      <c r="N642" s="3" t="str">
        <f>IFERROR(__xludf.DUMMYFUNCTION("""COMPUTED_VALUE"""),"https://www.hanuniversity.com/en/collaboration/erasmusplus/#:~:text=All%20exchange%20programs%20at%20HAN,classmates%2C%20lecturers%20and%20the%20locals.")</f>
        <v>https://www.hanuniversity.com/en/collaboration/erasmusplus/#:~:text=All%20exchange%20programs%20at%20HAN,classmates%2C%20lecturers%20and%20the%20locals.</v>
      </c>
      <c r="O642" s="3" t="str">
        <f>IFERROR(__xludf.DUMMYFUNCTION("""COMPUTED_VALUE"""),"Más información / Informazio gehigarria")</f>
        <v>Más información / Informazio gehigarria</v>
      </c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30.0" customHeight="1">
      <c r="A643" s="2" t="str">
        <f>IFERROR(__xludf.DUMMYFUNCTION("""COMPUTED_VALUE"""),"Países Bajos")</f>
        <v>Países Bajos</v>
      </c>
      <c r="B643" s="2" t="str">
        <f>IFERROR(__xludf.DUMMYFUNCTION("""COMPUTED_VALUE"""),"NL ARNHEM27")</f>
        <v>NL ARNHEM27</v>
      </c>
      <c r="C643" s="3" t="str">
        <f>IFERROR(__xludf.DUMMYFUNCTION("""COMPUTED_VALUE"""),"HAN University of Applied Sciences")</f>
        <v>HAN University of Applied Sciences</v>
      </c>
      <c r="D643" s="2" t="str">
        <f>IFERROR(__xludf.DUMMYFUNCTION("""COMPUTED_VALUE"""),"Erasmus+")</f>
        <v>Erasmus+</v>
      </c>
      <c r="E643" s="2">
        <f>IFERROR(__xludf.DUMMYFUNCTION("""COMPUTED_VALUE"""),3.0)</f>
        <v>3</v>
      </c>
      <c r="F643" s="2" t="str">
        <f>IFERROR(__xludf.DUMMYFUNCTION("""COMPUTED_VALUE"""),"Semestre")</f>
        <v>Semestre</v>
      </c>
      <c r="G643" s="2" t="str">
        <f>IFERROR(__xludf.DUMMYFUNCTION("""COMPUTED_VALUE"""),"Ambos")</f>
        <v>Ambos</v>
      </c>
      <c r="H643" s="2" t="str">
        <f>IFERROR(__xludf.DUMMYFUNCTION("""COMPUTED_VALUE"""),"Ingeniería")</f>
        <v>Ingeniería</v>
      </c>
      <c r="I643" s="2" t="str">
        <f>IFERROR(__xludf.DUMMYFUNCTION("""COMPUTED_VALUE"""),"Ingeniería Mecánica, Tecnologías Industriales, Electrónica y Automática, Ingeniería Informática, Industria Digital, Ciencia de Datos e IA + Ingeniería Informática, Diseño Industrial + Ingeniería Mecánica, Ingeniería Informática + Videojuegos")</f>
        <v>Ingeniería Mecánica, Tecnologías Industriales, Electrónica y Automática, Ingeniería Informática, Industria Digital, Ciencia de Datos e IA + Ingeniería Informática, Diseño Industrial + Ingeniería Mecánica, Ingeniería Informática + Videojuegos</v>
      </c>
      <c r="J643" s="2" t="str">
        <f>IFERROR(__xludf.DUMMYFUNCTION("""COMPUTED_VALUE"""),"Grado")</f>
        <v>Grado</v>
      </c>
      <c r="K643" s="2" t="str">
        <f>IFERROR(__xludf.DUMMYFUNCTION("""COMPUTED_VALUE"""),"Inglés")</f>
        <v>Inglés</v>
      </c>
      <c r="L643" s="2" t="str">
        <f>IFERROR(__xludf.DUMMYFUNCTION("""COMPUTED_VALUE"""),"B2")</f>
        <v>B2</v>
      </c>
      <c r="M643" s="2" t="str">
        <f>IFERROR(__xludf.DUMMYFUNCTION("""COMPUTED_VALUE"""),"No")</f>
        <v>No</v>
      </c>
      <c r="N643" s="3" t="str">
        <f>IFERROR(__xludf.DUMMYFUNCTION("""COMPUTED_VALUE"""),"https://www.hanuniversity.com/en/collaboration/erasmusplus/#:~:text=All%20exchange%20programs%20at%20HAN,classmates%2C%20lecturers%20and%20the%20locals.")</f>
        <v>https://www.hanuniversity.com/en/collaboration/erasmusplus/#:~:text=All%20exchange%20programs%20at%20HAN,classmates%2C%20lecturers%20and%20the%20locals.</v>
      </c>
      <c r="O643" s="3" t="str">
        <f>IFERROR(__xludf.DUMMYFUNCTION("""COMPUTED_VALUE"""),"Más información / Informazio gehigarria")</f>
        <v>Más información / Informazio gehigarria</v>
      </c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30.0" customHeight="1">
      <c r="A644" s="2" t="str">
        <f>IFERROR(__xludf.DUMMYFUNCTION("""COMPUTED_VALUE"""),"Países Bajos")</f>
        <v>Países Bajos</v>
      </c>
      <c r="B644" s="2" t="str">
        <f>IFERROR(__xludf.DUMMYFUNCTION("""COMPUTED_VALUE"""),"NL GRONING03")</f>
        <v>NL GRONING03</v>
      </c>
      <c r="C644" s="3" t="str">
        <f>IFERROR(__xludf.DUMMYFUNCTION("""COMPUTED_VALUE"""),"Hanze University of Applied Sciences")</f>
        <v>Hanze University of Applied Sciences</v>
      </c>
      <c r="D644" s="2" t="str">
        <f>IFERROR(__xludf.DUMMYFUNCTION("""COMPUTED_VALUE"""),"Erasmus+")</f>
        <v>Erasmus+</v>
      </c>
      <c r="E644" s="2">
        <f>IFERROR(__xludf.DUMMYFUNCTION("""COMPUTED_VALUE"""),4.0)</f>
        <v>4</v>
      </c>
      <c r="F644" s="2" t="str">
        <f>IFERROR(__xludf.DUMMYFUNCTION("""COMPUTED_VALUE"""),"Semestre")</f>
        <v>Semestre</v>
      </c>
      <c r="G644" s="2" t="str">
        <f>IFERROR(__xludf.DUMMYFUNCTION("""COMPUTED_VALUE"""),"San Sebastián")</f>
        <v>San Sebastián</v>
      </c>
      <c r="H644" s="2" t="str">
        <f>IFERROR(__xludf.DUMMYFUNCTION("""COMPUTED_VALUE"""),"Ciencias Sociales y Humanas")</f>
        <v>Ciencias Sociales y Humanas</v>
      </c>
      <c r="I644" s="2" t="str">
        <f>IFERROR(__xludf.DUMMYFUNCTION("""COMPUTED_VALUE"""),"Comunicación")</f>
        <v>Comunicación</v>
      </c>
      <c r="J644" s="2" t="str">
        <f>IFERROR(__xludf.DUMMYFUNCTION("""COMPUTED_VALUE"""),"Grado")</f>
        <v>Grado</v>
      </c>
      <c r="K644" s="2" t="str">
        <f>IFERROR(__xludf.DUMMYFUNCTION("""COMPUTED_VALUE"""),"Inglés")</f>
        <v>Inglés</v>
      </c>
      <c r="L644" s="2" t="str">
        <f>IFERROR(__xludf.DUMMYFUNCTION("""COMPUTED_VALUE"""),"B2")</f>
        <v>B2</v>
      </c>
      <c r="M644" s="2" t="str">
        <f>IFERROR(__xludf.DUMMYFUNCTION("""COMPUTED_VALUE"""),"Sí")</f>
        <v>Sí</v>
      </c>
      <c r="N644" s="3" t="str">
        <f>IFERROR(__xludf.DUMMYFUNCTION("""COMPUTED_VALUE"""),"https://www.hanze.nl/en/study/studying-at-hanze/exchange-application#:~:text=Language%20requirement,(minimum%20of%20B2%20CEFR).")</f>
        <v>https://www.hanze.nl/en/study/studying-at-hanze/exchange-application#:~:text=Language%20requirement,(minimum%20of%20B2%20CEFR).</v>
      </c>
      <c r="O644" s="3" t="str">
        <f>IFERROR(__xludf.DUMMYFUNCTION("""COMPUTED_VALUE"""),"Más información / Informazio gehigarria")</f>
        <v>Más información / Informazio gehigarria</v>
      </c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30.0" customHeight="1">
      <c r="A645" s="2" t="str">
        <f>IFERROR(__xludf.DUMMYFUNCTION("""COMPUTED_VALUE"""),"Países Bajos")</f>
        <v>Países Bajos</v>
      </c>
      <c r="B645" s="2" t="str">
        <f>IFERROR(__xludf.DUMMYFUNCTION("""COMPUTED_VALUE"""),"NL GRONING03")</f>
        <v>NL GRONING03</v>
      </c>
      <c r="C645" s="3" t="str">
        <f>IFERROR(__xludf.DUMMYFUNCTION("""COMPUTED_VALUE"""),"Hanze University of Applied Sciences")</f>
        <v>Hanze University of Applied Sciences</v>
      </c>
      <c r="D645" s="2" t="str">
        <f>IFERROR(__xludf.DUMMYFUNCTION("""COMPUTED_VALUE"""),"Erasmus+")</f>
        <v>Erasmus+</v>
      </c>
      <c r="E645" s="2">
        <f>IFERROR(__xludf.DUMMYFUNCTION("""COMPUTED_VALUE"""),4.0)</f>
        <v>4</v>
      </c>
      <c r="F645" s="2" t="str">
        <f>IFERROR(__xludf.DUMMYFUNCTION("""COMPUTED_VALUE"""),"Semestre")</f>
        <v>Semestre</v>
      </c>
      <c r="G645" s="2" t="str">
        <f>IFERROR(__xludf.DUMMYFUNCTION("""COMPUTED_VALUE"""),"Bilbao")</f>
        <v>Bilbao</v>
      </c>
      <c r="H645" s="2" t="str">
        <f>IFERROR(__xludf.DUMMYFUNCTION("""COMPUTED_VALUE"""),"Ingeniería")</f>
        <v>Ingeniería</v>
      </c>
      <c r="I645" s="2" t="str">
        <f>IFERROR(__xludf.DUMMYFUNCTION("""COMPUTED_VALUE"""),"Ingeniería Mecánica, Tecnologías Industriales, Electrónica y Automática, Diseño Industrial, Ingeniería Robótica, Industria Digital, Diseño Industrial + Ingeniería Mecánica")</f>
        <v>Ingeniería Mecánica, Tecnologías Industriales, Electrónica y Automática, Diseño Industrial, Ingeniería Robótica, Industria Digital, Diseño Industrial + Ingeniería Mecánica</v>
      </c>
      <c r="J645" s="2" t="str">
        <f>IFERROR(__xludf.DUMMYFUNCTION("""COMPUTED_VALUE"""),"Grado")</f>
        <v>Grado</v>
      </c>
      <c r="K645" s="2" t="str">
        <f>IFERROR(__xludf.DUMMYFUNCTION("""COMPUTED_VALUE"""),"Inglés")</f>
        <v>Inglés</v>
      </c>
      <c r="L645" s="2" t="str">
        <f>IFERROR(__xludf.DUMMYFUNCTION("""COMPUTED_VALUE"""),"B2")</f>
        <v>B2</v>
      </c>
      <c r="M645" s="2" t="str">
        <f>IFERROR(__xludf.DUMMYFUNCTION("""COMPUTED_VALUE"""),"Sí")</f>
        <v>Sí</v>
      </c>
      <c r="N645" s="3" t="str">
        <f>IFERROR(__xludf.DUMMYFUNCTION("""COMPUTED_VALUE"""),"https://www.hanze.nl/en/study/studying-at-hanze/exchange-application#:~:text=Language%20requirement,(minimum%20of%20B2%20CEFR).")</f>
        <v>https://www.hanze.nl/en/study/studying-at-hanze/exchange-application#:~:text=Language%20requirement,(minimum%20of%20B2%20CEFR).</v>
      </c>
      <c r="O645" s="3" t="str">
        <f>IFERROR(__xludf.DUMMYFUNCTION("""COMPUTED_VALUE"""),"Más información / Informazio gehigarria")</f>
        <v>Más información / Informazio gehigarria</v>
      </c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30.0" customHeight="1">
      <c r="A646" s="2" t="str">
        <f>IFERROR(__xludf.DUMMYFUNCTION("""COMPUTED_VALUE"""),"Países Bajos")</f>
        <v>Países Bajos</v>
      </c>
      <c r="B646" s="2" t="str">
        <f>IFERROR(__xludf.DUMMYFUNCTION("""COMPUTED_VALUE"""),"NL GRONING03")</f>
        <v>NL GRONING03</v>
      </c>
      <c r="C646" s="3" t="str">
        <f>IFERROR(__xludf.DUMMYFUNCTION("""COMPUTED_VALUE"""),"Hanze University of Applied Sciences")</f>
        <v>Hanze University of Applied Sciences</v>
      </c>
      <c r="D646" s="2" t="str">
        <f>IFERROR(__xludf.DUMMYFUNCTION("""COMPUTED_VALUE"""),"Erasmus+")</f>
        <v>Erasmus+</v>
      </c>
      <c r="E646" s="2">
        <f>IFERROR(__xludf.DUMMYFUNCTION("""COMPUTED_VALUE"""),2.0)</f>
        <v>2</v>
      </c>
      <c r="F646" s="2" t="str">
        <f>IFERROR(__xludf.DUMMYFUNCTION("""COMPUTED_VALUE"""),"Semestre")</f>
        <v>Semestre</v>
      </c>
      <c r="G646" s="2" t="str">
        <f>IFERROR(__xludf.DUMMYFUNCTION("""COMPUTED_VALUE"""),"San Sebastián")</f>
        <v>San Sebastián</v>
      </c>
      <c r="H646" s="2" t="str">
        <f>IFERROR(__xludf.DUMMYFUNCTION("""COMPUTED_VALUE"""),"Ciencias de la Salud")</f>
        <v>Ciencias de la Salud</v>
      </c>
      <c r="I646" s="2" t="str">
        <f>IFERROR(__xludf.DUMMYFUNCTION("""COMPUTED_VALUE"""),"Fisioterapia")</f>
        <v>Fisioterapia</v>
      </c>
      <c r="J646" s="2" t="str">
        <f>IFERROR(__xludf.DUMMYFUNCTION("""COMPUTED_VALUE"""),"Grado")</f>
        <v>Grado</v>
      </c>
      <c r="K646" s="2" t="str">
        <f>IFERROR(__xludf.DUMMYFUNCTION("""COMPUTED_VALUE"""),"Inglés")</f>
        <v>Inglés</v>
      </c>
      <c r="L646" s="2" t="str">
        <f>IFERROR(__xludf.DUMMYFUNCTION("""COMPUTED_VALUE"""),"B2")</f>
        <v>B2</v>
      </c>
      <c r="M646" s="2" t="str">
        <f>IFERROR(__xludf.DUMMYFUNCTION("""COMPUTED_VALUE"""),"Sí")</f>
        <v>Sí</v>
      </c>
      <c r="N646" s="3" t="str">
        <f>IFERROR(__xludf.DUMMYFUNCTION("""COMPUTED_VALUE"""),"https://www.hanze.nl/en/study/studying-at-hanze/exchange-application#:~:text=Language%20requirement,(minimum%20of%20B2%20CEFR).")</f>
        <v>https://www.hanze.nl/en/study/studying-at-hanze/exchange-application#:~:text=Language%20requirement,(minimum%20of%20B2%20CEFR).</v>
      </c>
      <c r="O646" s="3" t="str">
        <f>IFERROR(__xludf.DUMMYFUNCTION("""COMPUTED_VALUE"""),"Más información / Informazio gehigarria")</f>
        <v>Más información / Informazio gehigarria</v>
      </c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30.0" customHeight="1">
      <c r="A647" s="2" t="str">
        <f>IFERROR(__xludf.DUMMYFUNCTION("""COMPUTED_VALUE"""),"Países Bajos")</f>
        <v>Países Bajos</v>
      </c>
      <c r="B647" s="2" t="str">
        <f>IFERROR(__xludf.DUMMYFUNCTION("""COMPUTED_VALUE"""),"NL ZWOLLE06")</f>
        <v>NL ZWOLLE06</v>
      </c>
      <c r="C647" s="3" t="str">
        <f>IFERROR(__xludf.DUMMYFUNCTION("""COMPUTED_VALUE"""),"Hogeschool Katholieke Pabo Zwolle")</f>
        <v>Hogeschool Katholieke Pabo Zwolle</v>
      </c>
      <c r="D647" s="2" t="str">
        <f>IFERROR(__xludf.DUMMYFUNCTION("""COMPUTED_VALUE"""),"Erasmus+")</f>
        <v>Erasmus+</v>
      </c>
      <c r="E647" s="2">
        <f>IFERROR(__xludf.DUMMYFUNCTION("""COMPUTED_VALUE"""),4.0)</f>
        <v>4</v>
      </c>
      <c r="F647" s="2" t="str">
        <f>IFERROR(__xludf.DUMMYFUNCTION("""COMPUTED_VALUE"""),"Semestre")</f>
        <v>Semestre</v>
      </c>
      <c r="G647" s="2" t="str">
        <f>IFERROR(__xludf.DUMMYFUNCTION("""COMPUTED_VALUE"""),"Bilbao")</f>
        <v>Bilbao</v>
      </c>
      <c r="H647" s="2" t="str">
        <f>IFERROR(__xludf.DUMMYFUNCTION("""COMPUTED_VALUE"""),"Begoñako Andramari, BAM")</f>
        <v>Begoñako Andramari, BAM</v>
      </c>
      <c r="I647" s="2" t="str">
        <f>IFERROR(__xludf.DUMMYFUNCTION("""COMPUTED_VALUE"""),"Educación Primaria, Educación Infantil")</f>
        <v>Educación Primaria, Educación Infantil</v>
      </c>
      <c r="J647" s="2" t="str">
        <f>IFERROR(__xludf.DUMMYFUNCTION("""COMPUTED_VALUE"""),"Grado")</f>
        <v>Grado</v>
      </c>
      <c r="K647" s="2" t="str">
        <f>IFERROR(__xludf.DUMMYFUNCTION("""COMPUTED_VALUE"""),"Inglés")</f>
        <v>Inglés</v>
      </c>
      <c r="L647" s="2" t="str">
        <f>IFERROR(__xludf.DUMMYFUNCTION("""COMPUTED_VALUE"""),"B2")</f>
        <v>B2</v>
      </c>
      <c r="M647" s="2" t="str">
        <f>IFERROR(__xludf.DUMMYFUNCTION("""COMPUTED_VALUE"""),"No")</f>
        <v>No</v>
      </c>
      <c r="N647" s="3" t="str">
        <f>IFERROR(__xludf.DUMMYFUNCTION("""COMPUTED_VALUE"""),"https://www.kpz.nl/application-procedure-for-international-exchange-students/")</f>
        <v>https://www.kpz.nl/application-procedure-for-international-exchange-students/</v>
      </c>
      <c r="O647" s="3" t="str">
        <f>IFERROR(__xludf.DUMMYFUNCTION("""COMPUTED_VALUE"""),"Más información / Informazio gehigarria")</f>
        <v>Más información / Informazio gehigarria</v>
      </c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30.0" customHeight="1">
      <c r="A648" s="2" t="str">
        <f>IFERROR(__xludf.DUMMYFUNCTION("""COMPUTED_VALUE"""),"Países Bajos")</f>
        <v>Países Bajos</v>
      </c>
      <c r="B648" s="2" t="str">
        <f>IFERROR(__xludf.DUMMYFUNCTION("""COMPUTED_VALUE"""),"NL HEERLEN 14")</f>
        <v>NL HEERLEN 14</v>
      </c>
      <c r="C648" s="3" t="str">
        <f>IFERROR(__xludf.DUMMYFUNCTION("""COMPUTED_VALUE"""),"Hogeschool Zuyd - Hotel Management School Maastricht")</f>
        <v>Hogeschool Zuyd - Hotel Management School Maastricht</v>
      </c>
      <c r="D648" s="2" t="str">
        <f>IFERROR(__xludf.DUMMYFUNCTION("""COMPUTED_VALUE"""),"Erasmus+")</f>
        <v>Erasmus+</v>
      </c>
      <c r="E648" s="2">
        <f>IFERROR(__xludf.DUMMYFUNCTION("""COMPUTED_VALUE"""),4.0)</f>
        <v>4</v>
      </c>
      <c r="F648" s="2" t="str">
        <f>IFERROR(__xludf.DUMMYFUNCTION("""COMPUTED_VALUE"""),"Semestre")</f>
        <v>Semestre</v>
      </c>
      <c r="G648" s="2" t="str">
        <f>IFERROR(__xludf.DUMMYFUNCTION("""COMPUTED_VALUE"""),"Bilbao")</f>
        <v>Bilbao</v>
      </c>
      <c r="H648" s="2" t="str">
        <f>IFERROR(__xludf.DUMMYFUNCTION("""COMPUTED_VALUE"""),"Ciencias Sociales y Humanas")</f>
        <v>Ciencias Sociales y Humanas</v>
      </c>
      <c r="I648" s="2" t="str">
        <f>IFERROR(__xludf.DUMMYFUNCTION("""COMPUTED_VALUE"""),"Turismo")</f>
        <v>Turismo</v>
      </c>
      <c r="J648" s="2" t="str">
        <f>IFERROR(__xludf.DUMMYFUNCTION("""COMPUTED_VALUE"""),"Grado")</f>
        <v>Grado</v>
      </c>
      <c r="K648" s="2" t="str">
        <f>IFERROR(__xludf.DUMMYFUNCTION("""COMPUTED_VALUE"""),"Inglés")</f>
        <v>Inglés</v>
      </c>
      <c r="L648" s="2" t="str">
        <f>IFERROR(__xludf.DUMMYFUNCTION("""COMPUTED_VALUE"""),"B2")</f>
        <v>B2</v>
      </c>
      <c r="M648" s="2" t="str">
        <f>IFERROR(__xludf.DUMMYFUNCTION("""COMPUTED_VALUE"""),"Sí")</f>
        <v>Sí</v>
      </c>
      <c r="N648" s="3" t="str">
        <f>IFERROR(__xludf.DUMMYFUNCTION("""COMPUTED_VALUE"""),"https://www.hotelschoolmaastricht.nl/en/bachelor-hotelmanagement/english-programme/admission-and-selection")</f>
        <v>https://www.hotelschoolmaastricht.nl/en/bachelor-hotelmanagement/english-programme/admission-and-selection</v>
      </c>
      <c r="O648" s="3" t="str">
        <f>IFERROR(__xludf.DUMMYFUNCTION("""COMPUTED_VALUE"""),"Más información / Informazio gehigarria")</f>
        <v>Más información / Informazio gehigarria</v>
      </c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30.0" customHeight="1">
      <c r="A649" s="2" t="str">
        <f>IFERROR(__xludf.DUMMYFUNCTION("""COMPUTED_VALUE"""),"Países Bajos")</f>
        <v>Países Bajos</v>
      </c>
      <c r="B649" s="2" t="str">
        <f>IFERROR(__xludf.DUMMYFUNCTION("""COMPUTED_VALUE"""),"NL MAASTRI01")</f>
        <v>NL MAASTRI01</v>
      </c>
      <c r="C649" s="3" t="str">
        <f>IFERROR(__xludf.DUMMYFUNCTION("""COMPUTED_VALUE"""),"Maastricht University")</f>
        <v>Maastricht University</v>
      </c>
      <c r="D649" s="2" t="str">
        <f>IFERROR(__xludf.DUMMYFUNCTION("""COMPUTED_VALUE"""),"Erasmus+")</f>
        <v>Erasmus+</v>
      </c>
      <c r="E649" s="2">
        <f>IFERROR(__xludf.DUMMYFUNCTION("""COMPUTED_VALUE"""),2.0)</f>
        <v>2</v>
      </c>
      <c r="F649" s="2" t="str">
        <f>IFERROR(__xludf.DUMMYFUNCTION("""COMPUTED_VALUE"""),"Anual")</f>
        <v>Anual</v>
      </c>
      <c r="G649" s="2" t="str">
        <f>IFERROR(__xludf.DUMMYFUNCTION("""COMPUTED_VALUE"""),"Bilbao")</f>
        <v>Bilbao</v>
      </c>
      <c r="H649" s="2" t="str">
        <f>IFERROR(__xludf.DUMMYFUNCTION("""COMPUTED_VALUE"""),"Ciencias de la Salud")</f>
        <v>Ciencias de la Salud</v>
      </c>
      <c r="I649" s="2" t="str">
        <f>IFERROR(__xludf.DUMMYFUNCTION("""COMPUTED_VALUE"""),"Psicología")</f>
        <v>Psicología</v>
      </c>
      <c r="J649" s="2" t="str">
        <f>IFERROR(__xludf.DUMMYFUNCTION("""COMPUTED_VALUE"""),"Grado")</f>
        <v>Grado</v>
      </c>
      <c r="K649" s="2" t="str">
        <f>IFERROR(__xludf.DUMMYFUNCTION("""COMPUTED_VALUE"""),"Inglés")</f>
        <v>Inglés</v>
      </c>
      <c r="L649" s="2" t="str">
        <f>IFERROR(__xludf.DUMMYFUNCTION("""COMPUTED_VALUE"""),"B2")</f>
        <v>B2</v>
      </c>
      <c r="M649" s="2" t="str">
        <f>IFERROR(__xludf.DUMMYFUNCTION("""COMPUTED_VALUE"""),"No")</f>
        <v>No</v>
      </c>
      <c r="N649" s="3" t="str">
        <f>IFERROR(__xludf.DUMMYFUNCTION("""COMPUTED_VALUE"""),"https://www.maastrichtuniversity.nl/education/exchange/psychology-and-neuroscience/incoming-students#:~:text=Since%20the%20official%20language%20at,courses%20at%20our%20faculty%20(note")</f>
        <v>https://www.maastrichtuniversity.nl/education/exchange/psychology-and-neuroscience/incoming-students#:~:text=Since%20the%20official%20language%20at,courses%20at%20our%20faculty%20(note</v>
      </c>
      <c r="O649" s="3" t="str">
        <f>IFERROR(__xludf.DUMMYFUNCTION("""COMPUTED_VALUE"""),"Más información / Informazio gehigarria")</f>
        <v>Más información / Informazio gehigarria</v>
      </c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30.0" customHeight="1">
      <c r="A650" s="2" t="str">
        <f>IFERROR(__xludf.DUMMYFUNCTION("""COMPUTED_VALUE"""),"Países Bajos")</f>
        <v>Países Bajos</v>
      </c>
      <c r="B650" s="2" t="str">
        <f>IFERROR(__xludf.DUMMYFUNCTION("""COMPUTED_VALUE"""),"NL NIJMEGE01")</f>
        <v>NL NIJMEGE01</v>
      </c>
      <c r="C650" s="3" t="str">
        <f>IFERROR(__xludf.DUMMYFUNCTION("""COMPUTED_VALUE"""),"Radboud University Nijmegen")</f>
        <v>Radboud University Nijmegen</v>
      </c>
      <c r="D650" s="2" t="str">
        <f>IFERROR(__xludf.DUMMYFUNCTION("""COMPUTED_VALUE"""),"Erasmus+")</f>
        <v>Erasmus+</v>
      </c>
      <c r="E650" s="2">
        <f>IFERROR(__xludf.DUMMYFUNCTION("""COMPUTED_VALUE"""),2.0)</f>
        <v>2</v>
      </c>
      <c r="F650" s="2" t="str">
        <f>IFERROR(__xludf.DUMMYFUNCTION("""COMPUTED_VALUE"""),"Semestre")</f>
        <v>Semestre</v>
      </c>
      <c r="G650" s="2" t="str">
        <f>IFERROR(__xludf.DUMMYFUNCTION("""COMPUTED_VALUE"""),"Bilbao")</f>
        <v>Bilbao</v>
      </c>
      <c r="H650" s="2" t="str">
        <f>IFERROR(__xludf.DUMMYFUNCTION("""COMPUTED_VALUE"""),"Ciencias Sociales y Humanas")</f>
        <v>Ciencias Sociales y Humanas</v>
      </c>
      <c r="I650" s="2" t="str">
        <f>IFERROR(__xludf.DUMMYFUNCTION("""COMPUTED_VALUE"""),"Filosofía, Política y Economía")</f>
        <v>Filosofía, Política y Economía</v>
      </c>
      <c r="J650" s="2" t="str">
        <f>IFERROR(__xludf.DUMMYFUNCTION("""COMPUTED_VALUE"""),"Grado")</f>
        <v>Grado</v>
      </c>
      <c r="K650" s="2" t="str">
        <f>IFERROR(__xludf.DUMMYFUNCTION("""COMPUTED_VALUE"""),"Inglés")</f>
        <v>Inglés</v>
      </c>
      <c r="L650" s="2" t="str">
        <f>IFERROR(__xludf.DUMMYFUNCTION("""COMPUTED_VALUE"""),"B2")</f>
        <v>B2</v>
      </c>
      <c r="M650" s="2" t="str">
        <f>IFERROR(__xludf.DUMMYFUNCTION("""COMPUTED_VALUE"""),"Sí")</f>
        <v>Sí</v>
      </c>
      <c r="N650" s="3" t="str">
        <f>IFERROR(__xludf.DUMMYFUNCTION("""COMPUTED_VALUE"""),"https://www.ru.nl/en/education/application-and-admission/language-requirements/english-language-requirements/minimum-test-scores-exchange-students")</f>
        <v>https://www.ru.nl/en/education/application-and-admission/language-requirements/english-language-requirements/minimum-test-scores-exchange-students</v>
      </c>
      <c r="O650" s="3" t="str">
        <f>IFERROR(__xludf.DUMMYFUNCTION("""COMPUTED_VALUE"""),"Más información / Informazio gehigarria")</f>
        <v>Más información / Informazio gehigarria</v>
      </c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30.0" customHeight="1">
      <c r="A651" s="2" t="str">
        <f>IFERROR(__xludf.DUMMYFUNCTION("""COMPUTED_VALUE"""),"Países Bajos")</f>
        <v>Países Bajos</v>
      </c>
      <c r="B651" s="2" t="str">
        <f>IFERROR(__xludf.DUMMYFUNCTION("""COMPUTED_VALUE"""),"NL NIJMEGE01")</f>
        <v>NL NIJMEGE01</v>
      </c>
      <c r="C651" s="3" t="str">
        <f>IFERROR(__xludf.DUMMYFUNCTION("""COMPUTED_VALUE"""),"Radboud University Nijmegen")</f>
        <v>Radboud University Nijmegen</v>
      </c>
      <c r="D651" s="2" t="str">
        <f>IFERROR(__xludf.DUMMYFUNCTION("""COMPUTED_VALUE"""),"Erasmus+")</f>
        <v>Erasmus+</v>
      </c>
      <c r="E651" s="2">
        <f>IFERROR(__xludf.DUMMYFUNCTION("""COMPUTED_VALUE"""),2.0)</f>
        <v>2</v>
      </c>
      <c r="F651" s="2" t="str">
        <f>IFERROR(__xludf.DUMMYFUNCTION("""COMPUTED_VALUE"""),"Anual")</f>
        <v>Anual</v>
      </c>
      <c r="G651" s="2" t="str">
        <f>IFERROR(__xludf.DUMMYFUNCTION("""COMPUTED_VALUE"""),"Bilbao")</f>
        <v>Bilbao</v>
      </c>
      <c r="H651" s="2" t="str">
        <f>IFERROR(__xludf.DUMMYFUNCTION("""COMPUTED_VALUE"""),"Ciencias de la Salud")</f>
        <v>Ciencias de la Salud</v>
      </c>
      <c r="I651" s="2" t="str">
        <f>IFERROR(__xludf.DUMMYFUNCTION("""COMPUTED_VALUE"""),"Psicología")</f>
        <v>Psicología</v>
      </c>
      <c r="J651" s="2" t="str">
        <f>IFERROR(__xludf.DUMMYFUNCTION("""COMPUTED_VALUE"""),"Grado")</f>
        <v>Grado</v>
      </c>
      <c r="K651" s="2" t="str">
        <f>IFERROR(__xludf.DUMMYFUNCTION("""COMPUTED_VALUE"""),"Inglés")</f>
        <v>Inglés</v>
      </c>
      <c r="L651" s="2" t="str">
        <f>IFERROR(__xludf.DUMMYFUNCTION("""COMPUTED_VALUE"""),"B2")</f>
        <v>B2</v>
      </c>
      <c r="M651" s="2" t="str">
        <f>IFERROR(__xludf.DUMMYFUNCTION("""COMPUTED_VALUE"""),"Sí")</f>
        <v>Sí</v>
      </c>
      <c r="N651" s="3" t="str">
        <f>IFERROR(__xludf.DUMMYFUNCTION("""COMPUTED_VALUE"""),"https://www.ru.nl/en/education/application-and-admission/language-requirements/english-language-requirements/minimum-test-scores-exchange-students")</f>
        <v>https://www.ru.nl/en/education/application-and-admission/language-requirements/english-language-requirements/minimum-test-scores-exchange-students</v>
      </c>
      <c r="O651" s="3" t="str">
        <f>IFERROR(__xludf.DUMMYFUNCTION("""COMPUTED_VALUE"""),"Más información / Informazio gehigarria")</f>
        <v>Más información / Informazio gehigarria</v>
      </c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30.0" customHeight="1">
      <c r="A652" s="2" t="str">
        <f>IFERROR(__xludf.DUMMYFUNCTION("""COMPUTED_VALUE"""),"Países Bajos")</f>
        <v>Países Bajos</v>
      </c>
      <c r="B652" s="2" t="str">
        <f>IFERROR(__xludf.DUMMYFUNCTION("""COMPUTED_VALUE"""),"NL LEEUWAR01")</f>
        <v>NL LEEUWAR01</v>
      </c>
      <c r="C652" s="3" t="str">
        <f>IFERROR(__xludf.DUMMYFUNCTION("""COMPUTED_VALUE"""),"Stenden University")</f>
        <v>Stenden University</v>
      </c>
      <c r="D652" s="2" t="str">
        <f>IFERROR(__xludf.DUMMYFUNCTION("""COMPUTED_VALUE"""),"Erasmus+")</f>
        <v>Erasmus+</v>
      </c>
      <c r="E652" s="2">
        <f>IFERROR(__xludf.DUMMYFUNCTION("""COMPUTED_VALUE"""),6.0)</f>
        <v>6</v>
      </c>
      <c r="F652" s="2" t="str">
        <f>IFERROR(__xludf.DUMMYFUNCTION("""COMPUTED_VALUE"""),"Semestre")</f>
        <v>Semestre</v>
      </c>
      <c r="G652" s="2" t="str">
        <f>IFERROR(__xludf.DUMMYFUNCTION("""COMPUTED_VALUE"""),"Ambos")</f>
        <v>Ambos</v>
      </c>
      <c r="H652" s="2" t="str">
        <f>IFERROR(__xludf.DUMMYFUNCTION("""COMPUTED_VALUE"""),"Educación y Deporte")</f>
        <v>Educación y Deporte</v>
      </c>
      <c r="I652" s="2" t="str">
        <f>IFERROR(__xludf.DUMMYFUNCTION("""COMPUTED_VALUE"""),"Educación Primaria")</f>
        <v>Educación Primaria</v>
      </c>
      <c r="J652" s="2" t="str">
        <f>IFERROR(__xludf.DUMMYFUNCTION("""COMPUTED_VALUE"""),"Grado")</f>
        <v>Grado</v>
      </c>
      <c r="K652" s="2" t="str">
        <f>IFERROR(__xludf.DUMMYFUNCTION("""COMPUTED_VALUE"""),"Inglés")</f>
        <v>Inglés</v>
      </c>
      <c r="L652" s="2" t="str">
        <f>IFERROR(__xludf.DUMMYFUNCTION("""COMPUTED_VALUE"""),"B2")</f>
        <v>B2</v>
      </c>
      <c r="M652" s="2" t="str">
        <f>IFERROR(__xludf.DUMMYFUNCTION("""COMPUTED_VALUE"""),"No")</f>
        <v>No</v>
      </c>
      <c r="N652" s="3" t="str">
        <f>IFERROR(__xludf.DUMMYFUNCTION("""COMPUTED_VALUE"""),"https://eurep.auth.gr/sites/default/files/fact_sheets/NL%20LEEUWAR03_Factsheet_2024-2025.pdf")</f>
        <v>https://eurep.auth.gr/sites/default/files/fact_sheets/NL%20LEEUWAR03_Factsheet_2024-2025.pdf</v>
      </c>
      <c r="O652" s="2" t="str">
        <f>IFERROR(__xludf.DUMMYFUNCTION("""COMPUTED_VALUE"""),"n/a")</f>
        <v>n/a</v>
      </c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30.0" customHeight="1">
      <c r="A653" s="2" t="str">
        <f>IFERROR(__xludf.DUMMYFUNCTION("""COMPUTED_VALUE"""),"Países Bajos")</f>
        <v>Países Bajos</v>
      </c>
      <c r="B653" s="2" t="str">
        <f>IFERROR(__xludf.DUMMYFUNCTION("""COMPUTED_VALUE"""),"NL LEEUWAR01")</f>
        <v>NL LEEUWAR01</v>
      </c>
      <c r="C653" s="3" t="str">
        <f>IFERROR(__xludf.DUMMYFUNCTION("""COMPUTED_VALUE"""),"Stenden University")</f>
        <v>Stenden University</v>
      </c>
      <c r="D653" s="2" t="str">
        <f>IFERROR(__xludf.DUMMYFUNCTION("""COMPUTED_VALUE"""),"Erasmus+")</f>
        <v>Erasmus+</v>
      </c>
      <c r="E653" s="2">
        <f>IFERROR(__xludf.DUMMYFUNCTION("""COMPUTED_VALUE"""),4.0)</f>
        <v>4</v>
      </c>
      <c r="F653" s="2" t="str">
        <f>IFERROR(__xludf.DUMMYFUNCTION("""COMPUTED_VALUE"""),"Semestre")</f>
        <v>Semestre</v>
      </c>
      <c r="G653" s="2" t="str">
        <f>IFERROR(__xludf.DUMMYFUNCTION("""COMPUTED_VALUE"""),"Bilbao")</f>
        <v>Bilbao</v>
      </c>
      <c r="H653" s="2" t="str">
        <f>IFERROR(__xludf.DUMMYFUNCTION("""COMPUTED_VALUE"""),"Ciencias Sociales y Humanas")</f>
        <v>Ciencias Sociales y Humanas</v>
      </c>
      <c r="I653" s="2" t="str">
        <f>IFERROR(__xludf.DUMMYFUNCTION("""COMPUTED_VALUE"""),"Turismo")</f>
        <v>Turismo</v>
      </c>
      <c r="J653" s="2" t="str">
        <f>IFERROR(__xludf.DUMMYFUNCTION("""COMPUTED_VALUE"""),"Grado")</f>
        <v>Grado</v>
      </c>
      <c r="K653" s="2" t="str">
        <f>IFERROR(__xludf.DUMMYFUNCTION("""COMPUTED_VALUE"""),"Inglés")</f>
        <v>Inglés</v>
      </c>
      <c r="L653" s="2" t="str">
        <f>IFERROR(__xludf.DUMMYFUNCTION("""COMPUTED_VALUE"""),"B2")</f>
        <v>B2</v>
      </c>
      <c r="M653" s="2" t="str">
        <f>IFERROR(__xludf.DUMMYFUNCTION("""COMPUTED_VALUE"""),"No")</f>
        <v>No</v>
      </c>
      <c r="N653" s="3" t="str">
        <f>IFERROR(__xludf.DUMMYFUNCTION("""COMPUTED_VALUE"""),"https://eurep.auth.gr/sites/default/files/fact_sheets/NL%20LEEUWAR03_Factsheet_2024-2025.pdf")</f>
        <v>https://eurep.auth.gr/sites/default/files/fact_sheets/NL%20LEEUWAR03_Factsheet_2024-2025.pdf</v>
      </c>
      <c r="O653" s="2" t="str">
        <f>IFERROR(__xludf.DUMMYFUNCTION("""COMPUTED_VALUE"""),"n/a")</f>
        <v>n/a</v>
      </c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30.0" customHeight="1">
      <c r="A654" s="2" t="str">
        <f>IFERROR(__xludf.DUMMYFUNCTION("""COMPUTED_VALUE"""),"Países Bajos")</f>
        <v>Países Bajos</v>
      </c>
      <c r="B654" s="2" t="str">
        <f>IFERROR(__xludf.DUMMYFUNCTION("""COMPUTED_VALUE"""),"NL ROTTERD03")</f>
        <v>NL ROTTERD03</v>
      </c>
      <c r="C654" s="3" t="str">
        <f>IFERROR(__xludf.DUMMYFUNCTION("""COMPUTED_VALUE"""),"Rotterdam Business School")</f>
        <v>Rotterdam Business School</v>
      </c>
      <c r="D654" s="2" t="str">
        <f>IFERROR(__xludf.DUMMYFUNCTION("""COMPUTED_VALUE"""),"Erasmus+")</f>
        <v>Erasmus+</v>
      </c>
      <c r="E654" s="2">
        <f>IFERROR(__xludf.DUMMYFUNCTION("""COMPUTED_VALUE"""),6.0)</f>
        <v>6</v>
      </c>
      <c r="F654" s="2" t="str">
        <f>IFERROR(__xludf.DUMMYFUNCTION("""COMPUTED_VALUE"""),"Semestre")</f>
        <v>Semestre</v>
      </c>
      <c r="G654" s="2" t="str">
        <f>IFERROR(__xludf.DUMMYFUNCTION("""COMPUTED_VALUE"""),"San Sebastián")</f>
        <v>San Sebastián</v>
      </c>
      <c r="H654" s="2" t="str">
        <f>IFERROR(__xludf.DUMMYFUNCTION("""COMPUTED_VALUE"""),"Deusto Business School")</f>
        <v>Deusto Business School</v>
      </c>
      <c r="I654" s="2" t="str">
        <f>IFERROR(__xludf.DUMMYFUNCTION("""COMPUTED_VALUE"""),"Administración y Dirección de Empresas")</f>
        <v>Administración y Dirección de Empresas</v>
      </c>
      <c r="J654" s="2" t="str">
        <f>IFERROR(__xludf.DUMMYFUNCTION("""COMPUTED_VALUE"""),"Grado")</f>
        <v>Grado</v>
      </c>
      <c r="K654" s="2" t="str">
        <f>IFERROR(__xludf.DUMMYFUNCTION("""COMPUTED_VALUE"""),"Inglés")</f>
        <v>Inglés</v>
      </c>
      <c r="L654" s="2" t="str">
        <f>IFERROR(__xludf.DUMMYFUNCTION("""COMPUTED_VALUE"""),"B2")</f>
        <v>B2</v>
      </c>
      <c r="M654" s="2" t="str">
        <f>IFERROR(__xludf.DUMMYFUNCTION("""COMPUTED_VALUE"""),"No")</f>
        <v>No</v>
      </c>
      <c r="N654" s="3" t="str">
        <f>IFERROR(__xludf.DUMMYFUNCTION("""COMPUTED_VALUE"""),"https://www.rotterdamuas.com/programmes/exchange/")</f>
        <v>https://www.rotterdamuas.com/programmes/exchange/</v>
      </c>
      <c r="O654" s="2" t="str">
        <f>IFERROR(__xludf.DUMMYFUNCTION("""COMPUTED_VALUE"""),"n/a")</f>
        <v>n/a</v>
      </c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30.0" customHeight="1">
      <c r="A655" s="2" t="str">
        <f>IFERROR(__xludf.DUMMYFUNCTION("""COMPUTED_VALUE"""),"Países Bajos")</f>
        <v>Países Bajos</v>
      </c>
      <c r="B655" s="2" t="str">
        <f>IFERROR(__xludf.DUMMYFUNCTION("""COMPUTED_VALUE"""),"NL TILBURG01")</f>
        <v>NL TILBURG01</v>
      </c>
      <c r="C655" s="3" t="str">
        <f>IFERROR(__xludf.DUMMYFUNCTION("""COMPUTED_VALUE"""),"Tilburg University")</f>
        <v>Tilburg University</v>
      </c>
      <c r="D655" s="2" t="str">
        <f>IFERROR(__xludf.DUMMYFUNCTION("""COMPUTED_VALUE"""),"Erasmus+")</f>
        <v>Erasmus+</v>
      </c>
      <c r="E655" s="2">
        <f>IFERROR(__xludf.DUMMYFUNCTION("""COMPUTED_VALUE"""),2.0)</f>
        <v>2</v>
      </c>
      <c r="F655" s="2" t="str">
        <f>IFERROR(__xludf.DUMMYFUNCTION("""COMPUTED_VALUE"""),"Semestre")</f>
        <v>Semestre</v>
      </c>
      <c r="G655" s="2" t="str">
        <f>IFERROR(__xludf.DUMMYFUNCTION("""COMPUTED_VALUE"""),"San Sebastián")</f>
        <v>San Sebastián</v>
      </c>
      <c r="H655" s="2" t="str">
        <f>IFERROR(__xludf.DUMMYFUNCTION("""COMPUTED_VALUE"""),"Deusto Business School")</f>
        <v>Deusto Business School</v>
      </c>
      <c r="I655" s="2" t="str">
        <f>IFERROR(__xludf.DUMMYFUNCTION("""COMPUTED_VALUE"""),"Administración y Dirección de Empresas")</f>
        <v>Administración y Dirección de Empresas</v>
      </c>
      <c r="J655" s="2" t="str">
        <f>IFERROR(__xludf.DUMMYFUNCTION("""COMPUTED_VALUE"""),"Grado")</f>
        <v>Grado</v>
      </c>
      <c r="K655" s="2" t="str">
        <f>IFERROR(__xludf.DUMMYFUNCTION("""COMPUTED_VALUE"""),"Inglés")</f>
        <v>Inglés</v>
      </c>
      <c r="L655" s="2" t="str">
        <f>IFERROR(__xludf.DUMMYFUNCTION("""COMPUTED_VALUE"""),"C1")</f>
        <v>C1</v>
      </c>
      <c r="M655" s="2" t="str">
        <f>IFERROR(__xludf.DUMMYFUNCTION("""COMPUTED_VALUE"""),"No")</f>
        <v>No</v>
      </c>
      <c r="N655" s="3" t="str">
        <f>IFERROR(__xludf.DUMMYFUNCTION("""COMPUTED_VALUE"""),"https://www.tilburguniversity.edu/education/exchange-programs/language-requirements")</f>
        <v>https://www.tilburguniversity.edu/education/exchange-programs/language-requirements</v>
      </c>
      <c r="O655" s="2" t="str">
        <f>IFERROR(__xludf.DUMMYFUNCTION("""COMPUTED_VALUE"""),"n/a")</f>
        <v>n/a</v>
      </c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30.0" customHeight="1">
      <c r="A656" s="2" t="str">
        <f>IFERROR(__xludf.DUMMYFUNCTION("""COMPUTED_VALUE"""),"Países Bajos")</f>
        <v>Países Bajos</v>
      </c>
      <c r="B656" s="2" t="str">
        <f>IFERROR(__xludf.DUMMYFUNCTION("""COMPUTED_VALUE"""),"NL TILBURG01")</f>
        <v>NL TILBURG01</v>
      </c>
      <c r="C656" s="3" t="str">
        <f>IFERROR(__xludf.DUMMYFUNCTION("""COMPUTED_VALUE"""),"Tilburg University")</f>
        <v>Tilburg University</v>
      </c>
      <c r="D656" s="2" t="str">
        <f>IFERROR(__xludf.DUMMYFUNCTION("""COMPUTED_VALUE"""),"Erasmus+")</f>
        <v>Erasmus+</v>
      </c>
      <c r="E656" s="2">
        <f>IFERROR(__xludf.DUMMYFUNCTION("""COMPUTED_VALUE"""),3.0)</f>
        <v>3</v>
      </c>
      <c r="F656" s="2" t="str">
        <f>IFERROR(__xludf.DUMMYFUNCTION("""COMPUTED_VALUE"""),"Semestre")</f>
        <v>Semestre</v>
      </c>
      <c r="G656" s="2" t="str">
        <f>IFERROR(__xludf.DUMMYFUNCTION("""COMPUTED_VALUE"""),"Bilbao")</f>
        <v>Bilbao</v>
      </c>
      <c r="H656" s="2" t="str">
        <f>IFERROR(__xludf.DUMMYFUNCTION("""COMPUTED_VALUE"""),"Deusto Business School")</f>
        <v>Deusto Business School</v>
      </c>
      <c r="I656" s="2" t="str">
        <f>IFERROR(__xludf.DUMMYFUNCTION("""COMPUTED_VALUE"""),"Administración y Dirección de Empresas")</f>
        <v>Administración y Dirección de Empresas</v>
      </c>
      <c r="J656" s="2" t="str">
        <f>IFERROR(__xludf.DUMMYFUNCTION("""COMPUTED_VALUE"""),"Grado")</f>
        <v>Grado</v>
      </c>
      <c r="K656" s="2" t="str">
        <f>IFERROR(__xludf.DUMMYFUNCTION("""COMPUTED_VALUE"""),"Inglés")</f>
        <v>Inglés</v>
      </c>
      <c r="L656" s="2" t="str">
        <f>IFERROR(__xludf.DUMMYFUNCTION("""COMPUTED_VALUE"""),"C1")</f>
        <v>C1</v>
      </c>
      <c r="M656" s="2" t="str">
        <f>IFERROR(__xludf.DUMMYFUNCTION("""COMPUTED_VALUE"""),"No")</f>
        <v>No</v>
      </c>
      <c r="N656" s="3" t="str">
        <f>IFERROR(__xludf.DUMMYFUNCTION("""COMPUTED_VALUE"""),"https://www.tilburguniversity.edu/education/exchange-programs/language-requirements")</f>
        <v>https://www.tilburguniversity.edu/education/exchange-programs/language-requirements</v>
      </c>
      <c r="O656" s="2" t="str">
        <f>IFERROR(__xludf.DUMMYFUNCTION("""COMPUTED_VALUE"""),"n/a")</f>
        <v>n/a</v>
      </c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30.0" customHeight="1">
      <c r="A657" s="2" t="str">
        <f>IFERROR(__xludf.DUMMYFUNCTION("""COMPUTED_VALUE"""),"Países Bajos")</f>
        <v>Países Bajos</v>
      </c>
      <c r="B657" s="2" t="str">
        <f>IFERROR(__xludf.DUMMYFUNCTION("""COMPUTED_VALUE"""),"NL TILBURG01")</f>
        <v>NL TILBURG01</v>
      </c>
      <c r="C657" s="3" t="str">
        <f>IFERROR(__xludf.DUMMYFUNCTION("""COMPUTED_VALUE"""),"Tilburg University")</f>
        <v>Tilburg University</v>
      </c>
      <c r="D657" s="2" t="str">
        <f>IFERROR(__xludf.DUMMYFUNCTION("""COMPUTED_VALUE"""),"Erasmus+")</f>
        <v>Erasmus+</v>
      </c>
      <c r="E657" s="2">
        <f>IFERROR(__xludf.DUMMYFUNCTION("""COMPUTED_VALUE"""),3.0)</f>
        <v>3</v>
      </c>
      <c r="F657" s="2" t="str">
        <f>IFERROR(__xludf.DUMMYFUNCTION("""COMPUTED_VALUE"""),"Semestre")</f>
        <v>Semestre</v>
      </c>
      <c r="G657" s="2" t="str">
        <f>IFERROR(__xludf.DUMMYFUNCTION("""COMPUTED_VALUE"""),"Bilbao")</f>
        <v>Bilbao</v>
      </c>
      <c r="H657" s="2" t="str">
        <f>IFERROR(__xludf.DUMMYFUNCTION("""COMPUTED_VALUE"""),"Derecho")</f>
        <v>Derecho</v>
      </c>
      <c r="I657" s="2" t="str">
        <f>IFERROR(__xludf.DUMMYFUNCTION("""COMPUTED_VALUE"""),"Derecho, Derecho + Relaciones Laborales")</f>
        <v>Derecho, Derecho + Relaciones Laborales</v>
      </c>
      <c r="J657" s="2" t="str">
        <f>IFERROR(__xludf.DUMMYFUNCTION("""COMPUTED_VALUE"""),"Grado")</f>
        <v>Grado</v>
      </c>
      <c r="K657" s="2" t="str">
        <f>IFERROR(__xludf.DUMMYFUNCTION("""COMPUTED_VALUE"""),"Inglés")</f>
        <v>Inglés</v>
      </c>
      <c r="L657" s="2" t="str">
        <f>IFERROR(__xludf.DUMMYFUNCTION("""COMPUTED_VALUE"""),"B2")</f>
        <v>B2</v>
      </c>
      <c r="M657" s="2" t="str">
        <f>IFERROR(__xludf.DUMMYFUNCTION("""COMPUTED_VALUE"""),"No")</f>
        <v>No</v>
      </c>
      <c r="N657" s="3" t="str">
        <f>IFERROR(__xludf.DUMMYFUNCTION("""COMPUTED_VALUE"""),"https://www.tilburguniversity.edu/education/exchange-programs/language-requirements")</f>
        <v>https://www.tilburguniversity.edu/education/exchange-programs/language-requirements</v>
      </c>
      <c r="O657" s="2" t="str">
        <f>IFERROR(__xludf.DUMMYFUNCTION("""COMPUTED_VALUE"""),"n/a")</f>
        <v>n/a</v>
      </c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30.0" customHeight="1">
      <c r="A658" s="2" t="str">
        <f>IFERROR(__xludf.DUMMYFUNCTION("""COMPUTED_VALUE"""),"Países Bajos")</f>
        <v>Países Bajos</v>
      </c>
      <c r="B658" s="2" t="str">
        <f>IFERROR(__xludf.DUMMYFUNCTION("""COMPUTED_VALUE"""),"NL TILBURG01")</f>
        <v>NL TILBURG01</v>
      </c>
      <c r="C658" s="3" t="str">
        <f>IFERROR(__xludf.DUMMYFUNCTION("""COMPUTED_VALUE"""),"Tilburg University")</f>
        <v>Tilburg University</v>
      </c>
      <c r="D658" s="2" t="str">
        <f>IFERROR(__xludf.DUMMYFUNCTION("""COMPUTED_VALUE"""),"Erasmus+")</f>
        <v>Erasmus+</v>
      </c>
      <c r="E658" s="2">
        <f>IFERROR(__xludf.DUMMYFUNCTION("""COMPUTED_VALUE"""),2.0)</f>
        <v>2</v>
      </c>
      <c r="F658" s="2" t="str">
        <f>IFERROR(__xludf.DUMMYFUNCTION("""COMPUTED_VALUE"""),"Semestre")</f>
        <v>Semestre</v>
      </c>
      <c r="G658" s="2" t="str">
        <f>IFERROR(__xludf.DUMMYFUNCTION("""COMPUTED_VALUE"""),"Bilbao")</f>
        <v>Bilbao</v>
      </c>
      <c r="H658" s="2" t="str">
        <f>IFERROR(__xludf.DUMMYFUNCTION("""COMPUTED_VALUE"""),"Ciencias Sociales y Humanas")</f>
        <v>Ciencias Sociales y Humanas</v>
      </c>
      <c r="I658" s="2" t="str">
        <f>IFERROR(__xludf.DUMMYFUNCTION("""COMPUTED_VALUE"""),"Filosofía, Política y Economía")</f>
        <v>Filosofía, Política y Economía</v>
      </c>
      <c r="J658" s="2" t="str">
        <f>IFERROR(__xludf.DUMMYFUNCTION("""COMPUTED_VALUE"""),"Grado")</f>
        <v>Grado</v>
      </c>
      <c r="K658" s="2" t="str">
        <f>IFERROR(__xludf.DUMMYFUNCTION("""COMPUTED_VALUE"""),"Inglés")</f>
        <v>Inglés</v>
      </c>
      <c r="L658" s="2" t="str">
        <f>IFERROR(__xludf.DUMMYFUNCTION("""COMPUTED_VALUE"""),"B2")</f>
        <v>B2</v>
      </c>
      <c r="M658" s="2" t="str">
        <f>IFERROR(__xludf.DUMMYFUNCTION("""COMPUTED_VALUE"""),"No")</f>
        <v>No</v>
      </c>
      <c r="N658" s="3" t="str">
        <f>IFERROR(__xludf.DUMMYFUNCTION("""COMPUTED_VALUE"""),"https://www.tilburguniversity.edu/education/exchange-programs/language-requirements")</f>
        <v>https://www.tilburguniversity.edu/education/exchange-programs/language-requirements</v>
      </c>
      <c r="O658" s="2" t="str">
        <f>IFERROR(__xludf.DUMMYFUNCTION("""COMPUTED_VALUE"""),"n/a")</f>
        <v>n/a</v>
      </c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30.0" customHeight="1">
      <c r="A659" s="2" t="str">
        <f>IFERROR(__xludf.DUMMYFUNCTION("""COMPUTED_VALUE"""),"Países Bajos")</f>
        <v>Países Bajos</v>
      </c>
      <c r="B659" s="2" t="str">
        <f>IFERROR(__xludf.DUMMYFUNCTION("""COMPUTED_VALUE"""),"NL TILBURG01")</f>
        <v>NL TILBURG01</v>
      </c>
      <c r="C659" s="3" t="str">
        <f>IFERROR(__xludf.DUMMYFUNCTION("""COMPUTED_VALUE"""),"Tilburg University")</f>
        <v>Tilburg University</v>
      </c>
      <c r="D659" s="2" t="str">
        <f>IFERROR(__xludf.DUMMYFUNCTION("""COMPUTED_VALUE"""),"Erasmus+")</f>
        <v>Erasmus+</v>
      </c>
      <c r="E659" s="2">
        <f>IFERROR(__xludf.DUMMYFUNCTION("""COMPUTED_VALUE"""),2.0)</f>
        <v>2</v>
      </c>
      <c r="F659" s="2" t="str">
        <f>IFERROR(__xludf.DUMMYFUNCTION("""COMPUTED_VALUE"""),"Anual")</f>
        <v>Anual</v>
      </c>
      <c r="G659" s="2" t="str">
        <f>IFERROR(__xludf.DUMMYFUNCTION("""COMPUTED_VALUE"""),"Bilbao")</f>
        <v>Bilbao</v>
      </c>
      <c r="H659" s="2" t="str">
        <f>IFERROR(__xludf.DUMMYFUNCTION("""COMPUTED_VALUE"""),"Ciencias de la Salud")</f>
        <v>Ciencias de la Salud</v>
      </c>
      <c r="I659" s="2" t="str">
        <f>IFERROR(__xludf.DUMMYFUNCTION("""COMPUTED_VALUE"""),"Psicología")</f>
        <v>Psicología</v>
      </c>
      <c r="J659" s="2" t="str">
        <f>IFERROR(__xludf.DUMMYFUNCTION("""COMPUTED_VALUE"""),"Grado")</f>
        <v>Grado</v>
      </c>
      <c r="K659" s="2" t="str">
        <f>IFERROR(__xludf.DUMMYFUNCTION("""COMPUTED_VALUE"""),"Inglés")</f>
        <v>Inglés</v>
      </c>
      <c r="L659" s="2" t="str">
        <f>IFERROR(__xludf.DUMMYFUNCTION("""COMPUTED_VALUE"""),"B2")</f>
        <v>B2</v>
      </c>
      <c r="M659" s="2" t="str">
        <f>IFERROR(__xludf.DUMMYFUNCTION("""COMPUTED_VALUE"""),"No")</f>
        <v>No</v>
      </c>
      <c r="N659" s="3" t="str">
        <f>IFERROR(__xludf.DUMMYFUNCTION("""COMPUTED_VALUE"""),"https://www.tilburguniversity.edu/education/exchange-programs/language-requirements")</f>
        <v>https://www.tilburguniversity.edu/education/exchange-programs/language-requirements</v>
      </c>
      <c r="O659" s="2" t="str">
        <f>IFERROR(__xludf.DUMMYFUNCTION("""COMPUTED_VALUE"""),"n/a")</f>
        <v>n/a</v>
      </c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30.0" customHeight="1">
      <c r="A660" s="2" t="str">
        <f>IFERROR(__xludf.DUMMYFUNCTION("""COMPUTED_VALUE"""),"Países Bajos")</f>
        <v>Países Bajos</v>
      </c>
      <c r="B660" s="2" t="str">
        <f>IFERROR(__xludf.DUMMYFUNCTION("""COMPUTED_VALUE"""),"NL TILBURG01")</f>
        <v>NL TILBURG01</v>
      </c>
      <c r="C660" s="3" t="str">
        <f>IFERROR(__xludf.DUMMYFUNCTION("""COMPUTED_VALUE"""),"Tilburg University")</f>
        <v>Tilburg University</v>
      </c>
      <c r="D660" s="2" t="str">
        <f>IFERROR(__xludf.DUMMYFUNCTION("""COMPUTED_VALUE"""),"Erasmus+")</f>
        <v>Erasmus+</v>
      </c>
      <c r="E660" s="2">
        <f>IFERROR(__xludf.DUMMYFUNCTION("""COMPUTED_VALUE"""),2.0)</f>
        <v>2</v>
      </c>
      <c r="F660" s="2" t="str">
        <f>IFERROR(__xludf.DUMMYFUNCTION("""COMPUTED_VALUE"""),"Anual")</f>
        <v>Anual</v>
      </c>
      <c r="G660" s="2" t="str">
        <f>IFERROR(__xludf.DUMMYFUNCTION("""COMPUTED_VALUE"""),"Bilbao")</f>
        <v>Bilbao</v>
      </c>
      <c r="H660" s="2" t="str">
        <f>IFERROR(__xludf.DUMMYFUNCTION("""COMPUTED_VALUE"""),"Ciencias Sociales y Humanas")</f>
        <v>Ciencias Sociales y Humanas</v>
      </c>
      <c r="I660" s="2" t="str">
        <f>IFERROR(__xludf.DUMMYFUNCTION("""COMPUTED_VALUE"""),"Relaciones Internacionales")</f>
        <v>Relaciones Internacionales</v>
      </c>
      <c r="J660" s="2" t="str">
        <f>IFERROR(__xludf.DUMMYFUNCTION("""COMPUTED_VALUE"""),"Grado")</f>
        <v>Grado</v>
      </c>
      <c r="K660" s="2" t="str">
        <f>IFERROR(__xludf.DUMMYFUNCTION("""COMPUTED_VALUE"""),"Inglés")</f>
        <v>Inglés</v>
      </c>
      <c r="L660" s="2" t="str">
        <f>IFERROR(__xludf.DUMMYFUNCTION("""COMPUTED_VALUE"""),"B2")</f>
        <v>B2</v>
      </c>
      <c r="M660" s="2" t="str">
        <f>IFERROR(__xludf.DUMMYFUNCTION("""COMPUTED_VALUE"""),"No")</f>
        <v>No</v>
      </c>
      <c r="N660" s="3" t="str">
        <f>IFERROR(__xludf.DUMMYFUNCTION("""COMPUTED_VALUE"""),"https://www.tilburguniversity.edu/education/exchange-programs/language-requirements")</f>
        <v>https://www.tilburguniversity.edu/education/exchange-programs/language-requirements</v>
      </c>
      <c r="O660" s="2" t="str">
        <f>IFERROR(__xludf.DUMMYFUNCTION("""COMPUTED_VALUE"""),"n/a")</f>
        <v>n/a</v>
      </c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30.0" customHeight="1">
      <c r="A661" s="2" t="str">
        <f>IFERROR(__xludf.DUMMYFUNCTION("""COMPUTED_VALUE"""),"Países Bajos")</f>
        <v>Países Bajos</v>
      </c>
      <c r="B661" s="2" t="str">
        <f>IFERROR(__xludf.DUMMYFUNCTION("""COMPUTED_VALUE"""),"NL LEIDEN01")</f>
        <v>NL LEIDEN01</v>
      </c>
      <c r="C661" s="3" t="str">
        <f>IFERROR(__xludf.DUMMYFUNCTION("""COMPUTED_VALUE"""),"Universiteit Leiden")</f>
        <v>Universiteit Leiden</v>
      </c>
      <c r="D661" s="2" t="str">
        <f>IFERROR(__xludf.DUMMYFUNCTION("""COMPUTED_VALUE"""),"Erasmus+")</f>
        <v>Erasmus+</v>
      </c>
      <c r="E661" s="2">
        <f>IFERROR(__xludf.DUMMYFUNCTION("""COMPUTED_VALUE"""),4.0)</f>
        <v>4</v>
      </c>
      <c r="F661" s="2" t="str">
        <f>IFERROR(__xludf.DUMMYFUNCTION("""COMPUTED_VALUE"""),"Semestre")</f>
        <v>Semestre</v>
      </c>
      <c r="G661" s="2" t="str">
        <f>IFERROR(__xludf.DUMMYFUNCTION("""COMPUTED_VALUE"""),"Ambos")</f>
        <v>Ambos</v>
      </c>
      <c r="H661" s="2" t="str">
        <f>IFERROR(__xludf.DUMMYFUNCTION("""COMPUTED_VALUE"""),"Derecho")</f>
        <v>Derecho</v>
      </c>
      <c r="I661" s="2" t="str">
        <f>IFERROR(__xludf.DUMMYFUNCTION("""COMPUTED_VALUE"""),"Derecho, Derecho + Relaciones Laborales")</f>
        <v>Derecho, Derecho + Relaciones Laborales</v>
      </c>
      <c r="J661" s="2" t="str">
        <f>IFERROR(__xludf.DUMMYFUNCTION("""COMPUTED_VALUE"""),"Grado")</f>
        <v>Grado</v>
      </c>
      <c r="K661" s="2" t="str">
        <f>IFERROR(__xludf.DUMMYFUNCTION("""COMPUTED_VALUE"""),"Inglés")</f>
        <v>Inglés</v>
      </c>
      <c r="L661" s="2" t="str">
        <f>IFERROR(__xludf.DUMMYFUNCTION("""COMPUTED_VALUE"""),"C1")</f>
        <v>C1</v>
      </c>
      <c r="M661" s="2" t="str">
        <f>IFERROR(__xludf.DUMMYFUNCTION("""COMPUTED_VALUE"""),"Sí")</f>
        <v>Sí</v>
      </c>
      <c r="N661" s="3" t="str">
        <f>IFERROR(__xludf.DUMMYFUNCTION("""COMPUTED_VALUE"""),"https://www.universiteitleiden.nl/en/education/admission-and-application/exchange/admission-requirements")</f>
        <v>https://www.universiteitleiden.nl/en/education/admission-and-application/exchange/admission-requirements</v>
      </c>
      <c r="O661" s="2" t="str">
        <f>IFERROR(__xludf.DUMMYFUNCTION("""COMPUTED_VALUE"""),"n/a")</f>
        <v>n/a</v>
      </c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30.0" customHeight="1">
      <c r="A662" s="2" t="str">
        <f>IFERROR(__xludf.DUMMYFUNCTION("""COMPUTED_VALUE"""),"Países Bajos")</f>
        <v>Países Bajos</v>
      </c>
      <c r="B662" s="2" t="str">
        <f>IFERROR(__xludf.DUMMYFUNCTION("""COMPUTED_VALUE"""),"NL LEIDEN01")</f>
        <v>NL LEIDEN01</v>
      </c>
      <c r="C662" s="3" t="str">
        <f>IFERROR(__xludf.DUMMYFUNCTION("""COMPUTED_VALUE"""),"Universiteit Leiden")</f>
        <v>Universiteit Leiden</v>
      </c>
      <c r="D662" s="2" t="str">
        <f>IFERROR(__xludf.DUMMYFUNCTION("""COMPUTED_VALUE"""),"Erasmus+")</f>
        <v>Erasmus+</v>
      </c>
      <c r="E662" s="2">
        <f>IFERROR(__xludf.DUMMYFUNCTION("""COMPUTED_VALUE"""),2.0)</f>
        <v>2</v>
      </c>
      <c r="F662" s="2" t="str">
        <f>IFERROR(__xludf.DUMMYFUNCTION("""COMPUTED_VALUE"""),"Anual")</f>
        <v>Anual</v>
      </c>
      <c r="G662" s="2" t="str">
        <f>IFERROR(__xludf.DUMMYFUNCTION("""COMPUTED_VALUE"""),"Bilbao")</f>
        <v>Bilbao</v>
      </c>
      <c r="H662" s="2" t="str">
        <f>IFERROR(__xludf.DUMMYFUNCTION("""COMPUTED_VALUE"""),"Ciencias Sociales y Humanas")</f>
        <v>Ciencias Sociales y Humanas</v>
      </c>
      <c r="I662" s="2" t="str">
        <f>IFERROR(__xludf.DUMMYFUNCTION("""COMPUTED_VALUE"""),"Relaciones Internacionales, Relaciones Internacionales + Derecho")</f>
        <v>Relaciones Internacionales, Relaciones Internacionales + Derecho</v>
      </c>
      <c r="J662" s="2" t="str">
        <f>IFERROR(__xludf.DUMMYFUNCTION("""COMPUTED_VALUE"""),"Grado")</f>
        <v>Grado</v>
      </c>
      <c r="K662" s="2" t="str">
        <f>IFERROR(__xludf.DUMMYFUNCTION("""COMPUTED_VALUE"""),"Inglés")</f>
        <v>Inglés</v>
      </c>
      <c r="L662" s="2" t="str">
        <f>IFERROR(__xludf.DUMMYFUNCTION("""COMPUTED_VALUE"""),"C1")</f>
        <v>C1</v>
      </c>
      <c r="M662" s="2" t="str">
        <f>IFERROR(__xludf.DUMMYFUNCTION("""COMPUTED_VALUE"""),"Sí")</f>
        <v>Sí</v>
      </c>
      <c r="N662" s="3" t="str">
        <f>IFERROR(__xludf.DUMMYFUNCTION("""COMPUTED_VALUE"""),"https://www.universiteitleiden.nl/en/education/admission-and-application/exchange/admission-requirements")</f>
        <v>https://www.universiteitleiden.nl/en/education/admission-and-application/exchange/admission-requirements</v>
      </c>
      <c r="O662" s="2" t="str">
        <f>IFERROR(__xludf.DUMMYFUNCTION("""COMPUTED_VALUE"""),"n/a")</f>
        <v>n/a</v>
      </c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30.0" customHeight="1">
      <c r="A663" s="2" t="str">
        <f>IFERROR(__xludf.DUMMYFUNCTION("""COMPUTED_VALUE"""),"Países Bajos")</f>
        <v>Países Bajos</v>
      </c>
      <c r="B663" s="2" t="str">
        <f>IFERROR(__xludf.DUMMYFUNCTION("""COMPUTED_VALUE"""),"NL ENSCHED01")</f>
        <v>NL ENSCHED01</v>
      </c>
      <c r="C663" s="3" t="str">
        <f>IFERROR(__xludf.DUMMYFUNCTION("""COMPUTED_VALUE"""),"University College Twente")</f>
        <v>University College Twente</v>
      </c>
      <c r="D663" s="2" t="str">
        <f>IFERROR(__xludf.DUMMYFUNCTION("""COMPUTED_VALUE"""),"Erasmus+")</f>
        <v>Erasmus+</v>
      </c>
      <c r="E663" s="2">
        <f>IFERROR(__xludf.DUMMYFUNCTION("""COMPUTED_VALUE"""),2.0)</f>
        <v>2</v>
      </c>
      <c r="F663" s="2" t="str">
        <f>IFERROR(__xludf.DUMMYFUNCTION("""COMPUTED_VALUE"""),"Semestre")</f>
        <v>Semestre</v>
      </c>
      <c r="G663" s="2" t="str">
        <f>IFERROR(__xludf.DUMMYFUNCTION("""COMPUTED_VALUE"""),"Bilbao")</f>
        <v>Bilbao</v>
      </c>
      <c r="H663" s="2" t="str">
        <f>IFERROR(__xludf.DUMMYFUNCTION("""COMPUTED_VALUE"""),"Ingeniería")</f>
        <v>Ingeniería</v>
      </c>
      <c r="I663" s="2" t="str">
        <f>IFERROR(__xludf.DUMMYFUNCTION("""COMPUTED_VALUE"""),"Ingeniería Mecánica, Tecnologías Industriales, Organización Industrial, Diseño Industrial + Ingeniería Mecánica, Ingeniería Biomédica")</f>
        <v>Ingeniería Mecánica, Tecnologías Industriales, Organización Industrial, Diseño Industrial + Ingeniería Mecánica, Ingeniería Biomédica</v>
      </c>
      <c r="J663" s="2" t="str">
        <f>IFERROR(__xludf.DUMMYFUNCTION("""COMPUTED_VALUE"""),"Grado")</f>
        <v>Grado</v>
      </c>
      <c r="K663" s="2" t="str">
        <f>IFERROR(__xludf.DUMMYFUNCTION("""COMPUTED_VALUE"""),"Inglés")</f>
        <v>Inglés</v>
      </c>
      <c r="L663" s="2" t="str">
        <f>IFERROR(__xludf.DUMMYFUNCTION("""COMPUTED_VALUE"""),"B2")</f>
        <v>B2</v>
      </c>
      <c r="M663" s="2" t="str">
        <f>IFERROR(__xludf.DUMMYFUNCTION("""COMPUTED_VALUE"""),"Sí")</f>
        <v>Sí</v>
      </c>
      <c r="N663" s="3" t="str">
        <f>IFERROR(__xludf.DUMMYFUNCTION("""COMPUTED_VALUE"""),"https://www.utwente.nl/en/education/exchange-students/english-requirements/#:~:text=IELTS%20(academic)%20with%20an%20overall,program)%20minimum%20score%20of%20543.")</f>
        <v>https://www.utwente.nl/en/education/exchange-students/english-requirements/#:~:text=IELTS%20(academic)%20with%20an%20overall,program)%20minimum%20score%20of%20543.</v>
      </c>
      <c r="O663" s="2" t="str">
        <f>IFERROR(__xludf.DUMMYFUNCTION("""COMPUTED_VALUE"""),"n/a")</f>
        <v>n/a</v>
      </c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30.0" customHeight="1">
      <c r="A664" s="2" t="str">
        <f>IFERROR(__xludf.DUMMYFUNCTION("""COMPUTED_VALUE"""),"Países Bajos")</f>
        <v>Países Bajos</v>
      </c>
      <c r="B664" s="2" t="str">
        <f>IFERROR(__xludf.DUMMYFUNCTION("""COMPUTED_VALUE"""),"NL GRONING01")</f>
        <v>NL GRONING01</v>
      </c>
      <c r="C664" s="3" t="str">
        <f>IFERROR(__xludf.DUMMYFUNCTION("""COMPUTED_VALUE"""),"University of Groningen")</f>
        <v>University of Groningen</v>
      </c>
      <c r="D664" s="2" t="str">
        <f>IFERROR(__xludf.DUMMYFUNCTION("""COMPUTED_VALUE"""),"Erasmus+")</f>
        <v>Erasmus+</v>
      </c>
      <c r="E664" s="2">
        <f>IFERROR(__xludf.DUMMYFUNCTION("""COMPUTED_VALUE"""),5.0)</f>
        <v>5</v>
      </c>
      <c r="F664" s="2" t="str">
        <f>IFERROR(__xludf.DUMMYFUNCTION("""COMPUTED_VALUE"""),"Semestre")</f>
        <v>Semestre</v>
      </c>
      <c r="G664" s="2" t="str">
        <f>IFERROR(__xludf.DUMMYFUNCTION("""COMPUTED_VALUE"""),"San Sebastián")</f>
        <v>San Sebastián</v>
      </c>
      <c r="H664" s="2" t="str">
        <f>IFERROR(__xludf.DUMMYFUNCTION("""COMPUTED_VALUE"""),"Ciencias Sociales y Humanas")</f>
        <v>Ciencias Sociales y Humanas</v>
      </c>
      <c r="I664" s="2" t="str">
        <f>IFERROR(__xludf.DUMMYFUNCTION("""COMPUTED_VALUE"""),"Comunicación")</f>
        <v>Comunicación</v>
      </c>
      <c r="J664" s="2" t="str">
        <f>IFERROR(__xludf.DUMMYFUNCTION("""COMPUTED_VALUE"""),"Grado")</f>
        <v>Grado</v>
      </c>
      <c r="K664" s="2" t="str">
        <f>IFERROR(__xludf.DUMMYFUNCTION("""COMPUTED_VALUE"""),"Inglés")</f>
        <v>Inglés</v>
      </c>
      <c r="L664" s="2" t="str">
        <f>IFERROR(__xludf.DUMMYFUNCTION("""COMPUTED_VALUE"""),"C1")</f>
        <v>C1</v>
      </c>
      <c r="M664" s="2" t="str">
        <f>IFERROR(__xludf.DUMMYFUNCTION("""COMPUTED_VALUE"""),"Si")</f>
        <v>Si</v>
      </c>
      <c r="N664" s="3" t="str">
        <f>IFERROR(__xludf.DUMMYFUNCTION("""COMPUTED_VALUE"""),"https://www.rug.nl/rechten/education/international-programmes/exchange/admission-deadlines/requirements?lang=en#:~:text=The%20minimum%20requirement%20for%20incoming,English%20level%20cannot%20be%20accepted.")</f>
        <v>https://www.rug.nl/rechten/education/international-programmes/exchange/admission-deadlines/requirements?lang=en#:~:text=The%20minimum%20requirement%20for%20incoming,English%20level%20cannot%20be%20accepted.</v>
      </c>
      <c r="O664" s="2" t="str">
        <f>IFERROR(__xludf.DUMMYFUNCTION("""COMPUTED_VALUE"""),"n/a")</f>
        <v>n/a</v>
      </c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30.0" customHeight="1">
      <c r="A665" s="2" t="str">
        <f>IFERROR(__xludf.DUMMYFUNCTION("""COMPUTED_VALUE"""),"Países Bajos")</f>
        <v>Países Bajos</v>
      </c>
      <c r="B665" s="2" t="str">
        <f>IFERROR(__xludf.DUMMYFUNCTION("""COMPUTED_VALUE"""),"NL GRONING01")</f>
        <v>NL GRONING01</v>
      </c>
      <c r="C665" s="3" t="str">
        <f>IFERROR(__xludf.DUMMYFUNCTION("""COMPUTED_VALUE"""),"University of Groningen")</f>
        <v>University of Groningen</v>
      </c>
      <c r="D665" s="2" t="str">
        <f>IFERROR(__xludf.DUMMYFUNCTION("""COMPUTED_VALUE"""),"Erasmus+")</f>
        <v>Erasmus+</v>
      </c>
      <c r="E665" s="2">
        <f>IFERROR(__xludf.DUMMYFUNCTION("""COMPUTED_VALUE"""),2.0)</f>
        <v>2</v>
      </c>
      <c r="F665" s="2" t="str">
        <f>IFERROR(__xludf.DUMMYFUNCTION("""COMPUTED_VALUE"""),"Ambos semestres")</f>
        <v>Ambos semestres</v>
      </c>
      <c r="G665" s="2" t="str">
        <f>IFERROR(__xludf.DUMMYFUNCTION("""COMPUTED_VALUE"""),"Bilbao")</f>
        <v>Bilbao</v>
      </c>
      <c r="H665" s="2" t="str">
        <f>IFERROR(__xludf.DUMMYFUNCTION("""COMPUTED_VALUE"""),"Deusto Business School")</f>
        <v>Deusto Business School</v>
      </c>
      <c r="I665" s="2" t="str">
        <f>IFERROR(__xludf.DUMMYFUNCTION("""COMPUTED_VALUE"""),"Administración y Dirección de Empresas")</f>
        <v>Administración y Dirección de Empresas</v>
      </c>
      <c r="J665" s="2" t="str">
        <f>IFERROR(__xludf.DUMMYFUNCTION("""COMPUTED_VALUE"""),"Grado")</f>
        <v>Grado</v>
      </c>
      <c r="K665" s="2" t="str">
        <f>IFERROR(__xludf.DUMMYFUNCTION("""COMPUTED_VALUE"""),"Inglés")</f>
        <v>Inglés</v>
      </c>
      <c r="L665" s="2" t="str">
        <f>IFERROR(__xludf.DUMMYFUNCTION("""COMPUTED_VALUE"""),"C1")</f>
        <v>C1</v>
      </c>
      <c r="M665" s="2" t="str">
        <f>IFERROR(__xludf.DUMMYFUNCTION("""COMPUTED_VALUE"""),"Sí")</f>
        <v>Sí</v>
      </c>
      <c r="N665" s="3" t="str">
        <f>IFERROR(__xludf.DUMMYFUNCTION("""COMPUTED_VALUE"""),"https://www.rug.nl/bachelors/economics-and-business-economics/#!requirements")</f>
        <v>https://www.rug.nl/bachelors/economics-and-business-economics/#!requirements</v>
      </c>
      <c r="O665" s="2" t="str">
        <f>IFERROR(__xludf.DUMMYFUNCTION("""COMPUTED_VALUE"""),"n/a")</f>
        <v>n/a</v>
      </c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30.0" customHeight="1">
      <c r="A666" s="2" t="str">
        <f>IFERROR(__xludf.DUMMYFUNCTION("""COMPUTED_VALUE"""),"Países Bajos")</f>
        <v>Países Bajos</v>
      </c>
      <c r="B666" s="2" t="str">
        <f>IFERROR(__xludf.DUMMYFUNCTION("""COMPUTED_VALUE"""),"NL GRONING01")</f>
        <v>NL GRONING01</v>
      </c>
      <c r="C666" s="3" t="str">
        <f>IFERROR(__xludf.DUMMYFUNCTION("""COMPUTED_VALUE"""),"University of Groningen")</f>
        <v>University of Groningen</v>
      </c>
      <c r="D666" s="2" t="str">
        <f>IFERROR(__xludf.DUMMYFUNCTION("""COMPUTED_VALUE"""),"Erasmus+")</f>
        <v>Erasmus+</v>
      </c>
      <c r="E666" s="2">
        <f>IFERROR(__xludf.DUMMYFUNCTION("""COMPUTED_VALUE"""),2.0)</f>
        <v>2</v>
      </c>
      <c r="F666" s="2" t="str">
        <f>IFERROR(__xludf.DUMMYFUNCTION("""COMPUTED_VALUE"""),"Semestre")</f>
        <v>Semestre</v>
      </c>
      <c r="G666" s="2" t="str">
        <f>IFERROR(__xludf.DUMMYFUNCTION("""COMPUTED_VALUE"""),"Bilbao")</f>
        <v>Bilbao</v>
      </c>
      <c r="H666" s="2" t="str">
        <f>IFERROR(__xludf.DUMMYFUNCTION("""COMPUTED_VALUE"""),"Derecho")</f>
        <v>Derecho</v>
      </c>
      <c r="I666" s="2" t="str">
        <f>IFERROR(__xludf.DUMMYFUNCTION("""COMPUTED_VALUE"""),"Derecho, Derecho + Relaciones Laborales")</f>
        <v>Derecho, Derecho + Relaciones Laborales</v>
      </c>
      <c r="J666" s="2" t="str">
        <f>IFERROR(__xludf.DUMMYFUNCTION("""COMPUTED_VALUE"""),"Grado")</f>
        <v>Grado</v>
      </c>
      <c r="K666" s="2" t="str">
        <f>IFERROR(__xludf.DUMMYFUNCTION("""COMPUTED_VALUE"""),"Inglés")</f>
        <v>Inglés</v>
      </c>
      <c r="L666" s="2" t="str">
        <f>IFERROR(__xludf.DUMMYFUNCTION("""COMPUTED_VALUE"""),"C1")</f>
        <v>C1</v>
      </c>
      <c r="M666" s="2" t="str">
        <f>IFERROR(__xludf.DUMMYFUNCTION("""COMPUTED_VALUE"""),"Sí")</f>
        <v>Sí</v>
      </c>
      <c r="N666" s="3" t="str">
        <f>IFERROR(__xludf.DUMMYFUNCTION("""COMPUTED_VALUE"""),"https://www.rug.nl/rechten/education/international-programmes/exchange/admission-deadlines/requirements?lang=en#:~:text=Required%20level%20of%20English,English%20level%20cannot%20be%20accepted.")</f>
        <v>https://www.rug.nl/rechten/education/international-programmes/exchange/admission-deadlines/requirements?lang=en#:~:text=Required%20level%20of%20English,English%20level%20cannot%20be%20accepted.</v>
      </c>
      <c r="O666" s="2" t="str">
        <f>IFERROR(__xludf.DUMMYFUNCTION("""COMPUTED_VALUE"""),"n/a")</f>
        <v>n/a</v>
      </c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30.0" customHeight="1">
      <c r="A667" s="2" t="str">
        <f>IFERROR(__xludf.DUMMYFUNCTION("""COMPUTED_VALUE"""),"Países Bajos")</f>
        <v>Países Bajos</v>
      </c>
      <c r="B667" s="2" t="str">
        <f>IFERROR(__xludf.DUMMYFUNCTION("""COMPUTED_VALUE"""),"NL GRONING01")</f>
        <v>NL GRONING01</v>
      </c>
      <c r="C667" s="3" t="str">
        <f>IFERROR(__xludf.DUMMYFUNCTION("""COMPUTED_VALUE"""),"University of Groningen")</f>
        <v>University of Groningen</v>
      </c>
      <c r="D667" s="2" t="str">
        <f>IFERROR(__xludf.DUMMYFUNCTION("""COMPUTED_VALUE"""),"Erasmus+")</f>
        <v>Erasmus+</v>
      </c>
      <c r="E667" s="2">
        <f>IFERROR(__xludf.DUMMYFUNCTION("""COMPUTED_VALUE"""),1.0)</f>
        <v>1</v>
      </c>
      <c r="F667" s="2" t="str">
        <f>IFERROR(__xludf.DUMMYFUNCTION("""COMPUTED_VALUE"""),"Semestre")</f>
        <v>Semestre</v>
      </c>
      <c r="G667" s="2" t="str">
        <f>IFERROR(__xludf.DUMMYFUNCTION("""COMPUTED_VALUE"""),"Bilbao")</f>
        <v>Bilbao</v>
      </c>
      <c r="H667" s="2" t="str">
        <f>IFERROR(__xludf.DUMMYFUNCTION("""COMPUTED_VALUE"""),"Ciencias Sociales y Humanas")</f>
        <v>Ciencias Sociales y Humanas</v>
      </c>
      <c r="I667" s="2" t="str">
        <f>IFERROR(__xludf.DUMMYFUNCTION("""COMPUTED_VALUE"""),"Filosofía, Política y Economía")</f>
        <v>Filosofía, Política y Economía</v>
      </c>
      <c r="J667" s="2" t="str">
        <f>IFERROR(__xludf.DUMMYFUNCTION("""COMPUTED_VALUE"""),"Grado")</f>
        <v>Grado</v>
      </c>
      <c r="K667" s="2" t="str">
        <f>IFERROR(__xludf.DUMMYFUNCTION("""COMPUTED_VALUE"""),"Inglés")</f>
        <v>Inglés</v>
      </c>
      <c r="L667" s="2" t="str">
        <f>IFERROR(__xludf.DUMMYFUNCTION("""COMPUTED_VALUE"""),"C1")</f>
        <v>C1</v>
      </c>
      <c r="M667" s="2" t="str">
        <f>IFERROR(__xludf.DUMMYFUNCTION("""COMPUTED_VALUE"""),"Sí")</f>
        <v>Sí</v>
      </c>
      <c r="N667" s="3" t="str">
        <f>IFERROR(__xludf.DUMMYFUNCTION("""COMPUTED_VALUE"""),"https://www.rug.nl/rechten/education/international-programmes/exchange/admission-deadlines/requirements?lang=en#:~:text=Required%20level%20of%20English,English%20level%20cannot%20be%20accepted.")</f>
        <v>https://www.rug.nl/rechten/education/international-programmes/exchange/admission-deadlines/requirements?lang=en#:~:text=Required%20level%20of%20English,English%20level%20cannot%20be%20accepted.</v>
      </c>
      <c r="O667" s="2" t="str">
        <f>IFERROR(__xludf.DUMMYFUNCTION("""COMPUTED_VALUE"""),"n/a")</f>
        <v>n/a</v>
      </c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30.0" customHeight="1">
      <c r="A668" s="2" t="str">
        <f>IFERROR(__xludf.DUMMYFUNCTION("""COMPUTED_VALUE"""),"Países Bajos")</f>
        <v>Países Bajos</v>
      </c>
      <c r="B668" s="2" t="str">
        <f>IFERROR(__xludf.DUMMYFUNCTION("""COMPUTED_VALUE"""),"NL GRONING01")</f>
        <v>NL GRONING01</v>
      </c>
      <c r="C668" s="3" t="str">
        <f>IFERROR(__xludf.DUMMYFUNCTION("""COMPUTED_VALUE"""),"University of Groningen")</f>
        <v>University of Groningen</v>
      </c>
      <c r="D668" s="2" t="str">
        <f>IFERROR(__xludf.DUMMYFUNCTION("""COMPUTED_VALUE"""),"Erasmus+")</f>
        <v>Erasmus+</v>
      </c>
      <c r="E668" s="2">
        <f>IFERROR(__xludf.DUMMYFUNCTION("""COMPUTED_VALUE"""),3.0)</f>
        <v>3</v>
      </c>
      <c r="F668" s="2" t="str">
        <f>IFERROR(__xludf.DUMMYFUNCTION("""COMPUTED_VALUE"""),"Anual")</f>
        <v>Anual</v>
      </c>
      <c r="G668" s="2" t="str">
        <f>IFERROR(__xludf.DUMMYFUNCTION("""COMPUTED_VALUE"""),"Bilbao")</f>
        <v>Bilbao</v>
      </c>
      <c r="H668" s="2" t="str">
        <f>IFERROR(__xludf.DUMMYFUNCTION("""COMPUTED_VALUE"""),"Ciencias Sociales y Humanas")</f>
        <v>Ciencias Sociales y Humanas</v>
      </c>
      <c r="I668" s="2" t="str">
        <f>IFERROR(__xludf.DUMMYFUNCTION("""COMPUTED_VALUE"""),"Lenguas Modernas, Lengua y Cultura Vasca + Lenguas Modernas, Lenguas Modernas y Gestión, Euskal Hizkuntza eta Kultura")</f>
        <v>Lenguas Modernas, Lengua y Cultura Vasca + Lenguas Modernas, Lenguas Modernas y Gestión, Euskal Hizkuntza eta Kultura</v>
      </c>
      <c r="J668" s="2" t="str">
        <f>IFERROR(__xludf.DUMMYFUNCTION("""COMPUTED_VALUE"""),"Grado")</f>
        <v>Grado</v>
      </c>
      <c r="K668" s="2" t="str">
        <f>IFERROR(__xludf.DUMMYFUNCTION("""COMPUTED_VALUE"""),"Inglés")</f>
        <v>Inglés</v>
      </c>
      <c r="L668" s="2" t="str">
        <f>IFERROR(__xludf.DUMMYFUNCTION("""COMPUTED_VALUE"""),"C1")</f>
        <v>C1</v>
      </c>
      <c r="M668" s="2" t="str">
        <f>IFERROR(__xludf.DUMMYFUNCTION("""COMPUTED_VALUE"""),"Sí")</f>
        <v>Sí</v>
      </c>
      <c r="N668" s="3" t="str">
        <f>IFERROR(__xludf.DUMMYFUNCTION("""COMPUTED_VALUE"""),"https://www.rug.nl/rechten/education/international-programmes/exchange/admission-deadlines/requirements?lang=en#:~:text=Required%20level%20of%20English,English%20level%20cannot%20be%20accepted.")</f>
        <v>https://www.rug.nl/rechten/education/international-programmes/exchange/admission-deadlines/requirements?lang=en#:~:text=Required%20level%20of%20English,English%20level%20cannot%20be%20accepted.</v>
      </c>
      <c r="O668" s="2" t="str">
        <f>IFERROR(__xludf.DUMMYFUNCTION("""COMPUTED_VALUE"""),"n/a")</f>
        <v>n/a</v>
      </c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30.0" customHeight="1">
      <c r="A669" s="2" t="str">
        <f>IFERROR(__xludf.DUMMYFUNCTION("""COMPUTED_VALUE"""),"Países Bajos")</f>
        <v>Países Bajos</v>
      </c>
      <c r="B669" s="2" t="str">
        <f>IFERROR(__xludf.DUMMYFUNCTION("""COMPUTED_VALUE"""),"NL GRONING01")</f>
        <v>NL GRONING01</v>
      </c>
      <c r="C669" s="3" t="str">
        <f>IFERROR(__xludf.DUMMYFUNCTION("""COMPUTED_VALUE"""),"University of Groningen")</f>
        <v>University of Groningen</v>
      </c>
      <c r="D669" s="2" t="str">
        <f>IFERROR(__xludf.DUMMYFUNCTION("""COMPUTED_VALUE"""),"Erasmus+")</f>
        <v>Erasmus+</v>
      </c>
      <c r="E669" s="2">
        <f>IFERROR(__xludf.DUMMYFUNCTION("""COMPUTED_VALUE"""),3.0)</f>
        <v>3</v>
      </c>
      <c r="F669" s="2" t="str">
        <f>IFERROR(__xludf.DUMMYFUNCTION("""COMPUTED_VALUE"""),"Anual")</f>
        <v>Anual</v>
      </c>
      <c r="G669" s="2" t="str">
        <f>IFERROR(__xludf.DUMMYFUNCTION("""COMPUTED_VALUE"""),"Bilbao")</f>
        <v>Bilbao</v>
      </c>
      <c r="H669" s="2" t="str">
        <f>IFERROR(__xludf.DUMMYFUNCTION("""COMPUTED_VALUE"""),"Ciencias Sociales y Humanas")</f>
        <v>Ciencias Sociales y Humanas</v>
      </c>
      <c r="I669" s="2" t="str">
        <f>IFERROR(__xludf.DUMMYFUNCTION("""COMPUTED_VALUE"""),"Relaciones Internacionales, Relaciones Internacionales + Derecho")</f>
        <v>Relaciones Internacionales, Relaciones Internacionales + Derecho</v>
      </c>
      <c r="J669" s="2" t="str">
        <f>IFERROR(__xludf.DUMMYFUNCTION("""COMPUTED_VALUE"""),"Grado")</f>
        <v>Grado</v>
      </c>
      <c r="K669" s="2" t="str">
        <f>IFERROR(__xludf.DUMMYFUNCTION("""COMPUTED_VALUE"""),"Inglés")</f>
        <v>Inglés</v>
      </c>
      <c r="L669" s="2" t="str">
        <f>IFERROR(__xludf.DUMMYFUNCTION("""COMPUTED_VALUE"""),"C1")</f>
        <v>C1</v>
      </c>
      <c r="M669" s="2" t="str">
        <f>IFERROR(__xludf.DUMMYFUNCTION("""COMPUTED_VALUE"""),"Sí")</f>
        <v>Sí</v>
      </c>
      <c r="N669" s="3" t="str">
        <f>IFERROR(__xludf.DUMMYFUNCTION("""COMPUTED_VALUE"""),"https://www.rug.nl/rechten/education/international-programmes/exchange/admission-deadlines/requirements?lang=en#:~:text=Required%20level%20of%20English,English%20level%20cannot%20be%20accepted.")</f>
        <v>https://www.rug.nl/rechten/education/international-programmes/exchange/admission-deadlines/requirements?lang=en#:~:text=Required%20level%20of%20English,English%20level%20cannot%20be%20accepted.</v>
      </c>
      <c r="O669" s="2" t="str">
        <f>IFERROR(__xludf.DUMMYFUNCTION("""COMPUTED_VALUE"""),"n/a")</f>
        <v>n/a</v>
      </c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30.0" customHeight="1">
      <c r="A670" s="2" t="str">
        <f>IFERROR(__xludf.DUMMYFUNCTION("""COMPUTED_VALUE"""),"Países Bajos")</f>
        <v>Países Bajos</v>
      </c>
      <c r="B670" s="2" t="str">
        <f>IFERROR(__xludf.DUMMYFUNCTION("""COMPUTED_VALUE"""),"NL AMSTERD02")</f>
        <v>NL AMSTERD02</v>
      </c>
      <c r="C670" s="3" t="str">
        <f>IFERROR(__xludf.DUMMYFUNCTION("""COMPUTED_VALUE"""),"Vrije Universiteit Amsterdam")</f>
        <v>Vrije Universiteit Amsterdam</v>
      </c>
      <c r="D670" s="2" t="str">
        <f>IFERROR(__xludf.DUMMYFUNCTION("""COMPUTED_VALUE"""),"Erasmus+")</f>
        <v>Erasmus+</v>
      </c>
      <c r="E670" s="2">
        <f>IFERROR(__xludf.DUMMYFUNCTION("""COMPUTED_VALUE"""),2.0)</f>
        <v>2</v>
      </c>
      <c r="F670" s="2" t="str">
        <f>IFERROR(__xludf.DUMMYFUNCTION("""COMPUTED_VALUE"""),"Semestre")</f>
        <v>Semestre</v>
      </c>
      <c r="G670" s="2" t="str">
        <f>IFERROR(__xludf.DUMMYFUNCTION("""COMPUTED_VALUE"""),"Ambos")</f>
        <v>Ambos</v>
      </c>
      <c r="H670" s="2" t="str">
        <f>IFERROR(__xludf.DUMMYFUNCTION("""COMPUTED_VALUE"""),"Derecho")</f>
        <v>Derecho</v>
      </c>
      <c r="I670" s="2" t="str">
        <f>IFERROR(__xludf.DUMMYFUNCTION("""COMPUTED_VALUE"""),"Derecho, Derecho + Relaciones Laborales")</f>
        <v>Derecho, Derecho + Relaciones Laborales</v>
      </c>
      <c r="J670" s="2" t="str">
        <f>IFERROR(__xludf.DUMMYFUNCTION("""COMPUTED_VALUE"""),"Grado")</f>
        <v>Grado</v>
      </c>
      <c r="K670" s="2" t="str">
        <f>IFERROR(__xludf.DUMMYFUNCTION("""COMPUTED_VALUE"""),"Inglés")</f>
        <v>Inglés</v>
      </c>
      <c r="L670" s="2" t="str">
        <f>IFERROR(__xludf.DUMMYFUNCTION("""COMPUTED_VALUE"""),"C1")</f>
        <v>C1</v>
      </c>
      <c r="M670" s="2" t="str">
        <f>IFERROR(__xludf.DUMMYFUNCTION("""COMPUTED_VALUE"""),"Sí")</f>
        <v>Sí</v>
      </c>
      <c r="N670" s="3" t="str">
        <f>IFERROR(__xludf.DUMMYFUNCTION("""COMPUTED_VALUE"""),"https://vu.nl/en/education/more-about/meeting-language-proficiency-requirements")</f>
        <v>https://vu.nl/en/education/more-about/meeting-language-proficiency-requirements</v>
      </c>
      <c r="O670" s="3" t="str">
        <f>IFERROR(__xludf.DUMMYFUNCTION("""COMPUTED_VALUE"""),"Más información / Informazio gehigarria")</f>
        <v>Más información / Informazio gehigarria</v>
      </c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30.0" customHeight="1">
      <c r="A671" s="2" t="str">
        <f>IFERROR(__xludf.DUMMYFUNCTION("""COMPUTED_VALUE"""),"Países Bajos")</f>
        <v>Países Bajos</v>
      </c>
      <c r="B671" s="2" t="str">
        <f>IFERROR(__xludf.DUMMYFUNCTION("""COMPUTED_VALUE"""),"NL UTRECHT37")</f>
        <v>NL UTRECHT37</v>
      </c>
      <c r="C671" s="3" t="str">
        <f>IFERROR(__xludf.DUMMYFUNCTION("""COMPUTED_VALUE"""),"THIM University of Applied Sciences in Physiotherapy")</f>
        <v>THIM University of Applied Sciences in Physiotherapy</v>
      </c>
      <c r="D671" s="2" t="str">
        <f>IFERROR(__xludf.DUMMYFUNCTION("""COMPUTED_VALUE"""),"Erasmus+")</f>
        <v>Erasmus+</v>
      </c>
      <c r="E671" s="2">
        <f>IFERROR(__xludf.DUMMYFUNCTION("""COMPUTED_VALUE"""),2.0)</f>
        <v>2</v>
      </c>
      <c r="F671" s="2" t="str">
        <f>IFERROR(__xludf.DUMMYFUNCTION("""COMPUTED_VALUE"""),"Semestre")</f>
        <v>Semestre</v>
      </c>
      <c r="G671" s="2" t="str">
        <f>IFERROR(__xludf.DUMMYFUNCTION("""COMPUTED_VALUE"""),"San Sebastián")</f>
        <v>San Sebastián</v>
      </c>
      <c r="H671" s="2" t="str">
        <f>IFERROR(__xludf.DUMMYFUNCTION("""COMPUTED_VALUE"""),"Ciencias de la Salud")</f>
        <v>Ciencias de la Salud</v>
      </c>
      <c r="I671" s="2" t="str">
        <f>IFERROR(__xludf.DUMMYFUNCTION("""COMPUTED_VALUE"""),"Fisioterapia")</f>
        <v>Fisioterapia</v>
      </c>
      <c r="J671" s="2" t="str">
        <f>IFERROR(__xludf.DUMMYFUNCTION("""COMPUTED_VALUE"""),"Grado")</f>
        <v>Grado</v>
      </c>
      <c r="K671" s="2" t="str">
        <f>IFERROR(__xludf.DUMMYFUNCTION("""COMPUTED_VALUE"""),"Inglés")</f>
        <v>Inglés</v>
      </c>
      <c r="L671" s="2" t="str">
        <f>IFERROR(__xludf.DUMMYFUNCTION("""COMPUTED_VALUE"""),"B2")</f>
        <v>B2</v>
      </c>
      <c r="M671" s="2" t="str">
        <f>IFERROR(__xludf.DUMMYFUNCTION("""COMPUTED_VALUE"""),"Sí")</f>
        <v>Sí</v>
      </c>
      <c r="N671" s="3" t="str">
        <f>IFERROR(__xludf.DUMMYFUNCTION("""COMPUTED_VALUE"""),"https://en.thim.nl/")</f>
        <v>https://en.thim.nl/</v>
      </c>
      <c r="O671" s="3" t="str">
        <f>IFERROR(__xludf.DUMMYFUNCTION("""COMPUTED_VALUE"""),"Más información / Informazio gehigarria")</f>
        <v>Más información / Informazio gehigarria</v>
      </c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30.0" customHeight="1">
      <c r="A672" s="2" t="str">
        <f>IFERROR(__xludf.DUMMYFUNCTION("""COMPUTED_VALUE"""),"Países Bajos")</f>
        <v>Países Bajos</v>
      </c>
      <c r="B672" s="2" t="str">
        <f>IFERROR(__xludf.DUMMYFUNCTION("""COMPUTED_VALUE"""),"NL ZWOLLE05")</f>
        <v>NL ZWOLLE05</v>
      </c>
      <c r="C672" s="3" t="str">
        <f>IFERROR(__xludf.DUMMYFUNCTION("""COMPUTED_VALUE"""),"Windesheim University of Applied Sciences")</f>
        <v>Windesheim University of Applied Sciences</v>
      </c>
      <c r="D672" s="2" t="str">
        <f>IFERROR(__xludf.DUMMYFUNCTION("""COMPUTED_VALUE"""),"Erasmus+")</f>
        <v>Erasmus+</v>
      </c>
      <c r="E672" s="2">
        <f>IFERROR(__xludf.DUMMYFUNCTION("""COMPUTED_VALUE"""),3.0)</f>
        <v>3</v>
      </c>
      <c r="F672" s="2" t="str">
        <f>IFERROR(__xludf.DUMMYFUNCTION("""COMPUTED_VALUE"""),"Semestre")</f>
        <v>Semestre</v>
      </c>
      <c r="G672" s="2" t="str">
        <f>IFERROR(__xludf.DUMMYFUNCTION("""COMPUTED_VALUE"""),"Ambos")</f>
        <v>Ambos</v>
      </c>
      <c r="H672" s="2" t="str">
        <f>IFERROR(__xludf.DUMMYFUNCTION("""COMPUTED_VALUE"""),"Ingeniería")</f>
        <v>Ingeniería</v>
      </c>
      <c r="I672" s="2" t="str">
        <f>IFERROR(__xludf.DUMMYFUNCTION("""COMPUTED_VALUE"""),"Ingeniería Mecánica, Tecnologías Industriales, Ingeniería Informática, Diseño Industrial, Organización Industrial, Ciencia de Datos e IA, Industria Digital, Ciencia de Datos e IA + Ingeniería Informática, Diseño Industrial + Ingeniería Mecánica, Ingenierí"&amp;"a Informática + Videojuegos")</f>
        <v>Ingeniería Mecánica, Tecnologías Industriales, Ingeniería Informática, Diseño Industrial, Organización Industrial, Ciencia de Datos e IA, Industria Digital, Ciencia de Datos e IA + Ingeniería Informática, Diseño Industrial + Ingeniería Mecánica, Ingeniería Informática + Videojuegos</v>
      </c>
      <c r="J672" s="2" t="str">
        <f>IFERROR(__xludf.DUMMYFUNCTION("""COMPUTED_VALUE"""),"Grado")</f>
        <v>Grado</v>
      </c>
      <c r="K672" s="2" t="str">
        <f>IFERROR(__xludf.DUMMYFUNCTION("""COMPUTED_VALUE"""),"Inglés")</f>
        <v>Inglés</v>
      </c>
      <c r="L672" s="2" t="str">
        <f>IFERROR(__xludf.DUMMYFUNCTION("""COMPUTED_VALUE"""),"B2")</f>
        <v>B2</v>
      </c>
      <c r="M672" s="2" t="str">
        <f>IFERROR(__xludf.DUMMYFUNCTION("""COMPUTED_VALUE"""),"Sí")</f>
        <v>Sí</v>
      </c>
      <c r="N672" s="3" t="str">
        <f>IFERROR(__xludf.DUMMYFUNCTION("""COMPUTED_VALUE"""),"https://www.windesheim.com/study-programmes/exchange-programmes/exchange-programmes/international-business-studies#:~:text=You%20are%20required%20to%20have,programme%20pages%20of%20your%20choice.")</f>
        <v>https://www.windesheim.com/study-programmes/exchange-programmes/exchange-programmes/international-business-studies#:~:text=You%20are%20required%20to%20have,programme%20pages%20of%20your%20choice.</v>
      </c>
      <c r="O672" s="3" t="str">
        <f>IFERROR(__xludf.DUMMYFUNCTION("""COMPUTED_VALUE"""),"Más información / Informazio gehigarria")</f>
        <v>Más información / Informazio gehigarria</v>
      </c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30.0" customHeight="1">
      <c r="A673" s="2" t="str">
        <f>IFERROR(__xludf.DUMMYFUNCTION("""COMPUTED_VALUE"""),"Paraguay")</f>
        <v>Paraguay</v>
      </c>
      <c r="B673" s="2" t="str">
        <f>IFERROR(__xludf.DUMMYFUNCTION("""COMPUTED_VALUE"""),"PY")</f>
        <v>PY</v>
      </c>
      <c r="C673" s="3" t="str">
        <f>IFERROR(__xludf.DUMMYFUNCTION("""COMPUTED_VALUE"""),"Universidad del Norte")</f>
        <v>Universidad del Norte</v>
      </c>
      <c r="D673" s="2" t="str">
        <f>IFERROR(__xludf.DUMMYFUNCTION("""COMPUTED_VALUE"""),"Ac. Bilaterales (no Erasmus)")</f>
        <v>Ac. Bilaterales (no Erasmus)</v>
      </c>
      <c r="E673" s="2">
        <f>IFERROR(__xludf.DUMMYFUNCTION("""COMPUTED_VALUE"""),2.0)</f>
        <v>2</v>
      </c>
      <c r="F673" s="2" t="str">
        <f>IFERROR(__xludf.DUMMYFUNCTION("""COMPUTED_VALUE"""),"Anual")</f>
        <v>Anual</v>
      </c>
      <c r="G673" s="2" t="str">
        <f>IFERROR(__xludf.DUMMYFUNCTION("""COMPUTED_VALUE"""),"Bilbao")</f>
        <v>Bilbao</v>
      </c>
      <c r="H673" s="2" t="str">
        <f>IFERROR(__xludf.DUMMYFUNCTION("""COMPUTED_VALUE"""),"Ciencias de la Salud")</f>
        <v>Ciencias de la Salud</v>
      </c>
      <c r="I673" s="2" t="str">
        <f>IFERROR(__xludf.DUMMYFUNCTION("""COMPUTED_VALUE"""),"Psicología")</f>
        <v>Psicología</v>
      </c>
      <c r="J673" s="2" t="str">
        <f>IFERROR(__xludf.DUMMYFUNCTION("""COMPUTED_VALUE"""),"Grado")</f>
        <v>Grado</v>
      </c>
      <c r="K673" s="2" t="str">
        <f>IFERROR(__xludf.DUMMYFUNCTION("""COMPUTED_VALUE"""),"Español")</f>
        <v>Español</v>
      </c>
      <c r="L673" s="2" t="str">
        <f>IFERROR(__xludf.DUMMYFUNCTION("""COMPUTED_VALUE"""),"n/a")</f>
        <v>n/a</v>
      </c>
      <c r="M673" s="2" t="str">
        <f>IFERROR(__xludf.DUMMYFUNCTION("""COMPUTED_VALUE"""),"No")</f>
        <v>No</v>
      </c>
      <c r="N673" s="2" t="str">
        <f>IFERROR(__xludf.DUMMYFUNCTION("""COMPUTED_VALUE"""),"n/a")</f>
        <v>n/a</v>
      </c>
      <c r="O673" s="3" t="str">
        <f>IFERROR(__xludf.DUMMYFUNCTION("""COMPUTED_VALUE"""),"Más información / Informazio gehigarria")</f>
        <v>Más información / Informazio gehigarria</v>
      </c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30.0" customHeight="1">
      <c r="A674" s="2" t="str">
        <f>IFERROR(__xludf.DUMMYFUNCTION("""COMPUTED_VALUE"""),"Perú")</f>
        <v>Perú</v>
      </c>
      <c r="B674" s="2"/>
      <c r="C674" s="3" t="str">
        <f>IFERROR(__xludf.DUMMYFUNCTION("""COMPUTED_VALUE"""),"Universidad del Pacífico")</f>
        <v>Universidad del Pacífico</v>
      </c>
      <c r="D674" s="2" t="str">
        <f>IFERROR(__xludf.DUMMYFUNCTION("""COMPUTED_VALUE"""),"Ac. Bilaterales (no Erasmus)")</f>
        <v>Ac. Bilaterales (no Erasmus)</v>
      </c>
      <c r="E674" s="2">
        <f>IFERROR(__xludf.DUMMYFUNCTION("""COMPUTED_VALUE"""),2.0)</f>
        <v>2</v>
      </c>
      <c r="F674" s="2" t="str">
        <f>IFERROR(__xludf.DUMMYFUNCTION("""COMPUTED_VALUE"""),"Semestre")</f>
        <v>Semestre</v>
      </c>
      <c r="G674" s="2" t="str">
        <f>IFERROR(__xludf.DUMMYFUNCTION("""COMPUTED_VALUE"""),"Bilbao")</f>
        <v>Bilbao</v>
      </c>
      <c r="H674" s="2" t="str">
        <f>IFERROR(__xludf.DUMMYFUNCTION("""COMPUTED_VALUE"""),"Ciencias Sociales y Humanas")</f>
        <v>Ciencias Sociales y Humanas</v>
      </c>
      <c r="I674" s="2" t="str">
        <f>IFERROR(__xludf.DUMMYFUNCTION("""COMPUTED_VALUE"""),"Relaciones Internacionales, Relaciones Internacionales + Derecho")</f>
        <v>Relaciones Internacionales, Relaciones Internacionales + Derecho</v>
      </c>
      <c r="J674" s="2" t="str">
        <f>IFERROR(__xludf.DUMMYFUNCTION("""COMPUTED_VALUE"""),"Grado")</f>
        <v>Grado</v>
      </c>
      <c r="K674" s="2" t="str">
        <f>IFERROR(__xludf.DUMMYFUNCTION("""COMPUTED_VALUE"""),"Español")</f>
        <v>Español</v>
      </c>
      <c r="L674" s="2" t="str">
        <f>IFERROR(__xludf.DUMMYFUNCTION("""COMPUTED_VALUE"""),"n/a")</f>
        <v>n/a</v>
      </c>
      <c r="M674" s="2" t="str">
        <f>IFERROR(__xludf.DUMMYFUNCTION("""COMPUTED_VALUE"""),"No")</f>
        <v>No</v>
      </c>
      <c r="N674" s="2" t="str">
        <f>IFERROR(__xludf.DUMMYFUNCTION("""COMPUTED_VALUE"""),"n/a")</f>
        <v>n/a</v>
      </c>
      <c r="O674" s="3" t="str">
        <f>IFERROR(__xludf.DUMMYFUNCTION("""COMPUTED_VALUE"""),"Más información / Informazio gehigarria")</f>
        <v>Más información / Informazio gehigarria</v>
      </c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30.0" customHeight="1">
      <c r="A675" s="2" t="str">
        <f>IFERROR(__xludf.DUMMYFUNCTION("""COMPUTED_VALUE"""),"Perú")</f>
        <v>Perú</v>
      </c>
      <c r="B675" s="2"/>
      <c r="C675" s="3" t="str">
        <f>IFERROR(__xludf.DUMMYFUNCTION("""COMPUTED_VALUE"""),"Universidad del Pacífico")</f>
        <v>Universidad del Pacífico</v>
      </c>
      <c r="D675" s="2" t="str">
        <f>IFERROR(__xludf.DUMMYFUNCTION("""COMPUTED_VALUE"""),"Ac. Bilaterales (no Erasmus)")</f>
        <v>Ac. Bilaterales (no Erasmus)</v>
      </c>
      <c r="E675" s="2">
        <f>IFERROR(__xludf.DUMMYFUNCTION("""COMPUTED_VALUE"""),2.0)</f>
        <v>2</v>
      </c>
      <c r="F675" s="2" t="str">
        <f>IFERROR(__xludf.DUMMYFUNCTION("""COMPUTED_VALUE"""),"Semestre")</f>
        <v>Semestre</v>
      </c>
      <c r="G675" s="2" t="str">
        <f>IFERROR(__xludf.DUMMYFUNCTION("""COMPUTED_VALUE"""),"Bilbao")</f>
        <v>Bilbao</v>
      </c>
      <c r="H675" s="2" t="str">
        <f>IFERROR(__xludf.DUMMYFUNCTION("""COMPUTED_VALUE"""),"Derecho")</f>
        <v>Derecho</v>
      </c>
      <c r="I675" s="2" t="str">
        <f>IFERROR(__xludf.DUMMYFUNCTION("""COMPUTED_VALUE"""),"Derecho, Derecho + Relaciones Laborales")</f>
        <v>Derecho, Derecho + Relaciones Laborales</v>
      </c>
      <c r="J675" s="2" t="str">
        <f>IFERROR(__xludf.DUMMYFUNCTION("""COMPUTED_VALUE"""),"Grado")</f>
        <v>Grado</v>
      </c>
      <c r="K675" s="2" t="str">
        <f>IFERROR(__xludf.DUMMYFUNCTION("""COMPUTED_VALUE"""),"Español")</f>
        <v>Español</v>
      </c>
      <c r="L675" s="2" t="str">
        <f>IFERROR(__xludf.DUMMYFUNCTION("""COMPUTED_VALUE"""),"n/a")</f>
        <v>n/a</v>
      </c>
      <c r="M675" s="2" t="str">
        <f>IFERROR(__xludf.DUMMYFUNCTION("""COMPUTED_VALUE"""),"No")</f>
        <v>No</v>
      </c>
      <c r="N675" s="3" t="str">
        <f>IFERROR(__xludf.DUMMYFUNCTION("""COMPUTED_VALUE"""),"https://ori.up.edu.pe/incoming/")</f>
        <v>https://ori.up.edu.pe/incoming/</v>
      </c>
      <c r="O675" s="3" t="str">
        <f>IFERROR(__xludf.DUMMYFUNCTION("""COMPUTED_VALUE"""),"Más información / Informazio gehigarria")</f>
        <v>Más información / Informazio gehigarria</v>
      </c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30.0" customHeight="1">
      <c r="A676" s="2" t="str">
        <f>IFERROR(__xludf.DUMMYFUNCTION("""COMPUTED_VALUE"""),"Perú")</f>
        <v>Perú</v>
      </c>
      <c r="B676" s="2"/>
      <c r="C676" s="3" t="str">
        <f>IFERROR(__xludf.DUMMYFUNCTION("""COMPUTED_VALUE"""),"Universidad del Pacífico")</f>
        <v>Universidad del Pacífico</v>
      </c>
      <c r="D676" s="2" t="str">
        <f>IFERROR(__xludf.DUMMYFUNCTION("""COMPUTED_VALUE"""),"Ac. Bilaterales (no Erasmus)")</f>
        <v>Ac. Bilaterales (no Erasmus)</v>
      </c>
      <c r="E676" s="2">
        <f>IFERROR(__xludf.DUMMYFUNCTION("""COMPUTED_VALUE"""),2.0)</f>
        <v>2</v>
      </c>
      <c r="F676" s="2" t="str">
        <f>IFERROR(__xludf.DUMMYFUNCTION("""COMPUTED_VALUE"""),"Semestre")</f>
        <v>Semestre</v>
      </c>
      <c r="G676" s="2" t="str">
        <f>IFERROR(__xludf.DUMMYFUNCTION("""COMPUTED_VALUE"""),"Ambos")</f>
        <v>Ambos</v>
      </c>
      <c r="H676" s="2" t="str">
        <f>IFERROR(__xludf.DUMMYFUNCTION("""COMPUTED_VALUE"""),"Ingeniería")</f>
        <v>Ingeniería</v>
      </c>
      <c r="I676" s="2" t="str">
        <f>IFERROR(__xludf.DUMMYFUNCTION("""COMPUTED_VALUE"""),"Ingeniería Informática")</f>
        <v>Ingeniería Informática</v>
      </c>
      <c r="J676" s="2" t="str">
        <f>IFERROR(__xludf.DUMMYFUNCTION("""COMPUTED_VALUE"""),"Grado")</f>
        <v>Grado</v>
      </c>
      <c r="K676" s="2" t="str">
        <f>IFERROR(__xludf.DUMMYFUNCTION("""COMPUTED_VALUE"""),"Español")</f>
        <v>Español</v>
      </c>
      <c r="L676" s="2" t="str">
        <f>IFERROR(__xludf.DUMMYFUNCTION("""COMPUTED_VALUE"""),"n/a")</f>
        <v>n/a</v>
      </c>
      <c r="M676" s="2" t="str">
        <f>IFERROR(__xludf.DUMMYFUNCTION("""COMPUTED_VALUE"""),"No")</f>
        <v>No</v>
      </c>
      <c r="N676" s="3" t="str">
        <f>IFERROR(__xludf.DUMMYFUNCTION("""COMPUTED_VALUE"""),"https://ori.up.edu.pe/incoming/")</f>
        <v>https://ori.up.edu.pe/incoming/</v>
      </c>
      <c r="O676" s="3" t="str">
        <f>IFERROR(__xludf.DUMMYFUNCTION("""COMPUTED_VALUE"""),"Más información / Informazio gehigarria")</f>
        <v>Más información / Informazio gehigarria</v>
      </c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30.0" customHeight="1">
      <c r="A677" s="2" t="str">
        <f>IFERROR(__xludf.DUMMYFUNCTION("""COMPUTED_VALUE"""),"Perú")</f>
        <v>Perú</v>
      </c>
      <c r="B677" s="2" t="str">
        <f>IFERROR(__xludf.DUMMYFUNCTION("""COMPUTED_VALUE"""),"PE LIMA01")</f>
        <v>PE LIMA01</v>
      </c>
      <c r="C677" s="3" t="str">
        <f>IFERROR(__xludf.DUMMYFUNCTION("""COMPUTED_VALUE"""),"Pontificia Universidad Católica de Perú")</f>
        <v>Pontificia Universidad Católica de Perú</v>
      </c>
      <c r="D677" s="2" t="str">
        <f>IFERROR(__xludf.DUMMYFUNCTION("""COMPUTED_VALUE"""),"Ac. Bilaterales (no Erasmus)")</f>
        <v>Ac. Bilaterales (no Erasmus)</v>
      </c>
      <c r="E677" s="2">
        <f>IFERROR(__xludf.DUMMYFUNCTION("""COMPUTED_VALUE"""),2.0)</f>
        <v>2</v>
      </c>
      <c r="F677" s="2" t="str">
        <f>IFERROR(__xludf.DUMMYFUNCTION("""COMPUTED_VALUE"""),"Semestre")</f>
        <v>Semestre</v>
      </c>
      <c r="G677" s="2" t="str">
        <f>IFERROR(__xludf.DUMMYFUNCTION("""COMPUTED_VALUE"""),"Bilbao")</f>
        <v>Bilbao</v>
      </c>
      <c r="H677" s="2" t="str">
        <f>IFERROR(__xludf.DUMMYFUNCTION("""COMPUTED_VALUE"""),"Ingeniería")</f>
        <v>Ingeniería</v>
      </c>
      <c r="I677" s="2" t="str">
        <f>IFERROR(__xludf.DUMMYFUNCTION("""COMPUTED_VALUE"""),"Tecnologías Industriales, Ingeniería Mecánica, Electrónica y Automática, Organización Industrial, Diseño Industrial, Diseño Industrial + Ingeniería Mecánica")</f>
        <v>Tecnologías Industriales, Ingeniería Mecánica, Electrónica y Automática, Organización Industrial, Diseño Industrial, Diseño Industrial + Ingeniería Mecánica</v>
      </c>
      <c r="J677" s="2" t="str">
        <f>IFERROR(__xludf.DUMMYFUNCTION("""COMPUTED_VALUE"""),"Grado")</f>
        <v>Grado</v>
      </c>
      <c r="K677" s="2" t="str">
        <f>IFERROR(__xludf.DUMMYFUNCTION("""COMPUTED_VALUE"""),"Español")</f>
        <v>Español</v>
      </c>
      <c r="L677" s="2" t="str">
        <f>IFERROR(__xludf.DUMMYFUNCTION("""COMPUTED_VALUE"""),"n/a")</f>
        <v>n/a</v>
      </c>
      <c r="M677" s="2" t="str">
        <f>IFERROR(__xludf.DUMMYFUNCTION("""COMPUTED_VALUE"""),"No")</f>
        <v>No</v>
      </c>
      <c r="N677" s="2" t="str">
        <f>IFERROR(__xludf.DUMMYFUNCTION("""COMPUTED_VALUE"""),"n/a")</f>
        <v>n/a</v>
      </c>
      <c r="O677" s="3" t="str">
        <f>IFERROR(__xludf.DUMMYFUNCTION("""COMPUTED_VALUE"""),"Más información / Informazio gehigarria")</f>
        <v>Más información / Informazio gehigarria</v>
      </c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30.0" customHeight="1">
      <c r="A678" s="2" t="str">
        <f>IFERROR(__xludf.DUMMYFUNCTION("""COMPUTED_VALUE"""),"Perú")</f>
        <v>Perú</v>
      </c>
      <c r="B678" s="2" t="str">
        <f>IFERROR(__xludf.DUMMYFUNCTION("""COMPUTED_VALUE"""),"PE LIMA01")</f>
        <v>PE LIMA01</v>
      </c>
      <c r="C678" s="3" t="str">
        <f>IFERROR(__xludf.DUMMYFUNCTION("""COMPUTED_VALUE"""),"Pontificia Universidad Católica de Perú")</f>
        <v>Pontificia Universidad Católica de Perú</v>
      </c>
      <c r="D678" s="2" t="str">
        <f>IFERROR(__xludf.DUMMYFUNCTION("""COMPUTED_VALUE"""),"Ac. Bilaterales (no Erasmus)")</f>
        <v>Ac. Bilaterales (no Erasmus)</v>
      </c>
      <c r="E678" s="2">
        <f>IFERROR(__xludf.DUMMYFUNCTION("""COMPUTED_VALUE"""),2.0)</f>
        <v>2</v>
      </c>
      <c r="F678" s="2" t="str">
        <f>IFERROR(__xludf.DUMMYFUNCTION("""COMPUTED_VALUE"""),"Anual")</f>
        <v>Anual</v>
      </c>
      <c r="G678" s="2" t="str">
        <f>IFERROR(__xludf.DUMMYFUNCTION("""COMPUTED_VALUE"""),"Bilbao")</f>
        <v>Bilbao</v>
      </c>
      <c r="H678" s="2" t="str">
        <f>IFERROR(__xludf.DUMMYFUNCTION("""COMPUTED_VALUE"""),"Ciencias Sociales y Humanas")</f>
        <v>Ciencias Sociales y Humanas</v>
      </c>
      <c r="I678" s="2" t="str">
        <f>IFERROR(__xludf.DUMMYFUNCTION("""COMPUTED_VALUE"""),"Relaciones Internacionales, Relaciones Internacionales + Derecho")</f>
        <v>Relaciones Internacionales, Relaciones Internacionales + Derecho</v>
      </c>
      <c r="J678" s="2" t="str">
        <f>IFERROR(__xludf.DUMMYFUNCTION("""COMPUTED_VALUE"""),"Grado")</f>
        <v>Grado</v>
      </c>
      <c r="K678" s="2" t="str">
        <f>IFERROR(__xludf.DUMMYFUNCTION("""COMPUTED_VALUE"""),"Español")</f>
        <v>Español</v>
      </c>
      <c r="L678" s="2" t="str">
        <f>IFERROR(__xludf.DUMMYFUNCTION("""COMPUTED_VALUE"""),"n/a")</f>
        <v>n/a</v>
      </c>
      <c r="M678" s="2" t="str">
        <f>IFERROR(__xludf.DUMMYFUNCTION("""COMPUTED_VALUE"""),"No")</f>
        <v>No</v>
      </c>
      <c r="N678" s="2" t="str">
        <f>IFERROR(__xludf.DUMMYFUNCTION("""COMPUTED_VALUE"""),"n/a")</f>
        <v>n/a</v>
      </c>
      <c r="O678" s="3" t="str">
        <f>IFERROR(__xludf.DUMMYFUNCTION("""COMPUTED_VALUE"""),"Más información / Informazio gehigarria")</f>
        <v>Más información / Informazio gehigarria</v>
      </c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30.0" customHeight="1">
      <c r="A679" s="2" t="str">
        <f>IFERROR(__xludf.DUMMYFUNCTION("""COMPUTED_VALUE"""),"Perú")</f>
        <v>Perú</v>
      </c>
      <c r="B679" s="2" t="str">
        <f>IFERROR(__xludf.DUMMYFUNCTION("""COMPUTED_VALUE"""),"PE LIMA01")</f>
        <v>PE LIMA01</v>
      </c>
      <c r="C679" s="3" t="str">
        <f>IFERROR(__xludf.DUMMYFUNCTION("""COMPUTED_VALUE"""),"Pontificia Universidad Católica de Perú")</f>
        <v>Pontificia Universidad Católica de Perú</v>
      </c>
      <c r="D679" s="2" t="str">
        <f>IFERROR(__xludf.DUMMYFUNCTION("""COMPUTED_VALUE"""),"Ac. Bilaterales (no Erasmus)")</f>
        <v>Ac. Bilaterales (no Erasmus)</v>
      </c>
      <c r="E679" s="2">
        <f>IFERROR(__xludf.DUMMYFUNCTION("""COMPUTED_VALUE"""),2.0)</f>
        <v>2</v>
      </c>
      <c r="F679" s="2" t="str">
        <f>IFERROR(__xludf.DUMMYFUNCTION("""COMPUTED_VALUE"""),"Semestre")</f>
        <v>Semestre</v>
      </c>
      <c r="G679" s="2" t="str">
        <f>IFERROR(__xludf.DUMMYFUNCTION("""COMPUTED_VALUE"""),"Bilbao")</f>
        <v>Bilbao</v>
      </c>
      <c r="H679" s="2" t="str">
        <f>IFERROR(__xludf.DUMMYFUNCTION("""COMPUTED_VALUE"""),"Ciencias Sociales y Humanas")</f>
        <v>Ciencias Sociales y Humanas</v>
      </c>
      <c r="I679" s="2" t="str">
        <f>IFERROR(__xludf.DUMMYFUNCTION("""COMPUTED_VALUE"""),"Turismo")</f>
        <v>Turismo</v>
      </c>
      <c r="J679" s="2" t="str">
        <f>IFERROR(__xludf.DUMMYFUNCTION("""COMPUTED_VALUE"""),"Grado")</f>
        <v>Grado</v>
      </c>
      <c r="K679" s="2" t="str">
        <f>IFERROR(__xludf.DUMMYFUNCTION("""COMPUTED_VALUE"""),"Español")</f>
        <v>Español</v>
      </c>
      <c r="L679" s="2" t="str">
        <f>IFERROR(__xludf.DUMMYFUNCTION("""COMPUTED_VALUE"""),"n/a")</f>
        <v>n/a</v>
      </c>
      <c r="M679" s="2" t="str">
        <f>IFERROR(__xludf.DUMMYFUNCTION("""COMPUTED_VALUE"""),"No")</f>
        <v>No</v>
      </c>
      <c r="N679" s="2" t="str">
        <f>IFERROR(__xludf.DUMMYFUNCTION("""COMPUTED_VALUE"""),"n/a")</f>
        <v>n/a</v>
      </c>
      <c r="O679" s="3" t="str">
        <f>IFERROR(__xludf.DUMMYFUNCTION("""COMPUTED_VALUE"""),"Más información / Informazio gehigarria")</f>
        <v>Más información / Informazio gehigarria</v>
      </c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30.0" customHeight="1">
      <c r="A680" s="2" t="str">
        <f>IFERROR(__xludf.DUMMYFUNCTION("""COMPUTED_VALUE"""),"Perú")</f>
        <v>Perú</v>
      </c>
      <c r="B680" s="2" t="str">
        <f>IFERROR(__xludf.DUMMYFUNCTION("""COMPUTED_VALUE"""),"PE LIMA03")</f>
        <v>PE LIMA03</v>
      </c>
      <c r="C680" s="3" t="str">
        <f>IFERROR(__xludf.DUMMYFUNCTION("""COMPUTED_VALUE"""),"Universidad Antonio Ruiz de Montoya")</f>
        <v>Universidad Antonio Ruiz de Montoya</v>
      </c>
      <c r="D680" s="2" t="str">
        <f>IFERROR(__xludf.DUMMYFUNCTION("""COMPUTED_VALUE"""),"Ac. Bilaterales (no Erasmus)")</f>
        <v>Ac. Bilaterales (no Erasmus)</v>
      </c>
      <c r="E680" s="2" t="str">
        <f>IFERROR(__xludf.DUMMYFUNCTION("""COMPUTED_VALUE"""),"Convenio Marco")</f>
        <v>Convenio Marco</v>
      </c>
      <c r="F680" s="2" t="str">
        <f>IFERROR(__xludf.DUMMYFUNCTION("""COMPUTED_VALUE"""),"Anual")</f>
        <v>Anual</v>
      </c>
      <c r="G680" s="2" t="str">
        <f>IFERROR(__xludf.DUMMYFUNCTION("""COMPUTED_VALUE"""),"Bilbao")</f>
        <v>Bilbao</v>
      </c>
      <c r="H680" s="2" t="str">
        <f>IFERROR(__xludf.DUMMYFUNCTION("""COMPUTED_VALUE"""),"Ciencias Sociales y Humanas")</f>
        <v>Ciencias Sociales y Humanas</v>
      </c>
      <c r="I680" s="2" t="str">
        <f>IFERROR(__xludf.DUMMYFUNCTION("""COMPUTED_VALUE"""),"Relaciones Internacionales, Relaciones Internacionales + Derecho")</f>
        <v>Relaciones Internacionales, Relaciones Internacionales + Derecho</v>
      </c>
      <c r="J680" s="2" t="str">
        <f>IFERROR(__xludf.DUMMYFUNCTION("""COMPUTED_VALUE"""),"Grado")</f>
        <v>Grado</v>
      </c>
      <c r="K680" s="2" t="str">
        <f>IFERROR(__xludf.DUMMYFUNCTION("""COMPUTED_VALUE"""),"Español")</f>
        <v>Español</v>
      </c>
      <c r="L680" s="2" t="str">
        <f>IFERROR(__xludf.DUMMYFUNCTION("""COMPUTED_VALUE"""),"n/a")</f>
        <v>n/a</v>
      </c>
      <c r="M680" s="2" t="str">
        <f>IFERROR(__xludf.DUMMYFUNCTION("""COMPUTED_VALUE"""),"No")</f>
        <v>No</v>
      </c>
      <c r="N680" s="2" t="str">
        <f>IFERROR(__xludf.DUMMYFUNCTION("""COMPUTED_VALUE"""),"n/a")</f>
        <v>n/a</v>
      </c>
      <c r="O680" s="3" t="str">
        <f>IFERROR(__xludf.DUMMYFUNCTION("""COMPUTED_VALUE"""),"Más información / Informazio gehigarria")</f>
        <v>Más información / Informazio gehigarria</v>
      </c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30.0" customHeight="1">
      <c r="A681" s="2" t="str">
        <f>IFERROR(__xludf.DUMMYFUNCTION("""COMPUTED_VALUE"""),"Perú")</f>
        <v>Perú</v>
      </c>
      <c r="B681" s="2" t="str">
        <f>IFERROR(__xludf.DUMMYFUNCTION("""COMPUTED_VALUE"""),"PE LIMA03")</f>
        <v>PE LIMA03</v>
      </c>
      <c r="C681" s="3" t="str">
        <f>IFERROR(__xludf.DUMMYFUNCTION("""COMPUTED_VALUE"""),"Universidad Antonio Ruiz de Montoya")</f>
        <v>Universidad Antonio Ruiz de Montoya</v>
      </c>
      <c r="D681" s="2" t="str">
        <f>IFERROR(__xludf.DUMMYFUNCTION("""COMPUTED_VALUE"""),"Ac. Bilaterales (no Erasmus)")</f>
        <v>Ac. Bilaterales (no Erasmus)</v>
      </c>
      <c r="E681" s="2">
        <f>IFERROR(__xludf.DUMMYFUNCTION("""COMPUTED_VALUE"""),2.0)</f>
        <v>2</v>
      </c>
      <c r="F681" s="2" t="str">
        <f>IFERROR(__xludf.DUMMYFUNCTION("""COMPUTED_VALUE"""),"Semestre")</f>
        <v>Semestre</v>
      </c>
      <c r="G681" s="2" t="str">
        <f>IFERROR(__xludf.DUMMYFUNCTION("""COMPUTED_VALUE"""),"Ambos")</f>
        <v>Ambos</v>
      </c>
      <c r="H681" s="2" t="str">
        <f>IFERROR(__xludf.DUMMYFUNCTION("""COMPUTED_VALUE"""),"Derecho")</f>
        <v>Derecho</v>
      </c>
      <c r="I681" s="2" t="str">
        <f>IFERROR(__xludf.DUMMYFUNCTION("""COMPUTED_VALUE"""),"Derecho, Derecho + Relaciones Laborales")</f>
        <v>Derecho, Derecho + Relaciones Laborales</v>
      </c>
      <c r="J681" s="2" t="str">
        <f>IFERROR(__xludf.DUMMYFUNCTION("""COMPUTED_VALUE"""),"Grado")</f>
        <v>Grado</v>
      </c>
      <c r="K681" s="2" t="str">
        <f>IFERROR(__xludf.DUMMYFUNCTION("""COMPUTED_VALUE"""),"Español")</f>
        <v>Español</v>
      </c>
      <c r="L681" s="2" t="str">
        <f>IFERROR(__xludf.DUMMYFUNCTION("""COMPUTED_VALUE"""),"n/a")</f>
        <v>n/a</v>
      </c>
      <c r="M681" s="2" t="str">
        <f>IFERROR(__xludf.DUMMYFUNCTION("""COMPUTED_VALUE"""),"No")</f>
        <v>No</v>
      </c>
      <c r="N681" s="3" t="str">
        <f>IFERROR(__xludf.DUMMYFUNCTION("""COMPUTED_VALUE"""),"https://www.uarm.edu.pe/")</f>
        <v>https://www.uarm.edu.pe/</v>
      </c>
      <c r="O681" s="3" t="str">
        <f>IFERROR(__xludf.DUMMYFUNCTION("""COMPUTED_VALUE"""),"Más información / Informazio gehigarria")</f>
        <v>Más información / Informazio gehigarria</v>
      </c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30.0" customHeight="1">
      <c r="A682" s="2" t="str">
        <f>IFERROR(__xludf.DUMMYFUNCTION("""COMPUTED_VALUE"""),"Perú")</f>
        <v>Perú</v>
      </c>
      <c r="B682" s="2" t="str">
        <f>IFERROR(__xludf.DUMMYFUNCTION("""COMPUTED_VALUE"""),"PE LIMA03")</f>
        <v>PE LIMA03</v>
      </c>
      <c r="C682" s="3" t="str">
        <f>IFERROR(__xludf.DUMMYFUNCTION("""COMPUTED_VALUE"""),"Universidad Antonio Ruiz de Montoya")</f>
        <v>Universidad Antonio Ruiz de Montoya</v>
      </c>
      <c r="D682" s="2" t="str">
        <f>IFERROR(__xludf.DUMMYFUNCTION("""COMPUTED_VALUE"""),"Ac. Bilaterales (no Erasmus)")</f>
        <v>Ac. Bilaterales (no Erasmus)</v>
      </c>
      <c r="E682" s="2">
        <f>IFERROR(__xludf.DUMMYFUNCTION("""COMPUTED_VALUE"""),2.0)</f>
        <v>2</v>
      </c>
      <c r="F682" s="2" t="str">
        <f>IFERROR(__xludf.DUMMYFUNCTION("""COMPUTED_VALUE"""),"Semestre")</f>
        <v>Semestre</v>
      </c>
      <c r="G682" s="2" t="str">
        <f>IFERROR(__xludf.DUMMYFUNCTION("""COMPUTED_VALUE"""),"Bilbao")</f>
        <v>Bilbao</v>
      </c>
      <c r="H682" s="2" t="str">
        <f>IFERROR(__xludf.DUMMYFUNCTION("""COMPUTED_VALUE"""),"Ciencias Sociales y Humanas")</f>
        <v>Ciencias Sociales y Humanas</v>
      </c>
      <c r="I682" s="2" t="str">
        <f>IFERROR(__xludf.DUMMYFUNCTION("""COMPUTED_VALUE"""),"Filosofía, Política y Economía")</f>
        <v>Filosofía, Política y Economía</v>
      </c>
      <c r="J682" s="2" t="str">
        <f>IFERROR(__xludf.DUMMYFUNCTION("""COMPUTED_VALUE"""),"Grado")</f>
        <v>Grado</v>
      </c>
      <c r="K682" s="2" t="str">
        <f>IFERROR(__xludf.DUMMYFUNCTION("""COMPUTED_VALUE"""),"Español")</f>
        <v>Español</v>
      </c>
      <c r="L682" s="2" t="str">
        <f>IFERROR(__xludf.DUMMYFUNCTION("""COMPUTED_VALUE"""),"n/a")</f>
        <v>n/a</v>
      </c>
      <c r="M682" s="2" t="str">
        <f>IFERROR(__xludf.DUMMYFUNCTION("""COMPUTED_VALUE"""),"No")</f>
        <v>No</v>
      </c>
      <c r="N682" s="2" t="str">
        <f>IFERROR(__xludf.DUMMYFUNCTION("""COMPUTED_VALUE"""),"n/a")</f>
        <v>n/a</v>
      </c>
      <c r="O682" s="3" t="str">
        <f>IFERROR(__xludf.DUMMYFUNCTION("""COMPUTED_VALUE"""),"Más información / Informazio gehigarria")</f>
        <v>Más información / Informazio gehigarria</v>
      </c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30.0" customHeight="1">
      <c r="A683" s="2" t="str">
        <f>IFERROR(__xludf.DUMMYFUNCTION("""COMPUTED_VALUE"""),"Perú")</f>
        <v>Perú</v>
      </c>
      <c r="B683" s="2" t="str">
        <f>IFERROR(__xludf.DUMMYFUNCTION("""COMPUTED_VALUE"""),"PE LIMA03")</f>
        <v>PE LIMA03</v>
      </c>
      <c r="C683" s="3" t="str">
        <f>IFERROR(__xludf.DUMMYFUNCTION("""COMPUTED_VALUE"""),"Universidad Antonio Ruiz de Montoya")</f>
        <v>Universidad Antonio Ruiz de Montoya</v>
      </c>
      <c r="D683" s="2" t="str">
        <f>IFERROR(__xludf.DUMMYFUNCTION("""COMPUTED_VALUE"""),"Ac. Bilaterales (no Erasmus)")</f>
        <v>Ac. Bilaterales (no Erasmus)</v>
      </c>
      <c r="E683" s="2">
        <f>IFERROR(__xludf.DUMMYFUNCTION("""COMPUTED_VALUE"""),2.0)</f>
        <v>2</v>
      </c>
      <c r="F683" s="2" t="str">
        <f>IFERROR(__xludf.DUMMYFUNCTION("""COMPUTED_VALUE"""),"Anual")</f>
        <v>Anual</v>
      </c>
      <c r="G683" s="2" t="str">
        <f>IFERROR(__xludf.DUMMYFUNCTION("""COMPUTED_VALUE"""),"Bilbao")</f>
        <v>Bilbao</v>
      </c>
      <c r="H683" s="2" t="str">
        <f>IFERROR(__xludf.DUMMYFUNCTION("""COMPUTED_VALUE"""),"Ciencias de la Salud")</f>
        <v>Ciencias de la Salud</v>
      </c>
      <c r="I683" s="2" t="str">
        <f>IFERROR(__xludf.DUMMYFUNCTION("""COMPUTED_VALUE"""),"Psicología")</f>
        <v>Psicología</v>
      </c>
      <c r="J683" s="2" t="str">
        <f>IFERROR(__xludf.DUMMYFUNCTION("""COMPUTED_VALUE"""),"Grado")</f>
        <v>Grado</v>
      </c>
      <c r="K683" s="2" t="str">
        <f>IFERROR(__xludf.DUMMYFUNCTION("""COMPUTED_VALUE"""),"Español")</f>
        <v>Español</v>
      </c>
      <c r="L683" s="2" t="str">
        <f>IFERROR(__xludf.DUMMYFUNCTION("""COMPUTED_VALUE"""),"n/a")</f>
        <v>n/a</v>
      </c>
      <c r="M683" s="2" t="str">
        <f>IFERROR(__xludf.DUMMYFUNCTION("""COMPUTED_VALUE"""),"No")</f>
        <v>No</v>
      </c>
      <c r="N683" s="2" t="str">
        <f>IFERROR(__xludf.DUMMYFUNCTION("""COMPUTED_VALUE"""),"n/a")</f>
        <v>n/a</v>
      </c>
      <c r="O683" s="3" t="str">
        <f>IFERROR(__xludf.DUMMYFUNCTION("""COMPUTED_VALUE"""),"Más información / Informazio gehigarria")</f>
        <v>Más información / Informazio gehigarria</v>
      </c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30.0" customHeight="1">
      <c r="A684" s="2" t="str">
        <f>IFERROR(__xludf.DUMMYFUNCTION("""COMPUTED_VALUE"""),"Perú")</f>
        <v>Perú</v>
      </c>
      <c r="B684" s="2" t="str">
        <f>IFERROR(__xludf.DUMMYFUNCTION("""COMPUTED_VALUE"""),"PE LIMA03")</f>
        <v>PE LIMA03</v>
      </c>
      <c r="C684" s="3" t="str">
        <f>IFERROR(__xludf.DUMMYFUNCTION("""COMPUTED_VALUE"""),"Universidad Antonio Ruiz de Montoya")</f>
        <v>Universidad Antonio Ruiz de Montoya</v>
      </c>
      <c r="D684" s="2" t="str">
        <f>IFERROR(__xludf.DUMMYFUNCTION("""COMPUTED_VALUE"""),"Ac. Bilaterales (no Erasmus)")</f>
        <v>Ac. Bilaterales (no Erasmus)</v>
      </c>
      <c r="E684" s="2">
        <f>IFERROR(__xludf.DUMMYFUNCTION("""COMPUTED_VALUE"""),2.0)</f>
        <v>2</v>
      </c>
      <c r="F684" s="2" t="str">
        <f>IFERROR(__xludf.DUMMYFUNCTION("""COMPUTED_VALUE"""),"Semestre")</f>
        <v>Semestre</v>
      </c>
      <c r="G684" s="2" t="str">
        <f>IFERROR(__xludf.DUMMYFUNCTION("""COMPUTED_VALUE"""),"Bilbao")</f>
        <v>Bilbao</v>
      </c>
      <c r="H684" s="2" t="str">
        <f>IFERROR(__xludf.DUMMYFUNCTION("""COMPUTED_VALUE"""),"Ingeniería")</f>
        <v>Ingeniería</v>
      </c>
      <c r="I684" s="2" t="str">
        <f>IFERROR(__xludf.DUMMYFUNCTION("""COMPUTED_VALUE"""),"Tecnologías Industriales")</f>
        <v>Tecnologías Industriales</v>
      </c>
      <c r="J684" s="2" t="str">
        <f>IFERROR(__xludf.DUMMYFUNCTION("""COMPUTED_VALUE"""),"Grado")</f>
        <v>Grado</v>
      </c>
      <c r="K684" s="2" t="str">
        <f>IFERROR(__xludf.DUMMYFUNCTION("""COMPUTED_VALUE"""),"Español")</f>
        <v>Español</v>
      </c>
      <c r="L684" s="2" t="str">
        <f>IFERROR(__xludf.DUMMYFUNCTION("""COMPUTED_VALUE"""),"n/a")</f>
        <v>n/a</v>
      </c>
      <c r="M684" s="2" t="str">
        <f>IFERROR(__xludf.DUMMYFUNCTION("""COMPUTED_VALUE"""),"No")</f>
        <v>No</v>
      </c>
      <c r="N684" s="2" t="str">
        <f>IFERROR(__xludf.DUMMYFUNCTION("""COMPUTED_VALUE"""),"n/a")</f>
        <v>n/a</v>
      </c>
      <c r="O684" s="3" t="str">
        <f>IFERROR(__xludf.DUMMYFUNCTION("""COMPUTED_VALUE"""),"Más información / Informazio gehigarria")</f>
        <v>Más información / Informazio gehigarria</v>
      </c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30.0" customHeight="1">
      <c r="A685" s="2" t="str">
        <f>IFERROR(__xludf.DUMMYFUNCTION("""COMPUTED_VALUE"""),"Perú")</f>
        <v>Perú</v>
      </c>
      <c r="B685" s="2"/>
      <c r="C685" s="3" t="str">
        <f>IFERROR(__xludf.DUMMYFUNCTION("""COMPUTED_VALUE"""),"Universidad Científica del Sur")</f>
        <v>Universidad Científica del Sur</v>
      </c>
      <c r="D685" s="2" t="str">
        <f>IFERROR(__xludf.DUMMYFUNCTION("""COMPUTED_VALUE"""),"Ac. Bilaterales (no Erasmus)")</f>
        <v>Ac. Bilaterales (no Erasmus)</v>
      </c>
      <c r="E685" s="2" t="str">
        <f>IFERROR(__xludf.DUMMYFUNCTION("""COMPUTED_VALUE"""),"Sin especificar")</f>
        <v>Sin especificar</v>
      </c>
      <c r="F685" s="2" t="str">
        <f>IFERROR(__xludf.DUMMYFUNCTION("""COMPUTED_VALUE"""),"Semestre")</f>
        <v>Semestre</v>
      </c>
      <c r="G685" s="2" t="str">
        <f>IFERROR(__xludf.DUMMYFUNCTION("""COMPUTED_VALUE"""),"Ambos")</f>
        <v>Ambos</v>
      </c>
      <c r="H685" s="2" t="str">
        <f>IFERROR(__xludf.DUMMYFUNCTION("""COMPUTED_VALUE"""),"Derecho")</f>
        <v>Derecho</v>
      </c>
      <c r="I685" s="2" t="str">
        <f>IFERROR(__xludf.DUMMYFUNCTION("""COMPUTED_VALUE"""),"Derecho, Derecho + Relaciones Laborales")</f>
        <v>Derecho, Derecho + Relaciones Laborales</v>
      </c>
      <c r="J685" s="2" t="str">
        <f>IFERROR(__xludf.DUMMYFUNCTION("""COMPUTED_VALUE"""),"Grado")</f>
        <v>Grado</v>
      </c>
      <c r="K685" s="2" t="str">
        <f>IFERROR(__xludf.DUMMYFUNCTION("""COMPUTED_VALUE"""),"Español")</f>
        <v>Español</v>
      </c>
      <c r="L685" s="2" t="str">
        <f>IFERROR(__xludf.DUMMYFUNCTION("""COMPUTED_VALUE"""),"n/a")</f>
        <v>n/a</v>
      </c>
      <c r="M685" s="2" t="str">
        <f>IFERROR(__xludf.DUMMYFUNCTION("""COMPUTED_VALUE"""),"No")</f>
        <v>No</v>
      </c>
      <c r="N685" s="3" t="str">
        <f>IFERROR(__xludf.DUMMYFUNCTION("""COMPUTED_VALUE"""),"https://www.cientifica.edu.pe/convenios-internacionales/")</f>
        <v>https://www.cientifica.edu.pe/convenios-internacionales/</v>
      </c>
      <c r="O685" s="3" t="str">
        <f>IFERROR(__xludf.DUMMYFUNCTION("""COMPUTED_VALUE"""),"Más información / Informazio gehigarria")</f>
        <v>Más información / Informazio gehigarria</v>
      </c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30.0" customHeight="1">
      <c r="A686" s="2" t="str">
        <f>IFERROR(__xludf.DUMMYFUNCTION("""COMPUTED_VALUE"""),"Perú")</f>
        <v>Perú</v>
      </c>
      <c r="B686" s="2"/>
      <c r="C686" s="3" t="str">
        <f>IFERROR(__xludf.DUMMYFUNCTION("""COMPUTED_VALUE"""),"Universidad Científica del Sur")</f>
        <v>Universidad Científica del Sur</v>
      </c>
      <c r="D686" s="2" t="str">
        <f>IFERROR(__xludf.DUMMYFUNCTION("""COMPUTED_VALUE"""),"Ac. Bilaterales (no Erasmus)")</f>
        <v>Ac. Bilaterales (no Erasmus)</v>
      </c>
      <c r="E686" s="2">
        <f>IFERROR(__xludf.DUMMYFUNCTION("""COMPUTED_VALUE"""),1.0)</f>
        <v>1</v>
      </c>
      <c r="F686" s="2" t="str">
        <f>IFERROR(__xludf.DUMMYFUNCTION("""COMPUTED_VALUE"""),"Semestre")</f>
        <v>Semestre</v>
      </c>
      <c r="G686" s="2" t="str">
        <f>IFERROR(__xludf.DUMMYFUNCTION("""COMPUTED_VALUE"""),"San Sebastián")</f>
        <v>San Sebastián</v>
      </c>
      <c r="H686" s="2" t="str">
        <f>IFERROR(__xludf.DUMMYFUNCTION("""COMPUTED_VALUE"""),"Ciencias Sociales y Humanas")</f>
        <v>Ciencias Sociales y Humanas</v>
      </c>
      <c r="I686" s="2" t="str">
        <f>IFERROR(__xludf.DUMMYFUNCTION("""COMPUTED_VALUE"""),"Comunicación")</f>
        <v>Comunicación</v>
      </c>
      <c r="J686" s="2" t="str">
        <f>IFERROR(__xludf.DUMMYFUNCTION("""COMPUTED_VALUE"""),"Grado")</f>
        <v>Grado</v>
      </c>
      <c r="K686" s="2" t="str">
        <f>IFERROR(__xludf.DUMMYFUNCTION("""COMPUTED_VALUE"""),"Español")</f>
        <v>Español</v>
      </c>
      <c r="L686" s="2" t="str">
        <f>IFERROR(__xludf.DUMMYFUNCTION("""COMPUTED_VALUE"""),"n/a")</f>
        <v>n/a</v>
      </c>
      <c r="M686" s="2" t="str">
        <f>IFERROR(__xludf.DUMMYFUNCTION("""COMPUTED_VALUE"""),"No")</f>
        <v>No</v>
      </c>
      <c r="N686" s="3" t="str">
        <f>IFERROR(__xludf.DUMMYFUNCTION("""COMPUTED_VALUE"""),"https://www.cientifica.edu.pe/convenios-internacionales/")</f>
        <v>https://www.cientifica.edu.pe/convenios-internacionales/</v>
      </c>
      <c r="O686" s="3" t="str">
        <f>IFERROR(__xludf.DUMMYFUNCTION("""COMPUTED_VALUE"""),"Más información / Informazio gehigarria")</f>
        <v>Más información / Informazio gehigarria</v>
      </c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30.0" customHeight="1">
      <c r="A687" s="2" t="str">
        <f>IFERROR(__xludf.DUMMYFUNCTION("""COMPUTED_VALUE"""),"Perú")</f>
        <v>Perú</v>
      </c>
      <c r="B687" s="2"/>
      <c r="C687" s="3" t="str">
        <f>IFERROR(__xludf.DUMMYFUNCTION("""COMPUTED_VALUE"""),"Universidad Científica del Sur")</f>
        <v>Universidad Científica del Sur</v>
      </c>
      <c r="D687" s="2" t="str">
        <f>IFERROR(__xludf.DUMMYFUNCTION("""COMPUTED_VALUE"""),"Ac. Bilaterales (no Erasmus)")</f>
        <v>Ac. Bilaterales (no Erasmus)</v>
      </c>
      <c r="E687" s="2">
        <f>IFERROR(__xludf.DUMMYFUNCTION("""COMPUTED_VALUE"""),2.0)</f>
        <v>2</v>
      </c>
      <c r="F687" s="2" t="str">
        <f>IFERROR(__xludf.DUMMYFUNCTION("""COMPUTED_VALUE"""),"Anual")</f>
        <v>Anual</v>
      </c>
      <c r="G687" s="2" t="str">
        <f>IFERROR(__xludf.DUMMYFUNCTION("""COMPUTED_VALUE"""),"Bilbao")</f>
        <v>Bilbao</v>
      </c>
      <c r="H687" s="2" t="str">
        <f>IFERROR(__xludf.DUMMYFUNCTION("""COMPUTED_VALUE"""),"Ciencias de la Salud")</f>
        <v>Ciencias de la Salud</v>
      </c>
      <c r="I687" s="2" t="str">
        <f>IFERROR(__xludf.DUMMYFUNCTION("""COMPUTED_VALUE"""),"Psicología")</f>
        <v>Psicología</v>
      </c>
      <c r="J687" s="2" t="str">
        <f>IFERROR(__xludf.DUMMYFUNCTION("""COMPUTED_VALUE"""),"Grado")</f>
        <v>Grado</v>
      </c>
      <c r="K687" s="2" t="str">
        <f>IFERROR(__xludf.DUMMYFUNCTION("""COMPUTED_VALUE"""),"Español")</f>
        <v>Español</v>
      </c>
      <c r="L687" s="2" t="str">
        <f>IFERROR(__xludf.DUMMYFUNCTION("""COMPUTED_VALUE"""),"n/a")</f>
        <v>n/a</v>
      </c>
      <c r="M687" s="2" t="str">
        <f>IFERROR(__xludf.DUMMYFUNCTION("""COMPUTED_VALUE"""),"No")</f>
        <v>No</v>
      </c>
      <c r="N687" s="2" t="str">
        <f>IFERROR(__xludf.DUMMYFUNCTION("""COMPUTED_VALUE"""),"n/a")</f>
        <v>n/a</v>
      </c>
      <c r="O687" s="3" t="str">
        <f>IFERROR(__xludf.DUMMYFUNCTION("""COMPUTED_VALUE"""),"Más información / Informazio gehigarria")</f>
        <v>Más información / Informazio gehigarria</v>
      </c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30.0" customHeight="1">
      <c r="A688" s="2" t="str">
        <f>IFERROR(__xludf.DUMMYFUNCTION("""COMPUTED_VALUE"""),"Perú")</f>
        <v>Perú</v>
      </c>
      <c r="B688" s="2"/>
      <c r="C688" s="3" t="str">
        <f>IFERROR(__xludf.DUMMYFUNCTION("""COMPUTED_VALUE"""),"Universidad Científica del Sur")</f>
        <v>Universidad Científica del Sur</v>
      </c>
      <c r="D688" s="2" t="str">
        <f>IFERROR(__xludf.DUMMYFUNCTION("""COMPUTED_VALUE"""),"Ac. Bilaterales (no Erasmus)")</f>
        <v>Ac. Bilaterales (no Erasmus)</v>
      </c>
      <c r="E688" s="2">
        <f>IFERROR(__xludf.DUMMYFUNCTION("""COMPUTED_VALUE"""),2.0)</f>
        <v>2</v>
      </c>
      <c r="F688" s="2" t="str">
        <f>IFERROR(__xludf.DUMMYFUNCTION("""COMPUTED_VALUE"""),"Semestre")</f>
        <v>Semestre</v>
      </c>
      <c r="G688" s="2" t="str">
        <f>IFERROR(__xludf.DUMMYFUNCTION("""COMPUTED_VALUE"""),"Bilbao")</f>
        <v>Bilbao</v>
      </c>
      <c r="H688" s="2" t="str">
        <f>IFERROR(__xludf.DUMMYFUNCTION("""COMPUTED_VALUE"""),"Ciencias Sociales y Humanas")</f>
        <v>Ciencias Sociales y Humanas</v>
      </c>
      <c r="I688" s="2" t="str">
        <f>IFERROR(__xludf.DUMMYFUNCTION("""COMPUTED_VALUE"""),"Turismo")</f>
        <v>Turismo</v>
      </c>
      <c r="J688" s="2" t="str">
        <f>IFERROR(__xludf.DUMMYFUNCTION("""COMPUTED_VALUE"""),"Grado")</f>
        <v>Grado</v>
      </c>
      <c r="K688" s="2" t="str">
        <f>IFERROR(__xludf.DUMMYFUNCTION("""COMPUTED_VALUE"""),"Español")</f>
        <v>Español</v>
      </c>
      <c r="L688" s="2" t="str">
        <f>IFERROR(__xludf.DUMMYFUNCTION("""COMPUTED_VALUE"""),"n/a")</f>
        <v>n/a</v>
      </c>
      <c r="M688" s="2" t="str">
        <f>IFERROR(__xludf.DUMMYFUNCTION("""COMPUTED_VALUE"""),"No")</f>
        <v>No</v>
      </c>
      <c r="N688" s="2" t="str">
        <f>IFERROR(__xludf.DUMMYFUNCTION("""COMPUTED_VALUE"""),"n/a")</f>
        <v>n/a</v>
      </c>
      <c r="O688" s="3" t="str">
        <f>IFERROR(__xludf.DUMMYFUNCTION("""COMPUTED_VALUE"""),"Más información / Informazio gehigarria")</f>
        <v>Más información / Informazio gehigarria</v>
      </c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30.0" customHeight="1">
      <c r="A689" s="2" t="str">
        <f>IFERROR(__xludf.DUMMYFUNCTION("""COMPUTED_VALUE"""),"Perú")</f>
        <v>Perú</v>
      </c>
      <c r="B689" s="2" t="str">
        <f>IFERROR(__xludf.DUMMYFUNCTION("""COMPUTED_VALUE"""),"PE LIMA05")</f>
        <v>PE LIMA05</v>
      </c>
      <c r="C689" s="3" t="str">
        <f>IFERROR(__xludf.DUMMYFUNCTION("""COMPUTED_VALUE"""),"Universidad Nacional Mayor de San Marcos")</f>
        <v>Universidad Nacional Mayor de San Marcos</v>
      </c>
      <c r="D689" s="2" t="str">
        <f>IFERROR(__xludf.DUMMYFUNCTION("""COMPUTED_VALUE"""),"Ac. Bilaterales (no Erasmus)")</f>
        <v>Ac. Bilaterales (no Erasmus)</v>
      </c>
      <c r="E689" s="2">
        <f>IFERROR(__xludf.DUMMYFUNCTION("""COMPUTED_VALUE"""),3.0)</f>
        <v>3</v>
      </c>
      <c r="F689" s="2" t="str">
        <f>IFERROR(__xludf.DUMMYFUNCTION("""COMPUTED_VALUE"""),"Semestre")</f>
        <v>Semestre</v>
      </c>
      <c r="G689" s="2" t="str">
        <f>IFERROR(__xludf.DUMMYFUNCTION("""COMPUTED_VALUE"""),"Bilbao")</f>
        <v>Bilbao</v>
      </c>
      <c r="H689" s="2" t="str">
        <f>IFERROR(__xludf.DUMMYFUNCTION("""COMPUTED_VALUE"""),"Educación y Deporte")</f>
        <v>Educación y Deporte</v>
      </c>
      <c r="I689" s="2" t="str">
        <f>IFERROR(__xludf.DUMMYFUNCTION("""COMPUTED_VALUE"""),"CAFyD")</f>
        <v>CAFyD</v>
      </c>
      <c r="J689" s="2" t="str">
        <f>IFERROR(__xludf.DUMMYFUNCTION("""COMPUTED_VALUE"""),"Grado")</f>
        <v>Grado</v>
      </c>
      <c r="K689" s="2" t="str">
        <f>IFERROR(__xludf.DUMMYFUNCTION("""COMPUTED_VALUE"""),"Español")</f>
        <v>Español</v>
      </c>
      <c r="L689" s="2" t="str">
        <f>IFERROR(__xludf.DUMMYFUNCTION("""COMPUTED_VALUE"""),"n/a")</f>
        <v>n/a</v>
      </c>
      <c r="M689" s="2" t="str">
        <f>IFERROR(__xludf.DUMMYFUNCTION("""COMPUTED_VALUE"""),"No")</f>
        <v>No</v>
      </c>
      <c r="N689" s="2" t="str">
        <f>IFERROR(__xludf.DUMMYFUNCTION("""COMPUTED_VALUE"""),"n/a")</f>
        <v>n/a</v>
      </c>
      <c r="O689" s="3" t="str">
        <f>IFERROR(__xludf.DUMMYFUNCTION("""COMPUTED_VALUE"""),"Más información / Informazio gehigarria")</f>
        <v>Más información / Informazio gehigarria</v>
      </c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30.0" customHeight="1">
      <c r="A690" s="2" t="str">
        <f>IFERROR(__xludf.DUMMYFUNCTION("""COMPUTED_VALUE"""),"Perú")</f>
        <v>Perú</v>
      </c>
      <c r="B690" s="2" t="str">
        <f>IFERROR(__xludf.DUMMYFUNCTION("""COMPUTED_VALUE"""),"PE LIMA05")</f>
        <v>PE LIMA05</v>
      </c>
      <c r="C690" s="3" t="str">
        <f>IFERROR(__xludf.DUMMYFUNCTION("""COMPUTED_VALUE"""),"Universidad Nacional Mayor de San Marcos")</f>
        <v>Universidad Nacional Mayor de San Marcos</v>
      </c>
      <c r="D690" s="2" t="str">
        <f>IFERROR(__xludf.DUMMYFUNCTION("""COMPUTED_VALUE"""),"Ac. Bilaterales (no Erasmus)")</f>
        <v>Ac. Bilaterales (no Erasmus)</v>
      </c>
      <c r="E690" s="2">
        <f>IFERROR(__xludf.DUMMYFUNCTION("""COMPUTED_VALUE"""),2.0)</f>
        <v>2</v>
      </c>
      <c r="F690" s="2" t="str">
        <f>IFERROR(__xludf.DUMMYFUNCTION("""COMPUTED_VALUE"""),"Semestre")</f>
        <v>Semestre</v>
      </c>
      <c r="G690" s="2" t="str">
        <f>IFERROR(__xludf.DUMMYFUNCTION("""COMPUTED_VALUE"""),"Bilbao")</f>
        <v>Bilbao</v>
      </c>
      <c r="H690" s="2" t="str">
        <f>IFERROR(__xludf.DUMMYFUNCTION("""COMPUTED_VALUE"""),"Derecho")</f>
        <v>Derecho</v>
      </c>
      <c r="I690" s="2" t="str">
        <f>IFERROR(__xludf.DUMMYFUNCTION("""COMPUTED_VALUE"""),"Derecho, Derecho + Relaciones Laborales")</f>
        <v>Derecho, Derecho + Relaciones Laborales</v>
      </c>
      <c r="J690" s="2" t="str">
        <f>IFERROR(__xludf.DUMMYFUNCTION("""COMPUTED_VALUE"""),"Grado")</f>
        <v>Grado</v>
      </c>
      <c r="K690" s="2" t="str">
        <f>IFERROR(__xludf.DUMMYFUNCTION("""COMPUTED_VALUE"""),"Español")</f>
        <v>Español</v>
      </c>
      <c r="L690" s="2" t="str">
        <f>IFERROR(__xludf.DUMMYFUNCTION("""COMPUTED_VALUE"""),"n/a")</f>
        <v>n/a</v>
      </c>
      <c r="M690" s="2" t="str">
        <f>IFERROR(__xludf.DUMMYFUNCTION("""COMPUTED_VALUE"""),"No")</f>
        <v>No</v>
      </c>
      <c r="N690" s="3" t="str">
        <f>IFERROR(__xludf.DUMMYFUNCTION("""COMPUTED_VALUE"""),"https://unmsm.edu.pe/movilidad-y-cooperacion/movilidad-academica")</f>
        <v>https://unmsm.edu.pe/movilidad-y-cooperacion/movilidad-academica</v>
      </c>
      <c r="O690" s="3" t="str">
        <f>IFERROR(__xludf.DUMMYFUNCTION("""COMPUTED_VALUE"""),"Más información / Informazio gehigarria")</f>
        <v>Más información / Informazio gehigarria</v>
      </c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30.0" customHeight="1">
      <c r="A691" s="2" t="str">
        <f>IFERROR(__xludf.DUMMYFUNCTION("""COMPUTED_VALUE"""),"Perú")</f>
        <v>Perú</v>
      </c>
      <c r="B691" s="2" t="str">
        <f>IFERROR(__xludf.DUMMYFUNCTION("""COMPUTED_VALUE"""),"PE LIMA05")</f>
        <v>PE LIMA05</v>
      </c>
      <c r="C691" s="3" t="str">
        <f>IFERROR(__xludf.DUMMYFUNCTION("""COMPUTED_VALUE"""),"Universidad Nacional Mayor de San Marcos")</f>
        <v>Universidad Nacional Mayor de San Marcos</v>
      </c>
      <c r="D691" s="2" t="str">
        <f>IFERROR(__xludf.DUMMYFUNCTION("""COMPUTED_VALUE"""),"Ac. Bilaterales (no Erasmus)")</f>
        <v>Ac. Bilaterales (no Erasmus)</v>
      </c>
      <c r="E691" s="2">
        <f>IFERROR(__xludf.DUMMYFUNCTION("""COMPUTED_VALUE"""),2.0)</f>
        <v>2</v>
      </c>
      <c r="F691" s="2" t="str">
        <f>IFERROR(__xludf.DUMMYFUNCTION("""COMPUTED_VALUE"""),"Semestre")</f>
        <v>Semestre</v>
      </c>
      <c r="G691" s="2" t="str">
        <f>IFERROR(__xludf.DUMMYFUNCTION("""COMPUTED_VALUE"""),"Ambos")</f>
        <v>Ambos</v>
      </c>
      <c r="H691" s="2" t="str">
        <f>IFERROR(__xludf.DUMMYFUNCTION("""COMPUTED_VALUE"""),"Ciencias Sociales y Humanas")</f>
        <v>Ciencias Sociales y Humanas</v>
      </c>
      <c r="I691" s="2" t="str">
        <f>IFERROR(__xludf.DUMMYFUNCTION("""COMPUTED_VALUE"""),"Trabajo Social")</f>
        <v>Trabajo Social</v>
      </c>
      <c r="J691" s="2" t="str">
        <f>IFERROR(__xludf.DUMMYFUNCTION("""COMPUTED_VALUE"""),"Grado")</f>
        <v>Grado</v>
      </c>
      <c r="K691" s="2" t="str">
        <f>IFERROR(__xludf.DUMMYFUNCTION("""COMPUTED_VALUE"""),"Español")</f>
        <v>Español</v>
      </c>
      <c r="L691" s="2" t="str">
        <f>IFERROR(__xludf.DUMMYFUNCTION("""COMPUTED_VALUE"""),"n/a")</f>
        <v>n/a</v>
      </c>
      <c r="M691" s="2" t="str">
        <f>IFERROR(__xludf.DUMMYFUNCTION("""COMPUTED_VALUE"""),"No")</f>
        <v>No</v>
      </c>
      <c r="N691" s="3" t="str">
        <f>IFERROR(__xludf.DUMMYFUNCTION("""COMPUTED_VALUE"""),"https://unmsm.edu.pe/movilidad-y-cooperacion/movilidad-academica")</f>
        <v>https://unmsm.edu.pe/movilidad-y-cooperacion/movilidad-academica</v>
      </c>
      <c r="O691" s="3" t="str">
        <f>IFERROR(__xludf.DUMMYFUNCTION("""COMPUTED_VALUE"""),"Más información / Informazio gehigarria")</f>
        <v>Más información / Informazio gehigarria</v>
      </c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30.0" customHeight="1">
      <c r="A692" s="2" t="str">
        <f>IFERROR(__xludf.DUMMYFUNCTION("""COMPUTED_VALUE"""),"Perú")</f>
        <v>Perú</v>
      </c>
      <c r="B692" s="2" t="str">
        <f>IFERROR(__xludf.DUMMYFUNCTION("""COMPUTED_VALUE"""),"PE LIMA05")</f>
        <v>PE LIMA05</v>
      </c>
      <c r="C692" s="3" t="str">
        <f>IFERROR(__xludf.DUMMYFUNCTION("""COMPUTED_VALUE"""),"Universidad Nacional Mayor de San Marcos")</f>
        <v>Universidad Nacional Mayor de San Marcos</v>
      </c>
      <c r="D692" s="2" t="str">
        <f>IFERROR(__xludf.DUMMYFUNCTION("""COMPUTED_VALUE"""),"Ac. Bilaterales (no Erasmus)")</f>
        <v>Ac. Bilaterales (no Erasmus)</v>
      </c>
      <c r="E692" s="2">
        <f>IFERROR(__xludf.DUMMYFUNCTION("""COMPUTED_VALUE"""),2.0)</f>
        <v>2</v>
      </c>
      <c r="F692" s="2" t="str">
        <f>IFERROR(__xludf.DUMMYFUNCTION("""COMPUTED_VALUE"""),"Anual")</f>
        <v>Anual</v>
      </c>
      <c r="G692" s="2" t="str">
        <f>IFERROR(__xludf.DUMMYFUNCTION("""COMPUTED_VALUE"""),"Bilbao")</f>
        <v>Bilbao</v>
      </c>
      <c r="H692" s="2" t="str">
        <f>IFERROR(__xludf.DUMMYFUNCTION("""COMPUTED_VALUE"""),"Ciencias Sociales y Humanas")</f>
        <v>Ciencias Sociales y Humanas</v>
      </c>
      <c r="I692" s="2" t="str">
        <f>IFERROR(__xludf.DUMMYFUNCTION("""COMPUTED_VALUE"""),"Relaciones Internacionales, Relaciones Internacionales + Derecho")</f>
        <v>Relaciones Internacionales, Relaciones Internacionales + Derecho</v>
      </c>
      <c r="J692" s="2" t="str">
        <f>IFERROR(__xludf.DUMMYFUNCTION("""COMPUTED_VALUE"""),"Grado")</f>
        <v>Grado</v>
      </c>
      <c r="K692" s="2" t="str">
        <f>IFERROR(__xludf.DUMMYFUNCTION("""COMPUTED_VALUE"""),"Español")</f>
        <v>Español</v>
      </c>
      <c r="L692" s="2" t="str">
        <f>IFERROR(__xludf.DUMMYFUNCTION("""COMPUTED_VALUE"""),"n/a")</f>
        <v>n/a</v>
      </c>
      <c r="M692" s="2" t="str">
        <f>IFERROR(__xludf.DUMMYFUNCTION("""COMPUTED_VALUE"""),"No")</f>
        <v>No</v>
      </c>
      <c r="N692" s="2" t="str">
        <f>IFERROR(__xludf.DUMMYFUNCTION("""COMPUTED_VALUE"""),"n/a")</f>
        <v>n/a</v>
      </c>
      <c r="O692" s="3" t="str">
        <f>IFERROR(__xludf.DUMMYFUNCTION("""COMPUTED_VALUE"""),"Más información / Informazio gehigarria")</f>
        <v>Más información / Informazio gehigarria</v>
      </c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30.0" customHeight="1">
      <c r="A693" s="2" t="str">
        <f>IFERROR(__xludf.DUMMYFUNCTION("""COMPUTED_VALUE"""),"Perú")</f>
        <v>Perú</v>
      </c>
      <c r="B693" s="2" t="str">
        <f>IFERROR(__xludf.DUMMYFUNCTION("""COMPUTED_VALUE"""),"PE LIMA05")</f>
        <v>PE LIMA05</v>
      </c>
      <c r="C693" s="3" t="str">
        <f>IFERROR(__xludf.DUMMYFUNCTION("""COMPUTED_VALUE"""),"Universidad Nacional Mayor de San Marcos")</f>
        <v>Universidad Nacional Mayor de San Marcos</v>
      </c>
      <c r="D693" s="2" t="str">
        <f>IFERROR(__xludf.DUMMYFUNCTION("""COMPUTED_VALUE"""),"Ac. Bilaterales (no Erasmus)")</f>
        <v>Ac. Bilaterales (no Erasmus)</v>
      </c>
      <c r="E693" s="2">
        <f>IFERROR(__xludf.DUMMYFUNCTION("""COMPUTED_VALUE"""),1.0)</f>
        <v>1</v>
      </c>
      <c r="F693" s="2" t="str">
        <f>IFERROR(__xludf.DUMMYFUNCTION("""COMPUTED_VALUE"""),"Anual")</f>
        <v>Anual</v>
      </c>
      <c r="G693" s="2" t="str">
        <f>IFERROR(__xludf.DUMMYFUNCTION("""COMPUTED_VALUE"""),"Bilbao")</f>
        <v>Bilbao</v>
      </c>
      <c r="H693" s="2" t="str">
        <f>IFERROR(__xludf.DUMMYFUNCTION("""COMPUTED_VALUE"""),"Ciencias de la Salud")</f>
        <v>Ciencias de la Salud</v>
      </c>
      <c r="I693" s="2" t="str">
        <f>IFERROR(__xludf.DUMMYFUNCTION("""COMPUTED_VALUE"""),"Psicología")</f>
        <v>Psicología</v>
      </c>
      <c r="J693" s="2" t="str">
        <f>IFERROR(__xludf.DUMMYFUNCTION("""COMPUTED_VALUE"""),"Grado")</f>
        <v>Grado</v>
      </c>
      <c r="K693" s="2" t="str">
        <f>IFERROR(__xludf.DUMMYFUNCTION("""COMPUTED_VALUE"""),"Español")</f>
        <v>Español</v>
      </c>
      <c r="L693" s="2" t="str">
        <f>IFERROR(__xludf.DUMMYFUNCTION("""COMPUTED_VALUE"""),"n/a")</f>
        <v>n/a</v>
      </c>
      <c r="M693" s="2" t="str">
        <f>IFERROR(__xludf.DUMMYFUNCTION("""COMPUTED_VALUE"""),"No")</f>
        <v>No</v>
      </c>
      <c r="N693" s="2" t="str">
        <f>IFERROR(__xludf.DUMMYFUNCTION("""COMPUTED_VALUE"""),"n/a")</f>
        <v>n/a</v>
      </c>
      <c r="O693" s="3" t="str">
        <f>IFERROR(__xludf.DUMMYFUNCTION("""COMPUTED_VALUE"""),"Más información / Informazio gehigarria")</f>
        <v>Más información / Informazio gehigarria</v>
      </c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30.0" customHeight="1">
      <c r="A694" s="2" t="str">
        <f>IFERROR(__xludf.DUMMYFUNCTION("""COMPUTED_VALUE"""),"Perú")</f>
        <v>Perú</v>
      </c>
      <c r="B694" s="2"/>
      <c r="C694" s="3" t="str">
        <f>IFERROR(__xludf.DUMMYFUNCTION("""COMPUTED_VALUE"""),"Universidad Tecnológica de Perú")</f>
        <v>Universidad Tecnológica de Perú</v>
      </c>
      <c r="D694" s="2" t="str">
        <f>IFERROR(__xludf.DUMMYFUNCTION("""COMPUTED_VALUE"""),"Ac. Bilaterales (no Erasmus)")</f>
        <v>Ac. Bilaterales (no Erasmus)</v>
      </c>
      <c r="E694" s="2">
        <f>IFERROR(__xludf.DUMMYFUNCTION("""COMPUTED_VALUE"""),2.0)</f>
        <v>2</v>
      </c>
      <c r="F694" s="2" t="str">
        <f>IFERROR(__xludf.DUMMYFUNCTION("""COMPUTED_VALUE"""),"Semestre")</f>
        <v>Semestre</v>
      </c>
      <c r="G694" s="2" t="str">
        <f>IFERROR(__xludf.DUMMYFUNCTION("""COMPUTED_VALUE"""),"San Sebastián")</f>
        <v>San Sebastián</v>
      </c>
      <c r="H694" s="2" t="str">
        <f>IFERROR(__xludf.DUMMYFUNCTION("""COMPUTED_VALUE"""),"Ciencias de la Salud")</f>
        <v>Ciencias de la Salud</v>
      </c>
      <c r="I694" s="2" t="str">
        <f>IFERROR(__xludf.DUMMYFUNCTION("""COMPUTED_VALUE"""),"Fisioterapia")</f>
        <v>Fisioterapia</v>
      </c>
      <c r="J694" s="2" t="str">
        <f>IFERROR(__xludf.DUMMYFUNCTION("""COMPUTED_VALUE"""),"Grado")</f>
        <v>Grado</v>
      </c>
      <c r="K694" s="2" t="str">
        <f>IFERROR(__xludf.DUMMYFUNCTION("""COMPUTED_VALUE"""),"Español")</f>
        <v>Español</v>
      </c>
      <c r="L694" s="2" t="str">
        <f>IFERROR(__xludf.DUMMYFUNCTION("""COMPUTED_VALUE"""),"n/a")</f>
        <v>n/a</v>
      </c>
      <c r="M694" s="2" t="str">
        <f>IFERROR(__xludf.DUMMYFUNCTION("""COMPUTED_VALUE"""),"No")</f>
        <v>No</v>
      </c>
      <c r="N694" s="3" t="str">
        <f>IFERROR(__xludf.DUMMYFUNCTION("""COMPUTED_VALUE"""),"https://info.utp.edu.pe/articulo/KA-01903")</f>
        <v>https://info.utp.edu.pe/articulo/KA-01903</v>
      </c>
      <c r="O694" s="3" t="str">
        <f>IFERROR(__xludf.DUMMYFUNCTION("""COMPUTED_VALUE"""),"Más información / Informazio gehigarria")</f>
        <v>Más información / Informazio gehigarria</v>
      </c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30.0" customHeight="1">
      <c r="A695" s="2" t="str">
        <f>IFERROR(__xludf.DUMMYFUNCTION("""COMPUTED_VALUE"""),"Perú")</f>
        <v>Perú</v>
      </c>
      <c r="B695" s="2"/>
      <c r="C695" s="3" t="str">
        <f>IFERROR(__xludf.DUMMYFUNCTION("""COMPUTED_VALUE"""),"Universidad Católica de Santa María")</f>
        <v>Universidad Católica de Santa María</v>
      </c>
      <c r="D695" s="2" t="str">
        <f>IFERROR(__xludf.DUMMYFUNCTION("""COMPUTED_VALUE"""),"Ac. Bilaterales (no Erasmus)")</f>
        <v>Ac. Bilaterales (no Erasmus)</v>
      </c>
      <c r="E695" s="2">
        <f>IFERROR(__xludf.DUMMYFUNCTION("""COMPUTED_VALUE"""),2.0)</f>
        <v>2</v>
      </c>
      <c r="F695" s="2" t="str">
        <f>IFERROR(__xludf.DUMMYFUNCTION("""COMPUTED_VALUE"""),"Semestre")</f>
        <v>Semestre</v>
      </c>
      <c r="G695" s="2" t="str">
        <f>IFERROR(__xludf.DUMMYFUNCTION("""COMPUTED_VALUE"""),"Bilbao")</f>
        <v>Bilbao</v>
      </c>
      <c r="H695" s="2" t="str">
        <f>IFERROR(__xludf.DUMMYFUNCTION("""COMPUTED_VALUE"""),"Derecho")</f>
        <v>Derecho</v>
      </c>
      <c r="I695" s="2" t="str">
        <f>IFERROR(__xludf.DUMMYFUNCTION("""COMPUTED_VALUE"""),"Derecho, Derecho + Relaciones Laborales")</f>
        <v>Derecho, Derecho + Relaciones Laborales</v>
      </c>
      <c r="J695" s="2" t="str">
        <f>IFERROR(__xludf.DUMMYFUNCTION("""COMPUTED_VALUE"""),"Grado")</f>
        <v>Grado</v>
      </c>
      <c r="K695" s="2" t="str">
        <f>IFERROR(__xludf.DUMMYFUNCTION("""COMPUTED_VALUE"""),"Español")</f>
        <v>Español</v>
      </c>
      <c r="L695" s="2" t="str">
        <f>IFERROR(__xludf.DUMMYFUNCTION("""COMPUTED_VALUE"""),"n/a")</f>
        <v>n/a</v>
      </c>
      <c r="M695" s="2" t="str">
        <f>IFERROR(__xludf.DUMMYFUNCTION("""COMPUTED_VALUE"""),"No")</f>
        <v>No</v>
      </c>
      <c r="N695" s="3" t="str">
        <f>IFERROR(__xludf.DUMMYFUNCTION("""COMPUTED_VALUE"""),"https://internacional.ucsm.edu.pe/internacional/")</f>
        <v>https://internacional.ucsm.edu.pe/internacional/</v>
      </c>
      <c r="O695" s="3" t="str">
        <f>IFERROR(__xludf.DUMMYFUNCTION("""COMPUTED_VALUE"""),"Más información / Informazio gehigarria")</f>
        <v>Más información / Informazio gehigarria</v>
      </c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30.0" customHeight="1">
      <c r="A696" s="2" t="str">
        <f>IFERROR(__xludf.DUMMYFUNCTION("""COMPUTED_VALUE"""),"Perú")</f>
        <v>Perú</v>
      </c>
      <c r="B696" s="2"/>
      <c r="C696" s="3" t="str">
        <f>IFERROR(__xludf.DUMMYFUNCTION("""COMPUTED_VALUE"""),"Universidad Católica de Santa María")</f>
        <v>Universidad Católica de Santa María</v>
      </c>
      <c r="D696" s="2" t="str">
        <f>IFERROR(__xludf.DUMMYFUNCTION("""COMPUTED_VALUE"""),"Ac. Bilaterales (no Erasmus)")</f>
        <v>Ac. Bilaterales (no Erasmus)</v>
      </c>
      <c r="E696" s="2">
        <f>IFERROR(__xludf.DUMMYFUNCTION("""COMPUTED_VALUE"""),2.0)</f>
        <v>2</v>
      </c>
      <c r="F696" s="2" t="str">
        <f>IFERROR(__xludf.DUMMYFUNCTION("""COMPUTED_VALUE"""),"Semestre")</f>
        <v>Semestre</v>
      </c>
      <c r="G696" s="2" t="str">
        <f>IFERROR(__xludf.DUMMYFUNCTION("""COMPUTED_VALUE"""),"Ambos")</f>
        <v>Ambos</v>
      </c>
      <c r="H696" s="2" t="str">
        <f>IFERROR(__xludf.DUMMYFUNCTION("""COMPUTED_VALUE"""),"Educación y Deporte")</f>
        <v>Educación y Deporte</v>
      </c>
      <c r="I696" s="2" t="str">
        <f>IFERROR(__xludf.DUMMYFUNCTION("""COMPUTED_VALUE"""),"Educación Primaria")</f>
        <v>Educación Primaria</v>
      </c>
      <c r="J696" s="2" t="str">
        <f>IFERROR(__xludf.DUMMYFUNCTION("""COMPUTED_VALUE"""),"Grado")</f>
        <v>Grado</v>
      </c>
      <c r="K696" s="2" t="str">
        <f>IFERROR(__xludf.DUMMYFUNCTION("""COMPUTED_VALUE"""),"Español")</f>
        <v>Español</v>
      </c>
      <c r="L696" s="2" t="str">
        <f>IFERROR(__xludf.DUMMYFUNCTION("""COMPUTED_VALUE"""),"n/a")</f>
        <v>n/a</v>
      </c>
      <c r="M696" s="2" t="str">
        <f>IFERROR(__xludf.DUMMYFUNCTION("""COMPUTED_VALUE"""),"No")</f>
        <v>No</v>
      </c>
      <c r="N696" s="3" t="str">
        <f>IFERROR(__xludf.DUMMYFUNCTION("""COMPUTED_VALUE"""),"https://internacional.ucsm.edu.pe/internacional/")</f>
        <v>https://internacional.ucsm.edu.pe/internacional/</v>
      </c>
      <c r="O696" s="3" t="str">
        <f>IFERROR(__xludf.DUMMYFUNCTION("""COMPUTED_VALUE"""),"Más información / Informazio gehigarria")</f>
        <v>Más información / Informazio gehigarria</v>
      </c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30.0" customHeight="1">
      <c r="A697" s="2" t="str">
        <f>IFERROR(__xludf.DUMMYFUNCTION("""COMPUTED_VALUE"""),"Perú")</f>
        <v>Perú</v>
      </c>
      <c r="B697" s="2"/>
      <c r="C697" s="3" t="str">
        <f>IFERROR(__xludf.DUMMYFUNCTION("""COMPUTED_VALUE"""),"Universidad Católica de Santa María")</f>
        <v>Universidad Católica de Santa María</v>
      </c>
      <c r="D697" s="2" t="str">
        <f>IFERROR(__xludf.DUMMYFUNCTION("""COMPUTED_VALUE"""),"Ac. Bilaterales (no Erasmus)")</f>
        <v>Ac. Bilaterales (no Erasmus)</v>
      </c>
      <c r="E697" s="2">
        <f>IFERROR(__xludf.DUMMYFUNCTION("""COMPUTED_VALUE"""),2.0)</f>
        <v>2</v>
      </c>
      <c r="F697" s="2" t="str">
        <f>IFERROR(__xludf.DUMMYFUNCTION("""COMPUTED_VALUE"""),"Semestre")</f>
        <v>Semestre</v>
      </c>
      <c r="G697" s="2" t="str">
        <f>IFERROR(__xludf.DUMMYFUNCTION("""COMPUTED_VALUE"""),"Bilbao")</f>
        <v>Bilbao</v>
      </c>
      <c r="H697" s="2" t="str">
        <f>IFERROR(__xludf.DUMMYFUNCTION("""COMPUTED_VALUE"""),"Ingeniería")</f>
        <v>Ingeniería</v>
      </c>
      <c r="I697" s="2" t="str">
        <f>IFERROR(__xludf.DUMMYFUNCTION("""COMPUTED_VALUE"""),"Ingeniería Biomédica")</f>
        <v>Ingeniería Biomédica</v>
      </c>
      <c r="J697" s="2" t="str">
        <f>IFERROR(__xludf.DUMMYFUNCTION("""COMPUTED_VALUE"""),"Grado")</f>
        <v>Grado</v>
      </c>
      <c r="K697" s="2" t="str">
        <f>IFERROR(__xludf.DUMMYFUNCTION("""COMPUTED_VALUE"""),"Español")</f>
        <v>Español</v>
      </c>
      <c r="L697" s="2" t="str">
        <f>IFERROR(__xludf.DUMMYFUNCTION("""COMPUTED_VALUE"""),"n/a")</f>
        <v>n/a</v>
      </c>
      <c r="M697" s="2" t="str">
        <f>IFERROR(__xludf.DUMMYFUNCTION("""COMPUTED_VALUE"""),"No")</f>
        <v>No</v>
      </c>
      <c r="N697" s="3" t="str">
        <f>IFERROR(__xludf.DUMMYFUNCTION("""COMPUTED_VALUE"""),"https://internacional.ucsm.edu.pe/internacional/")</f>
        <v>https://internacional.ucsm.edu.pe/internacional/</v>
      </c>
      <c r="O697" s="3" t="str">
        <f>IFERROR(__xludf.DUMMYFUNCTION("""COMPUTED_VALUE"""),"Más información / Informazio gehigarria")</f>
        <v>Más información / Informazio gehigarria</v>
      </c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30.0" customHeight="1">
      <c r="A698" s="2" t="str">
        <f>IFERROR(__xludf.DUMMYFUNCTION("""COMPUTED_VALUE"""),"Perú")</f>
        <v>Perú</v>
      </c>
      <c r="B698" s="2"/>
      <c r="C698" s="3" t="str">
        <f>IFERROR(__xludf.DUMMYFUNCTION("""COMPUTED_VALUE"""),"Universidad Católica de Santa María")</f>
        <v>Universidad Católica de Santa María</v>
      </c>
      <c r="D698" s="2" t="str">
        <f>IFERROR(__xludf.DUMMYFUNCTION("""COMPUTED_VALUE"""),"Ac. Bilaterales (no Erasmus)")</f>
        <v>Ac. Bilaterales (no Erasmus)</v>
      </c>
      <c r="E698" s="2">
        <f>IFERROR(__xludf.DUMMYFUNCTION("""COMPUTED_VALUE"""),2.0)</f>
        <v>2</v>
      </c>
      <c r="F698" s="2" t="str">
        <f>IFERROR(__xludf.DUMMYFUNCTION("""COMPUTED_VALUE"""),"Semestre")</f>
        <v>Semestre</v>
      </c>
      <c r="G698" s="2" t="str">
        <f>IFERROR(__xludf.DUMMYFUNCTION("""COMPUTED_VALUE"""),"Bilbao")</f>
        <v>Bilbao</v>
      </c>
      <c r="H698" s="2" t="str">
        <f>IFERROR(__xludf.DUMMYFUNCTION("""COMPUTED_VALUE"""),"Ciencias Sociales y Humanas")</f>
        <v>Ciencias Sociales y Humanas</v>
      </c>
      <c r="I698" s="2" t="str">
        <f>IFERROR(__xludf.DUMMYFUNCTION("""COMPUTED_VALUE"""),"Relaciones Internacionales, Relaciones Internacionales + Derecho")</f>
        <v>Relaciones Internacionales, Relaciones Internacionales + Derecho</v>
      </c>
      <c r="J698" s="2" t="str">
        <f>IFERROR(__xludf.DUMMYFUNCTION("""COMPUTED_VALUE"""),"Grado")</f>
        <v>Grado</v>
      </c>
      <c r="K698" s="2" t="str">
        <f>IFERROR(__xludf.DUMMYFUNCTION("""COMPUTED_VALUE"""),"Español")</f>
        <v>Español</v>
      </c>
      <c r="L698" s="2" t="str">
        <f>IFERROR(__xludf.DUMMYFUNCTION("""COMPUTED_VALUE"""),"n/a")</f>
        <v>n/a</v>
      </c>
      <c r="M698" s="2" t="str">
        <f>IFERROR(__xludf.DUMMYFUNCTION("""COMPUTED_VALUE"""),"No")</f>
        <v>No</v>
      </c>
      <c r="N698" s="3" t="str">
        <f>IFERROR(__xludf.DUMMYFUNCTION("""COMPUTED_VALUE"""),"https://internacional.ucsm.edu.pe/internacional/")</f>
        <v>https://internacional.ucsm.edu.pe/internacional/</v>
      </c>
      <c r="O698" s="3" t="str">
        <f>IFERROR(__xludf.DUMMYFUNCTION("""COMPUTED_VALUE"""),"Más información / Informazio gehigarria")</f>
        <v>Más información / Informazio gehigarria</v>
      </c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30.0" customHeight="1">
      <c r="A699" s="2" t="str">
        <f>IFERROR(__xludf.DUMMYFUNCTION("""COMPUTED_VALUE"""),"Perú")</f>
        <v>Perú</v>
      </c>
      <c r="B699" s="2"/>
      <c r="C699" s="3" t="str">
        <f>IFERROR(__xludf.DUMMYFUNCTION("""COMPUTED_VALUE"""),"Universidad Católica de Santa María")</f>
        <v>Universidad Católica de Santa María</v>
      </c>
      <c r="D699" s="2" t="str">
        <f>IFERROR(__xludf.DUMMYFUNCTION("""COMPUTED_VALUE"""),"Ac. Bilaterales (no Erasmus)")</f>
        <v>Ac. Bilaterales (no Erasmus)</v>
      </c>
      <c r="E699" s="2">
        <f>IFERROR(__xludf.DUMMYFUNCTION("""COMPUTED_VALUE"""),2.0)</f>
        <v>2</v>
      </c>
      <c r="F699" s="2" t="str">
        <f>IFERROR(__xludf.DUMMYFUNCTION("""COMPUTED_VALUE"""),"Semestre")</f>
        <v>Semestre</v>
      </c>
      <c r="G699" s="2" t="str">
        <f>IFERROR(__xludf.DUMMYFUNCTION("""COMPUTED_VALUE"""),"Ambos")</f>
        <v>Ambos</v>
      </c>
      <c r="H699" s="2" t="str">
        <f>IFERROR(__xludf.DUMMYFUNCTION("""COMPUTED_VALUE"""),"Ciencias Sociales y Humanas")</f>
        <v>Ciencias Sociales y Humanas</v>
      </c>
      <c r="I699" s="2" t="str">
        <f>IFERROR(__xludf.DUMMYFUNCTION("""COMPUTED_VALUE"""),"Trabajo Social")</f>
        <v>Trabajo Social</v>
      </c>
      <c r="J699" s="2" t="str">
        <f>IFERROR(__xludf.DUMMYFUNCTION("""COMPUTED_VALUE"""),"Grado")</f>
        <v>Grado</v>
      </c>
      <c r="K699" s="2" t="str">
        <f>IFERROR(__xludf.DUMMYFUNCTION("""COMPUTED_VALUE"""),"Español")</f>
        <v>Español</v>
      </c>
      <c r="L699" s="2" t="str">
        <f>IFERROR(__xludf.DUMMYFUNCTION("""COMPUTED_VALUE"""),"n/a")</f>
        <v>n/a</v>
      </c>
      <c r="M699" s="2" t="str">
        <f>IFERROR(__xludf.DUMMYFUNCTION("""COMPUTED_VALUE"""),"No")</f>
        <v>No</v>
      </c>
      <c r="N699" s="3" t="str">
        <f>IFERROR(__xludf.DUMMYFUNCTION("""COMPUTED_VALUE"""),"https://internacional.ucsm.edu.pe/internacional/")</f>
        <v>https://internacional.ucsm.edu.pe/internacional/</v>
      </c>
      <c r="O699" s="3" t="str">
        <f>IFERROR(__xludf.DUMMYFUNCTION("""COMPUTED_VALUE"""),"Más información / Informazio gehigarria")</f>
        <v>Más información / Informazio gehigarria</v>
      </c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30.0" customHeight="1">
      <c r="A700" s="2" t="str">
        <f>IFERROR(__xludf.DUMMYFUNCTION("""COMPUTED_VALUE"""),"Perú")</f>
        <v>Perú</v>
      </c>
      <c r="B700" s="2"/>
      <c r="C700" s="3" t="str">
        <f>IFERROR(__xludf.DUMMYFUNCTION("""COMPUTED_VALUE"""),"Universidad Católica de Santa María")</f>
        <v>Universidad Católica de Santa María</v>
      </c>
      <c r="D700" s="2" t="str">
        <f>IFERROR(__xludf.DUMMYFUNCTION("""COMPUTED_VALUE"""),"Ac. Bilaterales (no Erasmus)")</f>
        <v>Ac. Bilaterales (no Erasmus)</v>
      </c>
      <c r="E700" s="2">
        <f>IFERROR(__xludf.DUMMYFUNCTION("""COMPUTED_VALUE"""),2.0)</f>
        <v>2</v>
      </c>
      <c r="F700" s="2" t="str">
        <f>IFERROR(__xludf.DUMMYFUNCTION("""COMPUTED_VALUE"""),"Semestre")</f>
        <v>Semestre</v>
      </c>
      <c r="G700" s="2" t="str">
        <f>IFERROR(__xludf.DUMMYFUNCTION("""COMPUTED_VALUE"""),"San Sebastián")</f>
        <v>San Sebastián</v>
      </c>
      <c r="H700" s="2" t="str">
        <f>IFERROR(__xludf.DUMMYFUNCTION("""COMPUTED_VALUE"""),"Ciencias Sociales y Humanas")</f>
        <v>Ciencias Sociales y Humanas</v>
      </c>
      <c r="I700" s="2" t="str">
        <f>IFERROR(__xludf.DUMMYFUNCTION("""COMPUTED_VALUE"""),"Comunicación")</f>
        <v>Comunicación</v>
      </c>
      <c r="J700" s="2" t="str">
        <f>IFERROR(__xludf.DUMMYFUNCTION("""COMPUTED_VALUE"""),"Grado")</f>
        <v>Grado</v>
      </c>
      <c r="K700" s="2" t="str">
        <f>IFERROR(__xludf.DUMMYFUNCTION("""COMPUTED_VALUE"""),"Español")</f>
        <v>Español</v>
      </c>
      <c r="L700" s="2" t="str">
        <f>IFERROR(__xludf.DUMMYFUNCTION("""COMPUTED_VALUE"""),"n/a")</f>
        <v>n/a</v>
      </c>
      <c r="M700" s="2" t="str">
        <f>IFERROR(__xludf.DUMMYFUNCTION("""COMPUTED_VALUE"""),"No")</f>
        <v>No</v>
      </c>
      <c r="N700" s="3" t="str">
        <f>IFERROR(__xludf.DUMMYFUNCTION("""COMPUTED_VALUE"""),"https://internacional.ucsm.edu.pe/internacional/")</f>
        <v>https://internacional.ucsm.edu.pe/internacional/</v>
      </c>
      <c r="O700" s="3" t="str">
        <f>IFERROR(__xludf.DUMMYFUNCTION("""COMPUTED_VALUE"""),"Más información / Informazio gehigarria")</f>
        <v>Más información / Informazio gehigarria</v>
      </c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30.0" customHeight="1">
      <c r="A701" s="2" t="str">
        <f>IFERROR(__xludf.DUMMYFUNCTION("""COMPUTED_VALUE"""),"Perú")</f>
        <v>Perú</v>
      </c>
      <c r="B701" s="2"/>
      <c r="C701" s="3" t="str">
        <f>IFERROR(__xludf.DUMMYFUNCTION("""COMPUTED_VALUE"""),"Universidad Autónoma del Perú")</f>
        <v>Universidad Autónoma del Perú</v>
      </c>
      <c r="D701" s="2" t="str">
        <f>IFERROR(__xludf.DUMMYFUNCTION("""COMPUTED_VALUE"""),"Ac. Bilaterales (no Erasmus)")</f>
        <v>Ac. Bilaterales (no Erasmus)</v>
      </c>
      <c r="E701" s="2">
        <f>IFERROR(__xludf.DUMMYFUNCTION("""COMPUTED_VALUE"""),2.0)</f>
        <v>2</v>
      </c>
      <c r="F701" s="2" t="str">
        <f>IFERROR(__xludf.DUMMYFUNCTION("""COMPUTED_VALUE"""),"Semestre")</f>
        <v>Semestre</v>
      </c>
      <c r="G701" s="2" t="str">
        <f>IFERROR(__xludf.DUMMYFUNCTION("""COMPUTED_VALUE"""),"San Sebastián")</f>
        <v>San Sebastián</v>
      </c>
      <c r="H701" s="2" t="str">
        <f>IFERROR(__xludf.DUMMYFUNCTION("""COMPUTED_VALUE"""),"Ciencias Sociales y Humanas")</f>
        <v>Ciencias Sociales y Humanas</v>
      </c>
      <c r="I701" s="2" t="str">
        <f>IFERROR(__xludf.DUMMYFUNCTION("""COMPUTED_VALUE"""),"Comunicación")</f>
        <v>Comunicación</v>
      </c>
      <c r="J701" s="2" t="str">
        <f>IFERROR(__xludf.DUMMYFUNCTION("""COMPUTED_VALUE"""),"Grado")</f>
        <v>Grado</v>
      </c>
      <c r="K701" s="2" t="str">
        <f>IFERROR(__xludf.DUMMYFUNCTION("""COMPUTED_VALUE"""),"Español")</f>
        <v>Español</v>
      </c>
      <c r="L701" s="2" t="str">
        <f>IFERROR(__xludf.DUMMYFUNCTION("""COMPUTED_VALUE"""),"n/a")</f>
        <v>n/a</v>
      </c>
      <c r="M701" s="2" t="str">
        <f>IFERROR(__xludf.DUMMYFUNCTION("""COMPUTED_VALUE"""),"No")</f>
        <v>No</v>
      </c>
      <c r="N701" s="3" t="str">
        <f>IFERROR(__xludf.DUMMYFUNCTION("""COMPUTED_VALUE"""),"https://www.autonoma.pe/internacionalizacion/")</f>
        <v>https://www.autonoma.pe/internacionalizacion/</v>
      </c>
      <c r="O701" s="3" t="str">
        <f>IFERROR(__xludf.DUMMYFUNCTION("""COMPUTED_VALUE"""),"Más información / Informazio gehigarria")</f>
        <v>Más información / Informazio gehigarria</v>
      </c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30.0" customHeight="1">
      <c r="A702" s="2" t="str">
        <f>IFERROR(__xludf.DUMMYFUNCTION("""COMPUTED_VALUE"""),"Perú")</f>
        <v>Perú</v>
      </c>
      <c r="B702" s="2"/>
      <c r="C702" s="3" t="str">
        <f>IFERROR(__xludf.DUMMYFUNCTION("""COMPUTED_VALUE"""),"Universidad Autónoma del Perú")</f>
        <v>Universidad Autónoma del Perú</v>
      </c>
      <c r="D702" s="2" t="str">
        <f>IFERROR(__xludf.DUMMYFUNCTION("""COMPUTED_VALUE"""),"Ac. Bilaterales (no Erasmus)")</f>
        <v>Ac. Bilaterales (no Erasmus)</v>
      </c>
      <c r="E702" s="2">
        <f>IFERROR(__xludf.DUMMYFUNCTION("""COMPUTED_VALUE"""),2.0)</f>
        <v>2</v>
      </c>
      <c r="F702" s="2" t="str">
        <f>IFERROR(__xludf.DUMMYFUNCTION("""COMPUTED_VALUE"""),"Anual")</f>
        <v>Anual</v>
      </c>
      <c r="G702" s="2" t="str">
        <f>IFERROR(__xludf.DUMMYFUNCTION("""COMPUTED_VALUE"""),"Bilbao")</f>
        <v>Bilbao</v>
      </c>
      <c r="H702" s="2" t="str">
        <f>IFERROR(__xludf.DUMMYFUNCTION("""COMPUTED_VALUE"""),"Ciencias de la Salud")</f>
        <v>Ciencias de la Salud</v>
      </c>
      <c r="I702" s="2" t="str">
        <f>IFERROR(__xludf.DUMMYFUNCTION("""COMPUTED_VALUE"""),"Psicología")</f>
        <v>Psicología</v>
      </c>
      <c r="J702" s="2" t="str">
        <f>IFERROR(__xludf.DUMMYFUNCTION("""COMPUTED_VALUE"""),"Grado")</f>
        <v>Grado</v>
      </c>
      <c r="K702" s="2" t="str">
        <f>IFERROR(__xludf.DUMMYFUNCTION("""COMPUTED_VALUE"""),"Español")</f>
        <v>Español</v>
      </c>
      <c r="L702" s="2" t="str">
        <f>IFERROR(__xludf.DUMMYFUNCTION("""COMPUTED_VALUE"""),"n/a")</f>
        <v>n/a</v>
      </c>
      <c r="M702" s="2" t="str">
        <f>IFERROR(__xludf.DUMMYFUNCTION("""COMPUTED_VALUE"""),"No")</f>
        <v>No</v>
      </c>
      <c r="N702" s="2" t="str">
        <f>IFERROR(__xludf.DUMMYFUNCTION("""COMPUTED_VALUE"""),"n/a")</f>
        <v>n/a</v>
      </c>
      <c r="O702" s="3" t="str">
        <f>IFERROR(__xludf.DUMMYFUNCTION("""COMPUTED_VALUE"""),"Más información / Informazio gehigarria")</f>
        <v>Más información / Informazio gehigarria</v>
      </c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30.0" customHeight="1">
      <c r="A703" s="2" t="str">
        <f>IFERROR(__xludf.DUMMYFUNCTION("""COMPUTED_VALUE"""),"Perú")</f>
        <v>Perú</v>
      </c>
      <c r="B703" s="2"/>
      <c r="C703" s="3" t="str">
        <f>IFERROR(__xludf.DUMMYFUNCTION("""COMPUTED_VALUE"""),"Universidad Autónoma del Perú")</f>
        <v>Universidad Autónoma del Perú</v>
      </c>
      <c r="D703" s="2" t="str">
        <f>IFERROR(__xludf.DUMMYFUNCTION("""COMPUTED_VALUE"""),"Ac. Bilaterales (no Erasmus)")</f>
        <v>Ac. Bilaterales (no Erasmus)</v>
      </c>
      <c r="E703" s="2">
        <f>IFERROR(__xludf.DUMMYFUNCTION("""COMPUTED_VALUE"""),2.0)</f>
        <v>2</v>
      </c>
      <c r="F703" s="2" t="str">
        <f>IFERROR(__xludf.DUMMYFUNCTION("""COMPUTED_VALUE"""),"Semestre")</f>
        <v>Semestre</v>
      </c>
      <c r="G703" s="2" t="str">
        <f>IFERROR(__xludf.DUMMYFUNCTION("""COMPUTED_VALUE"""),"Ambos")</f>
        <v>Ambos</v>
      </c>
      <c r="H703" s="2" t="str">
        <f>IFERROR(__xludf.DUMMYFUNCTION("""COMPUTED_VALUE"""),"Ingeniería")</f>
        <v>Ingeniería</v>
      </c>
      <c r="I703" s="2" t="str">
        <f>IFERROR(__xludf.DUMMYFUNCTION("""COMPUTED_VALUE"""),"Informática, Mecánica, Ciencias de Datos e IA")</f>
        <v>Informática, Mecánica, Ciencias de Datos e IA</v>
      </c>
      <c r="J703" s="2" t="str">
        <f>IFERROR(__xludf.DUMMYFUNCTION("""COMPUTED_VALUE"""),"Grado")</f>
        <v>Grado</v>
      </c>
      <c r="K703" s="2" t="str">
        <f>IFERROR(__xludf.DUMMYFUNCTION("""COMPUTED_VALUE"""),"Español")</f>
        <v>Español</v>
      </c>
      <c r="L703" s="2" t="str">
        <f>IFERROR(__xludf.DUMMYFUNCTION("""COMPUTED_VALUE"""),"n/a")</f>
        <v>n/a</v>
      </c>
      <c r="M703" s="2" t="str">
        <f>IFERROR(__xludf.DUMMYFUNCTION("""COMPUTED_VALUE"""),"No")</f>
        <v>No</v>
      </c>
      <c r="N703" s="3" t="str">
        <f>IFERROR(__xludf.DUMMYFUNCTION("""COMPUTED_VALUE"""),"https://www.autonoma.pe/internacionalizacion/")</f>
        <v>https://www.autonoma.pe/internacionalizacion/</v>
      </c>
      <c r="O703" s="3" t="str">
        <f>IFERROR(__xludf.DUMMYFUNCTION("""COMPUTED_VALUE"""),"Más información / Informazio gehigarria")</f>
        <v>Más información / Informazio gehigarria</v>
      </c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30.0" customHeight="1">
      <c r="A704" s="2" t="str">
        <f>IFERROR(__xludf.DUMMYFUNCTION("""COMPUTED_VALUE"""),"Polonia")</f>
        <v>Polonia</v>
      </c>
      <c r="B704" s="2" t="str">
        <f>IFERROR(__xludf.DUMMYFUNCTION("""COMPUTED_VALUE"""),"PL KRAKOW02")</f>
        <v>PL KRAKOW02</v>
      </c>
      <c r="C704" s="3" t="str">
        <f>IFERROR(__xludf.DUMMYFUNCTION("""COMPUTED_VALUE"""),"AGH University of Science &amp; Technology")</f>
        <v>AGH University of Science &amp; Technology</v>
      </c>
      <c r="D704" s="2" t="str">
        <f>IFERROR(__xludf.DUMMYFUNCTION("""COMPUTED_VALUE"""),"Erasmus+")</f>
        <v>Erasmus+</v>
      </c>
      <c r="E704" s="2">
        <f>IFERROR(__xludf.DUMMYFUNCTION("""COMPUTED_VALUE"""),2.0)</f>
        <v>2</v>
      </c>
      <c r="F704" s="2" t="str">
        <f>IFERROR(__xludf.DUMMYFUNCTION("""COMPUTED_VALUE"""),"Semestre")</f>
        <v>Semestre</v>
      </c>
      <c r="G704" s="2" t="str">
        <f>IFERROR(__xludf.DUMMYFUNCTION("""COMPUTED_VALUE"""),"Ambos")</f>
        <v>Ambos</v>
      </c>
      <c r="H704" s="2" t="str">
        <f>IFERROR(__xludf.DUMMYFUNCTION("""COMPUTED_VALUE"""),"Ingeniería")</f>
        <v>Ingeniería</v>
      </c>
      <c r="I704" s="2" t="str">
        <f>IFERROR(__xludf.DUMMYFUNCTION("""COMPUTED_VALUE"""),"Ingeniería Informática, Electrónica y Automática, Ingeniería Mecánica, Industria Digital, Ciencia de Datos e IA + Ingeniería Informática, Diseño Industrial + Ingeniería Mecánica, Ingeniería Informática + Videojuegos")</f>
        <v>Ingeniería Informática, Electrónica y Automática, Ingeniería Mecánica, Industria Digital, Ciencia de Datos e IA + Ingeniería Informática, Diseño Industrial + Ingeniería Mecánica, Ingeniería Informática + Videojuegos</v>
      </c>
      <c r="J704" s="2" t="str">
        <f>IFERROR(__xludf.DUMMYFUNCTION("""COMPUTED_VALUE"""),"Grado")</f>
        <v>Grado</v>
      </c>
      <c r="K704" s="2" t="str">
        <f>IFERROR(__xludf.DUMMYFUNCTION("""COMPUTED_VALUE"""),"Inglés")</f>
        <v>Inglés</v>
      </c>
      <c r="L704" s="2" t="str">
        <f>IFERROR(__xludf.DUMMYFUNCTION("""COMPUTED_VALUE"""),"B2")</f>
        <v>B2</v>
      </c>
      <c r="M704" s="2" t="str">
        <f>IFERROR(__xludf.DUMMYFUNCTION("""COMPUTED_VALUE"""),"Sí")</f>
        <v>Sí</v>
      </c>
      <c r="N704" s="3" t="str">
        <f>IFERROR(__xludf.DUMMYFUNCTION("""COMPUTED_VALUE"""),"https://www.international.agh.edu.pl/en/exchange/before-mobility")</f>
        <v>https://www.international.agh.edu.pl/en/exchange/before-mobility</v>
      </c>
      <c r="O704" s="3" t="str">
        <f>IFERROR(__xludf.DUMMYFUNCTION("""COMPUTED_VALUE"""),"Más información / Informazio gehigarria")</f>
        <v>Más información / Informazio gehigarria</v>
      </c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30.0" customHeight="1">
      <c r="A705" s="2" t="str">
        <f>IFERROR(__xludf.DUMMYFUNCTION("""COMPUTED_VALUE"""),"Polonia")</f>
        <v>Polonia</v>
      </c>
      <c r="B705" s="2" t="str">
        <f>IFERROR(__xludf.DUMMYFUNCTION("""COMPUTED_VALUE"""),"PL BIALYST01")</f>
        <v>PL BIALYST01</v>
      </c>
      <c r="C705" s="3" t="str">
        <f>IFERROR(__xludf.DUMMYFUNCTION("""COMPUTED_VALUE"""),"Bialystok University of Technology")</f>
        <v>Bialystok University of Technology</v>
      </c>
      <c r="D705" s="2" t="str">
        <f>IFERROR(__xludf.DUMMYFUNCTION("""COMPUTED_VALUE"""),"Erasmus+")</f>
        <v>Erasmus+</v>
      </c>
      <c r="E705" s="2">
        <f>IFERROR(__xludf.DUMMYFUNCTION("""COMPUTED_VALUE"""),2.0)</f>
        <v>2</v>
      </c>
      <c r="F705" s="2" t="str">
        <f>IFERROR(__xludf.DUMMYFUNCTION("""COMPUTED_VALUE"""),"Semestre")</f>
        <v>Semestre</v>
      </c>
      <c r="G705" s="2" t="str">
        <f>IFERROR(__xludf.DUMMYFUNCTION("""COMPUTED_VALUE"""),"Ambos")</f>
        <v>Ambos</v>
      </c>
      <c r="H705" s="2" t="str">
        <f>IFERROR(__xludf.DUMMYFUNCTION("""COMPUTED_VALUE"""),"Ingeniería")</f>
        <v>Ingeniería</v>
      </c>
      <c r="I705" s="2" t="str">
        <f>IFERROR(__xludf.DUMMYFUNCTION("""COMPUTED_VALUE"""),"Ingeniería Mecánica, Tecnologías Industriales, Organización Industrial, Ingeniería Informática, Ciencia de Datos e IA + Ingeniería Informática, Diseño Industrial + Ingeniería Mecánica, Ingeniería Informática + Videojuegos")</f>
        <v>Ingeniería Mecánica, Tecnologías Industriales, Organización Industrial, Ingeniería Informática, Ciencia de Datos e IA + Ingeniería Informática, Diseño Industrial + Ingeniería Mecánica, Ingeniería Informática + Videojuegos</v>
      </c>
      <c r="J705" s="2" t="str">
        <f>IFERROR(__xludf.DUMMYFUNCTION("""COMPUTED_VALUE"""),"Grado")</f>
        <v>Grado</v>
      </c>
      <c r="K705" s="2" t="str">
        <f>IFERROR(__xludf.DUMMYFUNCTION("""COMPUTED_VALUE"""),"Inglés")</f>
        <v>Inglés</v>
      </c>
      <c r="L705" s="2" t="str">
        <f>IFERROR(__xludf.DUMMYFUNCTION("""COMPUTED_VALUE"""),"B2")</f>
        <v>B2</v>
      </c>
      <c r="M705" s="2" t="str">
        <f>IFERROR(__xludf.DUMMYFUNCTION("""COMPUTED_VALUE"""),"No")</f>
        <v>No</v>
      </c>
      <c r="N705" s="3" t="str">
        <f>IFERROR(__xludf.DUMMYFUNCTION("""COMPUTED_VALUE"""),"https://pb.edu.pl/en/contact/most-popular-questions/")</f>
        <v>https://pb.edu.pl/en/contact/most-popular-questions/</v>
      </c>
      <c r="O705" s="3" t="str">
        <f>IFERROR(__xludf.DUMMYFUNCTION("""COMPUTED_VALUE"""),"Más información / Informazio gehigarria")</f>
        <v>Más información / Informazio gehigarria</v>
      </c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30.0" customHeight="1">
      <c r="A706" s="2" t="str">
        <f>IFERROR(__xludf.DUMMYFUNCTION("""COMPUTED_VALUE"""),"Polonia")</f>
        <v>Polonia</v>
      </c>
      <c r="B706" s="2" t="str">
        <f>IFERROR(__xludf.DUMMYFUNCTION("""COMPUTED_VALUE"""),"PL KRAKOW04")</f>
        <v>PL KRAKOW04</v>
      </c>
      <c r="C706" s="3" t="str">
        <f>IFERROR(__xludf.DUMMYFUNCTION("""COMPUTED_VALUE"""),"Cracow University of Economics")</f>
        <v>Cracow University of Economics</v>
      </c>
      <c r="D706" s="2" t="str">
        <f>IFERROR(__xludf.DUMMYFUNCTION("""COMPUTED_VALUE"""),"Erasmus+")</f>
        <v>Erasmus+</v>
      </c>
      <c r="E706" s="2">
        <f>IFERROR(__xludf.DUMMYFUNCTION("""COMPUTED_VALUE"""),3.0)</f>
        <v>3</v>
      </c>
      <c r="F706" s="2" t="str">
        <f>IFERROR(__xludf.DUMMYFUNCTION("""COMPUTED_VALUE"""),"Semestre")</f>
        <v>Semestre</v>
      </c>
      <c r="G706" s="2" t="str">
        <f>IFERROR(__xludf.DUMMYFUNCTION("""COMPUTED_VALUE"""),"Bilbao")</f>
        <v>Bilbao</v>
      </c>
      <c r="H706" s="2" t="str">
        <f>IFERROR(__xludf.DUMMYFUNCTION("""COMPUTED_VALUE"""),"Deusto Business School")</f>
        <v>Deusto Business School</v>
      </c>
      <c r="I706" s="2" t="str">
        <f>IFERROR(__xludf.DUMMYFUNCTION("""COMPUTED_VALUE"""),"Administración y Dirección de Empresas")</f>
        <v>Administración y Dirección de Empresas</v>
      </c>
      <c r="J706" s="2" t="str">
        <f>IFERROR(__xludf.DUMMYFUNCTION("""COMPUTED_VALUE"""),"Grado")</f>
        <v>Grado</v>
      </c>
      <c r="K706" s="2" t="str">
        <f>IFERROR(__xludf.DUMMYFUNCTION("""COMPUTED_VALUE"""),"Inglés")</f>
        <v>Inglés</v>
      </c>
      <c r="L706" s="2" t="str">
        <f>IFERROR(__xludf.DUMMYFUNCTION("""COMPUTED_VALUE"""),"C1")</f>
        <v>C1</v>
      </c>
      <c r="M706" s="2" t="str">
        <f>IFERROR(__xludf.DUMMYFUNCTION("""COMPUTED_VALUE"""),"Sí")</f>
        <v>Sí</v>
      </c>
      <c r="N706" s="3" t="str">
        <f>IFERROR(__xludf.DUMMYFUNCTION("""COMPUTED_VALUE"""),"https://apps.udg.edu/OutGoing/GetFactSheet.aspx?Id=439")</f>
        <v>https://apps.udg.edu/OutGoing/GetFactSheet.aspx?Id=439</v>
      </c>
      <c r="O706" s="3" t="str">
        <f>IFERROR(__xludf.DUMMYFUNCTION("""COMPUTED_VALUE"""),"Más información / Informazio gehigarria")</f>
        <v>Más información / Informazio gehigarria</v>
      </c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30.0" customHeight="1">
      <c r="A707" s="2" t="str">
        <f>IFERROR(__xludf.DUMMYFUNCTION("""COMPUTED_VALUE"""),"Polonia")</f>
        <v>Polonia</v>
      </c>
      <c r="B707" s="2" t="str">
        <f>IFERROR(__xludf.DUMMYFUNCTION("""COMPUTED_VALUE"""),"PL KRAKOW01")</f>
        <v>PL KRAKOW01</v>
      </c>
      <c r="C707" s="3" t="str">
        <f>IFERROR(__xludf.DUMMYFUNCTION("""COMPUTED_VALUE"""),"UNIWERSYTET JAGIELLONSKI")</f>
        <v>UNIWERSYTET JAGIELLONSKI</v>
      </c>
      <c r="D707" s="2" t="str">
        <f>IFERROR(__xludf.DUMMYFUNCTION("""COMPUTED_VALUE"""),"Erasmus+")</f>
        <v>Erasmus+</v>
      </c>
      <c r="E707" s="2">
        <f>IFERROR(__xludf.DUMMYFUNCTION("""COMPUTED_VALUE"""),2.0)</f>
        <v>2</v>
      </c>
      <c r="F707" s="2" t="str">
        <f>IFERROR(__xludf.DUMMYFUNCTION("""COMPUTED_VALUE"""),"Semestre")</f>
        <v>Semestre</v>
      </c>
      <c r="G707" s="2" t="str">
        <f>IFERROR(__xludf.DUMMYFUNCTION("""COMPUTED_VALUE"""),"Bilbao")</f>
        <v>Bilbao</v>
      </c>
      <c r="H707" s="2" t="str">
        <f>IFERROR(__xludf.DUMMYFUNCTION("""COMPUTED_VALUE"""),"Ciencias Sociales y Humanas")</f>
        <v>Ciencias Sociales y Humanas</v>
      </c>
      <c r="I707" s="2" t="str">
        <f>IFERROR(__xludf.DUMMYFUNCTION("""COMPUTED_VALUE"""),"Filosofía, Política y Economía")</f>
        <v>Filosofía, Política y Economía</v>
      </c>
      <c r="J707" s="2" t="str">
        <f>IFERROR(__xludf.DUMMYFUNCTION("""COMPUTED_VALUE"""),"Grado")</f>
        <v>Grado</v>
      </c>
      <c r="K707" s="2" t="str">
        <f>IFERROR(__xludf.DUMMYFUNCTION("""COMPUTED_VALUE"""),"Inglés")</f>
        <v>Inglés</v>
      </c>
      <c r="L707" s="2" t="str">
        <f>IFERROR(__xludf.DUMMYFUNCTION("""COMPUTED_VALUE"""),"B2")</f>
        <v>B2</v>
      </c>
      <c r="M707" s="2" t="str">
        <f>IFERROR(__xludf.DUMMYFUNCTION("""COMPUTED_VALUE"""),"No")</f>
        <v>No</v>
      </c>
      <c r="N707" s="3" t="str">
        <f>IFERROR(__xludf.DUMMYFUNCTION("""COMPUTED_VALUE"""),"https://erasmus.uj.edu.pl/en_GB/incoming/studies")</f>
        <v>https://erasmus.uj.edu.pl/en_GB/incoming/studies</v>
      </c>
      <c r="O707" s="3" t="str">
        <f>IFERROR(__xludf.DUMMYFUNCTION("""COMPUTED_VALUE"""),"Más información / Informazio gehigarria")</f>
        <v>Más información / Informazio gehigarria</v>
      </c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30.0" customHeight="1">
      <c r="A708" s="2" t="str">
        <f>IFERROR(__xludf.DUMMYFUNCTION("""COMPUTED_VALUE"""),"Polonia")</f>
        <v>Polonia</v>
      </c>
      <c r="B708" s="2" t="str">
        <f>IFERROR(__xludf.DUMMYFUNCTION("""COMPUTED_VALUE"""),"PL KRAKOW01")</f>
        <v>PL KRAKOW01</v>
      </c>
      <c r="C708" s="3" t="str">
        <f>IFERROR(__xludf.DUMMYFUNCTION("""COMPUTED_VALUE"""),"UNIWERSYTET JAGIELLONSKI")</f>
        <v>UNIWERSYTET JAGIELLONSKI</v>
      </c>
      <c r="D708" s="2" t="str">
        <f>IFERROR(__xludf.DUMMYFUNCTION("""COMPUTED_VALUE"""),"Erasmus+")</f>
        <v>Erasmus+</v>
      </c>
      <c r="E708" s="2">
        <f>IFERROR(__xludf.DUMMYFUNCTION("""COMPUTED_VALUE"""),4.0)</f>
        <v>4</v>
      </c>
      <c r="F708" s="2" t="str">
        <f>IFERROR(__xludf.DUMMYFUNCTION("""COMPUTED_VALUE"""),"Anual")</f>
        <v>Anual</v>
      </c>
      <c r="G708" s="2" t="str">
        <f>IFERROR(__xludf.DUMMYFUNCTION("""COMPUTED_VALUE"""),"Bilbao")</f>
        <v>Bilbao</v>
      </c>
      <c r="H708" s="2" t="str">
        <f>IFERROR(__xludf.DUMMYFUNCTION("""COMPUTED_VALUE"""),"Ciencias Sociales y Humanas")</f>
        <v>Ciencias Sociales y Humanas</v>
      </c>
      <c r="I708" s="2" t="str">
        <f>IFERROR(__xludf.DUMMYFUNCTION("""COMPUTED_VALUE"""),"Relaciones Internacionales, Relaciones Internacionales + Derecho")</f>
        <v>Relaciones Internacionales, Relaciones Internacionales + Derecho</v>
      </c>
      <c r="J708" s="2" t="str">
        <f>IFERROR(__xludf.DUMMYFUNCTION("""COMPUTED_VALUE"""),"Grado")</f>
        <v>Grado</v>
      </c>
      <c r="K708" s="2" t="str">
        <f>IFERROR(__xludf.DUMMYFUNCTION("""COMPUTED_VALUE"""),"Inglés")</f>
        <v>Inglés</v>
      </c>
      <c r="L708" s="2" t="str">
        <f>IFERROR(__xludf.DUMMYFUNCTION("""COMPUTED_VALUE"""),"B2")</f>
        <v>B2</v>
      </c>
      <c r="M708" s="2" t="str">
        <f>IFERROR(__xludf.DUMMYFUNCTION("""COMPUTED_VALUE"""),"No")</f>
        <v>No</v>
      </c>
      <c r="N708" s="3" t="str">
        <f>IFERROR(__xludf.DUMMYFUNCTION("""COMPUTED_VALUE"""),"https://erasmus.uj.edu.pl/en_GB/incoming/studies")</f>
        <v>https://erasmus.uj.edu.pl/en_GB/incoming/studies</v>
      </c>
      <c r="O708" s="3" t="str">
        <f>IFERROR(__xludf.DUMMYFUNCTION("""COMPUTED_VALUE"""),"Más información / Informazio gehigarria")</f>
        <v>Más información / Informazio gehigarria</v>
      </c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30.0" customHeight="1">
      <c r="A709" s="2" t="str">
        <f>IFERROR(__xludf.DUMMYFUNCTION("""COMPUTED_VALUE"""),"Polonia")</f>
        <v>Polonia</v>
      </c>
      <c r="B709" s="2" t="str">
        <f>IFERROR(__xludf.DUMMYFUNCTION("""COMPUTED_VALUE"""),"PL KRAKOW01")</f>
        <v>PL KRAKOW01</v>
      </c>
      <c r="C709" s="3" t="str">
        <f>IFERROR(__xludf.DUMMYFUNCTION("""COMPUTED_VALUE"""),"UNIWERSYTET JAGIELLONSKI")</f>
        <v>UNIWERSYTET JAGIELLONSKI</v>
      </c>
      <c r="D709" s="2" t="str">
        <f>IFERROR(__xludf.DUMMYFUNCTION("""COMPUTED_VALUE"""),"Erasmus+")</f>
        <v>Erasmus+</v>
      </c>
      <c r="E709" s="2">
        <f>IFERROR(__xludf.DUMMYFUNCTION("""COMPUTED_VALUE"""),2.0)</f>
        <v>2</v>
      </c>
      <c r="F709" s="2" t="str">
        <f>IFERROR(__xludf.DUMMYFUNCTION("""COMPUTED_VALUE"""),"Semestre")</f>
        <v>Semestre</v>
      </c>
      <c r="G709" s="2" t="str">
        <f>IFERROR(__xludf.DUMMYFUNCTION("""COMPUTED_VALUE"""),"Bilbao")</f>
        <v>Bilbao</v>
      </c>
      <c r="H709" s="2" t="str">
        <f>IFERROR(__xludf.DUMMYFUNCTION("""COMPUTED_VALUE"""),"Ciencias Sociales y Humanas")</f>
        <v>Ciencias Sociales y Humanas</v>
      </c>
      <c r="I709" s="2" t="str">
        <f>IFERROR(__xludf.DUMMYFUNCTION("""COMPUTED_VALUE"""),"Turismo")</f>
        <v>Turismo</v>
      </c>
      <c r="J709" s="2" t="str">
        <f>IFERROR(__xludf.DUMMYFUNCTION("""COMPUTED_VALUE"""),"Grado")</f>
        <v>Grado</v>
      </c>
      <c r="K709" s="2" t="str">
        <f>IFERROR(__xludf.DUMMYFUNCTION("""COMPUTED_VALUE"""),"Inglés")</f>
        <v>Inglés</v>
      </c>
      <c r="L709" s="2" t="str">
        <f>IFERROR(__xludf.DUMMYFUNCTION("""COMPUTED_VALUE"""),"B2")</f>
        <v>B2</v>
      </c>
      <c r="M709" s="2" t="str">
        <f>IFERROR(__xludf.DUMMYFUNCTION("""COMPUTED_VALUE"""),"No")</f>
        <v>No</v>
      </c>
      <c r="N709" s="3" t="str">
        <f>IFERROR(__xludf.DUMMYFUNCTION("""COMPUTED_VALUE"""),"https://erasmus.uj.edu.pl/en_GB/incoming/studies")</f>
        <v>https://erasmus.uj.edu.pl/en_GB/incoming/studies</v>
      </c>
      <c r="O709" s="3" t="str">
        <f>IFERROR(__xludf.DUMMYFUNCTION("""COMPUTED_VALUE"""),"Más información / Informazio gehigarria")</f>
        <v>Más información / Informazio gehigarria</v>
      </c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30.0" customHeight="1">
      <c r="A710" s="2" t="str">
        <f>IFERROR(__xludf.DUMMYFUNCTION("""COMPUTED_VALUE"""),"Polonia")</f>
        <v>Polonia</v>
      </c>
      <c r="B710" s="2" t="str">
        <f>IFERROR(__xludf.DUMMYFUNCTION("""COMPUTED_VALUE"""),"PL KRAKOW01")</f>
        <v>PL KRAKOW01</v>
      </c>
      <c r="C710" s="3" t="str">
        <f>IFERROR(__xludf.DUMMYFUNCTION("""COMPUTED_VALUE"""),"UNIWERSYTET JAGIELLONSKI")</f>
        <v>UNIWERSYTET JAGIELLONSKI</v>
      </c>
      <c r="D710" s="2" t="str">
        <f>IFERROR(__xludf.DUMMYFUNCTION("""COMPUTED_VALUE"""),"Erasmus+")</f>
        <v>Erasmus+</v>
      </c>
      <c r="E710" s="2">
        <f>IFERROR(__xludf.DUMMYFUNCTION("""COMPUTED_VALUE"""),2.0)</f>
        <v>2</v>
      </c>
      <c r="F710" s="2" t="str">
        <f>IFERROR(__xludf.DUMMYFUNCTION("""COMPUTED_VALUE"""),"Semestre")</f>
        <v>Semestre</v>
      </c>
      <c r="G710" s="2" t="str">
        <f>IFERROR(__xludf.DUMMYFUNCTION("""COMPUTED_VALUE"""),"Bilbao")</f>
        <v>Bilbao</v>
      </c>
      <c r="H710" s="2" t="str">
        <f>IFERROR(__xludf.DUMMYFUNCTION("""COMPUTED_VALUE"""),"Ingeniería")</f>
        <v>Ingeniería</v>
      </c>
      <c r="I710" s="2" t="str">
        <f>IFERROR(__xludf.DUMMYFUNCTION("""COMPUTED_VALUE"""),"Ingeniería Biomédica")</f>
        <v>Ingeniería Biomédica</v>
      </c>
      <c r="J710" s="2" t="str">
        <f>IFERROR(__xludf.DUMMYFUNCTION("""COMPUTED_VALUE"""),"Grado")</f>
        <v>Grado</v>
      </c>
      <c r="K710" s="2" t="str">
        <f>IFERROR(__xludf.DUMMYFUNCTION("""COMPUTED_VALUE"""),"Inglés")</f>
        <v>Inglés</v>
      </c>
      <c r="L710" s="2" t="str">
        <f>IFERROR(__xludf.DUMMYFUNCTION("""COMPUTED_VALUE"""),"B2")</f>
        <v>B2</v>
      </c>
      <c r="M710" s="2" t="str">
        <f>IFERROR(__xludf.DUMMYFUNCTION("""COMPUTED_VALUE"""),"No")</f>
        <v>No</v>
      </c>
      <c r="N710" s="3" t="str">
        <f>IFERROR(__xludf.DUMMYFUNCTION("""COMPUTED_VALUE"""),"https://erasmus.uj.edu.pl/en_GB/incoming/studies")</f>
        <v>https://erasmus.uj.edu.pl/en_GB/incoming/studies</v>
      </c>
      <c r="O710" s="3" t="str">
        <f>IFERROR(__xludf.DUMMYFUNCTION("""COMPUTED_VALUE"""),"Más información / Informazio gehigarria")</f>
        <v>Más información / Informazio gehigarria</v>
      </c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30.0" customHeight="1">
      <c r="A711" s="2" t="str">
        <f>IFERROR(__xludf.DUMMYFUNCTION("""COMPUTED_VALUE"""),"Polonia")</f>
        <v>Polonia</v>
      </c>
      <c r="B711" s="2" t="str">
        <f>IFERROR(__xludf.DUMMYFUNCTION("""COMPUTED_VALUE"""),"PL KRAKOW19")</f>
        <v>PL KRAKOW19</v>
      </c>
      <c r="C711" s="3" t="str">
        <f>IFERROR(__xludf.DUMMYFUNCTION("""COMPUTED_VALUE"""),"Jesuit University Ignatianum in Krakow")</f>
        <v>Jesuit University Ignatianum in Krakow</v>
      </c>
      <c r="D711" s="2" t="str">
        <f>IFERROR(__xludf.DUMMYFUNCTION("""COMPUTED_VALUE"""),"Erasmus+")</f>
        <v>Erasmus+</v>
      </c>
      <c r="E711" s="2">
        <f>IFERROR(__xludf.DUMMYFUNCTION("""COMPUTED_VALUE"""),4.0)</f>
        <v>4</v>
      </c>
      <c r="F711" s="2" t="str">
        <f>IFERROR(__xludf.DUMMYFUNCTION("""COMPUTED_VALUE"""),"Semestre")</f>
        <v>Semestre</v>
      </c>
      <c r="G711" s="2" t="str">
        <f>IFERROR(__xludf.DUMMYFUNCTION("""COMPUTED_VALUE"""),"Ambos")</f>
        <v>Ambos</v>
      </c>
      <c r="H711" s="2" t="str">
        <f>IFERROR(__xludf.DUMMYFUNCTION("""COMPUTED_VALUE"""),"Educación y Deporte")</f>
        <v>Educación y Deporte</v>
      </c>
      <c r="I711" s="2" t="str">
        <f>IFERROR(__xludf.DUMMYFUNCTION("""COMPUTED_VALUE"""),"Educación Primaria")</f>
        <v>Educación Primaria</v>
      </c>
      <c r="J711" s="2" t="str">
        <f>IFERROR(__xludf.DUMMYFUNCTION("""COMPUTED_VALUE"""),"Grado")</f>
        <v>Grado</v>
      </c>
      <c r="K711" s="2" t="str">
        <f>IFERROR(__xludf.DUMMYFUNCTION("""COMPUTED_VALUE"""),"Inglés")</f>
        <v>Inglés</v>
      </c>
      <c r="L711" s="2" t="str">
        <f>IFERROR(__xludf.DUMMYFUNCTION("""COMPUTED_VALUE"""),"B2")</f>
        <v>B2</v>
      </c>
      <c r="M711" s="2" t="str">
        <f>IFERROR(__xludf.DUMMYFUNCTION("""COMPUTED_VALUE"""),"Sí")</f>
        <v>Sí</v>
      </c>
      <c r="N711" s="3" t="str">
        <f>IFERROR(__xludf.DUMMYFUNCTION("""COMPUTED_VALUE"""),"https://ignatianum.edu.pl/storage/files/May2020/Erasmus+%20INFO%20sheet%20Ignatianum_2020-21.pdf")</f>
        <v>https://ignatianum.edu.pl/storage/files/May2020/Erasmus+%20INFO%20sheet%20Ignatianum_2020-21.pdf</v>
      </c>
      <c r="O711" s="3" t="str">
        <f>IFERROR(__xludf.DUMMYFUNCTION("""COMPUTED_VALUE"""),"Más información / Informazio gehigarria")</f>
        <v>Más información / Informazio gehigarria</v>
      </c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30.0" customHeight="1">
      <c r="A712" s="2" t="str">
        <f>IFERROR(__xludf.DUMMYFUNCTION("""COMPUTED_VALUE"""),"Polonia")</f>
        <v>Polonia</v>
      </c>
      <c r="B712" s="2" t="str">
        <f>IFERROR(__xludf.DUMMYFUNCTION("""COMPUTED_VALUE"""),"PL KRAKOW19")</f>
        <v>PL KRAKOW19</v>
      </c>
      <c r="C712" s="3" t="str">
        <f>IFERROR(__xludf.DUMMYFUNCTION("""COMPUTED_VALUE"""),"Jesuit University Ignatianum in Krakow")</f>
        <v>Jesuit University Ignatianum in Krakow</v>
      </c>
      <c r="D712" s="2" t="str">
        <f>IFERROR(__xludf.DUMMYFUNCTION("""COMPUTED_VALUE"""),"Erasmus+")</f>
        <v>Erasmus+</v>
      </c>
      <c r="E712" s="2">
        <f>IFERROR(__xludf.DUMMYFUNCTION("""COMPUTED_VALUE"""),2.0)</f>
        <v>2</v>
      </c>
      <c r="F712" s="2" t="str">
        <f>IFERROR(__xludf.DUMMYFUNCTION("""COMPUTED_VALUE"""),"Anual")</f>
        <v>Anual</v>
      </c>
      <c r="G712" s="2" t="str">
        <f>IFERROR(__xludf.DUMMYFUNCTION("""COMPUTED_VALUE"""),"Bilbao")</f>
        <v>Bilbao</v>
      </c>
      <c r="H712" s="2" t="str">
        <f>IFERROR(__xludf.DUMMYFUNCTION("""COMPUTED_VALUE"""),"Ciencias Sociales y Humanas")</f>
        <v>Ciencias Sociales y Humanas</v>
      </c>
      <c r="I712" s="2" t="str">
        <f>IFERROR(__xludf.DUMMYFUNCTION("""COMPUTED_VALUE"""),"Lenguas Modernas, Lengua y Cultura Vasca + Lenguas Modernas, Lenguas Modernas y Gestión, Euskal Hizkuntza eta Kultura")</f>
        <v>Lenguas Modernas, Lengua y Cultura Vasca + Lenguas Modernas, Lenguas Modernas y Gestión, Euskal Hizkuntza eta Kultura</v>
      </c>
      <c r="J712" s="2" t="str">
        <f>IFERROR(__xludf.DUMMYFUNCTION("""COMPUTED_VALUE"""),"Grado")</f>
        <v>Grado</v>
      </c>
      <c r="K712" s="2" t="str">
        <f>IFERROR(__xludf.DUMMYFUNCTION("""COMPUTED_VALUE"""),"Inglés")</f>
        <v>Inglés</v>
      </c>
      <c r="L712" s="2" t="str">
        <f>IFERROR(__xludf.DUMMYFUNCTION("""COMPUTED_VALUE"""),"B2")</f>
        <v>B2</v>
      </c>
      <c r="M712" s="2" t="str">
        <f>IFERROR(__xludf.DUMMYFUNCTION("""COMPUTED_VALUE"""),"Sí")</f>
        <v>Sí</v>
      </c>
      <c r="N712" s="3" t="str">
        <f>IFERROR(__xludf.DUMMYFUNCTION("""COMPUTED_VALUE"""),"https://ignatianum.edu.pl/storage/files/May2020/Erasmus+%20INFO%20sheet%20Ignatianum_2020-21.pdf")</f>
        <v>https://ignatianum.edu.pl/storage/files/May2020/Erasmus+%20INFO%20sheet%20Ignatianum_2020-21.pdf</v>
      </c>
      <c r="O712" s="3" t="str">
        <f>IFERROR(__xludf.DUMMYFUNCTION("""COMPUTED_VALUE"""),"Más información / Informazio gehigarria")</f>
        <v>Más información / Informazio gehigarria</v>
      </c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30.0" customHeight="1">
      <c r="A713" s="2" t="str">
        <f>IFERROR(__xludf.DUMMYFUNCTION("""COMPUTED_VALUE"""),"Polonia")</f>
        <v>Polonia</v>
      </c>
      <c r="B713" s="2" t="str">
        <f>IFERROR(__xludf.DUMMYFUNCTION("""COMPUTED_VALUE"""),"PL KRAKOW19")</f>
        <v>PL KRAKOW19</v>
      </c>
      <c r="C713" s="3" t="str">
        <f>IFERROR(__xludf.DUMMYFUNCTION("""COMPUTED_VALUE"""),"Jesuit University Ignatianum in Krakow")</f>
        <v>Jesuit University Ignatianum in Krakow</v>
      </c>
      <c r="D713" s="2" t="str">
        <f>IFERROR(__xludf.DUMMYFUNCTION("""COMPUTED_VALUE"""),"Erasmus+")</f>
        <v>Erasmus+</v>
      </c>
      <c r="E713" s="2">
        <f>IFERROR(__xludf.DUMMYFUNCTION("""COMPUTED_VALUE"""),2.0)</f>
        <v>2</v>
      </c>
      <c r="F713" s="2" t="str">
        <f>IFERROR(__xludf.DUMMYFUNCTION("""COMPUTED_VALUE"""),"Anual")</f>
        <v>Anual</v>
      </c>
      <c r="G713" s="2" t="str">
        <f>IFERROR(__xludf.DUMMYFUNCTION("""COMPUTED_VALUE"""),"Bilbao")</f>
        <v>Bilbao</v>
      </c>
      <c r="H713" s="2" t="str">
        <f>IFERROR(__xludf.DUMMYFUNCTION("""COMPUTED_VALUE"""),"Ciencias Sociales y Humanas")</f>
        <v>Ciencias Sociales y Humanas</v>
      </c>
      <c r="I713" s="2" t="str">
        <f>IFERROR(__xludf.DUMMYFUNCTION("""COMPUTED_VALUE"""),"Relaciones Internacionales, Relaciones Internacionales + Derecho")</f>
        <v>Relaciones Internacionales, Relaciones Internacionales + Derecho</v>
      </c>
      <c r="J713" s="2" t="str">
        <f>IFERROR(__xludf.DUMMYFUNCTION("""COMPUTED_VALUE"""),"Grado")</f>
        <v>Grado</v>
      </c>
      <c r="K713" s="2" t="str">
        <f>IFERROR(__xludf.DUMMYFUNCTION("""COMPUTED_VALUE"""),"Inglés")</f>
        <v>Inglés</v>
      </c>
      <c r="L713" s="2" t="str">
        <f>IFERROR(__xludf.DUMMYFUNCTION("""COMPUTED_VALUE"""),"B2")</f>
        <v>B2</v>
      </c>
      <c r="M713" s="2" t="str">
        <f>IFERROR(__xludf.DUMMYFUNCTION("""COMPUTED_VALUE"""),"Sí")</f>
        <v>Sí</v>
      </c>
      <c r="N713" s="3" t="str">
        <f>IFERROR(__xludf.DUMMYFUNCTION("""COMPUTED_VALUE"""),"https://ignatianum.edu.pl/storage/files/May2020/Erasmus+%20INFO%20sheet%20Ignatianum_2020-21.pdf")</f>
        <v>https://ignatianum.edu.pl/storage/files/May2020/Erasmus+%20INFO%20sheet%20Ignatianum_2020-21.pdf</v>
      </c>
      <c r="O713" s="3" t="str">
        <f>IFERROR(__xludf.DUMMYFUNCTION("""COMPUTED_VALUE"""),"Más información / Informazio gehigarria")</f>
        <v>Más información / Informazio gehigarria</v>
      </c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30.0" customHeight="1">
      <c r="A714" s="2" t="str">
        <f>IFERROR(__xludf.DUMMYFUNCTION("""COMPUTED_VALUE"""),"Polonia")</f>
        <v>Polonia</v>
      </c>
      <c r="B714" s="2" t="str">
        <f>IFERROR(__xludf.DUMMYFUNCTION("""COMPUTED_VALUE"""),"PL KRAKOW19")</f>
        <v>PL KRAKOW19</v>
      </c>
      <c r="C714" s="3" t="str">
        <f>IFERROR(__xludf.DUMMYFUNCTION("""COMPUTED_VALUE"""),"Jesuit University Ignatianum in Krakow")</f>
        <v>Jesuit University Ignatianum in Krakow</v>
      </c>
      <c r="D714" s="2" t="str">
        <f>IFERROR(__xludf.DUMMYFUNCTION("""COMPUTED_VALUE"""),"Erasmus+")</f>
        <v>Erasmus+</v>
      </c>
      <c r="E714" s="2">
        <f>IFERROR(__xludf.DUMMYFUNCTION("""COMPUTED_VALUE"""),4.0)</f>
        <v>4</v>
      </c>
      <c r="F714" s="2" t="str">
        <f>IFERROR(__xludf.DUMMYFUNCTION("""COMPUTED_VALUE"""),"Semestre")</f>
        <v>Semestre</v>
      </c>
      <c r="G714" s="2" t="str">
        <f>IFERROR(__xludf.DUMMYFUNCTION("""COMPUTED_VALUE"""),"Ambos")</f>
        <v>Ambos</v>
      </c>
      <c r="H714" s="2" t="str">
        <f>IFERROR(__xludf.DUMMYFUNCTION("""COMPUTED_VALUE"""),"Ciencias Sociales y Humanas")</f>
        <v>Ciencias Sociales y Humanas</v>
      </c>
      <c r="I714" s="2" t="str">
        <f>IFERROR(__xludf.DUMMYFUNCTION("""COMPUTED_VALUE"""),"Trabajo Social")</f>
        <v>Trabajo Social</v>
      </c>
      <c r="J714" s="2" t="str">
        <f>IFERROR(__xludf.DUMMYFUNCTION("""COMPUTED_VALUE"""),"Grado")</f>
        <v>Grado</v>
      </c>
      <c r="K714" s="2" t="str">
        <f>IFERROR(__xludf.DUMMYFUNCTION("""COMPUTED_VALUE"""),"Inglés")</f>
        <v>Inglés</v>
      </c>
      <c r="L714" s="2" t="str">
        <f>IFERROR(__xludf.DUMMYFUNCTION("""COMPUTED_VALUE"""),"B2")</f>
        <v>B2</v>
      </c>
      <c r="M714" s="2" t="str">
        <f>IFERROR(__xludf.DUMMYFUNCTION("""COMPUTED_VALUE"""),"Sí")</f>
        <v>Sí</v>
      </c>
      <c r="N714" s="3" t="str">
        <f>IFERROR(__xludf.DUMMYFUNCTION("""COMPUTED_VALUE"""),"https://ignatianum.edu.pl/storage/files/May2020/Erasmus+%20INFO%20sheet%20Ignatianum_2020-21.pdf")</f>
        <v>https://ignatianum.edu.pl/storage/files/May2020/Erasmus+%20INFO%20sheet%20Ignatianum_2020-21.pdf</v>
      </c>
      <c r="O714" s="3" t="str">
        <f>IFERROR(__xludf.DUMMYFUNCTION("""COMPUTED_VALUE"""),"Más información / Informazio gehigarria")</f>
        <v>Más información / Informazio gehigarria</v>
      </c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30.0" customHeight="1">
      <c r="A715" s="2" t="str">
        <f>IFERROR(__xludf.DUMMYFUNCTION("""COMPUTED_VALUE"""),"Polonia")</f>
        <v>Polonia</v>
      </c>
      <c r="B715" s="2" t="str">
        <f>IFERROR(__xludf.DUMMYFUNCTION("""COMPUTED_VALUE"""),"PL WARSAW21")</f>
        <v>PL WARSAW21</v>
      </c>
      <c r="C715" s="3" t="str">
        <f>IFERROR(__xludf.DUMMYFUNCTION("""COMPUTED_VALUE"""),"Kozminsky University")</f>
        <v>Kozminsky University</v>
      </c>
      <c r="D715" s="2" t="str">
        <f>IFERROR(__xludf.DUMMYFUNCTION("""COMPUTED_VALUE"""),"Erasmus+")</f>
        <v>Erasmus+</v>
      </c>
      <c r="E715" s="2">
        <f>IFERROR(__xludf.DUMMYFUNCTION("""COMPUTED_VALUE"""),4.0)</f>
        <v>4</v>
      </c>
      <c r="F715" s="2" t="str">
        <f>IFERROR(__xludf.DUMMYFUNCTION("""COMPUTED_VALUE"""),"Semestre")</f>
        <v>Semestre</v>
      </c>
      <c r="G715" s="2" t="str">
        <f>IFERROR(__xludf.DUMMYFUNCTION("""COMPUTED_VALUE"""),"Bilbao")</f>
        <v>Bilbao</v>
      </c>
      <c r="H715" s="2" t="str">
        <f>IFERROR(__xludf.DUMMYFUNCTION("""COMPUTED_VALUE"""),"Deusto Business School")</f>
        <v>Deusto Business School</v>
      </c>
      <c r="I715" s="2" t="str">
        <f>IFERROR(__xludf.DUMMYFUNCTION("""COMPUTED_VALUE"""),"Administración y Dirección de Empresas")</f>
        <v>Administración y Dirección de Empresas</v>
      </c>
      <c r="J715" s="2" t="str">
        <f>IFERROR(__xludf.DUMMYFUNCTION("""COMPUTED_VALUE"""),"Grado")</f>
        <v>Grado</v>
      </c>
      <c r="K715" s="2" t="str">
        <f>IFERROR(__xludf.DUMMYFUNCTION("""COMPUTED_VALUE"""),"Inglés")</f>
        <v>Inglés</v>
      </c>
      <c r="L715" s="2" t="str">
        <f>IFERROR(__xludf.DUMMYFUNCTION("""COMPUTED_VALUE"""),"C1")</f>
        <v>C1</v>
      </c>
      <c r="M715" s="2"/>
      <c r="N715" s="3" t="str">
        <f>IFERROR(__xludf.DUMMYFUNCTION("""COMPUTED_VALUE"""),"https://kozminski-my.sharepoint.com/personal/aryniewicz_kozminski_edu_pl/_layouts/15/onedrive.aspx?id=%2Fpersonal%2Faryniewicz%5Fkozminski%5Fedu%5Fpl%2FDocuments%2F2023%5F24%2FKozminski%20University%20Fact%20sheet%202023%5F24%20%2Epdf&amp;parent=%2Fpersonal%2"&amp;"Faryniewicz%5Fkozminski%5Fedu%5Fpl%2FDocuments%2F2023%5F24&amp;ga=1")</f>
        <v>https://kozminski-my.sharepoint.com/personal/aryniewicz_kozminski_edu_pl/_layouts/15/onedrive.aspx?id=%2Fpersonal%2Faryniewicz%5Fkozminski%5Fedu%5Fpl%2FDocuments%2F2023%5F24%2FKozminski%20University%20Fact%20sheet%202023%5F24%20%2Epdf&amp;parent=%2Fpersonal%2Faryniewicz%5Fkozminski%5Fedu%5Fpl%2FDocuments%2F2023%5F24&amp;ga=1</v>
      </c>
      <c r="O715" s="3" t="str">
        <f>IFERROR(__xludf.DUMMYFUNCTION("""COMPUTED_VALUE"""),"Más información / Informazio gehigarria")</f>
        <v>Más información / Informazio gehigarria</v>
      </c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30.0" customHeight="1">
      <c r="A716" s="2" t="str">
        <f>IFERROR(__xludf.DUMMYFUNCTION("""COMPUTED_VALUE"""),"Polonia")</f>
        <v>Polonia</v>
      </c>
      <c r="B716" s="2" t="str">
        <f>IFERROR(__xludf.DUMMYFUNCTION("""COMPUTED_VALUE"""),"PL LODZ02")</f>
        <v>PL LODZ02</v>
      </c>
      <c r="C716" s="3" t="str">
        <f>IFERROR(__xludf.DUMMYFUNCTION("""COMPUTED_VALUE"""),"Lodz University of Technology")</f>
        <v>Lodz University of Technology</v>
      </c>
      <c r="D716" s="2" t="str">
        <f>IFERROR(__xludf.DUMMYFUNCTION("""COMPUTED_VALUE"""),"Erasmus+")</f>
        <v>Erasmus+</v>
      </c>
      <c r="E716" s="2">
        <f>IFERROR(__xludf.DUMMYFUNCTION("""COMPUTED_VALUE"""),4.0)</f>
        <v>4</v>
      </c>
      <c r="F716" s="2" t="str">
        <f>IFERROR(__xludf.DUMMYFUNCTION("""COMPUTED_VALUE"""),"Semestre")</f>
        <v>Semestre</v>
      </c>
      <c r="G716" s="2" t="str">
        <f>IFERROR(__xludf.DUMMYFUNCTION("""COMPUTED_VALUE"""),"Ambos")</f>
        <v>Ambos</v>
      </c>
      <c r="H716" s="2" t="str">
        <f>IFERROR(__xludf.DUMMYFUNCTION("""COMPUTED_VALUE"""),"Ingeniería")</f>
        <v>Ingeniería</v>
      </c>
      <c r="I716" s="2" t="str">
        <f>IFERROR(__xludf.DUMMYFUNCTION("""COMPUTED_VALUE"""),"Ingeniería Informática, Ciencia de Datos e IA, Ciencia de Datos e IA + Ingeniería Informática, Ingeniería Informática + Videojuegos")</f>
        <v>Ingeniería Informática, Ciencia de Datos e IA, Ciencia de Datos e IA + Ingeniería Informática, Ingeniería Informática + Videojuegos</v>
      </c>
      <c r="J716" s="2" t="str">
        <f>IFERROR(__xludf.DUMMYFUNCTION("""COMPUTED_VALUE"""),"Grado")</f>
        <v>Grado</v>
      </c>
      <c r="K716" s="2" t="str">
        <f>IFERROR(__xludf.DUMMYFUNCTION("""COMPUTED_VALUE"""),"Inglés")</f>
        <v>Inglés</v>
      </c>
      <c r="L716" s="2" t="str">
        <f>IFERROR(__xludf.DUMMYFUNCTION("""COMPUTED_VALUE"""),"B2")</f>
        <v>B2</v>
      </c>
      <c r="M716" s="2" t="str">
        <f>IFERROR(__xludf.DUMMYFUNCTION("""COMPUTED_VALUE"""),"No")</f>
        <v>No</v>
      </c>
      <c r="N716" s="3" t="str">
        <f>IFERROR(__xludf.DUMMYFUNCTION("""COMPUTED_VALUE"""),"https://www.uni.lodz.pl/fileadmin/user_upload/Jednostki/BWZ/incoming-students/PL_LODZ01_Info_sheet_06.2022.pdf")</f>
        <v>https://www.uni.lodz.pl/fileadmin/user_upload/Jednostki/BWZ/incoming-students/PL_LODZ01_Info_sheet_06.2022.pdf</v>
      </c>
      <c r="O716" s="3" t="str">
        <f>IFERROR(__xludf.DUMMYFUNCTION("""COMPUTED_VALUE"""),"Más información / Informazio gehigarria")</f>
        <v>Más información / Informazio gehigarria</v>
      </c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30.0" customHeight="1">
      <c r="A717" s="2" t="str">
        <f>IFERROR(__xludf.DUMMYFUNCTION("""COMPUTED_VALUE"""),"Polonia")</f>
        <v>Polonia</v>
      </c>
      <c r="B717" s="2" t="str">
        <f>IFERROR(__xludf.DUMMYFUNCTION("""COMPUTED_VALUE"""),"PL LUBLIN01")</f>
        <v>PL LUBLIN01</v>
      </c>
      <c r="C717" s="3" t="str">
        <f>IFERROR(__xludf.DUMMYFUNCTION("""COMPUTED_VALUE"""),"Maria Curie-Skłodowska University")</f>
        <v>Maria Curie-Skłodowska University</v>
      </c>
      <c r="D717" s="2" t="str">
        <f>IFERROR(__xludf.DUMMYFUNCTION("""COMPUTED_VALUE"""),"Erasmus+")</f>
        <v>Erasmus+</v>
      </c>
      <c r="E717" s="2">
        <f>IFERROR(__xludf.DUMMYFUNCTION("""COMPUTED_VALUE"""),2.0)</f>
        <v>2</v>
      </c>
      <c r="F717" s="2" t="str">
        <f>IFERROR(__xludf.DUMMYFUNCTION("""COMPUTED_VALUE"""),"Anual")</f>
        <v>Anual</v>
      </c>
      <c r="G717" s="2" t="str">
        <f>IFERROR(__xludf.DUMMYFUNCTION("""COMPUTED_VALUE"""),"Bilbao")</f>
        <v>Bilbao</v>
      </c>
      <c r="H717" s="2" t="str">
        <f>IFERROR(__xludf.DUMMYFUNCTION("""COMPUTED_VALUE"""),"Ciencias Sociales y Humanas")</f>
        <v>Ciencias Sociales y Humanas</v>
      </c>
      <c r="I717" s="2" t="str">
        <f>IFERROR(__xludf.DUMMYFUNCTION("""COMPUTED_VALUE"""),"Lenguas Modernas, Lengua y Cultura Vasca + Lenguas Modernas, Lenguas Modernas y Gestión, Euskal Hizkuntza eta Kultura")</f>
        <v>Lenguas Modernas, Lengua y Cultura Vasca + Lenguas Modernas, Lenguas Modernas y Gestión, Euskal Hizkuntza eta Kultura</v>
      </c>
      <c r="J717" s="2" t="str">
        <f>IFERROR(__xludf.DUMMYFUNCTION("""COMPUTED_VALUE"""),"Grado")</f>
        <v>Grado</v>
      </c>
      <c r="K717" s="2" t="str">
        <f>IFERROR(__xludf.DUMMYFUNCTION("""COMPUTED_VALUE"""),"Inglés")</f>
        <v>Inglés</v>
      </c>
      <c r="L717" s="2" t="str">
        <f>IFERROR(__xludf.DUMMYFUNCTION("""COMPUTED_VALUE"""),"B2")</f>
        <v>B2</v>
      </c>
      <c r="M717" s="2" t="str">
        <f>IFERROR(__xludf.DUMMYFUNCTION("""COMPUTED_VALUE"""),"Sí")</f>
        <v>Sí</v>
      </c>
      <c r="N717" s="3" t="str">
        <f>IFERROR(__xludf.DUMMYFUNCTION("""COMPUTED_VALUE"""),"https://www.umcs.pl/en/application-procedure,1534.htm")</f>
        <v>https://www.umcs.pl/en/application-procedure,1534.htm</v>
      </c>
      <c r="O717" s="3" t="str">
        <f>IFERROR(__xludf.DUMMYFUNCTION("""COMPUTED_VALUE"""),"Más información / Informazio gehigarria")</f>
        <v>Más información / Informazio gehigarria</v>
      </c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30.0" customHeight="1">
      <c r="A718" s="2" t="str">
        <f>IFERROR(__xludf.DUMMYFUNCTION("""COMPUTED_VALUE"""),"Polonia")</f>
        <v>Polonia</v>
      </c>
      <c r="B718" s="2" t="str">
        <f>IFERROR(__xludf.DUMMYFUNCTION("""COMPUTED_VALUE"""),"PL LUBLIN03")</f>
        <v>PL LUBLIN03</v>
      </c>
      <c r="C718" s="3" t="str">
        <f>IFERROR(__xludf.DUMMYFUNCTION("""COMPUTED_VALUE"""),"Lublin University of Technology")</f>
        <v>Lublin University of Technology</v>
      </c>
      <c r="D718" s="2" t="str">
        <f>IFERROR(__xludf.DUMMYFUNCTION("""COMPUTED_VALUE"""),"Erasmus+")</f>
        <v>Erasmus+</v>
      </c>
      <c r="E718" s="2">
        <f>IFERROR(__xludf.DUMMYFUNCTION("""COMPUTED_VALUE"""),2.0)</f>
        <v>2</v>
      </c>
      <c r="F718" s="2" t="str">
        <f>IFERROR(__xludf.DUMMYFUNCTION("""COMPUTED_VALUE"""),"Semestre")</f>
        <v>Semestre</v>
      </c>
      <c r="G718" s="2" t="str">
        <f>IFERROR(__xludf.DUMMYFUNCTION("""COMPUTED_VALUE"""),"Bilbao")</f>
        <v>Bilbao</v>
      </c>
      <c r="H718" s="2" t="str">
        <f>IFERROR(__xludf.DUMMYFUNCTION("""COMPUTED_VALUE"""),"Ingeniería")</f>
        <v>Ingeniería</v>
      </c>
      <c r="I718" s="2"/>
      <c r="J718" s="2" t="str">
        <f>IFERROR(__xludf.DUMMYFUNCTION("""COMPUTED_VALUE"""),"Grado")</f>
        <v>Grado</v>
      </c>
      <c r="K718" s="2" t="str">
        <f>IFERROR(__xludf.DUMMYFUNCTION("""COMPUTED_VALUE"""),"Inglés")</f>
        <v>Inglés</v>
      </c>
      <c r="L718" s="2" t="str">
        <f>IFERROR(__xludf.DUMMYFUNCTION("""COMPUTED_VALUE"""),"B2")</f>
        <v>B2</v>
      </c>
      <c r="M718" s="2"/>
      <c r="N718" s="2"/>
      <c r="O718" s="2" t="str">
        <f>IFERROR(__xludf.DUMMYFUNCTION("""COMPUTED_VALUE"""),"Más información / Informazio gehigarria")</f>
        <v>Más información / Informazio gehigarria</v>
      </c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30.0" customHeight="1">
      <c r="A719" s="2" t="str">
        <f>IFERROR(__xludf.DUMMYFUNCTION("""COMPUTED_VALUE"""),"Polonia")</f>
        <v>Polonia</v>
      </c>
      <c r="B719" s="2" t="str">
        <f>IFERROR(__xludf.DUMMYFUNCTION("""COMPUTED_VALUE"""),"PL OPOLE02")</f>
        <v>PL OPOLE02</v>
      </c>
      <c r="C719" s="3" t="str">
        <f>IFERROR(__xludf.DUMMYFUNCTION("""COMPUTED_VALUE"""),"Opole University of Technology")</f>
        <v>Opole University of Technology</v>
      </c>
      <c r="D719" s="2" t="str">
        <f>IFERROR(__xludf.DUMMYFUNCTION("""COMPUTED_VALUE"""),"Erasmus+")</f>
        <v>Erasmus+</v>
      </c>
      <c r="E719" s="2">
        <f>IFERROR(__xludf.DUMMYFUNCTION("""COMPUTED_VALUE"""),2.0)</f>
        <v>2</v>
      </c>
      <c r="F719" s="2" t="str">
        <f>IFERROR(__xludf.DUMMYFUNCTION("""COMPUTED_VALUE"""),"Semestre")</f>
        <v>Semestre</v>
      </c>
      <c r="G719" s="2" t="str">
        <f>IFERROR(__xludf.DUMMYFUNCTION("""COMPUTED_VALUE"""),"Bilbao")</f>
        <v>Bilbao</v>
      </c>
      <c r="H719" s="2" t="str">
        <f>IFERROR(__xludf.DUMMYFUNCTION("""COMPUTED_VALUE"""),"Ingeniería")</f>
        <v>Ingeniería</v>
      </c>
      <c r="I719" s="2" t="str">
        <f>IFERROR(__xludf.DUMMYFUNCTION("""COMPUTED_VALUE"""),"Tecnologías Industriales")</f>
        <v>Tecnologías Industriales</v>
      </c>
      <c r="J719" s="2" t="str">
        <f>IFERROR(__xludf.DUMMYFUNCTION("""COMPUTED_VALUE"""),"Grado")</f>
        <v>Grado</v>
      </c>
      <c r="K719" s="2" t="str">
        <f>IFERROR(__xludf.DUMMYFUNCTION("""COMPUTED_VALUE"""),"Inglés")</f>
        <v>Inglés</v>
      </c>
      <c r="L719" s="2" t="str">
        <f>IFERROR(__xludf.DUMMYFUNCTION("""COMPUTED_VALUE"""),"B2")</f>
        <v>B2</v>
      </c>
      <c r="M719" s="2" t="str">
        <f>IFERROR(__xludf.DUMMYFUNCTION("""COMPUTED_VALUE"""),"Si")</f>
        <v>Si</v>
      </c>
      <c r="N719" s="3" t="str">
        <f>IFERROR(__xludf.DUMMYFUNCTION("""COMPUTED_VALUE"""),"https://hello.uni.opole.pl/blog/2021/05/31/language-requirements/")</f>
        <v>https://hello.uni.opole.pl/blog/2021/05/31/language-requirements/</v>
      </c>
      <c r="O719" s="3" t="str">
        <f>IFERROR(__xludf.DUMMYFUNCTION("""COMPUTED_VALUE"""),"Más información / Informazio gehigarria")</f>
        <v>Más información / Informazio gehigarria</v>
      </c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30.0" customHeight="1">
      <c r="A720" s="2" t="str">
        <f>IFERROR(__xludf.DUMMYFUNCTION("""COMPUTED_VALUE"""),"Polonia")</f>
        <v>Polonia</v>
      </c>
      <c r="B720" s="2" t="str">
        <f>IFERROR(__xludf.DUMMYFUNCTION("""COMPUTED_VALUE"""),"PL WARSZAW02")</f>
        <v>PL WARSZAW02</v>
      </c>
      <c r="C720" s="3" t="str">
        <f>IFERROR(__xludf.DUMMYFUNCTION("""COMPUTED_VALUE"""),"Politechnika Warszawska")</f>
        <v>Politechnika Warszawska</v>
      </c>
      <c r="D720" s="2" t="str">
        <f>IFERROR(__xludf.DUMMYFUNCTION("""COMPUTED_VALUE"""),"Erasmus+")</f>
        <v>Erasmus+</v>
      </c>
      <c r="E720" s="2">
        <f>IFERROR(__xludf.DUMMYFUNCTION("""COMPUTED_VALUE"""),8.0)</f>
        <v>8</v>
      </c>
      <c r="F720" s="2" t="str">
        <f>IFERROR(__xludf.DUMMYFUNCTION("""COMPUTED_VALUE"""),"Semestre")</f>
        <v>Semestre</v>
      </c>
      <c r="G720" s="2" t="str">
        <f>IFERROR(__xludf.DUMMYFUNCTION("""COMPUTED_VALUE"""),"Ambos")</f>
        <v>Ambos</v>
      </c>
      <c r="H720" s="2" t="str">
        <f>IFERROR(__xludf.DUMMYFUNCTION("""COMPUTED_VALUE"""),"Ingeniería")</f>
        <v>Ingeniería</v>
      </c>
      <c r="I720" s="2" t="str">
        <f>IFERROR(__xludf.DUMMYFUNCTION("""COMPUTED_VALUE"""),"Ingeniería Informática, Ingeniería Informática + Videojuegos")</f>
        <v>Ingeniería Informática, Ingeniería Informática + Videojuegos</v>
      </c>
      <c r="J720" s="2" t="str">
        <f>IFERROR(__xludf.DUMMYFUNCTION("""COMPUTED_VALUE"""),"Grado")</f>
        <v>Grado</v>
      </c>
      <c r="K720" s="2" t="str">
        <f>IFERROR(__xludf.DUMMYFUNCTION("""COMPUTED_VALUE"""),"Inglés")</f>
        <v>Inglés</v>
      </c>
      <c r="L720" s="2" t="str">
        <f>IFERROR(__xludf.DUMMYFUNCTION("""COMPUTED_VALUE"""),"B2")</f>
        <v>B2</v>
      </c>
      <c r="M720" s="2" t="str">
        <f>IFERROR(__xludf.DUMMYFUNCTION("""COMPUTED_VALUE"""),"Si")</f>
        <v>Si</v>
      </c>
      <c r="N720" s="3" t="str">
        <f>IFERROR(__xludf.DUMMYFUNCTION("""COMPUTED_VALUE"""),"https://www.cwm.pw.edu.pl/index.php/en/Education-programmes/Bilateral-exchange/Incoming-students")</f>
        <v>https://www.cwm.pw.edu.pl/index.php/en/Education-programmes/Bilateral-exchange/Incoming-students</v>
      </c>
      <c r="O720" s="3" t="str">
        <f>IFERROR(__xludf.DUMMYFUNCTION("""COMPUTED_VALUE"""),"Más información / Informazio gehigarria")</f>
        <v>Más información / Informazio gehigarria</v>
      </c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30.0" customHeight="1">
      <c r="A721" s="2" t="str">
        <f>IFERROR(__xludf.DUMMYFUNCTION("""COMPUTED_VALUE"""),"Polonia")</f>
        <v>Polonia</v>
      </c>
      <c r="B721" s="2" t="str">
        <f>IFERROR(__xludf.DUMMYFUNCTION("""COMPUTED_VALUE"""),"PL WARSZAW02")</f>
        <v>PL WARSZAW02</v>
      </c>
      <c r="C721" s="3" t="str">
        <f>IFERROR(__xludf.DUMMYFUNCTION("""COMPUTED_VALUE"""),"Politechnika Warszawska")</f>
        <v>Politechnika Warszawska</v>
      </c>
      <c r="D721" s="2" t="str">
        <f>IFERROR(__xludf.DUMMYFUNCTION("""COMPUTED_VALUE"""),"Erasmus+")</f>
        <v>Erasmus+</v>
      </c>
      <c r="E721" s="2">
        <f>IFERROR(__xludf.DUMMYFUNCTION("""COMPUTED_VALUE"""),8.0)</f>
        <v>8</v>
      </c>
      <c r="F721" s="2" t="str">
        <f>IFERROR(__xludf.DUMMYFUNCTION("""COMPUTED_VALUE"""),"Semestre")</f>
        <v>Semestre</v>
      </c>
      <c r="G721" s="2" t="str">
        <f>IFERROR(__xludf.DUMMYFUNCTION("""COMPUTED_VALUE"""),"Bilbao")</f>
        <v>Bilbao</v>
      </c>
      <c r="H721" s="2" t="str">
        <f>IFERROR(__xludf.DUMMYFUNCTION("""COMPUTED_VALUE"""),"Ingeniería")</f>
        <v>Ingeniería</v>
      </c>
      <c r="I721" s="2" t="str">
        <f>IFERROR(__xludf.DUMMYFUNCTION("""COMPUTED_VALUE"""),"Tecnologías Industriales, Ingeniería Mecánica, Diseño Industrial + Ingeniería Mecánica")</f>
        <v>Tecnologías Industriales, Ingeniería Mecánica, Diseño Industrial + Ingeniería Mecánica</v>
      </c>
      <c r="J721" s="2" t="str">
        <f>IFERROR(__xludf.DUMMYFUNCTION("""COMPUTED_VALUE"""),"Grado")</f>
        <v>Grado</v>
      </c>
      <c r="K721" s="2" t="str">
        <f>IFERROR(__xludf.DUMMYFUNCTION("""COMPUTED_VALUE"""),"Inglés")</f>
        <v>Inglés</v>
      </c>
      <c r="L721" s="2" t="str">
        <f>IFERROR(__xludf.DUMMYFUNCTION("""COMPUTED_VALUE"""),"B2")</f>
        <v>B2</v>
      </c>
      <c r="M721" s="2" t="str">
        <f>IFERROR(__xludf.DUMMYFUNCTION("""COMPUTED_VALUE"""),"Si")</f>
        <v>Si</v>
      </c>
      <c r="N721" s="3" t="str">
        <f>IFERROR(__xludf.DUMMYFUNCTION("""COMPUTED_VALUE"""),"https://www.cwm.pw.edu.pl/index.php/en/Education-programmes/Bilateral-exchange/Incoming-students")</f>
        <v>https://www.cwm.pw.edu.pl/index.php/en/Education-programmes/Bilateral-exchange/Incoming-students</v>
      </c>
      <c r="O721" s="3" t="str">
        <f>IFERROR(__xludf.DUMMYFUNCTION("""COMPUTED_VALUE"""),"Más información / Informazio gehigarria")</f>
        <v>Más información / Informazio gehigarria</v>
      </c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30.0" customHeight="1">
      <c r="A722" s="2" t="str">
        <f>IFERROR(__xludf.DUMMYFUNCTION("""COMPUTED_VALUE"""),"Polonia")</f>
        <v>Polonia</v>
      </c>
      <c r="B722" s="2" t="str">
        <f>IFERROR(__xludf.DUMMYFUNCTION("""COMPUTED_VALUE"""),"PL POZNAN19")</f>
        <v>PL POZNAN19</v>
      </c>
      <c r="C722" s="3" t="str">
        <f>IFERROR(__xludf.DUMMYFUNCTION("""COMPUTED_VALUE"""),"Poznan College of Modern Languages")</f>
        <v>Poznan College of Modern Languages</v>
      </c>
      <c r="D722" s="2" t="str">
        <f>IFERROR(__xludf.DUMMYFUNCTION("""COMPUTED_VALUE"""),"Erasmus+")</f>
        <v>Erasmus+</v>
      </c>
      <c r="E722" s="2">
        <f>IFERROR(__xludf.DUMMYFUNCTION("""COMPUTED_VALUE"""),2.0)</f>
        <v>2</v>
      </c>
      <c r="F722" s="2" t="str">
        <f>IFERROR(__xludf.DUMMYFUNCTION("""COMPUTED_VALUE"""),"Anual")</f>
        <v>Anual</v>
      </c>
      <c r="G722" s="2" t="str">
        <f>IFERROR(__xludf.DUMMYFUNCTION("""COMPUTED_VALUE"""),"Bilbao")</f>
        <v>Bilbao</v>
      </c>
      <c r="H722" s="2" t="str">
        <f>IFERROR(__xludf.DUMMYFUNCTION("""COMPUTED_VALUE"""),"Ciencias Sociales y Humanas")</f>
        <v>Ciencias Sociales y Humanas</v>
      </c>
      <c r="I722" s="2" t="str">
        <f>IFERROR(__xludf.DUMMYFUNCTION("""COMPUTED_VALUE"""),"Lenguas Modernas")</f>
        <v>Lenguas Modernas</v>
      </c>
      <c r="J722" s="2" t="str">
        <f>IFERROR(__xludf.DUMMYFUNCTION("""COMPUTED_VALUE"""),"Grado")</f>
        <v>Grado</v>
      </c>
      <c r="K722" s="2" t="str">
        <f>IFERROR(__xludf.DUMMYFUNCTION("""COMPUTED_VALUE"""),"Inglés")</f>
        <v>Inglés</v>
      </c>
      <c r="L722" s="2" t="str">
        <f>IFERROR(__xludf.DUMMYFUNCTION("""COMPUTED_VALUE"""),"B2")</f>
        <v>B2</v>
      </c>
      <c r="M722" s="2" t="str">
        <f>IFERROR(__xludf.DUMMYFUNCTION("""COMPUTED_VALUE"""),"No")</f>
        <v>No</v>
      </c>
      <c r="N722" s="2"/>
      <c r="O722" s="2" t="str">
        <f>IFERROR(__xludf.DUMMYFUNCTION("""COMPUTED_VALUE"""),"Más información / Informazio gehigarria")</f>
        <v>Más información / Informazio gehigarria</v>
      </c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30.0" customHeight="1">
      <c r="A723" s="2" t="str">
        <f>IFERROR(__xludf.DUMMYFUNCTION("""COMPUTED_VALUE"""),"Polonia")</f>
        <v>Polonia</v>
      </c>
      <c r="B723" s="2" t="str">
        <f>IFERROR(__xludf.DUMMYFUNCTION("""COMPUTED_VALUE"""),"PL POZNAN19")</f>
        <v>PL POZNAN19</v>
      </c>
      <c r="C723" s="3" t="str">
        <f>IFERROR(__xludf.DUMMYFUNCTION("""COMPUTED_VALUE"""),"Poznan College of Modern Languages")</f>
        <v>Poznan College of Modern Languages</v>
      </c>
      <c r="D723" s="2" t="str">
        <f>IFERROR(__xludf.DUMMYFUNCTION("""COMPUTED_VALUE"""),"Erasmus+")</f>
        <v>Erasmus+</v>
      </c>
      <c r="E723" s="2">
        <f>IFERROR(__xludf.DUMMYFUNCTION("""COMPUTED_VALUE"""),2.0)</f>
        <v>2</v>
      </c>
      <c r="F723" s="2" t="str">
        <f>IFERROR(__xludf.DUMMYFUNCTION("""COMPUTED_VALUE"""),"Semestre")</f>
        <v>Semestre</v>
      </c>
      <c r="G723" s="2" t="str">
        <f>IFERROR(__xludf.DUMMYFUNCTION("""COMPUTED_VALUE"""),"Bilbao")</f>
        <v>Bilbao</v>
      </c>
      <c r="H723" s="2" t="str">
        <f>IFERROR(__xludf.DUMMYFUNCTION("""COMPUTED_VALUE"""),"Ciencias Sociales y Humanas")</f>
        <v>Ciencias Sociales y Humanas</v>
      </c>
      <c r="I723" s="2" t="str">
        <f>IFERROR(__xludf.DUMMYFUNCTION("""COMPUTED_VALUE"""),"Lenguas Modernas y Gestión, Lengua y Cultura Vasca + Lenguas Modernas, Euskal Hizkuntza eta Kultura")</f>
        <v>Lenguas Modernas y Gestión, Lengua y Cultura Vasca + Lenguas Modernas, Euskal Hizkuntza eta Kultura</v>
      </c>
      <c r="J723" s="2" t="str">
        <f>IFERROR(__xludf.DUMMYFUNCTION("""COMPUTED_VALUE"""),"Grado")</f>
        <v>Grado</v>
      </c>
      <c r="K723" s="2" t="str">
        <f>IFERROR(__xludf.DUMMYFUNCTION("""COMPUTED_VALUE"""),"Inglés")</f>
        <v>Inglés</v>
      </c>
      <c r="L723" s="2" t="str">
        <f>IFERROR(__xludf.DUMMYFUNCTION("""COMPUTED_VALUE"""),"B2")</f>
        <v>B2</v>
      </c>
      <c r="M723" s="2" t="str">
        <f>IFERROR(__xludf.DUMMYFUNCTION("""COMPUTED_VALUE"""),"No")</f>
        <v>No</v>
      </c>
      <c r="N723" s="2"/>
      <c r="O723" s="2" t="str">
        <f>IFERROR(__xludf.DUMMYFUNCTION("""COMPUTED_VALUE"""),"Más información / Informazio gehigarria")</f>
        <v>Más información / Informazio gehigarria</v>
      </c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30.0" customHeight="1">
      <c r="A724" s="2" t="str">
        <f>IFERROR(__xludf.DUMMYFUNCTION("""COMPUTED_VALUE"""),"Polonia")</f>
        <v>Polonia</v>
      </c>
      <c r="B724" s="2" t="str">
        <f>IFERROR(__xludf.DUMMYFUNCTION("""COMPUTED_VALUE"""),"PL LUBLIN02")</f>
        <v>PL LUBLIN02</v>
      </c>
      <c r="C724" s="3" t="str">
        <f>IFERROR(__xludf.DUMMYFUNCTION("""COMPUTED_VALUE"""),"The John Paul II Catholic Univeristy of Lublin")</f>
        <v>The John Paul II Catholic Univeristy of Lublin</v>
      </c>
      <c r="D724" s="2" t="str">
        <f>IFERROR(__xludf.DUMMYFUNCTION("""COMPUTED_VALUE"""),"Erasmus+")</f>
        <v>Erasmus+</v>
      </c>
      <c r="E724" s="2">
        <f>IFERROR(__xludf.DUMMYFUNCTION("""COMPUTED_VALUE"""),2.0)</f>
        <v>2</v>
      </c>
      <c r="F724" s="2" t="str">
        <f>IFERROR(__xludf.DUMMYFUNCTION("""COMPUTED_VALUE"""),"Semestre")</f>
        <v>Semestre</v>
      </c>
      <c r="G724" s="2" t="str">
        <f>IFERROR(__xludf.DUMMYFUNCTION("""COMPUTED_VALUE"""),"Ambos")</f>
        <v>Ambos</v>
      </c>
      <c r="H724" s="2" t="str">
        <f>IFERROR(__xludf.DUMMYFUNCTION("""COMPUTED_VALUE"""),"Educación y Deporte")</f>
        <v>Educación y Deporte</v>
      </c>
      <c r="I724" s="2" t="str">
        <f>IFERROR(__xludf.DUMMYFUNCTION("""COMPUTED_VALUE"""),"Educación Primaria")</f>
        <v>Educación Primaria</v>
      </c>
      <c r="J724" s="2" t="str">
        <f>IFERROR(__xludf.DUMMYFUNCTION("""COMPUTED_VALUE"""),"Grado")</f>
        <v>Grado</v>
      </c>
      <c r="K724" s="2" t="str">
        <f>IFERROR(__xludf.DUMMYFUNCTION("""COMPUTED_VALUE"""),"Inglés")</f>
        <v>Inglés</v>
      </c>
      <c r="L724" s="2" t="str">
        <f>IFERROR(__xludf.DUMMYFUNCTION("""COMPUTED_VALUE"""),"B2")</f>
        <v>B2</v>
      </c>
      <c r="M724" s="2" t="str">
        <f>IFERROR(__xludf.DUMMYFUNCTION("""COMPUTED_VALUE"""),"Si")</f>
        <v>Si</v>
      </c>
      <c r="N724" s="3" t="str">
        <f>IFERROR(__xludf.DUMMYFUNCTION("""COMPUTED_VALUE"""),"https://www.kul.pl/how-to-apply,art_824.html")</f>
        <v>https://www.kul.pl/how-to-apply,art_824.html</v>
      </c>
      <c r="O724" s="3" t="str">
        <f>IFERROR(__xludf.DUMMYFUNCTION("""COMPUTED_VALUE"""),"Más información / Informazio gehigarria")</f>
        <v>Más información / Informazio gehigarria</v>
      </c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30.0" customHeight="1">
      <c r="A725" s="2" t="str">
        <f>IFERROR(__xludf.DUMMYFUNCTION("""COMPUTED_VALUE"""),"Polonia")</f>
        <v>Polonia</v>
      </c>
      <c r="B725" s="2" t="str">
        <f>IFERROR(__xludf.DUMMYFUNCTION("""COMPUTED_VALUE"""),"PL LUBLIN02")</f>
        <v>PL LUBLIN02</v>
      </c>
      <c r="C725" s="3" t="str">
        <f>IFERROR(__xludf.DUMMYFUNCTION("""COMPUTED_VALUE"""),"The John Paul II Catholic Univeristy of Lublin")</f>
        <v>The John Paul II Catholic Univeristy of Lublin</v>
      </c>
      <c r="D725" s="2" t="str">
        <f>IFERROR(__xludf.DUMMYFUNCTION("""COMPUTED_VALUE"""),"Erasmus+")</f>
        <v>Erasmus+</v>
      </c>
      <c r="E725" s="2">
        <f>IFERROR(__xludf.DUMMYFUNCTION("""COMPUTED_VALUE"""),2.0)</f>
        <v>2</v>
      </c>
      <c r="F725" s="2" t="str">
        <f>IFERROR(__xludf.DUMMYFUNCTION("""COMPUTED_VALUE"""),"Semestre")</f>
        <v>Semestre</v>
      </c>
      <c r="G725" s="2" t="str">
        <f>IFERROR(__xludf.DUMMYFUNCTION("""COMPUTED_VALUE"""),"Bilbao")</f>
        <v>Bilbao</v>
      </c>
      <c r="H725" s="2" t="str">
        <f>IFERROR(__xludf.DUMMYFUNCTION("""COMPUTED_VALUE"""),"Educación y Deporte")</f>
        <v>Educación y Deporte</v>
      </c>
      <c r="I725" s="2" t="str">
        <f>IFERROR(__xludf.DUMMYFUNCTION("""COMPUTED_VALUE"""),"Educación Social")</f>
        <v>Educación Social</v>
      </c>
      <c r="J725" s="2" t="str">
        <f>IFERROR(__xludf.DUMMYFUNCTION("""COMPUTED_VALUE"""),"Grado")</f>
        <v>Grado</v>
      </c>
      <c r="K725" s="2" t="str">
        <f>IFERROR(__xludf.DUMMYFUNCTION("""COMPUTED_VALUE"""),"Inglés")</f>
        <v>Inglés</v>
      </c>
      <c r="L725" s="2" t="str">
        <f>IFERROR(__xludf.DUMMYFUNCTION("""COMPUTED_VALUE"""),"B2")</f>
        <v>B2</v>
      </c>
      <c r="M725" s="2" t="str">
        <f>IFERROR(__xludf.DUMMYFUNCTION("""COMPUTED_VALUE"""),"Sí")</f>
        <v>Sí</v>
      </c>
      <c r="N725" s="3" t="str">
        <f>IFERROR(__xludf.DUMMYFUNCTION("""COMPUTED_VALUE"""),"https://www.kul.pl/how-to-apply,art_824.html")</f>
        <v>https://www.kul.pl/how-to-apply,art_824.html</v>
      </c>
      <c r="O725" s="3" t="str">
        <f>IFERROR(__xludf.DUMMYFUNCTION("""COMPUTED_VALUE"""),"Más información / Informazio gehigarria")</f>
        <v>Más información / Informazio gehigarria</v>
      </c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30.0" customHeight="1">
      <c r="A726" s="2" t="str">
        <f>IFERROR(__xludf.DUMMYFUNCTION("""COMPUTED_VALUE"""),"Polonia")</f>
        <v>Polonia</v>
      </c>
      <c r="B726" s="2" t="str">
        <f>IFERROR(__xludf.DUMMYFUNCTION("""COMPUTED_VALUE"""),"PL LUBLIN02")</f>
        <v>PL LUBLIN02</v>
      </c>
      <c r="C726" s="3" t="str">
        <f>IFERROR(__xludf.DUMMYFUNCTION("""COMPUTED_VALUE"""),"The John Paul II Catholic Univeristy of Lublin")</f>
        <v>The John Paul II Catholic Univeristy of Lublin</v>
      </c>
      <c r="D726" s="2" t="str">
        <f>IFERROR(__xludf.DUMMYFUNCTION("""COMPUTED_VALUE"""),"Erasmus+")</f>
        <v>Erasmus+</v>
      </c>
      <c r="E726" s="2">
        <f>IFERROR(__xludf.DUMMYFUNCTION("""COMPUTED_VALUE"""),1.0)</f>
        <v>1</v>
      </c>
      <c r="F726" s="2" t="str">
        <f>IFERROR(__xludf.DUMMYFUNCTION("""COMPUTED_VALUE"""),"Semestre")</f>
        <v>Semestre</v>
      </c>
      <c r="G726" s="2" t="str">
        <f>IFERROR(__xludf.DUMMYFUNCTION("""COMPUTED_VALUE"""),"Ambos")</f>
        <v>Ambos</v>
      </c>
      <c r="H726" s="2" t="str">
        <f>IFERROR(__xludf.DUMMYFUNCTION("""COMPUTED_VALUE"""),"Ciencias Sociales y Humanas")</f>
        <v>Ciencias Sociales y Humanas</v>
      </c>
      <c r="I726" s="2" t="str">
        <f>IFERROR(__xludf.DUMMYFUNCTION("""COMPUTED_VALUE"""),"Trabajo Social")</f>
        <v>Trabajo Social</v>
      </c>
      <c r="J726" s="2" t="str">
        <f>IFERROR(__xludf.DUMMYFUNCTION("""COMPUTED_VALUE"""),"Grado")</f>
        <v>Grado</v>
      </c>
      <c r="K726" s="2" t="str">
        <f>IFERROR(__xludf.DUMMYFUNCTION("""COMPUTED_VALUE"""),"Inglés")</f>
        <v>Inglés</v>
      </c>
      <c r="L726" s="2" t="str">
        <f>IFERROR(__xludf.DUMMYFUNCTION("""COMPUTED_VALUE"""),"B2")</f>
        <v>B2</v>
      </c>
      <c r="M726" s="2" t="str">
        <f>IFERROR(__xludf.DUMMYFUNCTION("""COMPUTED_VALUE"""),"Sí")</f>
        <v>Sí</v>
      </c>
      <c r="N726" s="3" t="str">
        <f>IFERROR(__xludf.DUMMYFUNCTION("""COMPUTED_VALUE"""),"https://www.kul.pl/how-to-apply,art_824.html")</f>
        <v>https://www.kul.pl/how-to-apply,art_824.html</v>
      </c>
      <c r="O726" s="3" t="str">
        <f>IFERROR(__xludf.DUMMYFUNCTION("""COMPUTED_VALUE"""),"Más información / Informazio gehigarria")</f>
        <v>Más información / Informazio gehigarria</v>
      </c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30.0" customHeight="1">
      <c r="A727" s="2" t="str">
        <f>IFERROR(__xludf.DUMMYFUNCTION("""COMPUTED_VALUE"""),"Polonia")</f>
        <v>Polonia</v>
      </c>
      <c r="B727" s="2" t="str">
        <f>IFERROR(__xludf.DUMMYFUNCTION("""COMPUTED_VALUE"""),"PL SZCZECI01")</f>
        <v>PL SZCZECI01</v>
      </c>
      <c r="C727" s="3" t="str">
        <f>IFERROR(__xludf.DUMMYFUNCTION("""COMPUTED_VALUE"""),"The University of Szczecin")</f>
        <v>The University of Szczecin</v>
      </c>
      <c r="D727" s="2" t="str">
        <f>IFERROR(__xludf.DUMMYFUNCTION("""COMPUTED_VALUE"""),"Erasmus+")</f>
        <v>Erasmus+</v>
      </c>
      <c r="E727" s="2">
        <f>IFERROR(__xludf.DUMMYFUNCTION("""COMPUTED_VALUE"""),1.0)</f>
        <v>1</v>
      </c>
      <c r="F727" s="2" t="str">
        <f>IFERROR(__xludf.DUMMYFUNCTION("""COMPUTED_VALUE"""),"Anual")</f>
        <v>Anual</v>
      </c>
      <c r="G727" s="2" t="str">
        <f>IFERROR(__xludf.DUMMYFUNCTION("""COMPUTED_VALUE"""),"Bilbao")</f>
        <v>Bilbao</v>
      </c>
      <c r="H727" s="2" t="str">
        <f>IFERROR(__xludf.DUMMYFUNCTION("""COMPUTED_VALUE"""),"Ciencias Sociales y Humanas")</f>
        <v>Ciencias Sociales y Humanas</v>
      </c>
      <c r="I727" s="2" t="str">
        <f>IFERROR(__xludf.DUMMYFUNCTION("""COMPUTED_VALUE"""),"Relaciones Internacionales, Relaciones Internacionales + Derecho")</f>
        <v>Relaciones Internacionales, Relaciones Internacionales + Derecho</v>
      </c>
      <c r="J727" s="2" t="str">
        <f>IFERROR(__xludf.DUMMYFUNCTION("""COMPUTED_VALUE"""),"Grado")</f>
        <v>Grado</v>
      </c>
      <c r="K727" s="2" t="str">
        <f>IFERROR(__xludf.DUMMYFUNCTION("""COMPUTED_VALUE"""),"Inglés")</f>
        <v>Inglés</v>
      </c>
      <c r="L727" s="2" t="str">
        <f>IFERROR(__xludf.DUMMYFUNCTION("""COMPUTED_VALUE"""),"B2")</f>
        <v>B2</v>
      </c>
      <c r="M727" s="2" t="str">
        <f>IFERROR(__xludf.DUMMYFUNCTION("""COMPUTED_VALUE"""),"Sí")</f>
        <v>Sí</v>
      </c>
      <c r="N727" s="3" t="str">
        <f>IFERROR(__xludf.DUMMYFUNCTION("""COMPUTED_VALUE"""),"https://dsm.usz.edu.pl/en/erasmus-plus/programme-countries/incoming-students/")</f>
        <v>https://dsm.usz.edu.pl/en/erasmus-plus/programme-countries/incoming-students/</v>
      </c>
      <c r="O727" s="3" t="str">
        <f>IFERROR(__xludf.DUMMYFUNCTION("""COMPUTED_VALUE"""),"Más información / Informazio gehigarria")</f>
        <v>Más información / Informazio gehigarria</v>
      </c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30.0" customHeight="1">
      <c r="A728" s="2" t="str">
        <f>IFERROR(__xludf.DUMMYFUNCTION("""COMPUTED_VALUE"""),"Polonia")</f>
        <v>Polonia</v>
      </c>
      <c r="B728" s="2" t="str">
        <f>IFERROR(__xludf.DUMMYFUNCTION("""COMPUTED_VALUE"""),"PL LODZ01")</f>
        <v>PL LODZ01</v>
      </c>
      <c r="C728" s="3" t="str">
        <f>IFERROR(__xludf.DUMMYFUNCTION("""COMPUTED_VALUE"""),"University of Lodz")</f>
        <v>University of Lodz</v>
      </c>
      <c r="D728" s="2" t="str">
        <f>IFERROR(__xludf.DUMMYFUNCTION("""COMPUTED_VALUE"""),"Erasmus+")</f>
        <v>Erasmus+</v>
      </c>
      <c r="E728" s="2">
        <f>IFERROR(__xludf.DUMMYFUNCTION("""COMPUTED_VALUE"""),2.0)</f>
        <v>2</v>
      </c>
      <c r="F728" s="2" t="str">
        <f>IFERROR(__xludf.DUMMYFUNCTION("""COMPUTED_VALUE"""),"Semestre")</f>
        <v>Semestre</v>
      </c>
      <c r="G728" s="2" t="str">
        <f>IFERROR(__xludf.DUMMYFUNCTION("""COMPUTED_VALUE"""),"Bilbao")</f>
        <v>Bilbao</v>
      </c>
      <c r="H728" s="2" t="str">
        <f>IFERROR(__xludf.DUMMYFUNCTION("""COMPUTED_VALUE"""),"Derecho")</f>
        <v>Derecho</v>
      </c>
      <c r="I728" s="2" t="str">
        <f>IFERROR(__xludf.DUMMYFUNCTION("""COMPUTED_VALUE"""),"Derecho, Derecho + Relaciones Laborales")</f>
        <v>Derecho, Derecho + Relaciones Laborales</v>
      </c>
      <c r="J728" s="2" t="str">
        <f>IFERROR(__xludf.DUMMYFUNCTION("""COMPUTED_VALUE"""),"Grado")</f>
        <v>Grado</v>
      </c>
      <c r="K728" s="2" t="str">
        <f>IFERROR(__xludf.DUMMYFUNCTION("""COMPUTED_VALUE"""),"Inglés")</f>
        <v>Inglés</v>
      </c>
      <c r="L728" s="2" t="str">
        <f>IFERROR(__xludf.DUMMYFUNCTION("""COMPUTED_VALUE"""),"B2")</f>
        <v>B2</v>
      </c>
      <c r="M728" s="2" t="str">
        <f>IFERROR(__xludf.DUMMYFUNCTION("""COMPUTED_VALUE"""),"No")</f>
        <v>No</v>
      </c>
      <c r="N728" s="3" t="str">
        <f>IFERROR(__xludf.DUMMYFUNCTION("""COMPUTED_VALUE"""),"https://eurep.auth.gr/sites/default/files/fact_sheets/PL_LODZ01_Factsheet.pdf")</f>
        <v>https://eurep.auth.gr/sites/default/files/fact_sheets/PL_LODZ01_Factsheet.pdf</v>
      </c>
      <c r="O728" s="3" t="str">
        <f>IFERROR(__xludf.DUMMYFUNCTION("""COMPUTED_VALUE"""),"Más información / Informazio gehigarria")</f>
        <v>Más información / Informazio gehigarria</v>
      </c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30.0" customHeight="1">
      <c r="A729" s="2" t="str">
        <f>IFERROR(__xludf.DUMMYFUNCTION("""COMPUTED_VALUE"""),"Polonia")</f>
        <v>Polonia</v>
      </c>
      <c r="B729" s="2" t="str">
        <f>IFERROR(__xludf.DUMMYFUNCTION("""COMPUTED_VALUE"""),"PL LODZ01")</f>
        <v>PL LODZ01</v>
      </c>
      <c r="C729" s="3" t="str">
        <f>IFERROR(__xludf.DUMMYFUNCTION("""COMPUTED_VALUE"""),"University of Lodz")</f>
        <v>University of Lodz</v>
      </c>
      <c r="D729" s="2" t="str">
        <f>IFERROR(__xludf.DUMMYFUNCTION("""COMPUTED_VALUE"""),"Erasmus+")</f>
        <v>Erasmus+</v>
      </c>
      <c r="E729" s="2">
        <f>IFERROR(__xludf.DUMMYFUNCTION("""COMPUTED_VALUE"""),2.0)</f>
        <v>2</v>
      </c>
      <c r="F729" s="2" t="str">
        <f>IFERROR(__xludf.DUMMYFUNCTION("""COMPUTED_VALUE"""),"Anual")</f>
        <v>Anual</v>
      </c>
      <c r="G729" s="2" t="str">
        <f>IFERROR(__xludf.DUMMYFUNCTION("""COMPUTED_VALUE"""),"Bilbao")</f>
        <v>Bilbao</v>
      </c>
      <c r="H729" s="2" t="str">
        <f>IFERROR(__xludf.DUMMYFUNCTION("""COMPUTED_VALUE"""),"Ciencias Sociales y Humanas")</f>
        <v>Ciencias Sociales y Humanas</v>
      </c>
      <c r="I729" s="2" t="str">
        <f>IFERROR(__xludf.DUMMYFUNCTION("""COMPUTED_VALUE"""),"Relaciones Internacionales")</f>
        <v>Relaciones Internacionales</v>
      </c>
      <c r="J729" s="2" t="str">
        <f>IFERROR(__xludf.DUMMYFUNCTION("""COMPUTED_VALUE"""),"Grado")</f>
        <v>Grado</v>
      </c>
      <c r="K729" s="2" t="str">
        <f>IFERROR(__xludf.DUMMYFUNCTION("""COMPUTED_VALUE"""),"Inglés")</f>
        <v>Inglés</v>
      </c>
      <c r="L729" s="2" t="str">
        <f>IFERROR(__xludf.DUMMYFUNCTION("""COMPUTED_VALUE"""),"B2")</f>
        <v>B2</v>
      </c>
      <c r="M729" s="2" t="str">
        <f>IFERROR(__xludf.DUMMYFUNCTION("""COMPUTED_VALUE"""),"No")</f>
        <v>No</v>
      </c>
      <c r="N729" s="3" t="str">
        <f>IFERROR(__xludf.DUMMYFUNCTION("""COMPUTED_VALUE"""),"https://eurep.auth.gr/sites/default/files/fact_sheets/PL_LODZ01_Factsheet.pdf")</f>
        <v>https://eurep.auth.gr/sites/default/files/fact_sheets/PL_LODZ01_Factsheet.pdf</v>
      </c>
      <c r="O729" s="3" t="str">
        <f>IFERROR(__xludf.DUMMYFUNCTION("""COMPUTED_VALUE"""),"Más información / Informazio gehigarria")</f>
        <v>Más información / Informazio gehigarria</v>
      </c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30.0" customHeight="1">
      <c r="A730" s="2" t="str">
        <f>IFERROR(__xludf.DUMMYFUNCTION("""COMPUTED_VALUE"""),"Polonia")</f>
        <v>Polonia</v>
      </c>
      <c r="B730" s="2" t="str">
        <f>IFERROR(__xludf.DUMMYFUNCTION("""COMPUTED_VALUE"""),"PL LODZ01")</f>
        <v>PL LODZ01</v>
      </c>
      <c r="C730" s="3" t="str">
        <f>IFERROR(__xludf.DUMMYFUNCTION("""COMPUTED_VALUE"""),"University of Lodz")</f>
        <v>University of Lodz</v>
      </c>
      <c r="D730" s="2" t="str">
        <f>IFERROR(__xludf.DUMMYFUNCTION("""COMPUTED_VALUE"""),"Erasmus+")</f>
        <v>Erasmus+</v>
      </c>
      <c r="E730" s="2">
        <f>IFERROR(__xludf.DUMMYFUNCTION("""COMPUTED_VALUE"""),2.0)</f>
        <v>2</v>
      </c>
      <c r="F730" s="2" t="str">
        <f>IFERROR(__xludf.DUMMYFUNCTION("""COMPUTED_VALUE"""),"Semestre")</f>
        <v>Semestre</v>
      </c>
      <c r="G730" s="2" t="str">
        <f>IFERROR(__xludf.DUMMYFUNCTION("""COMPUTED_VALUE"""),"Bilbao")</f>
        <v>Bilbao</v>
      </c>
      <c r="H730" s="2" t="str">
        <f>IFERROR(__xludf.DUMMYFUNCTION("""COMPUTED_VALUE"""),"Ciencias Sociales y Humanas")</f>
        <v>Ciencias Sociales y Humanas</v>
      </c>
      <c r="I730" s="2" t="str">
        <f>IFERROR(__xludf.DUMMYFUNCTION("""COMPUTED_VALUE"""),"Relaciones Internacionales + Derecho")</f>
        <v>Relaciones Internacionales + Derecho</v>
      </c>
      <c r="J730" s="2" t="str">
        <f>IFERROR(__xludf.DUMMYFUNCTION("""COMPUTED_VALUE"""),"Grado")</f>
        <v>Grado</v>
      </c>
      <c r="K730" s="2" t="str">
        <f>IFERROR(__xludf.DUMMYFUNCTION("""COMPUTED_VALUE"""),"Inglés")</f>
        <v>Inglés</v>
      </c>
      <c r="L730" s="2" t="str">
        <f>IFERROR(__xludf.DUMMYFUNCTION("""COMPUTED_VALUE"""),"B2")</f>
        <v>B2</v>
      </c>
      <c r="M730" s="2" t="str">
        <f>IFERROR(__xludf.DUMMYFUNCTION("""COMPUTED_VALUE"""),"No")</f>
        <v>No</v>
      </c>
      <c r="N730" s="3" t="str">
        <f>IFERROR(__xludf.DUMMYFUNCTION("""COMPUTED_VALUE"""),"https://eurep.auth.gr/sites/default/files/fact_sheets/PL_LODZ01_Factsheet.pdf")</f>
        <v>https://eurep.auth.gr/sites/default/files/fact_sheets/PL_LODZ01_Factsheet.pdf</v>
      </c>
      <c r="O730" s="3" t="str">
        <f>IFERROR(__xludf.DUMMYFUNCTION("""COMPUTED_VALUE"""),"Más información / Informazio gehigarria")</f>
        <v>Más información / Informazio gehigarria</v>
      </c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30.0" customHeight="1">
      <c r="A731" s="2" t="str">
        <f>IFERROR(__xludf.DUMMYFUNCTION("""COMPUTED_VALUE"""),"Polonia")</f>
        <v>Polonia</v>
      </c>
      <c r="B731" s="2" t="str">
        <f>IFERROR(__xludf.DUMMYFUNCTION("""COMPUTED_VALUE"""),"PL POZNAN08")</f>
        <v>PL POZNAN08</v>
      </c>
      <c r="C731" s="3" t="str">
        <f>IFERROR(__xludf.DUMMYFUNCTION("""COMPUTED_VALUE"""),"University of Physical Education Poznan")</f>
        <v>University of Physical Education Poznan</v>
      </c>
      <c r="D731" s="2" t="str">
        <f>IFERROR(__xludf.DUMMYFUNCTION("""COMPUTED_VALUE"""),"Erasmus+")</f>
        <v>Erasmus+</v>
      </c>
      <c r="E731" s="2">
        <f>IFERROR(__xludf.DUMMYFUNCTION("""COMPUTED_VALUE"""),3.0)</f>
        <v>3</v>
      </c>
      <c r="F731" s="2" t="str">
        <f>IFERROR(__xludf.DUMMYFUNCTION("""COMPUTED_VALUE"""),"Semestre")</f>
        <v>Semestre</v>
      </c>
      <c r="G731" s="2" t="str">
        <f>IFERROR(__xludf.DUMMYFUNCTION("""COMPUTED_VALUE"""),"San Sebastián")</f>
        <v>San Sebastián</v>
      </c>
      <c r="H731" s="2" t="str">
        <f>IFERROR(__xludf.DUMMYFUNCTION("""COMPUTED_VALUE"""),"Ciencias de la Salud")</f>
        <v>Ciencias de la Salud</v>
      </c>
      <c r="I731" s="2" t="str">
        <f>IFERROR(__xludf.DUMMYFUNCTION("""COMPUTED_VALUE"""),"Fisioterapia")</f>
        <v>Fisioterapia</v>
      </c>
      <c r="J731" s="2" t="str">
        <f>IFERROR(__xludf.DUMMYFUNCTION("""COMPUTED_VALUE"""),"Grado")</f>
        <v>Grado</v>
      </c>
      <c r="K731" s="2" t="str">
        <f>IFERROR(__xludf.DUMMYFUNCTION("""COMPUTED_VALUE"""),"Polaco / Inglés")</f>
        <v>Polaco / Inglés</v>
      </c>
      <c r="L731" s="2" t="str">
        <f>IFERROR(__xludf.DUMMYFUNCTION("""COMPUTED_VALUE"""),"B2")</f>
        <v>B2</v>
      </c>
      <c r="M731" s="2" t="str">
        <f>IFERROR(__xludf.DUMMYFUNCTION("""COMPUTED_VALUE"""),"No")</f>
        <v>No</v>
      </c>
      <c r="N731" s="3" t="str">
        <f>IFERROR(__xludf.DUMMYFUNCTION("""COMPUTED_VALUE"""),"https://awf.poznan.pl/en/education/recruitment-for-studies/?highlight=exchange%20language%20requirement")</f>
        <v>https://awf.poznan.pl/en/education/recruitment-for-studies/?highlight=exchange%20language%20requirement</v>
      </c>
      <c r="O731" s="3" t="str">
        <f>IFERROR(__xludf.DUMMYFUNCTION("""COMPUTED_VALUE"""),"Más información / Informazio gehigarria")</f>
        <v>Más información / Informazio gehigarria</v>
      </c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30.0" customHeight="1">
      <c r="A732" s="2" t="str">
        <f>IFERROR(__xludf.DUMMYFUNCTION("""COMPUTED_VALUE"""),"Polonia")</f>
        <v>Polonia</v>
      </c>
      <c r="B732" s="2" t="str">
        <f>IFERROR(__xludf.DUMMYFUNCTION("""COMPUTED_VALUE"""),"PL POZNAN08")</f>
        <v>PL POZNAN08</v>
      </c>
      <c r="C732" s="3" t="str">
        <f>IFERROR(__xludf.DUMMYFUNCTION("""COMPUTED_VALUE"""),"University of Physical Education Poznan")</f>
        <v>University of Physical Education Poznan</v>
      </c>
      <c r="D732" s="2" t="str">
        <f>IFERROR(__xludf.DUMMYFUNCTION("""COMPUTED_VALUE"""),"Erasmus+")</f>
        <v>Erasmus+</v>
      </c>
      <c r="E732" s="2">
        <f>IFERROR(__xludf.DUMMYFUNCTION("""COMPUTED_VALUE"""),4.0)</f>
        <v>4</v>
      </c>
      <c r="F732" s="2" t="str">
        <f>IFERROR(__xludf.DUMMYFUNCTION("""COMPUTED_VALUE"""),"Semestre")</f>
        <v>Semestre</v>
      </c>
      <c r="G732" s="2" t="str">
        <f>IFERROR(__xludf.DUMMYFUNCTION("""COMPUTED_VALUE"""),"Bilbao")</f>
        <v>Bilbao</v>
      </c>
      <c r="H732" s="2" t="str">
        <f>IFERROR(__xludf.DUMMYFUNCTION("""COMPUTED_VALUE"""),"Ciencias Sociales y Humanas")</f>
        <v>Ciencias Sociales y Humanas</v>
      </c>
      <c r="I732" s="2" t="str">
        <f>IFERROR(__xludf.DUMMYFUNCTION("""COMPUTED_VALUE"""),"Turismo")</f>
        <v>Turismo</v>
      </c>
      <c r="J732" s="2" t="str">
        <f>IFERROR(__xludf.DUMMYFUNCTION("""COMPUTED_VALUE"""),"Grado")</f>
        <v>Grado</v>
      </c>
      <c r="K732" s="2" t="str">
        <f>IFERROR(__xludf.DUMMYFUNCTION("""COMPUTED_VALUE"""),"Polaco / Inglés")</f>
        <v>Polaco / Inglés</v>
      </c>
      <c r="L732" s="2" t="str">
        <f>IFERROR(__xludf.DUMMYFUNCTION("""COMPUTED_VALUE"""),"B2")</f>
        <v>B2</v>
      </c>
      <c r="M732" s="2" t="str">
        <f>IFERROR(__xludf.DUMMYFUNCTION("""COMPUTED_VALUE"""),"No")</f>
        <v>No</v>
      </c>
      <c r="N732" s="3" t="str">
        <f>IFERROR(__xludf.DUMMYFUNCTION("""COMPUTED_VALUE"""),"https://awf.poznan.pl/en/education/recruitment-for-studies/?highlight=exchange%20language%20requirement")</f>
        <v>https://awf.poznan.pl/en/education/recruitment-for-studies/?highlight=exchange%20language%20requirement</v>
      </c>
      <c r="O732" s="3" t="str">
        <f>IFERROR(__xludf.DUMMYFUNCTION("""COMPUTED_VALUE"""),"Más información / Informazio gehigarria")</f>
        <v>Más información / Informazio gehigarria</v>
      </c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30.0" customHeight="1">
      <c r="A733" s="2" t="str">
        <f>IFERROR(__xludf.DUMMYFUNCTION("""COMPUTED_VALUE"""),"Polonia")</f>
        <v>Polonia</v>
      </c>
      <c r="B733" s="2" t="str">
        <f>IFERROR(__xludf.DUMMYFUNCTION("""COMPUTED_VALUE"""),"PL RZESZOW02")</f>
        <v>PL RZESZOW02</v>
      </c>
      <c r="C733" s="3" t="str">
        <f>IFERROR(__xludf.DUMMYFUNCTION("""COMPUTED_VALUE"""),"University of Rzeszów")</f>
        <v>University of Rzeszów</v>
      </c>
      <c r="D733" s="2" t="str">
        <f>IFERROR(__xludf.DUMMYFUNCTION("""COMPUTED_VALUE"""),"Erasmus+")</f>
        <v>Erasmus+</v>
      </c>
      <c r="E733" s="2">
        <f>IFERROR(__xludf.DUMMYFUNCTION("""COMPUTED_VALUE"""),2.0)</f>
        <v>2</v>
      </c>
      <c r="F733" s="2" t="str">
        <f>IFERROR(__xludf.DUMMYFUNCTION("""COMPUTED_VALUE"""),"Semestre")</f>
        <v>Semestre</v>
      </c>
      <c r="G733" s="2" t="str">
        <f>IFERROR(__xludf.DUMMYFUNCTION("""COMPUTED_VALUE"""),"Bilbao")</f>
        <v>Bilbao</v>
      </c>
      <c r="H733" s="2" t="str">
        <f>IFERROR(__xludf.DUMMYFUNCTION("""COMPUTED_VALUE"""),"Educación y Deporte")</f>
        <v>Educación y Deporte</v>
      </c>
      <c r="I733" s="2" t="str">
        <f>IFERROR(__xludf.DUMMYFUNCTION("""COMPUTED_VALUE"""),"CAFyD")</f>
        <v>CAFyD</v>
      </c>
      <c r="J733" s="2" t="str">
        <f>IFERROR(__xludf.DUMMYFUNCTION("""COMPUTED_VALUE"""),"Grado")</f>
        <v>Grado</v>
      </c>
      <c r="K733" s="2" t="str">
        <f>IFERROR(__xludf.DUMMYFUNCTION("""COMPUTED_VALUE"""),"Inglés")</f>
        <v>Inglés</v>
      </c>
      <c r="L733" s="2" t="str">
        <f>IFERROR(__xludf.DUMMYFUNCTION("""COMPUTED_VALUE"""),"B2")</f>
        <v>B2</v>
      </c>
      <c r="M733" s="2" t="str">
        <f>IFERROR(__xludf.DUMMYFUNCTION("""COMPUTED_VALUE"""),"Sí")</f>
        <v>Sí</v>
      </c>
      <c r="N733" s="3" t="str">
        <f>IFERROR(__xludf.DUMMYFUNCTION("""COMPUTED_VALUE"""),"https://www.ur.edu.pl/en/information-before")</f>
        <v>https://www.ur.edu.pl/en/information-before</v>
      </c>
      <c r="O733" s="3" t="str">
        <f>IFERROR(__xludf.DUMMYFUNCTION("""COMPUTED_VALUE"""),"Más información / Informazio gehigarria")</f>
        <v>Más información / Informazio gehigarria</v>
      </c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30.0" customHeight="1">
      <c r="A734" s="2" t="str">
        <f>IFERROR(__xludf.DUMMYFUNCTION("""COMPUTED_VALUE"""),"Polonia")</f>
        <v>Polonia</v>
      </c>
      <c r="B734" s="2" t="str">
        <f>IFERROR(__xludf.DUMMYFUNCTION("""COMPUTED_VALUE"""),"PL WARSAW01")</f>
        <v>PL WARSAW01</v>
      </c>
      <c r="C734" s="3" t="str">
        <f>IFERROR(__xludf.DUMMYFUNCTION("""COMPUTED_VALUE"""),"University of Warsaw")</f>
        <v>University of Warsaw</v>
      </c>
      <c r="D734" s="2" t="str">
        <f>IFERROR(__xludf.DUMMYFUNCTION("""COMPUTED_VALUE"""),"Erasmus+")</f>
        <v>Erasmus+</v>
      </c>
      <c r="E734" s="2">
        <f>IFERROR(__xludf.DUMMYFUNCTION("""COMPUTED_VALUE"""),2.0)</f>
        <v>2</v>
      </c>
      <c r="F734" s="2" t="str">
        <f>IFERROR(__xludf.DUMMYFUNCTION("""COMPUTED_VALUE"""),"Semestre")</f>
        <v>Semestre</v>
      </c>
      <c r="G734" s="2" t="str">
        <f>IFERROR(__xludf.DUMMYFUNCTION("""COMPUTED_VALUE"""),"Bilbao")</f>
        <v>Bilbao</v>
      </c>
      <c r="H734" s="2" t="str">
        <f>IFERROR(__xludf.DUMMYFUNCTION("""COMPUTED_VALUE"""),"Derecho")</f>
        <v>Derecho</v>
      </c>
      <c r="I734" s="2" t="str">
        <f>IFERROR(__xludf.DUMMYFUNCTION("""COMPUTED_VALUE"""),"Derecho, Derecho + Relaciones Laborales")</f>
        <v>Derecho, Derecho + Relaciones Laborales</v>
      </c>
      <c r="J734" s="2" t="str">
        <f>IFERROR(__xludf.DUMMYFUNCTION("""COMPUTED_VALUE"""),"Grado")</f>
        <v>Grado</v>
      </c>
      <c r="K734" s="2" t="str">
        <f>IFERROR(__xludf.DUMMYFUNCTION("""COMPUTED_VALUE"""),"Inglés")</f>
        <v>Inglés</v>
      </c>
      <c r="L734" s="2" t="str">
        <f>IFERROR(__xludf.DUMMYFUNCTION("""COMPUTED_VALUE"""),"B2")</f>
        <v>B2</v>
      </c>
      <c r="M734" s="2" t="str">
        <f>IFERROR(__xludf.DUMMYFUNCTION("""COMPUTED_VALUE"""),"Sí")</f>
        <v>Sí</v>
      </c>
      <c r="N734" s="3" t="str">
        <f>IFERROR(__xludf.DUMMYFUNCTION("""COMPUTED_VALUE"""),"http://rekrutacja.uw.edu.pl/en/language-competence/")</f>
        <v>http://rekrutacja.uw.edu.pl/en/language-competence/</v>
      </c>
      <c r="O734" s="3" t="str">
        <f>IFERROR(__xludf.DUMMYFUNCTION("""COMPUTED_VALUE"""),"Más información / Informazio gehigarria")</f>
        <v>Más información / Informazio gehigarria</v>
      </c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30.0" customHeight="1">
      <c r="A735" s="2" t="str">
        <f>IFERROR(__xludf.DUMMYFUNCTION("""COMPUTED_VALUE"""),"Polonia")</f>
        <v>Polonia</v>
      </c>
      <c r="B735" s="2" t="str">
        <f>IFERROR(__xludf.DUMMYFUNCTION("""COMPUTED_VALUE"""),"PL WARSAW01")</f>
        <v>PL WARSAW01</v>
      </c>
      <c r="C735" s="3" t="str">
        <f>IFERROR(__xludf.DUMMYFUNCTION("""COMPUTED_VALUE"""),"University of Warsaw")</f>
        <v>University of Warsaw</v>
      </c>
      <c r="D735" s="2" t="str">
        <f>IFERROR(__xludf.DUMMYFUNCTION("""COMPUTED_VALUE"""),"Erasmus+")</f>
        <v>Erasmus+</v>
      </c>
      <c r="E735" s="2">
        <f>IFERROR(__xludf.DUMMYFUNCTION("""COMPUTED_VALUE"""),2.0)</f>
        <v>2</v>
      </c>
      <c r="F735" s="2" t="str">
        <f>IFERROR(__xludf.DUMMYFUNCTION("""COMPUTED_VALUE"""),"Anual")</f>
        <v>Anual</v>
      </c>
      <c r="G735" s="2" t="str">
        <f>IFERROR(__xludf.DUMMYFUNCTION("""COMPUTED_VALUE"""),"Bilbao")</f>
        <v>Bilbao</v>
      </c>
      <c r="H735" s="2" t="str">
        <f>IFERROR(__xludf.DUMMYFUNCTION("""COMPUTED_VALUE"""),"Ciencias de la Salud")</f>
        <v>Ciencias de la Salud</v>
      </c>
      <c r="I735" s="2" t="str">
        <f>IFERROR(__xludf.DUMMYFUNCTION("""COMPUTED_VALUE"""),"Psicología")</f>
        <v>Psicología</v>
      </c>
      <c r="J735" s="2" t="str">
        <f>IFERROR(__xludf.DUMMYFUNCTION("""COMPUTED_VALUE"""),"Grado")</f>
        <v>Grado</v>
      </c>
      <c r="K735" s="2" t="str">
        <f>IFERROR(__xludf.DUMMYFUNCTION("""COMPUTED_VALUE"""),"Inglés")</f>
        <v>Inglés</v>
      </c>
      <c r="L735" s="2" t="str">
        <f>IFERROR(__xludf.DUMMYFUNCTION("""COMPUTED_VALUE"""),"B2")</f>
        <v>B2</v>
      </c>
      <c r="M735" s="2" t="str">
        <f>IFERROR(__xludf.DUMMYFUNCTION("""COMPUTED_VALUE"""),"Sí")</f>
        <v>Sí</v>
      </c>
      <c r="N735" s="3" t="str">
        <f>IFERROR(__xludf.DUMMYFUNCTION("""COMPUTED_VALUE"""),"http://rekrutacja.uw.edu.pl/en/language-competence/")</f>
        <v>http://rekrutacja.uw.edu.pl/en/language-competence/</v>
      </c>
      <c r="O735" s="3" t="str">
        <f>IFERROR(__xludf.DUMMYFUNCTION("""COMPUTED_VALUE"""),"Más información / Informazio gehigarria")</f>
        <v>Más información / Informazio gehigarria</v>
      </c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30.0" customHeight="1">
      <c r="A736" s="2" t="str">
        <f>IFERROR(__xludf.DUMMYFUNCTION("""COMPUTED_VALUE"""),"Polonia")</f>
        <v>Polonia</v>
      </c>
      <c r="B736" s="2" t="str">
        <f>IFERROR(__xludf.DUMMYFUNCTION("""COMPUTED_VALUE"""),"PL WARSAW01")</f>
        <v>PL WARSAW01</v>
      </c>
      <c r="C736" s="3" t="str">
        <f>IFERROR(__xludf.DUMMYFUNCTION("""COMPUTED_VALUE"""),"University of Warsaw")</f>
        <v>University of Warsaw</v>
      </c>
      <c r="D736" s="2" t="str">
        <f>IFERROR(__xludf.DUMMYFUNCTION("""COMPUTED_VALUE"""),"Erasmus+")</f>
        <v>Erasmus+</v>
      </c>
      <c r="E736" s="2">
        <f>IFERROR(__xludf.DUMMYFUNCTION("""COMPUTED_VALUE"""),1.0)</f>
        <v>1</v>
      </c>
      <c r="F736" s="2" t="str">
        <f>IFERROR(__xludf.DUMMYFUNCTION("""COMPUTED_VALUE"""),"Anual")</f>
        <v>Anual</v>
      </c>
      <c r="G736" s="2" t="str">
        <f>IFERROR(__xludf.DUMMYFUNCTION("""COMPUTED_VALUE"""),"Bilbao")</f>
        <v>Bilbao</v>
      </c>
      <c r="H736" s="2" t="str">
        <f>IFERROR(__xludf.DUMMYFUNCTION("""COMPUTED_VALUE"""),"Ciencias Sociales y Humanas")</f>
        <v>Ciencias Sociales y Humanas</v>
      </c>
      <c r="I736" s="2" t="str">
        <f>IFERROR(__xludf.DUMMYFUNCTION("""COMPUTED_VALUE"""),"Relaciones Internacionales, Relaciones Internacionales + Derecho")</f>
        <v>Relaciones Internacionales, Relaciones Internacionales + Derecho</v>
      </c>
      <c r="J736" s="2" t="str">
        <f>IFERROR(__xludf.DUMMYFUNCTION("""COMPUTED_VALUE"""),"Grado")</f>
        <v>Grado</v>
      </c>
      <c r="K736" s="2" t="str">
        <f>IFERROR(__xludf.DUMMYFUNCTION("""COMPUTED_VALUE"""),"Inglés")</f>
        <v>Inglés</v>
      </c>
      <c r="L736" s="2" t="str">
        <f>IFERROR(__xludf.DUMMYFUNCTION("""COMPUTED_VALUE"""),"B2")</f>
        <v>B2</v>
      </c>
      <c r="M736" s="2" t="str">
        <f>IFERROR(__xludf.DUMMYFUNCTION("""COMPUTED_VALUE"""),"Sí")</f>
        <v>Sí</v>
      </c>
      <c r="N736" s="3" t="str">
        <f>IFERROR(__xludf.DUMMYFUNCTION("""COMPUTED_VALUE"""),"http://rekrutacja.uw.edu.pl/en/language-competence/")</f>
        <v>http://rekrutacja.uw.edu.pl/en/language-competence/</v>
      </c>
      <c r="O736" s="3" t="str">
        <f>IFERROR(__xludf.DUMMYFUNCTION("""COMPUTED_VALUE"""),"Más información / Informazio gehigarria")</f>
        <v>Más información / Informazio gehigarria</v>
      </c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30.0" customHeight="1">
      <c r="A737" s="2" t="str">
        <f>IFERROR(__xludf.DUMMYFUNCTION("""COMPUTED_VALUE"""),"Polonia")</f>
        <v>Polonia</v>
      </c>
      <c r="B737" s="2" t="str">
        <f>IFERROR(__xludf.DUMMYFUNCTION("""COMPUTED_VALUE"""),"PL WARSZAW03")</f>
        <v>PL WARSZAW03</v>
      </c>
      <c r="C737" s="3" t="str">
        <f>IFERROR(__xludf.DUMMYFUNCTION("""COMPUTED_VALUE"""),"Warsaw School of Economics")</f>
        <v>Warsaw School of Economics</v>
      </c>
      <c r="D737" s="2" t="str">
        <f>IFERROR(__xludf.DUMMYFUNCTION("""COMPUTED_VALUE"""),"Erasmus+")</f>
        <v>Erasmus+</v>
      </c>
      <c r="E737" s="2">
        <f>IFERROR(__xludf.DUMMYFUNCTION("""COMPUTED_VALUE"""),2.0)</f>
        <v>2</v>
      </c>
      <c r="F737" s="2" t="str">
        <f>IFERROR(__xludf.DUMMYFUNCTION("""COMPUTED_VALUE"""),"Ambos semestres")</f>
        <v>Ambos semestres</v>
      </c>
      <c r="G737" s="2" t="str">
        <f>IFERROR(__xludf.DUMMYFUNCTION("""COMPUTED_VALUE"""),"Bilbao")</f>
        <v>Bilbao</v>
      </c>
      <c r="H737" s="2" t="str">
        <f>IFERROR(__xludf.DUMMYFUNCTION("""COMPUTED_VALUE"""),"Deusto Business School")</f>
        <v>Deusto Business School</v>
      </c>
      <c r="I737" s="2" t="str">
        <f>IFERROR(__xludf.DUMMYFUNCTION("""COMPUTED_VALUE"""),"Administración y Dirección de Empresas")</f>
        <v>Administración y Dirección de Empresas</v>
      </c>
      <c r="J737" s="2" t="str">
        <f>IFERROR(__xludf.DUMMYFUNCTION("""COMPUTED_VALUE"""),"Grado")</f>
        <v>Grado</v>
      </c>
      <c r="K737" s="2" t="str">
        <f>IFERROR(__xludf.DUMMYFUNCTION("""COMPUTED_VALUE"""),"Inglés")</f>
        <v>Inglés</v>
      </c>
      <c r="L737" s="2" t="str">
        <f>IFERROR(__xludf.DUMMYFUNCTION("""COMPUTED_VALUE"""),"C1")</f>
        <v>C1</v>
      </c>
      <c r="M737" s="2" t="str">
        <f>IFERROR(__xludf.DUMMYFUNCTION("""COMPUTED_VALUE"""),"Sí")</f>
        <v>Sí</v>
      </c>
      <c r="N737" s="3" t="str">
        <f>IFERROR(__xludf.DUMMYFUNCTION("""COMPUTED_VALUE"""),"https://www.sgh.waw.pl/sites/sgh.waw.pl/files/2022-08/SGH_Fact_Sheet_2022-2023.pdf")</f>
        <v>https://www.sgh.waw.pl/sites/sgh.waw.pl/files/2022-08/SGH_Fact_Sheet_2022-2023.pdf</v>
      </c>
      <c r="O737" s="3" t="str">
        <f>IFERROR(__xludf.DUMMYFUNCTION("""COMPUTED_VALUE"""),"Más información / Informazio gehigarria")</f>
        <v>Más información / Informazio gehigarria</v>
      </c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30.0" customHeight="1">
      <c r="A738" s="2" t="str">
        <f>IFERROR(__xludf.DUMMYFUNCTION("""COMPUTED_VALUE"""),"Polonia")</f>
        <v>Polonia</v>
      </c>
      <c r="B738" s="2" t="str">
        <f>IFERROR(__xludf.DUMMYFUNCTION("""COMPUTED_VALUE"""),"PL WARSZAW03")</f>
        <v>PL WARSZAW03</v>
      </c>
      <c r="C738" s="3" t="str">
        <f>IFERROR(__xludf.DUMMYFUNCTION("""COMPUTED_VALUE"""),"Warsaw School of Economics")</f>
        <v>Warsaw School of Economics</v>
      </c>
      <c r="D738" s="2" t="str">
        <f>IFERROR(__xludf.DUMMYFUNCTION("""COMPUTED_VALUE"""),"Erasmus+")</f>
        <v>Erasmus+</v>
      </c>
      <c r="E738" s="2">
        <f>IFERROR(__xludf.DUMMYFUNCTION("""COMPUTED_VALUE"""),4.0)</f>
        <v>4</v>
      </c>
      <c r="F738" s="2" t="str">
        <f>IFERROR(__xludf.DUMMYFUNCTION("""COMPUTED_VALUE"""),"Semestre")</f>
        <v>Semestre</v>
      </c>
      <c r="G738" s="2" t="str">
        <f>IFERROR(__xludf.DUMMYFUNCTION("""COMPUTED_VALUE"""),"San Sebastián")</f>
        <v>San Sebastián</v>
      </c>
      <c r="H738" s="2" t="str">
        <f>IFERROR(__xludf.DUMMYFUNCTION("""COMPUTED_VALUE"""),"Deusto Business School")</f>
        <v>Deusto Business School</v>
      </c>
      <c r="I738" s="2" t="str">
        <f>IFERROR(__xludf.DUMMYFUNCTION("""COMPUTED_VALUE"""),"Administración y Dirección de Empresas")</f>
        <v>Administración y Dirección de Empresas</v>
      </c>
      <c r="J738" s="2" t="str">
        <f>IFERROR(__xludf.DUMMYFUNCTION("""COMPUTED_VALUE"""),"Grado")</f>
        <v>Grado</v>
      </c>
      <c r="K738" s="2" t="str">
        <f>IFERROR(__xludf.DUMMYFUNCTION("""COMPUTED_VALUE"""),"Inglés")</f>
        <v>Inglés</v>
      </c>
      <c r="L738" s="2" t="str">
        <f>IFERROR(__xludf.DUMMYFUNCTION("""COMPUTED_VALUE"""),"B2")</f>
        <v>B2</v>
      </c>
      <c r="M738" s="2" t="str">
        <f>IFERROR(__xludf.DUMMYFUNCTION("""COMPUTED_VALUE"""),"No")</f>
        <v>No</v>
      </c>
      <c r="N738" s="3" t="str">
        <f>IFERROR(__xludf.DUMMYFUNCTION("""COMPUTED_VALUE"""),"https://www.sgh.waw.pl/sites/sgh.waw.pl/files/2022-08/SGH_Fact_Sheet_2022-2023.pdf")</f>
        <v>https://www.sgh.waw.pl/sites/sgh.waw.pl/files/2022-08/SGH_Fact_Sheet_2022-2023.pdf</v>
      </c>
      <c r="O738" s="3" t="str">
        <f>IFERROR(__xludf.DUMMYFUNCTION("""COMPUTED_VALUE"""),"Más información / Informazio gehigarria")</f>
        <v>Más información / Informazio gehigarria</v>
      </c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30.0" customHeight="1">
      <c r="A739" s="2" t="str">
        <f>IFERROR(__xludf.DUMMYFUNCTION("""COMPUTED_VALUE"""),"Polonia")</f>
        <v>Polonia</v>
      </c>
      <c r="B739" s="2" t="str">
        <f>IFERROR(__xludf.DUMMYFUNCTION("""COMPUTED_VALUE"""),"PL WARSAW37")</f>
        <v>PL WARSAW37</v>
      </c>
      <c r="C739" s="3" t="str">
        <f>IFERROR(__xludf.DUMMYFUNCTION("""COMPUTED_VALUE"""),"Warsaw School of Social Sciences and Humanities")</f>
        <v>Warsaw School of Social Sciences and Humanities</v>
      </c>
      <c r="D739" s="2" t="str">
        <f>IFERROR(__xludf.DUMMYFUNCTION("""COMPUTED_VALUE"""),"Erasmus+")</f>
        <v>Erasmus+</v>
      </c>
      <c r="E739" s="2">
        <f>IFERROR(__xludf.DUMMYFUNCTION("""COMPUTED_VALUE"""),1.0)</f>
        <v>1</v>
      </c>
      <c r="F739" s="2" t="str">
        <f>IFERROR(__xludf.DUMMYFUNCTION("""COMPUTED_VALUE"""),"Anual")</f>
        <v>Anual</v>
      </c>
      <c r="G739" s="2" t="str">
        <f>IFERROR(__xludf.DUMMYFUNCTION("""COMPUTED_VALUE"""),"Bilbao")</f>
        <v>Bilbao</v>
      </c>
      <c r="H739" s="2" t="str">
        <f>IFERROR(__xludf.DUMMYFUNCTION("""COMPUTED_VALUE"""),"Ciencias de la Salud")</f>
        <v>Ciencias de la Salud</v>
      </c>
      <c r="I739" s="2" t="str">
        <f>IFERROR(__xludf.DUMMYFUNCTION("""COMPUTED_VALUE"""),"Psicología")</f>
        <v>Psicología</v>
      </c>
      <c r="J739" s="2" t="str">
        <f>IFERROR(__xludf.DUMMYFUNCTION("""COMPUTED_VALUE"""),"Grado")</f>
        <v>Grado</v>
      </c>
      <c r="K739" s="2" t="str">
        <f>IFERROR(__xludf.DUMMYFUNCTION("""COMPUTED_VALUE"""),"Inglés")</f>
        <v>Inglés</v>
      </c>
      <c r="L739" s="2" t="str">
        <f>IFERROR(__xludf.DUMMYFUNCTION("""COMPUTED_VALUE"""),"B2")</f>
        <v>B2</v>
      </c>
      <c r="M739" s="2" t="str">
        <f>IFERROR(__xludf.DUMMYFUNCTION("""COMPUTED_VALUE"""),"Sí")</f>
        <v>Sí</v>
      </c>
      <c r="N739" s="3" t="str">
        <f>IFERROR(__xludf.DUMMYFUNCTION("""COMPUTED_VALUE"""),"https://english.swps.pl/programs/apply/language-requirements")</f>
        <v>https://english.swps.pl/programs/apply/language-requirements</v>
      </c>
      <c r="O739" s="3" t="str">
        <f>IFERROR(__xludf.DUMMYFUNCTION("""COMPUTED_VALUE"""),"Más información / Informazio gehigarria")</f>
        <v>Más información / Informazio gehigarria</v>
      </c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30.0" customHeight="1">
      <c r="A740" s="2" t="str">
        <f>IFERROR(__xludf.DUMMYFUNCTION("""COMPUTED_VALUE"""),"Polonia")</f>
        <v>Polonia</v>
      </c>
      <c r="B740" s="2" t="str">
        <f>IFERROR(__xludf.DUMMYFUNCTION("""COMPUTED_VALUE"""),"PL WROCLAW02")</f>
        <v>PL WROCLAW02</v>
      </c>
      <c r="C740" s="3" t="str">
        <f>IFERROR(__xludf.DUMMYFUNCTION("""COMPUTED_VALUE"""),"Wroclaw University of Technology")</f>
        <v>Wroclaw University of Technology</v>
      </c>
      <c r="D740" s="2" t="str">
        <f>IFERROR(__xludf.DUMMYFUNCTION("""COMPUTED_VALUE"""),"Erasmus+")</f>
        <v>Erasmus+</v>
      </c>
      <c r="E740" s="2">
        <f>IFERROR(__xludf.DUMMYFUNCTION("""COMPUTED_VALUE"""),3.0)</f>
        <v>3</v>
      </c>
      <c r="F740" s="2" t="str">
        <f>IFERROR(__xludf.DUMMYFUNCTION("""COMPUTED_VALUE"""),"Semestre")</f>
        <v>Semestre</v>
      </c>
      <c r="G740" s="2" t="str">
        <f>IFERROR(__xludf.DUMMYFUNCTION("""COMPUTED_VALUE"""),"Bilbao")</f>
        <v>Bilbao</v>
      </c>
      <c r="H740" s="2" t="str">
        <f>IFERROR(__xludf.DUMMYFUNCTION("""COMPUTED_VALUE"""),"Ingeniería")</f>
        <v>Ingeniería</v>
      </c>
      <c r="I740" s="2" t="str">
        <f>IFERROR(__xludf.DUMMYFUNCTION("""COMPUTED_VALUE"""),"Ingeniería Mecánica, Tecnologías Industriales, Organización Industrial, Diseño Industrial + Ingeniería Mecánica")</f>
        <v>Ingeniería Mecánica, Tecnologías Industriales, Organización Industrial, Diseño Industrial + Ingeniería Mecánica</v>
      </c>
      <c r="J740" s="2" t="str">
        <f>IFERROR(__xludf.DUMMYFUNCTION("""COMPUTED_VALUE"""),"Grado")</f>
        <v>Grado</v>
      </c>
      <c r="K740" s="2" t="str">
        <f>IFERROR(__xludf.DUMMYFUNCTION("""COMPUTED_VALUE"""),"Inglés")</f>
        <v>Inglés</v>
      </c>
      <c r="L740" s="2" t="str">
        <f>IFERROR(__xludf.DUMMYFUNCTION("""COMPUTED_VALUE"""),"B2")</f>
        <v>B2</v>
      </c>
      <c r="M740" s="2" t="str">
        <f>IFERROR(__xludf.DUMMYFUNCTION("""COMPUTED_VALUE"""),"Sí")</f>
        <v>Sí</v>
      </c>
      <c r="N740" s="3" t="str">
        <f>IFERROR(__xludf.DUMMYFUNCTION("""COMPUTED_VALUE"""),"https://dwm.pwr.edu.pl/en/international-students/exchange-erasmus/incoming/erasmus-plus/how-to-apply")</f>
        <v>https://dwm.pwr.edu.pl/en/international-students/exchange-erasmus/incoming/erasmus-plus/how-to-apply</v>
      </c>
      <c r="O740" s="2" t="str">
        <f>IFERROR(__xludf.DUMMYFUNCTION("""COMPUTED_VALUE"""),"n/a")</f>
        <v>n/a</v>
      </c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30.0" customHeight="1">
      <c r="A741" s="2" t="str">
        <f>IFERROR(__xludf.DUMMYFUNCTION("""COMPUTED_VALUE"""),"Polonia")</f>
        <v>Polonia</v>
      </c>
      <c r="B741" s="2" t="str">
        <f>IFERROR(__xludf.DUMMYFUNCTION("""COMPUTED_VALUE"""),"PL POZNAN02")</f>
        <v>PL POZNAN02</v>
      </c>
      <c r="C741" s="3" t="str">
        <f>IFERROR(__xludf.DUMMYFUNCTION("""COMPUTED_VALUE"""),"Poznan University of Technology")</f>
        <v>Poznan University of Technology</v>
      </c>
      <c r="D741" s="2" t="str">
        <f>IFERROR(__xludf.DUMMYFUNCTION("""COMPUTED_VALUE"""),"Erasmus+")</f>
        <v>Erasmus+</v>
      </c>
      <c r="E741" s="2">
        <f>IFERROR(__xludf.DUMMYFUNCTION("""COMPUTED_VALUE"""),4.0)</f>
        <v>4</v>
      </c>
      <c r="F741" s="2" t="str">
        <f>IFERROR(__xludf.DUMMYFUNCTION("""COMPUTED_VALUE"""),"Semestre")</f>
        <v>Semestre</v>
      </c>
      <c r="G741" s="2" t="str">
        <f>IFERROR(__xludf.DUMMYFUNCTION("""COMPUTED_VALUE"""),"Bilbao")</f>
        <v>Bilbao</v>
      </c>
      <c r="H741" s="2" t="str">
        <f>IFERROR(__xludf.DUMMYFUNCTION("""COMPUTED_VALUE"""),"Ingeniería")</f>
        <v>Ingeniería</v>
      </c>
      <c r="I741" s="2" t="str">
        <f>IFERROR(__xludf.DUMMYFUNCTION("""COMPUTED_VALUE"""),"Ingeniería Biomédica")</f>
        <v>Ingeniería Biomédica</v>
      </c>
      <c r="J741" s="2" t="str">
        <f>IFERROR(__xludf.DUMMYFUNCTION("""COMPUTED_VALUE"""),"Grado")</f>
        <v>Grado</v>
      </c>
      <c r="K741" s="2" t="str">
        <f>IFERROR(__xludf.DUMMYFUNCTION("""COMPUTED_VALUE"""),"Inglés")</f>
        <v>Inglés</v>
      </c>
      <c r="L741" s="2" t="str">
        <f>IFERROR(__xludf.DUMMYFUNCTION("""COMPUTED_VALUE"""),"B2")</f>
        <v>B2</v>
      </c>
      <c r="M741" s="2"/>
      <c r="N741" s="3" t="str">
        <f>IFERROR(__xludf.DUMMYFUNCTION("""COMPUTED_VALUE"""),"https://put.poznan.pl/en")</f>
        <v>https://put.poznan.pl/en</v>
      </c>
      <c r="O741" s="2" t="str">
        <f>IFERROR(__xludf.DUMMYFUNCTION("""COMPUTED_VALUE"""),"n/a")</f>
        <v>n/a</v>
      </c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30.0" customHeight="1">
      <c r="A742" s="2" t="str">
        <f>IFERROR(__xludf.DUMMYFUNCTION("""COMPUTED_VALUE"""),"Polonia")</f>
        <v>Polonia</v>
      </c>
      <c r="B742" s="2" t="str">
        <f>IFERROR(__xludf.DUMMYFUNCTION("""COMPUTED_VALUE"""),"PL BIALYST01")</f>
        <v>PL BIALYST01</v>
      </c>
      <c r="C742" s="2" t="str">
        <f>IFERROR(__xludf.DUMMYFUNCTION("""COMPUTED_VALUE"""),"Byalistok University (**)")</f>
        <v>Byalistok University (**)</v>
      </c>
      <c r="D742" s="2" t="str">
        <f>IFERROR(__xludf.DUMMYFUNCTION("""COMPUTED_VALUE"""),"Erasmus+")</f>
        <v>Erasmus+</v>
      </c>
      <c r="E742" s="2">
        <f>IFERROR(__xludf.DUMMYFUNCTION("""COMPUTED_VALUE"""),4.0)</f>
        <v>4</v>
      </c>
      <c r="F742" s="2" t="str">
        <f>IFERROR(__xludf.DUMMYFUNCTION("""COMPUTED_VALUE"""),"Semestre")</f>
        <v>Semestre</v>
      </c>
      <c r="G742" s="2" t="str">
        <f>IFERROR(__xludf.DUMMYFUNCTION("""COMPUTED_VALUE"""),"Bilbao")</f>
        <v>Bilbao</v>
      </c>
      <c r="H742" s="2" t="str">
        <f>IFERROR(__xludf.DUMMYFUNCTION("""COMPUTED_VALUE"""),"Ingeniería")</f>
        <v>Ingeniería</v>
      </c>
      <c r="I742" s="2" t="str">
        <f>IFERROR(__xludf.DUMMYFUNCTION("""COMPUTED_VALUE"""),"Ingeniería Biomédica")</f>
        <v>Ingeniería Biomédica</v>
      </c>
      <c r="J742" s="2" t="str">
        <f>IFERROR(__xludf.DUMMYFUNCTION("""COMPUTED_VALUE"""),"Grado")</f>
        <v>Grado</v>
      </c>
      <c r="K742" s="2" t="str">
        <f>IFERROR(__xludf.DUMMYFUNCTION("""COMPUTED_VALUE"""),"Inglés")</f>
        <v>Inglés</v>
      </c>
      <c r="L742" s="2"/>
      <c r="M742" s="2"/>
      <c r="N742" s="2"/>
      <c r="O742" s="2" t="str">
        <f>IFERROR(__xludf.DUMMYFUNCTION("""COMPUTED_VALUE"""),"n/a")</f>
        <v>n/a</v>
      </c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30.0" customHeight="1">
      <c r="A743" s="2" t="str">
        <f>IFERROR(__xludf.DUMMYFUNCTION("""COMPUTED_VALUE"""),"Polonia")</f>
        <v>Polonia</v>
      </c>
      <c r="B743" s="2" t="str">
        <f>IFERROR(__xludf.DUMMYFUNCTION("""COMPUTED_VALUE"""),"PL WROCLAW08")</f>
        <v>PL WROCLAW08</v>
      </c>
      <c r="C743" s="3" t="str">
        <f>IFERROR(__xludf.DUMMYFUNCTION("""COMPUTED_VALUE"""),"Wroclaw University of Health &amp; Sports Sciences")</f>
        <v>Wroclaw University of Health &amp; Sports Sciences</v>
      </c>
      <c r="D743" s="2" t="str">
        <f>IFERROR(__xludf.DUMMYFUNCTION("""COMPUTED_VALUE"""),"Erasmus+")</f>
        <v>Erasmus+</v>
      </c>
      <c r="E743" s="2">
        <f>IFERROR(__xludf.DUMMYFUNCTION("""COMPUTED_VALUE"""),2.0)</f>
        <v>2</v>
      </c>
      <c r="F743" s="2" t="str">
        <f>IFERROR(__xludf.DUMMYFUNCTION("""COMPUTED_VALUE"""),"Semestre")</f>
        <v>Semestre</v>
      </c>
      <c r="G743" s="2" t="str">
        <f>IFERROR(__xludf.DUMMYFUNCTION("""COMPUTED_VALUE"""),"Bilbao")</f>
        <v>Bilbao</v>
      </c>
      <c r="H743" s="2" t="str">
        <f>IFERROR(__xludf.DUMMYFUNCTION("""COMPUTED_VALUE"""),"Educación y Deporte")</f>
        <v>Educación y Deporte</v>
      </c>
      <c r="I743" s="2" t="str">
        <f>IFERROR(__xludf.DUMMYFUNCTION("""COMPUTED_VALUE"""),"CAFyD")</f>
        <v>CAFyD</v>
      </c>
      <c r="J743" s="2" t="str">
        <f>IFERROR(__xludf.DUMMYFUNCTION("""COMPUTED_VALUE"""),"Grado")</f>
        <v>Grado</v>
      </c>
      <c r="K743" s="2" t="str">
        <f>IFERROR(__xludf.DUMMYFUNCTION("""COMPUTED_VALUE"""),"Inglés")</f>
        <v>Inglés</v>
      </c>
      <c r="L743" s="2" t="str">
        <f>IFERROR(__xludf.DUMMYFUNCTION("""COMPUTED_VALUE"""),"B2")</f>
        <v>B2</v>
      </c>
      <c r="M743" s="2"/>
      <c r="N743" s="2"/>
      <c r="O743" s="2" t="str">
        <f>IFERROR(__xludf.DUMMYFUNCTION("""COMPUTED_VALUE"""),"n/a")</f>
        <v>n/a</v>
      </c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30.0" customHeight="1">
      <c r="A744" s="2" t="str">
        <f>IFERROR(__xludf.DUMMYFUNCTION("""COMPUTED_VALUE"""),"Portugal")</f>
        <v>Portugal</v>
      </c>
      <c r="B744" s="2" t="str">
        <f>IFERROR(__xludf.DUMMYFUNCTION("""COMPUTED_VALUE"""),"P MATOSIN01")</f>
        <v>P MATOSIN01</v>
      </c>
      <c r="C744" s="3" t="str">
        <f>IFERROR(__xludf.DUMMYFUNCTION("""COMPUTED_VALUE"""),"College of Art and Design")</f>
        <v>College of Art and Design</v>
      </c>
      <c r="D744" s="2" t="str">
        <f>IFERROR(__xludf.DUMMYFUNCTION("""COMPUTED_VALUE"""),"Erasmus+")</f>
        <v>Erasmus+</v>
      </c>
      <c r="E744" s="2">
        <f>IFERROR(__xludf.DUMMYFUNCTION("""COMPUTED_VALUE"""),2.0)</f>
        <v>2</v>
      </c>
      <c r="F744" s="2" t="str">
        <f>IFERROR(__xludf.DUMMYFUNCTION("""COMPUTED_VALUE"""),"Semestre")</f>
        <v>Semestre</v>
      </c>
      <c r="G744" s="2" t="str">
        <f>IFERROR(__xludf.DUMMYFUNCTION("""COMPUTED_VALUE"""),"Bilbao")</f>
        <v>Bilbao</v>
      </c>
      <c r="H744" s="2" t="str">
        <f>IFERROR(__xludf.DUMMYFUNCTION("""COMPUTED_VALUE"""),"Ingeniería")</f>
        <v>Ingeniería</v>
      </c>
      <c r="I744" s="2" t="str">
        <f>IFERROR(__xludf.DUMMYFUNCTION("""COMPUTED_VALUE"""),"Diseño Industrial, Diseño Industrial + Ingeniería Mecánica")</f>
        <v>Diseño Industrial, Diseño Industrial + Ingeniería Mecánica</v>
      </c>
      <c r="J744" s="2" t="str">
        <f>IFERROR(__xludf.DUMMYFUNCTION("""COMPUTED_VALUE"""),"Grado")</f>
        <v>Grado</v>
      </c>
      <c r="K744" s="2" t="str">
        <f>IFERROR(__xludf.DUMMYFUNCTION("""COMPUTED_VALUE"""),"Portugués / Inglés")</f>
        <v>Portugués / Inglés</v>
      </c>
      <c r="L744" s="2" t="str">
        <f>IFERROR(__xludf.DUMMYFUNCTION("""COMPUTED_VALUE"""),"B2")</f>
        <v>B2</v>
      </c>
      <c r="M744" s="2" t="str">
        <f>IFERROR(__xludf.DUMMYFUNCTION("""COMPUTED_VALUE"""),"No")</f>
        <v>No</v>
      </c>
      <c r="N744" s="3" t="str">
        <f>IFERROR(__xludf.DUMMYFUNCTION("""COMPUTED_VALUE"""),"https://www.esad.pt/documents/294/esad-info-sheet1-7-1.doc")</f>
        <v>https://www.esad.pt/documents/294/esad-info-sheet1-7-1.doc</v>
      </c>
      <c r="O744" s="2" t="str">
        <f>IFERROR(__xludf.DUMMYFUNCTION("""COMPUTED_VALUE"""),"n/a")</f>
        <v>n/a</v>
      </c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30.0" customHeight="1">
      <c r="A745" s="2" t="str">
        <f>IFERROR(__xludf.DUMMYFUNCTION("""COMPUTED_VALUE"""),"Portugal")</f>
        <v>Portugal</v>
      </c>
      <c r="B745" s="2" t="str">
        <f>IFERROR(__xludf.DUMMYFUNCTION("""COMPUTED_VALUE"""),"P ESTORIL02")</f>
        <v>P ESTORIL02</v>
      </c>
      <c r="C745" s="3" t="str">
        <f>IFERROR(__xludf.DUMMYFUNCTION("""COMPUTED_VALUE"""),"Escola Superior de Saúde do Alcoitão")</f>
        <v>Escola Superior de Saúde do Alcoitão</v>
      </c>
      <c r="D745" s="2" t="str">
        <f>IFERROR(__xludf.DUMMYFUNCTION("""COMPUTED_VALUE"""),"Erasmus+")</f>
        <v>Erasmus+</v>
      </c>
      <c r="E745" s="2">
        <f>IFERROR(__xludf.DUMMYFUNCTION("""COMPUTED_VALUE"""),2.0)</f>
        <v>2</v>
      </c>
      <c r="F745" s="2" t="str">
        <f>IFERROR(__xludf.DUMMYFUNCTION("""COMPUTED_VALUE"""),"Semestre")</f>
        <v>Semestre</v>
      </c>
      <c r="G745" s="2" t="str">
        <f>IFERROR(__xludf.DUMMYFUNCTION("""COMPUTED_VALUE"""),"San Sebastián")</f>
        <v>San Sebastián</v>
      </c>
      <c r="H745" s="2" t="str">
        <f>IFERROR(__xludf.DUMMYFUNCTION("""COMPUTED_VALUE"""),"Ciencias de la Salud")</f>
        <v>Ciencias de la Salud</v>
      </c>
      <c r="I745" s="2" t="str">
        <f>IFERROR(__xludf.DUMMYFUNCTION("""COMPUTED_VALUE"""),"Fisioterapia")</f>
        <v>Fisioterapia</v>
      </c>
      <c r="J745" s="2" t="str">
        <f>IFERROR(__xludf.DUMMYFUNCTION("""COMPUTED_VALUE"""),"Grado")</f>
        <v>Grado</v>
      </c>
      <c r="K745" s="2" t="str">
        <f>IFERROR(__xludf.DUMMYFUNCTION("""COMPUTED_VALUE"""),"Portugués / Inglés")</f>
        <v>Portugués / Inglés</v>
      </c>
      <c r="L745" s="2" t="str">
        <f>IFERROR(__xludf.DUMMYFUNCTION("""COMPUTED_VALUE"""),"B2 Ing/B1 Port")</f>
        <v>B2 Ing/B1 Port</v>
      </c>
      <c r="M745" s="2" t="str">
        <f>IFERROR(__xludf.DUMMYFUNCTION("""COMPUTED_VALUE"""),"No")</f>
        <v>No</v>
      </c>
      <c r="N745" s="3" t="str">
        <f>IFERROR(__xludf.DUMMYFUNCTION("""COMPUTED_VALUE"""),"https://www.essa.pt/portal/mobilidade-incoming/")</f>
        <v>https://www.essa.pt/portal/mobilidade-incoming/</v>
      </c>
      <c r="O745" s="2" t="str">
        <f>IFERROR(__xludf.DUMMYFUNCTION("""COMPUTED_VALUE"""),"n/a")</f>
        <v>n/a</v>
      </c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30.0" customHeight="1">
      <c r="A746" s="2" t="str">
        <f>IFERROR(__xludf.DUMMYFUNCTION("""COMPUTED_VALUE"""),"Portugal")</f>
        <v>Portugal</v>
      </c>
      <c r="B746" s="2" t="str">
        <f>IFERROR(__xludf.DUMMYFUNCTION("""COMPUTED_VALUE"""),"P FAFE05")</f>
        <v>P FAFE05</v>
      </c>
      <c r="C746" s="3" t="str">
        <f>IFERROR(__xludf.DUMMYFUNCTION("""COMPUTED_VALUE"""),"Instituto de Estudios Superiores de Fafe - Escola Superior de Educaçao de Fafe")</f>
        <v>Instituto de Estudios Superiores de Fafe - Escola Superior de Educaçao de Fafe</v>
      </c>
      <c r="D746" s="2" t="str">
        <f>IFERROR(__xludf.DUMMYFUNCTION("""COMPUTED_VALUE"""),"Erasmus+")</f>
        <v>Erasmus+</v>
      </c>
      <c r="E746" s="2">
        <f>IFERROR(__xludf.DUMMYFUNCTION("""COMPUTED_VALUE"""),2.0)</f>
        <v>2</v>
      </c>
      <c r="F746" s="2" t="str">
        <f>IFERROR(__xludf.DUMMYFUNCTION("""COMPUTED_VALUE"""),"Semestre")</f>
        <v>Semestre</v>
      </c>
      <c r="G746" s="2" t="str">
        <f>IFERROR(__xludf.DUMMYFUNCTION("""COMPUTED_VALUE"""),"Bilbao")</f>
        <v>Bilbao</v>
      </c>
      <c r="H746" s="2" t="str">
        <f>IFERROR(__xludf.DUMMYFUNCTION("""COMPUTED_VALUE"""),"Educación y Deporte")</f>
        <v>Educación y Deporte</v>
      </c>
      <c r="I746" s="2" t="str">
        <f>IFERROR(__xludf.DUMMYFUNCTION("""COMPUTED_VALUE"""),"CAFyD")</f>
        <v>CAFyD</v>
      </c>
      <c r="J746" s="2" t="str">
        <f>IFERROR(__xludf.DUMMYFUNCTION("""COMPUTED_VALUE"""),"Grado")</f>
        <v>Grado</v>
      </c>
      <c r="K746" s="2" t="str">
        <f>IFERROR(__xludf.DUMMYFUNCTION("""COMPUTED_VALUE"""),"Portugués / Inglés")</f>
        <v>Portugués / Inglés</v>
      </c>
      <c r="L746" s="2" t="str">
        <f>IFERROR(__xludf.DUMMYFUNCTION("""COMPUTED_VALUE"""),"B1 Po / B2 En")</f>
        <v>B1 Po / B2 En</v>
      </c>
      <c r="M746" s="2" t="str">
        <f>IFERROR(__xludf.DUMMYFUNCTION("""COMPUTED_VALUE"""),"No")</f>
        <v>No</v>
      </c>
      <c r="N746" s="3" t="str">
        <f>IFERROR(__xludf.DUMMYFUNCTION("""COMPUTED_VALUE"""),"https://www.iesfafe.pt/tmp/Uploads/Erasmus/Factsheet_Erasmus_P_FAFE05_Reparado.pdf")</f>
        <v>https://www.iesfafe.pt/tmp/Uploads/Erasmus/Factsheet_Erasmus_P_FAFE05_Reparado.pdf</v>
      </c>
      <c r="O746" s="3" t="str">
        <f>IFERROR(__xludf.DUMMYFUNCTION("""COMPUTED_VALUE"""),"Más información / Informazio gehigarria")</f>
        <v>Más información / Informazio gehigarria</v>
      </c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30.0" customHeight="1">
      <c r="A747" s="2" t="str">
        <f>IFERROR(__xludf.DUMMYFUNCTION("""COMPUTED_VALUE"""),"Portugal")</f>
        <v>Portugal</v>
      </c>
      <c r="B747" s="2" t="str">
        <f>IFERROR(__xludf.DUMMYFUNCTION("""COMPUTED_VALUE"""),"P FAFE05")</f>
        <v>P FAFE05</v>
      </c>
      <c r="C747" s="3" t="str">
        <f>IFERROR(__xludf.DUMMYFUNCTION("""COMPUTED_VALUE"""),"Instituto de Estudios Superiores de Fafe - Escola Superior de Educaçao de Fafe")</f>
        <v>Instituto de Estudios Superiores de Fafe - Escola Superior de Educaçao de Fafe</v>
      </c>
      <c r="D747" s="2" t="str">
        <f>IFERROR(__xludf.DUMMYFUNCTION("""COMPUTED_VALUE"""),"Erasmus+")</f>
        <v>Erasmus+</v>
      </c>
      <c r="E747" s="2">
        <f>IFERROR(__xludf.DUMMYFUNCTION("""COMPUTED_VALUE"""),2.0)</f>
        <v>2</v>
      </c>
      <c r="F747" s="2" t="str">
        <f>IFERROR(__xludf.DUMMYFUNCTION("""COMPUTED_VALUE"""),"Semestre")</f>
        <v>Semestre</v>
      </c>
      <c r="G747" s="2" t="str">
        <f>IFERROR(__xludf.DUMMYFUNCTION("""COMPUTED_VALUE"""),"Bilbao")</f>
        <v>Bilbao</v>
      </c>
      <c r="H747" s="2" t="str">
        <f>IFERROR(__xludf.DUMMYFUNCTION("""COMPUTED_VALUE"""),"Educación y Deporte")</f>
        <v>Educación y Deporte</v>
      </c>
      <c r="I747" s="2" t="str">
        <f>IFERROR(__xludf.DUMMYFUNCTION("""COMPUTED_VALUE"""),"Educación Social")</f>
        <v>Educación Social</v>
      </c>
      <c r="J747" s="2" t="str">
        <f>IFERROR(__xludf.DUMMYFUNCTION("""COMPUTED_VALUE"""),"Grado")</f>
        <v>Grado</v>
      </c>
      <c r="K747" s="2" t="str">
        <f>IFERROR(__xludf.DUMMYFUNCTION("""COMPUTED_VALUE"""),"Portugués / Inglés")</f>
        <v>Portugués / Inglés</v>
      </c>
      <c r="L747" s="2" t="str">
        <f>IFERROR(__xludf.DUMMYFUNCTION("""COMPUTED_VALUE"""),"B1 Po / B2 En")</f>
        <v>B1 Po / B2 En</v>
      </c>
      <c r="M747" s="2" t="str">
        <f>IFERROR(__xludf.DUMMYFUNCTION("""COMPUTED_VALUE"""),"No")</f>
        <v>No</v>
      </c>
      <c r="N747" s="3" t="str">
        <f>IFERROR(__xludf.DUMMYFUNCTION("""COMPUTED_VALUE"""),"https://www.iesfafe.pt/tmp/Uploads/Erasmus/Factsheet_Erasmus_P_FAFE05_Reparado.pdf")</f>
        <v>https://www.iesfafe.pt/tmp/Uploads/Erasmus/Factsheet_Erasmus_P_FAFE05_Reparado.pdf</v>
      </c>
      <c r="O747" s="3" t="str">
        <f>IFERROR(__xludf.DUMMYFUNCTION("""COMPUTED_VALUE"""),"Más información / Informazio gehigarria")</f>
        <v>Más información / Informazio gehigarria</v>
      </c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30.0" customHeight="1">
      <c r="A748" s="2" t="str">
        <f>IFERROR(__xludf.DUMMYFUNCTION("""COMPUTED_VALUE"""),"Portugal")</f>
        <v>Portugal</v>
      </c>
      <c r="B748" s="2" t="str">
        <f>IFERROR(__xludf.DUMMYFUNCTION("""COMPUTED_VALUE"""),"P COIMBRA02")</f>
        <v>P COIMBRA02</v>
      </c>
      <c r="C748" s="3" t="str">
        <f>IFERROR(__xludf.DUMMYFUNCTION("""COMPUTED_VALUE"""),"Instituto Politecnico de Coimbra")</f>
        <v>Instituto Politecnico de Coimbra</v>
      </c>
      <c r="D748" s="2" t="str">
        <f>IFERROR(__xludf.DUMMYFUNCTION("""COMPUTED_VALUE"""),"Erasmus+")</f>
        <v>Erasmus+</v>
      </c>
      <c r="E748" s="2">
        <f>IFERROR(__xludf.DUMMYFUNCTION("""COMPUTED_VALUE"""),2.0)</f>
        <v>2</v>
      </c>
      <c r="F748" s="2" t="str">
        <f>IFERROR(__xludf.DUMMYFUNCTION("""COMPUTED_VALUE"""),"Semestre")</f>
        <v>Semestre</v>
      </c>
      <c r="G748" s="2" t="str">
        <f>IFERROR(__xludf.DUMMYFUNCTION("""COMPUTED_VALUE"""),"Bilbao")</f>
        <v>Bilbao</v>
      </c>
      <c r="H748" s="2" t="str">
        <f>IFERROR(__xludf.DUMMYFUNCTION("""COMPUTED_VALUE"""),"Ciencias Sociales y Humanas")</f>
        <v>Ciencias Sociales y Humanas</v>
      </c>
      <c r="I748" s="2" t="str">
        <f>IFERROR(__xludf.DUMMYFUNCTION("""COMPUTED_VALUE"""),"Turismo")</f>
        <v>Turismo</v>
      </c>
      <c r="J748" s="2" t="str">
        <f>IFERROR(__xludf.DUMMYFUNCTION("""COMPUTED_VALUE"""),"Grado")</f>
        <v>Grado</v>
      </c>
      <c r="K748" s="2" t="str">
        <f>IFERROR(__xludf.DUMMYFUNCTION("""COMPUTED_VALUE"""),"Portugués")</f>
        <v>Portugués</v>
      </c>
      <c r="L748" s="2" t="str">
        <f>IFERROR(__xludf.DUMMYFUNCTION("""COMPUTED_VALUE"""),"B1")</f>
        <v>B1</v>
      </c>
      <c r="M748" s="2" t="str">
        <f>IFERROR(__xludf.DUMMYFUNCTION("""COMPUTED_VALUE"""),"No")</f>
        <v>No</v>
      </c>
      <c r="N748" s="3" t="str">
        <f>IFERROR(__xludf.DUMMYFUNCTION("""COMPUTED_VALUE"""),"https://www.ipc.pt/ipc/en/internacional/mobilidade-internacional/erasmus-uniao-europeia/incoming/")</f>
        <v>https://www.ipc.pt/ipc/en/internacional/mobilidade-internacional/erasmus-uniao-europeia/incoming/</v>
      </c>
      <c r="O748" s="3" t="str">
        <f>IFERROR(__xludf.DUMMYFUNCTION("""COMPUTED_VALUE"""),"Más información / Informazio gehigarria")</f>
        <v>Más información / Informazio gehigarria</v>
      </c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30.0" customHeight="1">
      <c r="A749" s="2" t="str">
        <f>IFERROR(__xludf.DUMMYFUNCTION("""COMPUTED_VALUE"""),"Portugal")</f>
        <v>Portugal</v>
      </c>
      <c r="B749" s="2" t="str">
        <f>IFERROR(__xludf.DUMMYFUNCTION("""COMPUTED_VALUE"""),"P LISBOA05")</f>
        <v>P LISBOA05</v>
      </c>
      <c r="C749" s="3" t="str">
        <f>IFERROR(__xludf.DUMMYFUNCTION("""COMPUTED_VALUE"""),"Instituto Politécnico de Lisboa (Escola Superior de Tecnologia da Saúde de Lisboa)")</f>
        <v>Instituto Politécnico de Lisboa (Escola Superior de Tecnologia da Saúde de Lisboa)</v>
      </c>
      <c r="D749" s="2" t="str">
        <f>IFERROR(__xludf.DUMMYFUNCTION("""COMPUTED_VALUE"""),"Erasmus+")</f>
        <v>Erasmus+</v>
      </c>
      <c r="E749" s="2">
        <f>IFERROR(__xludf.DUMMYFUNCTION("""COMPUTED_VALUE"""),2.0)</f>
        <v>2</v>
      </c>
      <c r="F749" s="2" t="str">
        <f>IFERROR(__xludf.DUMMYFUNCTION("""COMPUTED_VALUE"""),"Semestre")</f>
        <v>Semestre</v>
      </c>
      <c r="G749" s="2" t="str">
        <f>IFERROR(__xludf.DUMMYFUNCTION("""COMPUTED_VALUE"""),"San Sebastián")</f>
        <v>San Sebastián</v>
      </c>
      <c r="H749" s="2" t="str">
        <f>IFERROR(__xludf.DUMMYFUNCTION("""COMPUTED_VALUE"""),"Ciencias de la Salud")</f>
        <v>Ciencias de la Salud</v>
      </c>
      <c r="I749" s="2" t="str">
        <f>IFERROR(__xludf.DUMMYFUNCTION("""COMPUTED_VALUE"""),"Fisioterapia")</f>
        <v>Fisioterapia</v>
      </c>
      <c r="J749" s="2" t="str">
        <f>IFERROR(__xludf.DUMMYFUNCTION("""COMPUTED_VALUE"""),"Grado")</f>
        <v>Grado</v>
      </c>
      <c r="K749" s="2" t="str">
        <f>IFERROR(__xludf.DUMMYFUNCTION("""COMPUTED_VALUE"""),"Portugués")</f>
        <v>Portugués</v>
      </c>
      <c r="L749" s="2" t="str">
        <f>IFERROR(__xludf.DUMMYFUNCTION("""COMPUTED_VALUE"""),"B")</f>
        <v>B</v>
      </c>
      <c r="M749" s="2" t="str">
        <f>IFERROR(__xludf.DUMMYFUNCTION("""COMPUTED_VALUE"""),"No")</f>
        <v>No</v>
      </c>
      <c r="N749" s="3" t="str">
        <f>IFERROR(__xludf.DUMMYFUNCTION("""COMPUTED_VALUE"""),"https://www.ipl.pt/en/international/international-student/entrance-requirements")</f>
        <v>https://www.ipl.pt/en/international/international-student/entrance-requirements</v>
      </c>
      <c r="O749" s="3" t="str">
        <f>IFERROR(__xludf.DUMMYFUNCTION("""COMPUTED_VALUE"""),"Más información / Informazio gehigarria")</f>
        <v>Más información / Informazio gehigarria</v>
      </c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30.0" customHeight="1">
      <c r="A750" s="2" t="str">
        <f>IFERROR(__xludf.DUMMYFUNCTION("""COMPUTED_VALUE"""),"Portugal")</f>
        <v>Portugal</v>
      </c>
      <c r="B750" s="2" t="str">
        <f>IFERROR(__xludf.DUMMYFUNCTION("""COMPUTED_VALUE"""),"P LISBOA05")</f>
        <v>P LISBOA05</v>
      </c>
      <c r="C750" s="3" t="str">
        <f>IFERROR(__xludf.DUMMYFUNCTION("""COMPUTED_VALUE"""),"Instituto Politecnico de Lisboa-Escola Superior de Educaçao de Lisboa")</f>
        <v>Instituto Politecnico de Lisboa-Escola Superior de Educaçao de Lisboa</v>
      </c>
      <c r="D750" s="2" t="str">
        <f>IFERROR(__xludf.DUMMYFUNCTION("""COMPUTED_VALUE"""),"Erasmus+")</f>
        <v>Erasmus+</v>
      </c>
      <c r="E750" s="2">
        <f>IFERROR(__xludf.DUMMYFUNCTION("""COMPUTED_VALUE"""),5.0)</f>
        <v>5</v>
      </c>
      <c r="F750" s="2" t="str">
        <f>IFERROR(__xludf.DUMMYFUNCTION("""COMPUTED_VALUE"""),"Semestre")</f>
        <v>Semestre</v>
      </c>
      <c r="G750" s="2" t="str">
        <f>IFERROR(__xludf.DUMMYFUNCTION("""COMPUTED_VALUE"""),"Ambos")</f>
        <v>Ambos</v>
      </c>
      <c r="H750" s="2" t="str">
        <f>IFERROR(__xludf.DUMMYFUNCTION("""COMPUTED_VALUE"""),"Educación y Deporte")</f>
        <v>Educación y Deporte</v>
      </c>
      <c r="I750" s="2" t="str">
        <f>IFERROR(__xludf.DUMMYFUNCTION("""COMPUTED_VALUE"""),"Educación Primaria")</f>
        <v>Educación Primaria</v>
      </c>
      <c r="J750" s="2" t="str">
        <f>IFERROR(__xludf.DUMMYFUNCTION("""COMPUTED_VALUE"""),"Grado")</f>
        <v>Grado</v>
      </c>
      <c r="K750" s="2" t="str">
        <f>IFERROR(__xludf.DUMMYFUNCTION("""COMPUTED_VALUE"""),"Portugués")</f>
        <v>Portugués</v>
      </c>
      <c r="L750" s="2" t="str">
        <f>IFERROR(__xludf.DUMMYFUNCTION("""COMPUTED_VALUE"""),"B2")</f>
        <v>B2</v>
      </c>
      <c r="M750" s="2" t="str">
        <f>IFERROR(__xludf.DUMMYFUNCTION("""COMPUTED_VALUE"""),"No")</f>
        <v>No</v>
      </c>
      <c r="N750" s="3" t="str">
        <f>IFERROR(__xludf.DUMMYFUNCTION("""COMPUTED_VALUE"""),"https://www.ipl.pt/en/international/international-student/entrance-requirements")</f>
        <v>https://www.ipl.pt/en/international/international-student/entrance-requirements</v>
      </c>
      <c r="O750" s="3" t="str">
        <f>IFERROR(__xludf.DUMMYFUNCTION("""COMPUTED_VALUE"""),"Más información / Informazio gehigarria")</f>
        <v>Más información / Informazio gehigarria</v>
      </c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30.0" customHeight="1">
      <c r="A751" s="2" t="str">
        <f>IFERROR(__xludf.DUMMYFUNCTION("""COMPUTED_VALUE"""),"Portugal")</f>
        <v>Portugal</v>
      </c>
      <c r="B751" s="2" t="str">
        <f>IFERROR(__xludf.DUMMYFUNCTION("""COMPUTED_VALUE"""),"P LISBOA05")</f>
        <v>P LISBOA05</v>
      </c>
      <c r="C751" s="3" t="str">
        <f>IFERROR(__xludf.DUMMYFUNCTION("""COMPUTED_VALUE"""),"Instituto Politecnico de Lisboa-Escola Superior de Educaçao de Lisboa")</f>
        <v>Instituto Politecnico de Lisboa-Escola Superior de Educaçao de Lisboa</v>
      </c>
      <c r="D751" s="2" t="str">
        <f>IFERROR(__xludf.DUMMYFUNCTION("""COMPUTED_VALUE"""),"Erasmus+")</f>
        <v>Erasmus+</v>
      </c>
      <c r="E751" s="2">
        <f>IFERROR(__xludf.DUMMYFUNCTION("""COMPUTED_VALUE"""),5.0)</f>
        <v>5</v>
      </c>
      <c r="F751" s="2" t="str">
        <f>IFERROR(__xludf.DUMMYFUNCTION("""COMPUTED_VALUE"""),"Semestre")</f>
        <v>Semestre</v>
      </c>
      <c r="G751" s="2" t="str">
        <f>IFERROR(__xludf.DUMMYFUNCTION("""COMPUTED_VALUE"""),"Bilbao")</f>
        <v>Bilbao</v>
      </c>
      <c r="H751" s="2" t="str">
        <f>IFERROR(__xludf.DUMMYFUNCTION("""COMPUTED_VALUE"""),"Educación y Deporte")</f>
        <v>Educación y Deporte</v>
      </c>
      <c r="I751" s="2" t="str">
        <f>IFERROR(__xludf.DUMMYFUNCTION("""COMPUTED_VALUE"""),"Educación Social")</f>
        <v>Educación Social</v>
      </c>
      <c r="J751" s="2" t="str">
        <f>IFERROR(__xludf.DUMMYFUNCTION("""COMPUTED_VALUE"""),"Grado")</f>
        <v>Grado</v>
      </c>
      <c r="K751" s="2" t="str">
        <f>IFERROR(__xludf.DUMMYFUNCTION("""COMPUTED_VALUE"""),"Portugués")</f>
        <v>Portugués</v>
      </c>
      <c r="L751" s="2" t="str">
        <f>IFERROR(__xludf.DUMMYFUNCTION("""COMPUTED_VALUE"""),"B2")</f>
        <v>B2</v>
      </c>
      <c r="M751" s="2" t="str">
        <f>IFERROR(__xludf.DUMMYFUNCTION("""COMPUTED_VALUE"""),"Sí")</f>
        <v>Sí</v>
      </c>
      <c r="N751" s="3" t="str">
        <f>IFERROR(__xludf.DUMMYFUNCTION("""COMPUTED_VALUE"""),"https://www.ipl.pt/en/international/international-student/entrance-requirements")</f>
        <v>https://www.ipl.pt/en/international/international-student/entrance-requirements</v>
      </c>
      <c r="O751" s="3" t="str">
        <f>IFERROR(__xludf.DUMMYFUNCTION("""COMPUTED_VALUE"""),"Más información / Informazio gehigarria")</f>
        <v>Más información / Informazio gehigarria</v>
      </c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30.0" customHeight="1">
      <c r="A752" s="2" t="str">
        <f>IFERROR(__xludf.DUMMYFUNCTION("""COMPUTED_VALUE"""),"Portugal")</f>
        <v>Portugal</v>
      </c>
      <c r="B752" s="2" t="str">
        <f>IFERROR(__xludf.DUMMYFUNCTION("""COMPUTED_VALUE"""),"P VIANA-D01")</f>
        <v>P VIANA-D01</v>
      </c>
      <c r="C752" s="3" t="str">
        <f>IFERROR(__xludf.DUMMYFUNCTION("""COMPUTED_VALUE"""),"Instituto Politécnico de Viana do Castelo")</f>
        <v>Instituto Politécnico de Viana do Castelo</v>
      </c>
      <c r="D752" s="2" t="str">
        <f>IFERROR(__xludf.DUMMYFUNCTION("""COMPUTED_VALUE"""),"Erasmus+")</f>
        <v>Erasmus+</v>
      </c>
      <c r="E752" s="2">
        <f>IFERROR(__xludf.DUMMYFUNCTION("""COMPUTED_VALUE"""),2.0)</f>
        <v>2</v>
      </c>
      <c r="F752" s="2" t="str">
        <f>IFERROR(__xludf.DUMMYFUNCTION("""COMPUTED_VALUE"""),"Semestre")</f>
        <v>Semestre</v>
      </c>
      <c r="G752" s="2" t="str">
        <f>IFERROR(__xludf.DUMMYFUNCTION("""COMPUTED_VALUE"""),"Bilbao")</f>
        <v>Bilbao</v>
      </c>
      <c r="H752" s="2" t="str">
        <f>IFERROR(__xludf.DUMMYFUNCTION("""COMPUTED_VALUE"""),"Ciencias Sociales y Humanas")</f>
        <v>Ciencias Sociales y Humanas</v>
      </c>
      <c r="I752" s="2" t="str">
        <f>IFERROR(__xludf.DUMMYFUNCTION("""COMPUTED_VALUE"""),"Turismo")</f>
        <v>Turismo</v>
      </c>
      <c r="J752" s="2" t="str">
        <f>IFERROR(__xludf.DUMMYFUNCTION("""COMPUTED_VALUE"""),"Grado")</f>
        <v>Grado</v>
      </c>
      <c r="K752" s="2" t="str">
        <f>IFERROR(__xludf.DUMMYFUNCTION("""COMPUTED_VALUE"""),"Portugués / Inglés")</f>
        <v>Portugués / Inglés</v>
      </c>
      <c r="L752" s="2" t="str">
        <f>IFERROR(__xludf.DUMMYFUNCTION("""COMPUTED_VALUE"""),"B1 Po / B2 En")</f>
        <v>B1 Po / B2 En</v>
      </c>
      <c r="M752" s="2" t="str">
        <f>IFERROR(__xludf.DUMMYFUNCTION("""COMPUTED_VALUE"""),"No")</f>
        <v>No</v>
      </c>
      <c r="N752" s="3" t="str">
        <f>IFERROR(__xludf.DUMMYFUNCTION("""COMPUTED_VALUE"""),"https://www.ipvc.pt/en/internacional/mobilidade-programas/erasmus/faqs/")</f>
        <v>https://www.ipvc.pt/en/internacional/mobilidade-programas/erasmus/faqs/</v>
      </c>
      <c r="O752" s="3" t="str">
        <f>IFERROR(__xludf.DUMMYFUNCTION("""COMPUTED_VALUE"""),"Más información / Informazio gehigarria")</f>
        <v>Más información / Informazio gehigarria</v>
      </c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30.0" customHeight="1">
      <c r="A753" s="2" t="str">
        <f>IFERROR(__xludf.DUMMYFUNCTION("""COMPUTED_VALUE"""),"Portugal")</f>
        <v>Portugal</v>
      </c>
      <c r="B753" s="2" t="str">
        <f>IFERROR(__xludf.DUMMYFUNCTION("""COMPUTED_VALUE"""),"P LEIRIA01")</f>
        <v>P LEIRIA01</v>
      </c>
      <c r="C753" s="3" t="str">
        <f>IFERROR(__xludf.DUMMYFUNCTION("""COMPUTED_VALUE"""),"Instituto Politécnico di Leiria")</f>
        <v>Instituto Politécnico di Leiria</v>
      </c>
      <c r="D753" s="2" t="str">
        <f>IFERROR(__xludf.DUMMYFUNCTION("""COMPUTED_VALUE"""),"Erasmus+")</f>
        <v>Erasmus+</v>
      </c>
      <c r="E753" s="2">
        <f>IFERROR(__xludf.DUMMYFUNCTION("""COMPUTED_VALUE"""),2.0)</f>
        <v>2</v>
      </c>
      <c r="F753" s="2" t="str">
        <f>IFERROR(__xludf.DUMMYFUNCTION("""COMPUTED_VALUE"""),"Semestre")</f>
        <v>Semestre</v>
      </c>
      <c r="G753" s="2" t="str">
        <f>IFERROR(__xludf.DUMMYFUNCTION("""COMPUTED_VALUE"""),"Bilbao")</f>
        <v>Bilbao</v>
      </c>
      <c r="H753" s="2" t="str">
        <f>IFERROR(__xludf.DUMMYFUNCTION("""COMPUTED_VALUE"""),"Ingeniería")</f>
        <v>Ingeniería</v>
      </c>
      <c r="I753" s="2" t="str">
        <f>IFERROR(__xludf.DUMMYFUNCTION("""COMPUTED_VALUE"""),"Diseño Industrial, Diseño Industrial + Ingeniería Mecánica")</f>
        <v>Diseño Industrial, Diseño Industrial + Ingeniería Mecánica</v>
      </c>
      <c r="J753" s="2" t="str">
        <f>IFERROR(__xludf.DUMMYFUNCTION("""COMPUTED_VALUE"""),"Grado")</f>
        <v>Grado</v>
      </c>
      <c r="K753" s="2" t="str">
        <f>IFERROR(__xludf.DUMMYFUNCTION("""COMPUTED_VALUE"""),"Portugués / Inglés")</f>
        <v>Portugués / Inglés</v>
      </c>
      <c r="L753" s="2" t="str">
        <f>IFERROR(__xludf.DUMMYFUNCTION("""COMPUTED_VALUE"""),"B2")</f>
        <v>B2</v>
      </c>
      <c r="M753" s="2" t="str">
        <f>IFERROR(__xludf.DUMMYFUNCTION("""COMPUTED_VALUE"""),"No")</f>
        <v>No</v>
      </c>
      <c r="N753" s="3" t="str">
        <f>IFERROR(__xludf.DUMMYFUNCTION("""COMPUTED_VALUE"""),"https://www.ipleiria.pt/en/international/studying-in-portugal/exchange-students/")</f>
        <v>https://www.ipleiria.pt/en/international/studying-in-portugal/exchange-students/</v>
      </c>
      <c r="O753" s="3" t="str">
        <f>IFERROR(__xludf.DUMMYFUNCTION("""COMPUTED_VALUE"""),"Más información / Informazio gehigarria")</f>
        <v>Más información / Informazio gehigarria</v>
      </c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30.0" customHeight="1">
      <c r="A754" s="2" t="str">
        <f>IFERROR(__xludf.DUMMYFUNCTION("""COMPUTED_VALUE"""),"Portugal")</f>
        <v>Portugal</v>
      </c>
      <c r="B754" s="2" t="str">
        <f>IFERROR(__xludf.DUMMYFUNCTION("""COMPUTED_VALUE"""),"P PORTO05")</f>
        <v>P PORTO05</v>
      </c>
      <c r="C754" s="3" t="str">
        <f>IFERROR(__xludf.DUMMYFUNCTION("""COMPUTED_VALUE"""),"Instituto Politecnico do Porto")</f>
        <v>Instituto Politecnico do Porto</v>
      </c>
      <c r="D754" s="2" t="str">
        <f>IFERROR(__xludf.DUMMYFUNCTION("""COMPUTED_VALUE"""),"Erasmus+")</f>
        <v>Erasmus+</v>
      </c>
      <c r="E754" s="2">
        <f>IFERROR(__xludf.DUMMYFUNCTION("""COMPUTED_VALUE"""),2.0)</f>
        <v>2</v>
      </c>
      <c r="F754" s="2" t="str">
        <f>IFERROR(__xludf.DUMMYFUNCTION("""COMPUTED_VALUE"""),"Semestre")</f>
        <v>Semestre</v>
      </c>
      <c r="G754" s="2" t="str">
        <f>IFERROR(__xludf.DUMMYFUNCTION("""COMPUTED_VALUE"""),"Bilbao")</f>
        <v>Bilbao</v>
      </c>
      <c r="H754" s="2" t="str">
        <f>IFERROR(__xludf.DUMMYFUNCTION("""COMPUTED_VALUE"""),"Derecho")</f>
        <v>Derecho</v>
      </c>
      <c r="I754" s="2" t="str">
        <f>IFERROR(__xludf.DUMMYFUNCTION("""COMPUTED_VALUE"""),"Derecho, Derecho + Relaciones Laborales")</f>
        <v>Derecho, Derecho + Relaciones Laborales</v>
      </c>
      <c r="J754" s="2" t="str">
        <f>IFERROR(__xludf.DUMMYFUNCTION("""COMPUTED_VALUE"""),"Grado")</f>
        <v>Grado</v>
      </c>
      <c r="K754" s="2" t="str">
        <f>IFERROR(__xludf.DUMMYFUNCTION("""COMPUTED_VALUE"""),"Portugués / Inglés")</f>
        <v>Portugués / Inglés</v>
      </c>
      <c r="L754" s="2" t="str">
        <f>IFERROR(__xludf.DUMMYFUNCTION("""COMPUTED_VALUE"""),"B2")</f>
        <v>B2</v>
      </c>
      <c r="M754" s="2" t="str">
        <f>IFERROR(__xludf.DUMMYFUNCTION("""COMPUTED_VALUE"""),"Sí")</f>
        <v>Sí</v>
      </c>
      <c r="N754" s="3" t="str">
        <f>IFERROR(__xludf.DUMMYFUNCTION("""COMPUTED_VALUE"""),"https://www.ipp.pt/international/support-to-internationalisation/support-to-internationalisation")</f>
        <v>https://www.ipp.pt/international/support-to-internationalisation/support-to-internationalisation</v>
      </c>
      <c r="O754" s="3" t="str">
        <f>IFERROR(__xludf.DUMMYFUNCTION("""COMPUTED_VALUE"""),"Más información / Informazio gehigarria")</f>
        <v>Más información / Informazio gehigarria</v>
      </c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30.0" customHeight="1">
      <c r="A755" s="2" t="str">
        <f>IFERROR(__xludf.DUMMYFUNCTION("""COMPUTED_VALUE"""),"Portugal")</f>
        <v>Portugal</v>
      </c>
      <c r="B755" s="2" t="str">
        <f>IFERROR(__xludf.DUMMYFUNCTION("""COMPUTED_VALUE"""),"P PORTO05")</f>
        <v>P PORTO05</v>
      </c>
      <c r="C755" s="3" t="str">
        <f>IFERROR(__xludf.DUMMYFUNCTION("""COMPUTED_VALUE"""),"Instituto Politecnico do Porto - School of Education Porto")</f>
        <v>Instituto Politecnico do Porto - School of Education Porto</v>
      </c>
      <c r="D755" s="2" t="str">
        <f>IFERROR(__xludf.DUMMYFUNCTION("""COMPUTED_VALUE"""),"Erasmus+")</f>
        <v>Erasmus+</v>
      </c>
      <c r="E755" s="2">
        <f>IFERROR(__xludf.DUMMYFUNCTION("""COMPUTED_VALUE"""),3.0)</f>
        <v>3</v>
      </c>
      <c r="F755" s="2" t="str">
        <f>IFERROR(__xludf.DUMMYFUNCTION("""COMPUTED_VALUE"""),"Semestre")</f>
        <v>Semestre</v>
      </c>
      <c r="G755" s="2" t="str">
        <f>IFERROR(__xludf.DUMMYFUNCTION("""COMPUTED_VALUE"""),"Bilbao")</f>
        <v>Bilbao</v>
      </c>
      <c r="H755" s="2" t="str">
        <f>IFERROR(__xludf.DUMMYFUNCTION("""COMPUTED_VALUE"""),"Educación y Deporte")</f>
        <v>Educación y Deporte</v>
      </c>
      <c r="I755" s="2" t="str">
        <f>IFERROR(__xludf.DUMMYFUNCTION("""COMPUTED_VALUE"""),"CAFyD")</f>
        <v>CAFyD</v>
      </c>
      <c r="J755" s="2" t="str">
        <f>IFERROR(__xludf.DUMMYFUNCTION("""COMPUTED_VALUE"""),"Grado")</f>
        <v>Grado</v>
      </c>
      <c r="K755" s="2" t="str">
        <f>IFERROR(__xludf.DUMMYFUNCTION("""COMPUTED_VALUE"""),"Portugués / Inglés")</f>
        <v>Portugués / Inglés</v>
      </c>
      <c r="L755" s="2" t="str">
        <f>IFERROR(__xludf.DUMMYFUNCTION("""COMPUTED_VALUE"""),"B1 Po / B2 En")</f>
        <v>B1 Po / B2 En</v>
      </c>
      <c r="M755" s="2" t="str">
        <f>IFERROR(__xludf.DUMMYFUNCTION("""COMPUTED_VALUE"""),"No")</f>
        <v>No</v>
      </c>
      <c r="N755" s="3" t="str">
        <f>IFERROR(__xludf.DUMMYFUNCTION("""COMPUTED_VALUE"""),"https://www.ipp.pt/education/schools/ese?set_language=en")</f>
        <v>https://www.ipp.pt/education/schools/ese?set_language=en</v>
      </c>
      <c r="O755" s="3" t="str">
        <f>IFERROR(__xludf.DUMMYFUNCTION("""COMPUTED_VALUE"""),"Más información / Informazio gehigarria")</f>
        <v>Más información / Informazio gehigarria</v>
      </c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30.0" customHeight="1">
      <c r="A756" s="2" t="str">
        <f>IFERROR(__xludf.DUMMYFUNCTION("""COMPUTED_VALUE"""),"Portugal")</f>
        <v>Portugal</v>
      </c>
      <c r="B756" s="2" t="str">
        <f>IFERROR(__xludf.DUMMYFUNCTION("""COMPUTED_VALUE"""),"P PORTO05")</f>
        <v>P PORTO05</v>
      </c>
      <c r="C756" s="3" t="str">
        <f>IFERROR(__xludf.DUMMYFUNCTION("""COMPUTED_VALUE"""),"Politecnico do Porto ESMAD")</f>
        <v>Politecnico do Porto ESMAD</v>
      </c>
      <c r="D756" s="2" t="str">
        <f>IFERROR(__xludf.DUMMYFUNCTION("""COMPUTED_VALUE"""),"Erasmus+")</f>
        <v>Erasmus+</v>
      </c>
      <c r="E756" s="2">
        <f>IFERROR(__xludf.DUMMYFUNCTION("""COMPUTED_VALUE"""),4.0)</f>
        <v>4</v>
      </c>
      <c r="F756" s="2" t="str">
        <f>IFERROR(__xludf.DUMMYFUNCTION("""COMPUTED_VALUE"""),"Semestre")</f>
        <v>Semestre</v>
      </c>
      <c r="G756" s="2" t="str">
        <f>IFERROR(__xludf.DUMMYFUNCTION("""COMPUTED_VALUE"""),"Bilbao")</f>
        <v>Bilbao</v>
      </c>
      <c r="H756" s="2" t="str">
        <f>IFERROR(__xludf.DUMMYFUNCTION("""COMPUTED_VALUE"""),"Ingeniería")</f>
        <v>Ingeniería</v>
      </c>
      <c r="I756" s="2" t="str">
        <f>IFERROR(__xludf.DUMMYFUNCTION("""COMPUTED_VALUE"""),"Diseño Industrial, Industria Digital, Diseño Industrial + Ingeniería Mecánica")</f>
        <v>Diseño Industrial, Industria Digital, Diseño Industrial + Ingeniería Mecánica</v>
      </c>
      <c r="J756" s="2" t="str">
        <f>IFERROR(__xludf.DUMMYFUNCTION("""COMPUTED_VALUE"""),"Grado")</f>
        <v>Grado</v>
      </c>
      <c r="K756" s="2" t="str">
        <f>IFERROR(__xludf.DUMMYFUNCTION("""COMPUTED_VALUE"""),"Portugués")</f>
        <v>Portugués</v>
      </c>
      <c r="L756" s="2"/>
      <c r="M756" s="2" t="str">
        <f>IFERROR(__xludf.DUMMYFUNCTION("""COMPUTED_VALUE"""),"No")</f>
        <v>No</v>
      </c>
      <c r="N756" s="3" t="str">
        <f>IFERROR(__xludf.DUMMYFUNCTION("""COMPUTED_VALUE"""),"https://www.ipp.pt/international/support-to-internationalisation?set_language=en")</f>
        <v>https://www.ipp.pt/international/support-to-internationalisation?set_language=en</v>
      </c>
      <c r="O756" s="3" t="str">
        <f>IFERROR(__xludf.DUMMYFUNCTION("""COMPUTED_VALUE"""),"Más información / Informazio gehigarria")</f>
        <v>Más información / Informazio gehigarria</v>
      </c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30.0" customHeight="1">
      <c r="A757" s="2" t="str">
        <f>IFERROR(__xludf.DUMMYFUNCTION("""COMPUTED_VALUE"""),"Portugal")</f>
        <v>Portugal</v>
      </c>
      <c r="B757" s="2" t="str">
        <f>IFERROR(__xludf.DUMMYFUNCTION("""COMPUTED_VALUE"""),"P PORTO05")</f>
        <v>P PORTO05</v>
      </c>
      <c r="C757" s="3" t="str">
        <f>IFERROR(__xludf.DUMMYFUNCTION("""COMPUTED_VALUE"""),"Politecnico do Porto ISEP")</f>
        <v>Politecnico do Porto ISEP</v>
      </c>
      <c r="D757" s="2" t="str">
        <f>IFERROR(__xludf.DUMMYFUNCTION("""COMPUTED_VALUE"""),"Erasmus+")</f>
        <v>Erasmus+</v>
      </c>
      <c r="E757" s="2">
        <f>IFERROR(__xludf.DUMMYFUNCTION("""COMPUTED_VALUE"""),2.0)</f>
        <v>2</v>
      </c>
      <c r="F757" s="2" t="str">
        <f>IFERROR(__xludf.DUMMYFUNCTION("""COMPUTED_VALUE"""),"Semestre")</f>
        <v>Semestre</v>
      </c>
      <c r="G757" s="2" t="str">
        <f>IFERROR(__xludf.DUMMYFUNCTION("""COMPUTED_VALUE"""),"Ambos")</f>
        <v>Ambos</v>
      </c>
      <c r="H757" s="2" t="str">
        <f>IFERROR(__xludf.DUMMYFUNCTION("""COMPUTED_VALUE"""),"Ingeniería")</f>
        <v>Ingeniería</v>
      </c>
      <c r="I757" s="2" t="str">
        <f>IFERROR(__xludf.DUMMYFUNCTION("""COMPUTED_VALUE"""),"Ingeniería Mecánica, Tecnologías Industriales, Electrónica y Automática, Organización Industrial, Ingeniería Robótica, Ciencia de Datos e IA, Ciencia de Datos e IA + Ingeniería Informática,  Ingeniería Informática + Videojuegos")</f>
        <v>Ingeniería Mecánica, Tecnologías Industriales, Electrónica y Automática, Organización Industrial, Ingeniería Robótica, Ciencia de Datos e IA, Ciencia de Datos e IA + Ingeniería Informática,  Ingeniería Informática + Videojuegos</v>
      </c>
      <c r="J757" s="2" t="str">
        <f>IFERROR(__xludf.DUMMYFUNCTION("""COMPUTED_VALUE"""),"Grado")</f>
        <v>Grado</v>
      </c>
      <c r="K757" s="2" t="str">
        <f>IFERROR(__xludf.DUMMYFUNCTION("""COMPUTED_VALUE"""),"Portugués")</f>
        <v>Portugués</v>
      </c>
      <c r="L757" s="2" t="str">
        <f>IFERROR(__xludf.DUMMYFUNCTION("""COMPUTED_VALUE"""),"B2")</f>
        <v>B2</v>
      </c>
      <c r="M757" s="2" t="str">
        <f>IFERROR(__xludf.DUMMYFUNCTION("""COMPUTED_VALUE"""),"Sí")</f>
        <v>Sí</v>
      </c>
      <c r="N757" s="3" t="str">
        <f>IFERROR(__xludf.DUMMYFUNCTION("""COMPUTED_VALUE"""),"https://www.isep.ipp.pt/Page/ViewPage/MOBILITYSTUDENTSAPPLICATIONPROCEDURES")</f>
        <v>https://www.isep.ipp.pt/Page/ViewPage/MOBILITYSTUDENTSAPPLICATIONPROCEDURES</v>
      </c>
      <c r="O757" s="3" t="str">
        <f>IFERROR(__xludf.DUMMYFUNCTION("""COMPUTED_VALUE"""),"Más información / Informazio gehigarria")</f>
        <v>Más información / Informazio gehigarria</v>
      </c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30.0" customHeight="1">
      <c r="A758" s="2" t="str">
        <f>IFERROR(__xludf.DUMMYFUNCTION("""COMPUTED_VALUE"""),"Portugal")</f>
        <v>Portugal</v>
      </c>
      <c r="B758" s="2" t="str">
        <f>IFERROR(__xludf.DUMMYFUNCTION("""COMPUTED_VALUE"""),"P PORTO05")</f>
        <v>P PORTO05</v>
      </c>
      <c r="C758" s="3" t="str">
        <f>IFERROR(__xludf.DUMMYFUNCTION("""COMPUTED_VALUE"""),"Politecnico do Porto ISEP")</f>
        <v>Politecnico do Porto ISEP</v>
      </c>
      <c r="D758" s="2" t="str">
        <f>IFERROR(__xludf.DUMMYFUNCTION("""COMPUTED_VALUE"""),"Erasmus+")</f>
        <v>Erasmus+</v>
      </c>
      <c r="E758" s="2">
        <f>IFERROR(__xludf.DUMMYFUNCTION("""COMPUTED_VALUE"""),4.0)</f>
        <v>4</v>
      </c>
      <c r="F758" s="2" t="str">
        <f>IFERROR(__xludf.DUMMYFUNCTION("""COMPUTED_VALUE"""),"Semestre")</f>
        <v>Semestre</v>
      </c>
      <c r="G758" s="2" t="str">
        <f>IFERROR(__xludf.DUMMYFUNCTION("""COMPUTED_VALUE"""),"Bilbao")</f>
        <v>Bilbao</v>
      </c>
      <c r="H758" s="2" t="str">
        <f>IFERROR(__xludf.DUMMYFUNCTION("""COMPUTED_VALUE"""),"Ingeniería")</f>
        <v>Ingeniería</v>
      </c>
      <c r="I758" s="2" t="str">
        <f>IFERROR(__xludf.DUMMYFUNCTION("""COMPUTED_VALUE"""),"Ingeniería Biomédica")</f>
        <v>Ingeniería Biomédica</v>
      </c>
      <c r="J758" s="2" t="str">
        <f>IFERROR(__xludf.DUMMYFUNCTION("""COMPUTED_VALUE"""),"Grado")</f>
        <v>Grado</v>
      </c>
      <c r="K758" s="2" t="str">
        <f>IFERROR(__xludf.DUMMYFUNCTION("""COMPUTED_VALUE"""),"Portugués")</f>
        <v>Portugués</v>
      </c>
      <c r="L758" s="2" t="str">
        <f>IFERROR(__xludf.DUMMYFUNCTION("""COMPUTED_VALUE"""),"B2")</f>
        <v>B2</v>
      </c>
      <c r="M758" s="2" t="str">
        <f>IFERROR(__xludf.DUMMYFUNCTION("""COMPUTED_VALUE"""),"Sí")</f>
        <v>Sí</v>
      </c>
      <c r="N758" s="3" t="str">
        <f>IFERROR(__xludf.DUMMYFUNCTION("""COMPUTED_VALUE"""),"https://www.isep.ipp.pt/Page/ViewPage/MOBILITYSTUDENTSAPPLICATIONPROCEDURES")</f>
        <v>https://www.isep.ipp.pt/Page/ViewPage/MOBILITYSTUDENTSAPPLICATIONPROCEDURES</v>
      </c>
      <c r="O758" s="3" t="str">
        <f>IFERROR(__xludf.DUMMYFUNCTION("""COMPUTED_VALUE"""),"Más información / Informazio gehigarria")</f>
        <v>Más información / Informazio gehigarria</v>
      </c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30.0" customHeight="1">
      <c r="A759" s="2" t="str">
        <f>IFERROR(__xludf.DUMMYFUNCTION("""COMPUTED_VALUE"""),"Portugal")</f>
        <v>Portugal</v>
      </c>
      <c r="B759" s="2" t="str">
        <f>IFERROR(__xludf.DUMMYFUNCTION("""COMPUTED_VALUE"""),"P BARCARE01")</f>
        <v>P BARCARE01</v>
      </c>
      <c r="C759" s="3" t="str">
        <f>IFERROR(__xludf.DUMMYFUNCTION("""COMPUTED_VALUE"""),"Universidade Atlântica")</f>
        <v>Universidade Atlântica</v>
      </c>
      <c r="D759" s="2" t="str">
        <f>IFERROR(__xludf.DUMMYFUNCTION("""COMPUTED_VALUE"""),"Erasmus+")</f>
        <v>Erasmus+</v>
      </c>
      <c r="E759" s="2">
        <f>IFERROR(__xludf.DUMMYFUNCTION("""COMPUTED_VALUE"""),1.0)</f>
        <v>1</v>
      </c>
      <c r="F759" s="2" t="str">
        <f>IFERROR(__xludf.DUMMYFUNCTION("""COMPUTED_VALUE"""),"Semestre")</f>
        <v>Semestre</v>
      </c>
      <c r="G759" s="2" t="str">
        <f>IFERROR(__xludf.DUMMYFUNCTION("""COMPUTED_VALUE"""),"San Sebastián")</f>
        <v>San Sebastián</v>
      </c>
      <c r="H759" s="2" t="str">
        <f>IFERROR(__xludf.DUMMYFUNCTION("""COMPUTED_VALUE"""),"Ciencias de la Salud")</f>
        <v>Ciencias de la Salud</v>
      </c>
      <c r="I759" s="2" t="str">
        <f>IFERROR(__xludf.DUMMYFUNCTION("""COMPUTED_VALUE"""),"Fisioterapia")</f>
        <v>Fisioterapia</v>
      </c>
      <c r="J759" s="2" t="str">
        <f>IFERROR(__xludf.DUMMYFUNCTION("""COMPUTED_VALUE"""),"Grado")</f>
        <v>Grado</v>
      </c>
      <c r="K759" s="2" t="str">
        <f>IFERROR(__xludf.DUMMYFUNCTION("""COMPUTED_VALUE"""),"Portugués")</f>
        <v>Portugués</v>
      </c>
      <c r="L759" s="2" t="str">
        <f>IFERROR(__xludf.DUMMYFUNCTION("""COMPUTED_VALUE"""),"B1")</f>
        <v>B1</v>
      </c>
      <c r="M759" s="2" t="str">
        <f>IFERROR(__xludf.DUMMYFUNCTION("""COMPUTED_VALUE"""),"No")</f>
        <v>No</v>
      </c>
      <c r="N759" s="3" t="str">
        <f>IFERROR(__xludf.DUMMYFUNCTION("""COMPUTED_VALUE"""),"https://www.uatlantica.pt/erasmus/")</f>
        <v>https://www.uatlantica.pt/erasmus/</v>
      </c>
      <c r="O759" s="3" t="str">
        <f>IFERROR(__xludf.DUMMYFUNCTION("""COMPUTED_VALUE"""),"Más información / Informazio gehigarria")</f>
        <v>Más información / Informazio gehigarria</v>
      </c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30.0" customHeight="1">
      <c r="A760" s="2" t="str">
        <f>IFERROR(__xludf.DUMMYFUNCTION("""COMPUTED_VALUE"""),"Portugal")</f>
        <v>Portugal</v>
      </c>
      <c r="B760" s="2" t="str">
        <f>IFERROR(__xludf.DUMMYFUNCTION("""COMPUTED_VALUE"""),"P LISBOA01")</f>
        <v>P LISBOA01</v>
      </c>
      <c r="C760" s="3" t="str">
        <f>IFERROR(__xludf.DUMMYFUNCTION("""COMPUTED_VALUE"""),"Universidade Católica Portuguesa")</f>
        <v>Universidade Católica Portuguesa</v>
      </c>
      <c r="D760" s="2" t="str">
        <f>IFERROR(__xludf.DUMMYFUNCTION("""COMPUTED_VALUE"""),"Erasmus+")</f>
        <v>Erasmus+</v>
      </c>
      <c r="E760" s="2">
        <f>IFERROR(__xludf.DUMMYFUNCTION("""COMPUTED_VALUE"""),2.0)</f>
        <v>2</v>
      </c>
      <c r="F760" s="2" t="str">
        <f>IFERROR(__xludf.DUMMYFUNCTION("""COMPUTED_VALUE"""),"Anual")</f>
        <v>Anual</v>
      </c>
      <c r="G760" s="2" t="str">
        <f>IFERROR(__xludf.DUMMYFUNCTION("""COMPUTED_VALUE"""),"Bilbao")</f>
        <v>Bilbao</v>
      </c>
      <c r="H760" s="2" t="str">
        <f>IFERROR(__xludf.DUMMYFUNCTION("""COMPUTED_VALUE"""),"Ciencias Sociales y Humanas")</f>
        <v>Ciencias Sociales y Humanas</v>
      </c>
      <c r="I760" s="2" t="str">
        <f>IFERROR(__xludf.DUMMYFUNCTION("""COMPUTED_VALUE"""),"Lenguas Modernas, Lengua y Cultura Vasca + Lenguas Modernas, Lenguas Modernas y Gestión, Euskal Hizkuntza eta Kultura")</f>
        <v>Lenguas Modernas, Lengua y Cultura Vasca + Lenguas Modernas, Lenguas Modernas y Gestión, Euskal Hizkuntza eta Kultura</v>
      </c>
      <c r="J760" s="2" t="str">
        <f>IFERROR(__xludf.DUMMYFUNCTION("""COMPUTED_VALUE"""),"Grado")</f>
        <v>Grado</v>
      </c>
      <c r="K760" s="2" t="str">
        <f>IFERROR(__xludf.DUMMYFUNCTION("""COMPUTED_VALUE"""),"Portugués / Inglés")</f>
        <v>Portugués / Inglés</v>
      </c>
      <c r="L760" s="2" t="str">
        <f>IFERROR(__xludf.DUMMYFUNCTION("""COMPUTED_VALUE"""),"B2")</f>
        <v>B2</v>
      </c>
      <c r="M760" s="2" t="str">
        <f>IFERROR(__xludf.DUMMYFUNCTION("""COMPUTED_VALUE"""),"Sí")</f>
        <v>Sí</v>
      </c>
      <c r="N760" s="3" t="str">
        <f>IFERROR(__xludf.DUMMYFUNCTION("""COMPUTED_VALUE"""),"https://content.usi.ch/sites/default/files/storage/attachments/relint/relint-factsheet-catolica-portuguesa-lisbona.pdf")</f>
        <v>https://content.usi.ch/sites/default/files/storage/attachments/relint/relint-factsheet-catolica-portuguesa-lisbona.pdf</v>
      </c>
      <c r="O760" s="3" t="str">
        <f>IFERROR(__xludf.DUMMYFUNCTION("""COMPUTED_VALUE"""),"Más información / Informazio gehigarria")</f>
        <v>Más información / Informazio gehigarria</v>
      </c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30.0" customHeight="1">
      <c r="A761" s="2" t="str">
        <f>IFERROR(__xludf.DUMMYFUNCTION("""COMPUTED_VALUE"""),"Portugal")</f>
        <v>Portugal</v>
      </c>
      <c r="B761" s="2" t="str">
        <f>IFERROR(__xludf.DUMMYFUNCTION("""COMPUTED_VALUE"""),"P LISBOA01")</f>
        <v>P LISBOA01</v>
      </c>
      <c r="C761" s="3" t="str">
        <f>IFERROR(__xludf.DUMMYFUNCTION("""COMPUTED_VALUE"""),"Universidade Católica Portuguesa")</f>
        <v>Universidade Católica Portuguesa</v>
      </c>
      <c r="D761" s="2" t="str">
        <f>IFERROR(__xludf.DUMMYFUNCTION("""COMPUTED_VALUE"""),"Erasmus+")</f>
        <v>Erasmus+</v>
      </c>
      <c r="E761" s="2">
        <f>IFERROR(__xludf.DUMMYFUNCTION("""COMPUTED_VALUE"""),2.0)</f>
        <v>2</v>
      </c>
      <c r="F761" s="2" t="str">
        <f>IFERROR(__xludf.DUMMYFUNCTION("""COMPUTED_VALUE"""),"Anual")</f>
        <v>Anual</v>
      </c>
      <c r="G761" s="2" t="str">
        <f>IFERROR(__xludf.DUMMYFUNCTION("""COMPUTED_VALUE"""),"Bilbao")</f>
        <v>Bilbao</v>
      </c>
      <c r="H761" s="2" t="str">
        <f>IFERROR(__xludf.DUMMYFUNCTION("""COMPUTED_VALUE"""),"Ciencias Sociales y Humanas")</f>
        <v>Ciencias Sociales y Humanas</v>
      </c>
      <c r="I761" s="2" t="str">
        <f>IFERROR(__xludf.DUMMYFUNCTION("""COMPUTED_VALUE"""),"Relaciones Internacionales")</f>
        <v>Relaciones Internacionales</v>
      </c>
      <c r="J761" s="2" t="str">
        <f>IFERROR(__xludf.DUMMYFUNCTION("""COMPUTED_VALUE"""),"Grado")</f>
        <v>Grado</v>
      </c>
      <c r="K761" s="2" t="str">
        <f>IFERROR(__xludf.DUMMYFUNCTION("""COMPUTED_VALUE"""),"Portugués / Inglés")</f>
        <v>Portugués / Inglés</v>
      </c>
      <c r="L761" s="2" t="str">
        <f>IFERROR(__xludf.DUMMYFUNCTION("""COMPUTED_VALUE"""),"B2 Inglés / B1 Portugués")</f>
        <v>B2 Inglés / B1 Portugués</v>
      </c>
      <c r="M761" s="2" t="str">
        <f>IFERROR(__xludf.DUMMYFUNCTION("""COMPUTED_VALUE"""),"No")</f>
        <v>No</v>
      </c>
      <c r="N761" s="3" t="str">
        <f>IFERROR(__xludf.DUMMYFUNCTION("""COMPUTED_VALUE"""),"https://content.usi.ch/sites/default/files/storage/attachments/relint/relint-factsheet-catolica-portuguesa-lisbona.pdf")</f>
        <v>https://content.usi.ch/sites/default/files/storage/attachments/relint/relint-factsheet-catolica-portuguesa-lisbona.pdf</v>
      </c>
      <c r="O761" s="3" t="str">
        <f>IFERROR(__xludf.DUMMYFUNCTION("""COMPUTED_VALUE"""),"Más información / Informazio gehigarria")</f>
        <v>Más información / Informazio gehigarria</v>
      </c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30.0" customHeight="1">
      <c r="A762" s="2" t="str">
        <f>IFERROR(__xludf.DUMMYFUNCTION("""COMPUTED_VALUE"""),"Portugal")</f>
        <v>Portugal</v>
      </c>
      <c r="B762" s="2" t="str">
        <f>IFERROR(__xludf.DUMMYFUNCTION("""COMPUTED_VALUE"""),"P LISBOA01")</f>
        <v>P LISBOA01</v>
      </c>
      <c r="C762" s="3" t="str">
        <f>IFERROR(__xludf.DUMMYFUNCTION("""COMPUTED_VALUE"""),"Universidade Católica Portuguesa")</f>
        <v>Universidade Católica Portuguesa</v>
      </c>
      <c r="D762" s="2" t="str">
        <f>IFERROR(__xludf.DUMMYFUNCTION("""COMPUTED_VALUE"""),"Erasmus+")</f>
        <v>Erasmus+</v>
      </c>
      <c r="E762" s="2">
        <f>IFERROR(__xludf.DUMMYFUNCTION("""COMPUTED_VALUE"""),2.0)</f>
        <v>2</v>
      </c>
      <c r="F762" s="2" t="str">
        <f>IFERROR(__xludf.DUMMYFUNCTION("""COMPUTED_VALUE"""),"Semestre")</f>
        <v>Semestre</v>
      </c>
      <c r="G762" s="2" t="str">
        <f>IFERROR(__xludf.DUMMYFUNCTION("""COMPUTED_VALUE"""),"San Sebastián")</f>
        <v>San Sebastián</v>
      </c>
      <c r="H762" s="2" t="str">
        <f>IFERROR(__xludf.DUMMYFUNCTION("""COMPUTED_VALUE"""),"Ciencias Sociales y Humanas")</f>
        <v>Ciencias Sociales y Humanas</v>
      </c>
      <c r="I762" s="2" t="str">
        <f>IFERROR(__xludf.DUMMYFUNCTION("""COMPUTED_VALUE"""),"Comunicación")</f>
        <v>Comunicación</v>
      </c>
      <c r="J762" s="2" t="str">
        <f>IFERROR(__xludf.DUMMYFUNCTION("""COMPUTED_VALUE"""),"Grado")</f>
        <v>Grado</v>
      </c>
      <c r="K762" s="2" t="str">
        <f>IFERROR(__xludf.DUMMYFUNCTION("""COMPUTED_VALUE"""),"Portugués")</f>
        <v>Portugués</v>
      </c>
      <c r="L762" s="2" t="str">
        <f>IFERROR(__xludf.DUMMYFUNCTION("""COMPUTED_VALUE"""),"B1")</f>
        <v>B1</v>
      </c>
      <c r="M762" s="2" t="str">
        <f>IFERROR(__xludf.DUMMYFUNCTION("""COMPUTED_VALUE"""),"No")</f>
        <v>No</v>
      </c>
      <c r="N762" s="3" t="str">
        <f>IFERROR(__xludf.DUMMYFUNCTION("""COMPUTED_VALUE"""),"https://content.usi.ch/sites/default/files/storage/attachments/relint/relint-factsheet-catolica-portuguesa-lisbona.pdf")</f>
        <v>https://content.usi.ch/sites/default/files/storage/attachments/relint/relint-factsheet-catolica-portuguesa-lisbona.pdf</v>
      </c>
      <c r="O762" s="3" t="str">
        <f>IFERROR(__xludf.DUMMYFUNCTION("""COMPUTED_VALUE"""),"Más información / Informazio gehigarria")</f>
        <v>Más información / Informazio gehigarria</v>
      </c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30.0" customHeight="1">
      <c r="A763" s="2" t="str">
        <f>IFERROR(__xludf.DUMMYFUNCTION("""COMPUTED_VALUE"""),"Portugal")</f>
        <v>Portugal</v>
      </c>
      <c r="B763" s="2" t="str">
        <f>IFERROR(__xludf.DUMMYFUNCTION("""COMPUTED_VALUE"""),"P LISBOA01")</f>
        <v>P LISBOA01</v>
      </c>
      <c r="C763" s="3" t="str">
        <f>IFERROR(__xludf.DUMMYFUNCTION("""COMPUTED_VALUE"""),"Universidade Católica Portuguesa")</f>
        <v>Universidade Católica Portuguesa</v>
      </c>
      <c r="D763" s="2" t="str">
        <f>IFERROR(__xludf.DUMMYFUNCTION("""COMPUTED_VALUE"""),"Erasmus+")</f>
        <v>Erasmus+</v>
      </c>
      <c r="E763" s="2">
        <f>IFERROR(__xludf.DUMMYFUNCTION("""COMPUTED_VALUE"""),2.0)</f>
        <v>2</v>
      </c>
      <c r="F763" s="2" t="str">
        <f>IFERROR(__xludf.DUMMYFUNCTION("""COMPUTED_VALUE"""),"Semestre")</f>
        <v>Semestre</v>
      </c>
      <c r="G763" s="2" t="str">
        <f>IFERROR(__xludf.DUMMYFUNCTION("""COMPUTED_VALUE"""),"Bilbao")</f>
        <v>Bilbao</v>
      </c>
      <c r="H763" s="2" t="str">
        <f>IFERROR(__xludf.DUMMYFUNCTION("""COMPUTED_VALUE"""),"Ciencias Sociales y Humanas")</f>
        <v>Ciencias Sociales y Humanas</v>
      </c>
      <c r="I763" s="2" t="str">
        <f>IFERROR(__xludf.DUMMYFUNCTION("""COMPUTED_VALUE"""),"Relaciones Internacionales + Derecho")</f>
        <v>Relaciones Internacionales + Derecho</v>
      </c>
      <c r="J763" s="2" t="str">
        <f>IFERROR(__xludf.DUMMYFUNCTION("""COMPUTED_VALUE"""),"Grado")</f>
        <v>Grado</v>
      </c>
      <c r="K763" s="2" t="str">
        <f>IFERROR(__xludf.DUMMYFUNCTION("""COMPUTED_VALUE"""),"Portugués / Inglés")</f>
        <v>Portugués / Inglés</v>
      </c>
      <c r="L763" s="2" t="str">
        <f>IFERROR(__xludf.DUMMYFUNCTION("""COMPUTED_VALUE"""),"B2 Inglés / B1 Portugués")</f>
        <v>B2 Inglés / B1 Portugués</v>
      </c>
      <c r="M763" s="2" t="str">
        <f>IFERROR(__xludf.DUMMYFUNCTION("""COMPUTED_VALUE"""),"No")</f>
        <v>No</v>
      </c>
      <c r="N763" s="3" t="str">
        <f>IFERROR(__xludf.DUMMYFUNCTION("""COMPUTED_VALUE"""),"https://content.usi.ch/sites/default/files/storage/attachments/relint/relint-factsheet-catolica-portuguesa-lisbona.pdf")</f>
        <v>https://content.usi.ch/sites/default/files/storage/attachments/relint/relint-factsheet-catolica-portuguesa-lisbona.pdf</v>
      </c>
      <c r="O763" s="3" t="str">
        <f>IFERROR(__xludf.DUMMYFUNCTION("""COMPUTED_VALUE"""),"Más información / Informazio gehigarria")</f>
        <v>Más información / Informazio gehigarria</v>
      </c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30.0" customHeight="1">
      <c r="A764" s="2" t="str">
        <f>IFERROR(__xludf.DUMMYFUNCTION("""COMPUTED_VALUE"""),"Portugal")</f>
        <v>Portugal</v>
      </c>
      <c r="B764" s="2" t="str">
        <f>IFERROR(__xludf.DUMMYFUNCTION("""COMPUTED_VALUE"""),"P LISBOA01")</f>
        <v>P LISBOA01</v>
      </c>
      <c r="C764" s="3" t="str">
        <f>IFERROR(__xludf.DUMMYFUNCTION("""COMPUTED_VALUE"""),"Universidade Católica Portuguesa")</f>
        <v>Universidade Católica Portuguesa</v>
      </c>
      <c r="D764" s="2" t="str">
        <f>IFERROR(__xludf.DUMMYFUNCTION("""COMPUTED_VALUE"""),"Erasmus+")</f>
        <v>Erasmus+</v>
      </c>
      <c r="E764" s="2">
        <f>IFERROR(__xludf.DUMMYFUNCTION("""COMPUTED_VALUE"""),2.0)</f>
        <v>2</v>
      </c>
      <c r="F764" s="2" t="str">
        <f>IFERROR(__xludf.DUMMYFUNCTION("""COMPUTED_VALUE"""),"Semestre")</f>
        <v>Semestre</v>
      </c>
      <c r="G764" s="2" t="str">
        <f>IFERROR(__xludf.DUMMYFUNCTION("""COMPUTED_VALUE"""),"Bilbao")</f>
        <v>Bilbao</v>
      </c>
      <c r="H764" s="2" t="str">
        <f>IFERROR(__xludf.DUMMYFUNCTION("""COMPUTED_VALUE"""),"Ciencias Sociales y Humanas")</f>
        <v>Ciencias Sociales y Humanas</v>
      </c>
      <c r="I764" s="2" t="str">
        <f>IFERROR(__xludf.DUMMYFUNCTION("""COMPUTED_VALUE"""),"Filosofía, Política y Economía")</f>
        <v>Filosofía, Política y Economía</v>
      </c>
      <c r="J764" s="2" t="str">
        <f>IFERROR(__xludf.DUMMYFUNCTION("""COMPUTED_VALUE"""),"Grado")</f>
        <v>Grado</v>
      </c>
      <c r="K764" s="2" t="str">
        <f>IFERROR(__xludf.DUMMYFUNCTION("""COMPUTED_VALUE"""),"Portugués / Inglés")</f>
        <v>Portugués / Inglés</v>
      </c>
      <c r="L764" s="2" t="str">
        <f>IFERROR(__xludf.DUMMYFUNCTION("""COMPUTED_VALUE"""),"B2 Inglés / B1 Portugués")</f>
        <v>B2 Inglés / B1 Portugués</v>
      </c>
      <c r="M764" s="2" t="str">
        <f>IFERROR(__xludf.DUMMYFUNCTION("""COMPUTED_VALUE"""),"No")</f>
        <v>No</v>
      </c>
      <c r="N764" s="3" t="str">
        <f>IFERROR(__xludf.DUMMYFUNCTION("""COMPUTED_VALUE"""),"https://content.usi.ch/sites/default/files/storage/attachments/relint/relint-factsheet-catolica-portuguesa-lisbona.pdf")</f>
        <v>https://content.usi.ch/sites/default/files/storage/attachments/relint/relint-factsheet-catolica-portuguesa-lisbona.pdf</v>
      </c>
      <c r="O764" s="3" t="str">
        <f>IFERROR(__xludf.DUMMYFUNCTION("""COMPUTED_VALUE"""),"Más información / Informazio gehigarria")</f>
        <v>Más información / Informazio gehigarria</v>
      </c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30.0" customHeight="1">
      <c r="A765" s="2" t="str">
        <f>IFERROR(__xludf.DUMMYFUNCTION("""COMPUTED_VALUE"""),"Portugal")</f>
        <v>Portugal</v>
      </c>
      <c r="B765" s="2" t="str">
        <f>IFERROR(__xludf.DUMMYFUNCTION("""COMPUTED_VALUE"""),"P AVEIRO01")</f>
        <v>P AVEIRO01</v>
      </c>
      <c r="C765" s="3" t="str">
        <f>IFERROR(__xludf.DUMMYFUNCTION("""COMPUTED_VALUE"""),"Universidade de Aveiro")</f>
        <v>Universidade de Aveiro</v>
      </c>
      <c r="D765" s="2" t="str">
        <f>IFERROR(__xludf.DUMMYFUNCTION("""COMPUTED_VALUE"""),"Erasmus+")</f>
        <v>Erasmus+</v>
      </c>
      <c r="E765" s="2">
        <f>IFERROR(__xludf.DUMMYFUNCTION("""COMPUTED_VALUE"""),3.0)</f>
        <v>3</v>
      </c>
      <c r="F765" s="2" t="str">
        <f>IFERROR(__xludf.DUMMYFUNCTION("""COMPUTED_VALUE"""),"Semestre")</f>
        <v>Semestre</v>
      </c>
      <c r="G765" s="2" t="str">
        <f>IFERROR(__xludf.DUMMYFUNCTION("""COMPUTED_VALUE"""),"Bilbao")</f>
        <v>Bilbao</v>
      </c>
      <c r="H765" s="2" t="str">
        <f>IFERROR(__xludf.DUMMYFUNCTION("""COMPUTED_VALUE"""),"Begoñako Andramari, BAM")</f>
        <v>Begoñako Andramari, BAM</v>
      </c>
      <c r="I765" s="2" t="str">
        <f>IFERROR(__xludf.DUMMYFUNCTION("""COMPUTED_VALUE"""),"Educación Primaria, Educación Infantil")</f>
        <v>Educación Primaria, Educación Infantil</v>
      </c>
      <c r="J765" s="2" t="str">
        <f>IFERROR(__xludf.DUMMYFUNCTION("""COMPUTED_VALUE"""),"Grado")</f>
        <v>Grado</v>
      </c>
      <c r="K765" s="2" t="str">
        <f>IFERROR(__xludf.DUMMYFUNCTION("""COMPUTED_VALUE"""),"Portugués")</f>
        <v>Portugués</v>
      </c>
      <c r="L765" s="2" t="str">
        <f>IFERROR(__xludf.DUMMYFUNCTION("""COMPUTED_VALUE"""),"B1")</f>
        <v>B1</v>
      </c>
      <c r="M765" s="2" t="str">
        <f>IFERROR(__xludf.DUMMYFUNCTION("""COMPUTED_VALUE"""),"No")</f>
        <v>No</v>
      </c>
      <c r="N765" s="3" t="str">
        <f>IFERROR(__xludf.DUMMYFUNCTION("""COMPUTED_VALUE"""),"https://www.ua.pt/pt/erasmusplus/tratar")</f>
        <v>https://www.ua.pt/pt/erasmusplus/tratar</v>
      </c>
      <c r="O765" s="3" t="str">
        <f>IFERROR(__xludf.DUMMYFUNCTION("""COMPUTED_VALUE"""),"Más información / Informazio gehigarria")</f>
        <v>Más información / Informazio gehigarria</v>
      </c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30.0" customHeight="1">
      <c r="A766" s="2" t="str">
        <f>IFERROR(__xludf.DUMMYFUNCTION("""COMPUTED_VALUE"""),"Portugal")</f>
        <v>Portugal</v>
      </c>
      <c r="B766" s="2" t="str">
        <f>IFERROR(__xludf.DUMMYFUNCTION("""COMPUTED_VALUE"""),"P AVEIRO01")</f>
        <v>P AVEIRO01</v>
      </c>
      <c r="C766" s="3" t="str">
        <f>IFERROR(__xludf.DUMMYFUNCTION("""COMPUTED_VALUE"""),"Universidade de Aveiro")</f>
        <v>Universidade de Aveiro</v>
      </c>
      <c r="D766" s="2" t="str">
        <f>IFERROR(__xludf.DUMMYFUNCTION("""COMPUTED_VALUE"""),"Erasmus+")</f>
        <v>Erasmus+</v>
      </c>
      <c r="E766" s="2">
        <f>IFERROR(__xludf.DUMMYFUNCTION("""COMPUTED_VALUE"""),2.0)</f>
        <v>2</v>
      </c>
      <c r="F766" s="2" t="str">
        <f>IFERROR(__xludf.DUMMYFUNCTION("""COMPUTED_VALUE"""),"Semestre")</f>
        <v>Semestre</v>
      </c>
      <c r="G766" s="2" t="str">
        <f>IFERROR(__xludf.DUMMYFUNCTION("""COMPUTED_VALUE"""),"Ambos")</f>
        <v>Ambos</v>
      </c>
      <c r="H766" s="2" t="str">
        <f>IFERROR(__xludf.DUMMYFUNCTION("""COMPUTED_VALUE"""),"Ingeniería")</f>
        <v>Ingeniería</v>
      </c>
      <c r="I766" s="2" t="str">
        <f>IFERROR(__xludf.DUMMYFUNCTION("""COMPUTED_VALUE"""),"Ingeniería Informática, Ciencia de Datos e IA + Ingeniería Informática, Ingeniería Informática + Videojuegos")</f>
        <v>Ingeniería Informática, Ciencia de Datos e IA + Ingeniería Informática, Ingeniería Informática + Videojuegos</v>
      </c>
      <c r="J766" s="2" t="str">
        <f>IFERROR(__xludf.DUMMYFUNCTION("""COMPUTED_VALUE"""),"Grado")</f>
        <v>Grado</v>
      </c>
      <c r="K766" s="2" t="str">
        <f>IFERROR(__xludf.DUMMYFUNCTION("""COMPUTED_VALUE"""),"Portugués / Inglés")</f>
        <v>Portugués / Inglés</v>
      </c>
      <c r="L766" s="2" t="str">
        <f>IFERROR(__xludf.DUMMYFUNCTION("""COMPUTED_VALUE"""),"B1 / B2")</f>
        <v>B1 / B2</v>
      </c>
      <c r="M766" s="2" t="str">
        <f>IFERROR(__xludf.DUMMYFUNCTION("""COMPUTED_VALUE"""),"Sí")</f>
        <v>Sí</v>
      </c>
      <c r="N766" s="3" t="str">
        <f>IFERROR(__xludf.DUMMYFUNCTION("""COMPUTED_VALUE"""),"https://www.ua.pt/pt/erasmusplus/tratar")</f>
        <v>https://www.ua.pt/pt/erasmusplus/tratar</v>
      </c>
      <c r="O766" s="3" t="str">
        <f>IFERROR(__xludf.DUMMYFUNCTION("""COMPUTED_VALUE"""),"Más información / Informazio gehigarria")</f>
        <v>Más información / Informazio gehigarria</v>
      </c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30.0" customHeight="1">
      <c r="A767" s="2" t="str">
        <f>IFERROR(__xludf.DUMMYFUNCTION("""COMPUTED_VALUE"""),"Portugal")</f>
        <v>Portugal</v>
      </c>
      <c r="B767" s="2" t="str">
        <f>IFERROR(__xludf.DUMMYFUNCTION("""COMPUTED_VALUE"""),"P AVEIRO01")</f>
        <v>P AVEIRO01</v>
      </c>
      <c r="C767" s="3" t="str">
        <f>IFERROR(__xludf.DUMMYFUNCTION("""COMPUTED_VALUE"""),"Universidade de Aveiro")</f>
        <v>Universidade de Aveiro</v>
      </c>
      <c r="D767" s="2" t="str">
        <f>IFERROR(__xludf.DUMMYFUNCTION("""COMPUTED_VALUE"""),"Erasmus+")</f>
        <v>Erasmus+</v>
      </c>
      <c r="E767" s="2">
        <f>IFERROR(__xludf.DUMMYFUNCTION("""COMPUTED_VALUE"""),2.0)</f>
        <v>2</v>
      </c>
      <c r="F767" s="2" t="str">
        <f>IFERROR(__xludf.DUMMYFUNCTION("""COMPUTED_VALUE"""),"Semestre")</f>
        <v>Semestre</v>
      </c>
      <c r="G767" s="2" t="str">
        <f>IFERROR(__xludf.DUMMYFUNCTION("""COMPUTED_VALUE"""),"Bilbao")</f>
        <v>Bilbao</v>
      </c>
      <c r="H767" s="2" t="str">
        <f>IFERROR(__xludf.DUMMYFUNCTION("""COMPUTED_VALUE"""),"Ingeniería")</f>
        <v>Ingeniería</v>
      </c>
      <c r="I767" s="2" t="str">
        <f>IFERROR(__xludf.DUMMYFUNCTION("""COMPUTED_VALUE"""),"Electrónica y Automática ")</f>
        <v>Electrónica y Automática </v>
      </c>
      <c r="J767" s="2" t="str">
        <f>IFERROR(__xludf.DUMMYFUNCTION("""COMPUTED_VALUE"""),"Grado")</f>
        <v>Grado</v>
      </c>
      <c r="K767" s="2" t="str">
        <f>IFERROR(__xludf.DUMMYFUNCTION("""COMPUTED_VALUE"""),"Portugués / Inglés")</f>
        <v>Portugués / Inglés</v>
      </c>
      <c r="L767" s="2" t="str">
        <f>IFERROR(__xludf.DUMMYFUNCTION("""COMPUTED_VALUE"""),"B1 / B2")</f>
        <v>B1 / B2</v>
      </c>
      <c r="M767" s="2" t="str">
        <f>IFERROR(__xludf.DUMMYFUNCTION("""COMPUTED_VALUE"""),"Sí")</f>
        <v>Sí</v>
      </c>
      <c r="N767" s="3" t="str">
        <f>IFERROR(__xludf.DUMMYFUNCTION("""COMPUTED_VALUE"""),"https://www.ua.pt/pt/erasmusplus/tratar")</f>
        <v>https://www.ua.pt/pt/erasmusplus/tratar</v>
      </c>
      <c r="O767" s="3" t="str">
        <f>IFERROR(__xludf.DUMMYFUNCTION("""COMPUTED_VALUE"""),"Más información / Informazio gehigarria")</f>
        <v>Más información / Informazio gehigarria</v>
      </c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30.0" customHeight="1">
      <c r="A768" s="2" t="str">
        <f>IFERROR(__xludf.DUMMYFUNCTION("""COMPUTED_VALUE"""),"Portugal")</f>
        <v>Portugal</v>
      </c>
      <c r="B768" s="2" t="str">
        <f>IFERROR(__xludf.DUMMYFUNCTION("""COMPUTED_VALUE"""),"P COVILHA01")</f>
        <v>P COVILHA01</v>
      </c>
      <c r="C768" s="3" t="str">
        <f>IFERROR(__xludf.DUMMYFUNCTION("""COMPUTED_VALUE"""),"Universidade de Beira Interior")</f>
        <v>Universidade de Beira Interior</v>
      </c>
      <c r="D768" s="2" t="str">
        <f>IFERROR(__xludf.DUMMYFUNCTION("""COMPUTED_VALUE"""),"Erasmus+")</f>
        <v>Erasmus+</v>
      </c>
      <c r="E768" s="2">
        <f>IFERROR(__xludf.DUMMYFUNCTION("""COMPUTED_VALUE"""),2.0)</f>
        <v>2</v>
      </c>
      <c r="F768" s="2" t="str">
        <f>IFERROR(__xludf.DUMMYFUNCTION("""COMPUTED_VALUE"""),"Anual")</f>
        <v>Anual</v>
      </c>
      <c r="G768" s="2" t="str">
        <f>IFERROR(__xludf.DUMMYFUNCTION("""COMPUTED_VALUE"""),"Bilbao")</f>
        <v>Bilbao</v>
      </c>
      <c r="H768" s="2" t="str">
        <f>IFERROR(__xludf.DUMMYFUNCTION("""COMPUTED_VALUE"""),"Ciencias de la Salud")</f>
        <v>Ciencias de la Salud</v>
      </c>
      <c r="I768" s="2" t="str">
        <f>IFERROR(__xludf.DUMMYFUNCTION("""COMPUTED_VALUE"""),"Psicología")</f>
        <v>Psicología</v>
      </c>
      <c r="J768" s="2" t="str">
        <f>IFERROR(__xludf.DUMMYFUNCTION("""COMPUTED_VALUE"""),"Grado")</f>
        <v>Grado</v>
      </c>
      <c r="K768" s="2" t="str">
        <f>IFERROR(__xludf.DUMMYFUNCTION("""COMPUTED_VALUE"""),"Portugués")</f>
        <v>Portugués</v>
      </c>
      <c r="L768" s="2" t="str">
        <f>IFERROR(__xludf.DUMMYFUNCTION("""COMPUTED_VALUE"""),"B1")</f>
        <v>B1</v>
      </c>
      <c r="M768" s="2" t="str">
        <f>IFERROR(__xludf.DUMMYFUNCTION("""COMPUTED_VALUE"""),"No")</f>
        <v>No</v>
      </c>
      <c r="N768" s="3" t="str">
        <f>IFERROR(__xludf.DUMMYFUNCTION("""COMPUTED_VALUE"""),"https://www.ubi.pt/ficheiros/entidades/gisp/guia_ingles_13_14.pdf")</f>
        <v>https://www.ubi.pt/ficheiros/entidades/gisp/guia_ingles_13_14.pdf</v>
      </c>
      <c r="O768" s="3" t="str">
        <f>IFERROR(__xludf.DUMMYFUNCTION("""COMPUTED_VALUE"""),"Más información / Informazio gehigarria")</f>
        <v>Más información / Informazio gehigarria</v>
      </c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30.0" customHeight="1">
      <c r="A769" s="2" t="str">
        <f>IFERROR(__xludf.DUMMYFUNCTION("""COMPUTED_VALUE"""),"Portugal")</f>
        <v>Portugal</v>
      </c>
      <c r="B769" s="2" t="str">
        <f>IFERROR(__xludf.DUMMYFUNCTION("""COMPUTED_VALUE"""),"P LISBOA109")</f>
        <v>P LISBOA109</v>
      </c>
      <c r="C769" s="3" t="str">
        <f>IFERROR(__xludf.DUMMYFUNCTION("""COMPUTED_VALUE"""),"Universidade de Lisboa")</f>
        <v>Universidade de Lisboa</v>
      </c>
      <c r="D769" s="2" t="str">
        <f>IFERROR(__xludf.DUMMYFUNCTION("""COMPUTED_VALUE"""),"Erasmus+")</f>
        <v>Erasmus+</v>
      </c>
      <c r="E769" s="2">
        <f>IFERROR(__xludf.DUMMYFUNCTION("""COMPUTED_VALUE"""),3.0)</f>
        <v>3</v>
      </c>
      <c r="F769" s="2" t="str">
        <f>IFERROR(__xludf.DUMMYFUNCTION("""COMPUTED_VALUE"""),"Semestre")</f>
        <v>Semestre</v>
      </c>
      <c r="G769" s="2" t="str">
        <f>IFERROR(__xludf.DUMMYFUNCTION("""COMPUTED_VALUE"""),"Bilbao")</f>
        <v>Bilbao</v>
      </c>
      <c r="H769" s="2" t="str">
        <f>IFERROR(__xludf.DUMMYFUNCTION("""COMPUTED_VALUE"""),"Educación y Deporte")</f>
        <v>Educación y Deporte</v>
      </c>
      <c r="I769" s="2" t="str">
        <f>IFERROR(__xludf.DUMMYFUNCTION("""COMPUTED_VALUE"""),"CAFyD")</f>
        <v>CAFyD</v>
      </c>
      <c r="J769" s="2" t="str">
        <f>IFERROR(__xludf.DUMMYFUNCTION("""COMPUTED_VALUE"""),"Grado")</f>
        <v>Grado</v>
      </c>
      <c r="K769" s="2" t="str">
        <f>IFERROR(__xludf.DUMMYFUNCTION("""COMPUTED_VALUE"""),"Portugués / Inglés")</f>
        <v>Portugués / Inglés</v>
      </c>
      <c r="L769" s="2" t="str">
        <f>IFERROR(__xludf.DUMMYFUNCTION("""COMPUTED_VALUE"""),"B1 Po / B2 En")</f>
        <v>B1 Po / B2 En</v>
      </c>
      <c r="M769" s="2" t="str">
        <f>IFERROR(__xludf.DUMMYFUNCTION("""COMPUTED_VALUE"""),"Sí")</f>
        <v>Sí</v>
      </c>
      <c r="N769" s="3" t="str">
        <f>IFERROR(__xludf.DUMMYFUNCTION("""COMPUTED_VALUE"""),"https://www.ulisboa.pt/en/info/linguistic-policy")</f>
        <v>https://www.ulisboa.pt/en/info/linguistic-policy</v>
      </c>
      <c r="O769" s="3" t="str">
        <f>IFERROR(__xludf.DUMMYFUNCTION("""COMPUTED_VALUE"""),"Más información / Informazio gehigarria")</f>
        <v>Más información / Informazio gehigarria</v>
      </c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30.0" customHeight="1">
      <c r="A770" s="2" t="str">
        <f>IFERROR(__xludf.DUMMYFUNCTION("""COMPUTED_VALUE"""),"Portugal")</f>
        <v>Portugal</v>
      </c>
      <c r="B770" s="2" t="str">
        <f>IFERROR(__xludf.DUMMYFUNCTION("""COMPUTED_VALUE"""),"P VILA-RE01")</f>
        <v>P VILA-RE01</v>
      </c>
      <c r="C770" s="3" t="str">
        <f>IFERROR(__xludf.DUMMYFUNCTION("""COMPUTED_VALUE"""),"Universidade de Tras-Os-Montes e Alto Douro")</f>
        <v>Universidade de Tras-Os-Montes e Alto Douro</v>
      </c>
      <c r="D770" s="2" t="str">
        <f>IFERROR(__xludf.DUMMYFUNCTION("""COMPUTED_VALUE"""),"Erasmus+")</f>
        <v>Erasmus+</v>
      </c>
      <c r="E770" s="2">
        <f>IFERROR(__xludf.DUMMYFUNCTION("""COMPUTED_VALUE"""),2.0)</f>
        <v>2</v>
      </c>
      <c r="F770" s="2" t="str">
        <f>IFERROR(__xludf.DUMMYFUNCTION("""COMPUTED_VALUE"""),"Semestre")</f>
        <v>Semestre</v>
      </c>
      <c r="G770" s="2" t="str">
        <f>IFERROR(__xludf.DUMMYFUNCTION("""COMPUTED_VALUE"""),"Bilbao")</f>
        <v>Bilbao</v>
      </c>
      <c r="H770" s="2" t="str">
        <f>IFERROR(__xludf.DUMMYFUNCTION("""COMPUTED_VALUE"""),"Educación y Deporte")</f>
        <v>Educación y Deporte</v>
      </c>
      <c r="I770" s="2" t="str">
        <f>IFERROR(__xludf.DUMMYFUNCTION("""COMPUTED_VALUE"""),"CAFyD")</f>
        <v>CAFyD</v>
      </c>
      <c r="J770" s="2" t="str">
        <f>IFERROR(__xludf.DUMMYFUNCTION("""COMPUTED_VALUE"""),"Grado")</f>
        <v>Grado</v>
      </c>
      <c r="K770" s="2" t="str">
        <f>IFERROR(__xludf.DUMMYFUNCTION("""COMPUTED_VALUE"""),"Portugués / Inglés")</f>
        <v>Portugués / Inglés</v>
      </c>
      <c r="L770" s="2" t="str">
        <f>IFERROR(__xludf.DUMMYFUNCTION("""COMPUTED_VALUE"""),"B1 Po / B2 En")</f>
        <v>B1 Po / B2 En</v>
      </c>
      <c r="M770" s="2" t="str">
        <f>IFERROR(__xludf.DUMMYFUNCTION("""COMPUTED_VALUE"""),"No")</f>
        <v>No</v>
      </c>
      <c r="N770" s="3" t="str">
        <f>IFERROR(__xludf.DUMMYFUNCTION("""COMPUTED_VALUE"""),"https://www.utad.pt/grim/wp-content/uploads/sites/24/2022/04/UTAD-Fact-Sheet-_2022_23-GRIM-_LF-GF_LF.doc")</f>
        <v>https://www.utad.pt/grim/wp-content/uploads/sites/24/2022/04/UTAD-Fact-Sheet-_2022_23-GRIM-_LF-GF_LF.doc</v>
      </c>
      <c r="O770" s="3" t="str">
        <f>IFERROR(__xludf.DUMMYFUNCTION("""COMPUTED_VALUE"""),"Más información / Informazio gehigarria")</f>
        <v>Más información / Informazio gehigarria</v>
      </c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30.0" customHeight="1">
      <c r="A771" s="2" t="str">
        <f>IFERROR(__xludf.DUMMYFUNCTION("""COMPUTED_VALUE"""),"Portugal")</f>
        <v>Portugal</v>
      </c>
      <c r="B771" s="2" t="str">
        <f>IFERROR(__xludf.DUMMYFUNCTION("""COMPUTED_VALUE"""),"P VILA-RE01")</f>
        <v>P VILA-RE01</v>
      </c>
      <c r="C771" s="3" t="str">
        <f>IFERROR(__xludf.DUMMYFUNCTION("""COMPUTED_VALUE"""),"Universidade de Tras-Os-Montes e alto Douro")</f>
        <v>Universidade de Tras-Os-Montes e alto Douro</v>
      </c>
      <c r="D771" s="2" t="str">
        <f>IFERROR(__xludf.DUMMYFUNCTION("""COMPUTED_VALUE"""),"Erasmus+")</f>
        <v>Erasmus+</v>
      </c>
      <c r="E771" s="2">
        <f>IFERROR(__xludf.DUMMYFUNCTION("""COMPUTED_VALUE"""),6.0)</f>
        <v>6</v>
      </c>
      <c r="F771" s="2" t="str">
        <f>IFERROR(__xludf.DUMMYFUNCTION("""COMPUTED_VALUE"""),"Semestre")</f>
        <v>Semestre</v>
      </c>
      <c r="G771" s="2" t="str">
        <f>IFERROR(__xludf.DUMMYFUNCTION("""COMPUTED_VALUE"""),"Ambos")</f>
        <v>Ambos</v>
      </c>
      <c r="H771" s="2" t="str">
        <f>IFERROR(__xludf.DUMMYFUNCTION("""COMPUTED_VALUE"""),"Educación y Deporte")</f>
        <v>Educación y Deporte</v>
      </c>
      <c r="I771" s="2" t="str">
        <f>IFERROR(__xludf.DUMMYFUNCTION("""COMPUTED_VALUE"""),"Educación Primaria")</f>
        <v>Educación Primaria</v>
      </c>
      <c r="J771" s="2" t="str">
        <f>IFERROR(__xludf.DUMMYFUNCTION("""COMPUTED_VALUE"""),"Grado")</f>
        <v>Grado</v>
      </c>
      <c r="K771" s="2" t="str">
        <f>IFERROR(__xludf.DUMMYFUNCTION("""COMPUTED_VALUE"""),"Portugués / Inglés")</f>
        <v>Portugués / Inglés</v>
      </c>
      <c r="L771" s="2" t="str">
        <f>IFERROR(__xludf.DUMMYFUNCTION("""COMPUTED_VALUE"""),"B1 Po / B2 En")</f>
        <v>B1 Po / B2 En</v>
      </c>
      <c r="M771" s="2" t="str">
        <f>IFERROR(__xludf.DUMMYFUNCTION("""COMPUTED_VALUE"""),"No")</f>
        <v>No</v>
      </c>
      <c r="N771" s="3" t="str">
        <f>IFERROR(__xludf.DUMMYFUNCTION("""COMPUTED_VALUE"""),"https://www.utad.pt/grim/wp-content/uploads/sites/24/2022/04/UTAD-Fact-Sheet-_2022_23-GRIM-_LF-GF_LF.doc")</f>
        <v>https://www.utad.pt/grim/wp-content/uploads/sites/24/2022/04/UTAD-Fact-Sheet-_2022_23-GRIM-_LF-GF_LF.doc</v>
      </c>
      <c r="O771" s="3" t="str">
        <f>IFERROR(__xludf.DUMMYFUNCTION("""COMPUTED_VALUE"""),"Más información / Informazio gehigarria")</f>
        <v>Más información / Informazio gehigarria</v>
      </c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30.0" customHeight="1">
      <c r="A772" s="2" t="str">
        <f>IFERROR(__xludf.DUMMYFUNCTION("""COMPUTED_VALUE"""),"Portugal")</f>
        <v>Portugal</v>
      </c>
      <c r="B772" s="2" t="str">
        <f>IFERROR(__xludf.DUMMYFUNCTION("""COMPUTED_VALUE"""),"P VILA-RE01")</f>
        <v>P VILA-RE01</v>
      </c>
      <c r="C772" s="3" t="str">
        <f>IFERROR(__xludf.DUMMYFUNCTION("""COMPUTED_VALUE"""),"Universidade de Tras-Os-Montes e Alto Douro")</f>
        <v>Universidade de Tras-Os-Montes e Alto Douro</v>
      </c>
      <c r="D772" s="2" t="str">
        <f>IFERROR(__xludf.DUMMYFUNCTION("""COMPUTED_VALUE"""),"Erasmus+")</f>
        <v>Erasmus+</v>
      </c>
      <c r="E772" s="2">
        <f>IFERROR(__xludf.DUMMYFUNCTION("""COMPUTED_VALUE"""),2.0)</f>
        <v>2</v>
      </c>
      <c r="F772" s="2" t="str">
        <f>IFERROR(__xludf.DUMMYFUNCTION("""COMPUTED_VALUE"""),"Anual")</f>
        <v>Anual</v>
      </c>
      <c r="G772" s="2" t="str">
        <f>IFERROR(__xludf.DUMMYFUNCTION("""COMPUTED_VALUE"""),"Bilbao")</f>
        <v>Bilbao</v>
      </c>
      <c r="H772" s="2" t="str">
        <f>IFERROR(__xludf.DUMMYFUNCTION("""COMPUTED_VALUE"""),"Ciencias de la Salud")</f>
        <v>Ciencias de la Salud</v>
      </c>
      <c r="I772" s="2" t="str">
        <f>IFERROR(__xludf.DUMMYFUNCTION("""COMPUTED_VALUE"""),"Psicología")</f>
        <v>Psicología</v>
      </c>
      <c r="J772" s="2" t="str">
        <f>IFERROR(__xludf.DUMMYFUNCTION("""COMPUTED_VALUE"""),"Grado")</f>
        <v>Grado</v>
      </c>
      <c r="K772" s="2" t="str">
        <f>IFERROR(__xludf.DUMMYFUNCTION("""COMPUTED_VALUE"""),"Portugués")</f>
        <v>Portugués</v>
      </c>
      <c r="L772" s="2" t="str">
        <f>IFERROR(__xludf.DUMMYFUNCTION("""COMPUTED_VALUE"""),"B1")</f>
        <v>B1</v>
      </c>
      <c r="M772" s="2" t="str">
        <f>IFERROR(__xludf.DUMMYFUNCTION("""COMPUTED_VALUE"""),"No")</f>
        <v>No</v>
      </c>
      <c r="N772" s="3" t="str">
        <f>IFERROR(__xludf.DUMMYFUNCTION("""COMPUTED_VALUE"""),"https://www.utad.pt/grim/wp-content/uploads/sites/24/2022/04/UTAD-Fact-Sheet-_2022_23-GRIM-_LF-GF_LF.doc")</f>
        <v>https://www.utad.pt/grim/wp-content/uploads/sites/24/2022/04/UTAD-Fact-Sheet-_2022_23-GRIM-_LF-GF_LF.doc</v>
      </c>
      <c r="O772" s="3" t="str">
        <f>IFERROR(__xludf.DUMMYFUNCTION("""COMPUTED_VALUE"""),"Más información / Informazio gehigarria")</f>
        <v>Más información / Informazio gehigarria</v>
      </c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30.0" customHeight="1">
      <c r="A773" s="2" t="str">
        <f>IFERROR(__xludf.DUMMYFUNCTION("""COMPUTED_VALUE"""),"Portugal")</f>
        <v>Portugal</v>
      </c>
      <c r="B773" s="2" t="str">
        <f>IFERROR(__xludf.DUMMYFUNCTION("""COMPUTED_VALUE"""),"P VILA-RE01")</f>
        <v>P VILA-RE01</v>
      </c>
      <c r="C773" s="3" t="str">
        <f>IFERROR(__xludf.DUMMYFUNCTION("""COMPUTED_VALUE"""),"Universidade de Tras-Os-Montes e Alto Douro")</f>
        <v>Universidade de Tras-Os-Montes e Alto Douro</v>
      </c>
      <c r="D773" s="2" t="str">
        <f>IFERROR(__xludf.DUMMYFUNCTION("""COMPUTED_VALUE"""),"Erasmus+")</f>
        <v>Erasmus+</v>
      </c>
      <c r="E773" s="2">
        <f>IFERROR(__xludf.DUMMYFUNCTION("""COMPUTED_VALUE"""),2.0)</f>
        <v>2</v>
      </c>
      <c r="F773" s="2" t="str">
        <f>IFERROR(__xludf.DUMMYFUNCTION("""COMPUTED_VALUE"""),"Semestre")</f>
        <v>Semestre</v>
      </c>
      <c r="G773" s="2" t="str">
        <f>IFERROR(__xludf.DUMMYFUNCTION("""COMPUTED_VALUE"""),"Ambos")</f>
        <v>Ambos</v>
      </c>
      <c r="H773" s="2" t="str">
        <f>IFERROR(__xludf.DUMMYFUNCTION("""COMPUTED_VALUE"""),"Ciencias Sociales y Humanas")</f>
        <v>Ciencias Sociales y Humanas</v>
      </c>
      <c r="I773" s="2" t="str">
        <f>IFERROR(__xludf.DUMMYFUNCTION("""COMPUTED_VALUE"""),"Trabajo Social")</f>
        <v>Trabajo Social</v>
      </c>
      <c r="J773" s="2" t="str">
        <f>IFERROR(__xludf.DUMMYFUNCTION("""COMPUTED_VALUE"""),"Grado")</f>
        <v>Grado</v>
      </c>
      <c r="K773" s="2" t="str">
        <f>IFERROR(__xludf.DUMMYFUNCTION("""COMPUTED_VALUE"""),"Portugués / Inglés")</f>
        <v>Portugués / Inglés</v>
      </c>
      <c r="L773" s="2" t="str">
        <f>IFERROR(__xludf.DUMMYFUNCTION("""COMPUTED_VALUE"""),"B1 Po / B2 En")</f>
        <v>B1 Po / B2 En</v>
      </c>
      <c r="M773" s="2" t="str">
        <f>IFERROR(__xludf.DUMMYFUNCTION("""COMPUTED_VALUE"""),"No")</f>
        <v>No</v>
      </c>
      <c r="N773" s="3" t="str">
        <f>IFERROR(__xludf.DUMMYFUNCTION("""COMPUTED_VALUE"""),"https://www.utad.pt/grim/wp-content/uploads/sites/24/2022/04/UTAD-Fact-Sheet-_2022_23-GRIM-_LF-GF_LF.doc")</f>
        <v>https://www.utad.pt/grim/wp-content/uploads/sites/24/2022/04/UTAD-Fact-Sheet-_2022_23-GRIM-_LF-GF_LF.doc</v>
      </c>
      <c r="O773" s="3" t="str">
        <f>IFERROR(__xludf.DUMMYFUNCTION("""COMPUTED_VALUE"""),"Más información / Informazio gehigarria")</f>
        <v>Más información / Informazio gehigarria</v>
      </c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30.0" customHeight="1">
      <c r="A774" s="2" t="str">
        <f>IFERROR(__xludf.DUMMYFUNCTION("""COMPUTED_VALUE"""),"Portugal")</f>
        <v>Portugal</v>
      </c>
      <c r="B774" s="2" t="str">
        <f>IFERROR(__xludf.DUMMYFUNCTION("""COMPUTED_VALUE"""),"P FARO02")</f>
        <v>P FARO02</v>
      </c>
      <c r="C774" s="3" t="str">
        <f>IFERROR(__xludf.DUMMYFUNCTION("""COMPUTED_VALUE"""),"Universidade do Algarve")</f>
        <v>Universidade do Algarve</v>
      </c>
      <c r="D774" s="2" t="str">
        <f>IFERROR(__xludf.DUMMYFUNCTION("""COMPUTED_VALUE"""),"Erasmus+")</f>
        <v>Erasmus+</v>
      </c>
      <c r="E774" s="2">
        <f>IFERROR(__xludf.DUMMYFUNCTION("""COMPUTED_VALUE"""),4.0)</f>
        <v>4</v>
      </c>
      <c r="F774" s="2" t="str">
        <f>IFERROR(__xludf.DUMMYFUNCTION("""COMPUTED_VALUE"""),"Semestre")</f>
        <v>Semestre</v>
      </c>
      <c r="G774" s="2" t="str">
        <f>IFERROR(__xludf.DUMMYFUNCTION("""COMPUTED_VALUE"""),"Ambos")</f>
        <v>Ambos</v>
      </c>
      <c r="H774" s="2" t="str">
        <f>IFERROR(__xludf.DUMMYFUNCTION("""COMPUTED_VALUE"""),"Educación y Deporte")</f>
        <v>Educación y Deporte</v>
      </c>
      <c r="I774" s="2" t="str">
        <f>IFERROR(__xludf.DUMMYFUNCTION("""COMPUTED_VALUE"""),"Educación Primaria")</f>
        <v>Educación Primaria</v>
      </c>
      <c r="J774" s="2" t="str">
        <f>IFERROR(__xludf.DUMMYFUNCTION("""COMPUTED_VALUE"""),"Grado")</f>
        <v>Grado</v>
      </c>
      <c r="K774" s="2" t="str">
        <f>IFERROR(__xludf.DUMMYFUNCTION("""COMPUTED_VALUE"""),"Portugués / Inglés")</f>
        <v>Portugués / Inglés</v>
      </c>
      <c r="L774" s="2" t="str">
        <f>IFERROR(__xludf.DUMMYFUNCTION("""COMPUTED_VALUE"""),"B1 Po / B2 En")</f>
        <v>B1 Po / B2 En</v>
      </c>
      <c r="M774" s="2" t="str">
        <f>IFERROR(__xludf.DUMMYFUNCTION("""COMPUTED_VALUE"""),"Sí")</f>
        <v>Sí</v>
      </c>
      <c r="N774" s="3" t="str">
        <f>IFERROR(__xludf.DUMMYFUNCTION("""COMPUTED_VALUE"""),"https://www.ualg.pt/en/international-student-other-countries")</f>
        <v>https://www.ualg.pt/en/international-student-other-countries</v>
      </c>
      <c r="O774" s="3" t="str">
        <f>IFERROR(__xludf.DUMMYFUNCTION("""COMPUTED_VALUE"""),"Más información / Informazio gehigarria")</f>
        <v>Más información / Informazio gehigarria</v>
      </c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30.0" customHeight="1">
      <c r="A775" s="2" t="str">
        <f>IFERROR(__xludf.DUMMYFUNCTION("""COMPUTED_VALUE"""),"Portugal")</f>
        <v>Portugal</v>
      </c>
      <c r="B775" s="2" t="str">
        <f>IFERROR(__xludf.DUMMYFUNCTION("""COMPUTED_VALUE"""),"P FARO02")</f>
        <v>P FARO02</v>
      </c>
      <c r="C775" s="3" t="str">
        <f>IFERROR(__xludf.DUMMYFUNCTION("""COMPUTED_VALUE"""),"Universidade do Algarve")</f>
        <v>Universidade do Algarve</v>
      </c>
      <c r="D775" s="2" t="str">
        <f>IFERROR(__xludf.DUMMYFUNCTION("""COMPUTED_VALUE"""),"Erasmus+")</f>
        <v>Erasmus+</v>
      </c>
      <c r="E775" s="2">
        <f>IFERROR(__xludf.DUMMYFUNCTION("""COMPUTED_VALUE"""),4.0)</f>
        <v>4</v>
      </c>
      <c r="F775" s="2" t="str">
        <f>IFERROR(__xludf.DUMMYFUNCTION("""COMPUTED_VALUE"""),"Semestre")</f>
        <v>Semestre</v>
      </c>
      <c r="G775" s="2" t="str">
        <f>IFERROR(__xludf.DUMMYFUNCTION("""COMPUTED_VALUE"""),"Bilbao")</f>
        <v>Bilbao</v>
      </c>
      <c r="H775" s="2" t="str">
        <f>IFERROR(__xludf.DUMMYFUNCTION("""COMPUTED_VALUE"""),"Educación y Deporte")</f>
        <v>Educación y Deporte</v>
      </c>
      <c r="I775" s="2" t="str">
        <f>IFERROR(__xludf.DUMMYFUNCTION("""COMPUTED_VALUE"""),"Educación Social")</f>
        <v>Educación Social</v>
      </c>
      <c r="J775" s="2" t="str">
        <f>IFERROR(__xludf.DUMMYFUNCTION("""COMPUTED_VALUE"""),"Grado")</f>
        <v>Grado</v>
      </c>
      <c r="K775" s="2" t="str">
        <f>IFERROR(__xludf.DUMMYFUNCTION("""COMPUTED_VALUE"""),"Portugués")</f>
        <v>Portugués</v>
      </c>
      <c r="L775" s="2" t="str">
        <f>IFERROR(__xludf.DUMMYFUNCTION("""COMPUTED_VALUE"""),"B2")</f>
        <v>B2</v>
      </c>
      <c r="M775" s="2" t="str">
        <f>IFERROR(__xludf.DUMMYFUNCTION("""COMPUTED_VALUE"""),"Sí")</f>
        <v>Sí</v>
      </c>
      <c r="N775" s="3" t="str">
        <f>IFERROR(__xludf.DUMMYFUNCTION("""COMPUTED_VALUE"""),"https://www.ualg.pt/en/international-student-other-countries")</f>
        <v>https://www.ualg.pt/en/international-student-other-countries</v>
      </c>
      <c r="O775" s="3" t="str">
        <f>IFERROR(__xludf.DUMMYFUNCTION("""COMPUTED_VALUE"""),"Más información / Informazio gehigarria")</f>
        <v>Más información / Informazio gehigarria</v>
      </c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30.0" customHeight="1">
      <c r="A776" s="2" t="str">
        <f>IFERROR(__xludf.DUMMYFUNCTION("""COMPUTED_VALUE"""),"Portugal")</f>
        <v>Portugal</v>
      </c>
      <c r="B776" s="2" t="str">
        <f>IFERROR(__xludf.DUMMYFUNCTION("""COMPUTED_VALUE"""),"P BRAGA01")</f>
        <v>P BRAGA01</v>
      </c>
      <c r="C776" s="3" t="str">
        <f>IFERROR(__xludf.DUMMYFUNCTION("""COMPUTED_VALUE"""),"Universidade do Minho")</f>
        <v>Universidade do Minho</v>
      </c>
      <c r="D776" s="2" t="str">
        <f>IFERROR(__xludf.DUMMYFUNCTION("""COMPUTED_VALUE"""),"Erasmus+")</f>
        <v>Erasmus+</v>
      </c>
      <c r="E776" s="2">
        <f>IFERROR(__xludf.DUMMYFUNCTION("""COMPUTED_VALUE"""),2.0)</f>
        <v>2</v>
      </c>
      <c r="F776" s="2" t="str">
        <f>IFERROR(__xludf.DUMMYFUNCTION("""COMPUTED_VALUE"""),"Semestre")</f>
        <v>Semestre</v>
      </c>
      <c r="G776" s="2" t="str">
        <f>IFERROR(__xludf.DUMMYFUNCTION("""COMPUTED_VALUE"""),"Ambos")</f>
        <v>Ambos</v>
      </c>
      <c r="H776" s="2" t="str">
        <f>IFERROR(__xludf.DUMMYFUNCTION("""COMPUTED_VALUE"""),"Ingeniería")</f>
        <v>Ingeniería</v>
      </c>
      <c r="I776" s="2" t="str">
        <f>IFERROR(__xludf.DUMMYFUNCTION("""COMPUTED_VALUE"""),"Ingeniería Informática, Ciencia de Datos e IA + Ingeniería Informática, Ingeniería Informática + Videojuegos")</f>
        <v>Ingeniería Informática, Ciencia de Datos e IA + Ingeniería Informática, Ingeniería Informática + Videojuegos</v>
      </c>
      <c r="J776" s="2" t="str">
        <f>IFERROR(__xludf.DUMMYFUNCTION("""COMPUTED_VALUE"""),"Grado")</f>
        <v>Grado</v>
      </c>
      <c r="K776" s="2" t="str">
        <f>IFERROR(__xludf.DUMMYFUNCTION("""COMPUTED_VALUE"""),"Portugués / Inglés")</f>
        <v>Portugués / Inglés</v>
      </c>
      <c r="L776" s="2" t="str">
        <f>IFERROR(__xludf.DUMMYFUNCTION("""COMPUTED_VALUE"""),"B1 Po  / B2 En")</f>
        <v>B1 Po  / B2 En</v>
      </c>
      <c r="M776" s="2" t="str">
        <f>IFERROR(__xludf.DUMMYFUNCTION("""COMPUTED_VALUE"""),"No")</f>
        <v>No</v>
      </c>
      <c r="N776" s="3" t="str">
        <f>IFERROR(__xludf.DUMMYFUNCTION("""COMPUTED_VALUE"""),"https://alunos.uminho.pt/EN/incomingstudents/Pages/RequisitosL.aspx")</f>
        <v>https://alunos.uminho.pt/EN/incomingstudents/Pages/RequisitosL.aspx</v>
      </c>
      <c r="O776" s="3" t="str">
        <f>IFERROR(__xludf.DUMMYFUNCTION("""COMPUTED_VALUE"""),"Más información / Informazio gehigarria")</f>
        <v>Más información / Informazio gehigarria</v>
      </c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30.0" customHeight="1">
      <c r="A777" s="2" t="str">
        <f>IFERROR(__xludf.DUMMYFUNCTION("""COMPUTED_VALUE"""),"Portugal")</f>
        <v>Portugal</v>
      </c>
      <c r="B777" s="2" t="str">
        <f>IFERROR(__xludf.DUMMYFUNCTION("""COMPUTED_VALUE"""),"P COIMBRA01")</f>
        <v>P COIMBRA01</v>
      </c>
      <c r="C777" s="3" t="str">
        <f>IFERROR(__xludf.DUMMYFUNCTION("""COMPUTED_VALUE"""),"University of Coimbra")</f>
        <v>University of Coimbra</v>
      </c>
      <c r="D777" s="2" t="str">
        <f>IFERROR(__xludf.DUMMYFUNCTION("""COMPUTED_VALUE"""),"Erasmus+")</f>
        <v>Erasmus+</v>
      </c>
      <c r="E777" s="2">
        <f>IFERROR(__xludf.DUMMYFUNCTION("""COMPUTED_VALUE"""),4.0)</f>
        <v>4</v>
      </c>
      <c r="F777" s="2" t="str">
        <f>IFERROR(__xludf.DUMMYFUNCTION("""COMPUTED_VALUE"""),"Semestre")</f>
        <v>Semestre</v>
      </c>
      <c r="G777" s="2" t="str">
        <f>IFERROR(__xludf.DUMMYFUNCTION("""COMPUTED_VALUE"""),"Bilbao")</f>
        <v>Bilbao</v>
      </c>
      <c r="H777" s="2" t="str">
        <f>IFERROR(__xludf.DUMMYFUNCTION("""COMPUTED_VALUE"""),"Derecho")</f>
        <v>Derecho</v>
      </c>
      <c r="I777" s="2" t="str">
        <f>IFERROR(__xludf.DUMMYFUNCTION("""COMPUTED_VALUE"""),"Derecho, Derecho + Relaciones Laborales")</f>
        <v>Derecho, Derecho + Relaciones Laborales</v>
      </c>
      <c r="J777" s="2" t="str">
        <f>IFERROR(__xludf.DUMMYFUNCTION("""COMPUTED_VALUE"""),"Grado")</f>
        <v>Grado</v>
      </c>
      <c r="K777" s="2" t="str">
        <f>IFERROR(__xludf.DUMMYFUNCTION("""COMPUTED_VALUE"""),"Inglés")</f>
        <v>Inglés</v>
      </c>
      <c r="L777" s="2" t="str">
        <f>IFERROR(__xludf.DUMMYFUNCTION("""COMPUTED_VALUE"""),"B2")</f>
        <v>B2</v>
      </c>
      <c r="M777" s="2" t="str">
        <f>IFERROR(__xludf.DUMMYFUNCTION("""COMPUTED_VALUE"""),"No")</f>
        <v>No</v>
      </c>
      <c r="N777" s="3" t="str">
        <f>IFERROR(__xludf.DUMMYFUNCTION("""COMPUTED_VALUE"""),"https://www.uc.pt/candidatos-internacionais/oportunidades/mobilidade-formacao")</f>
        <v>https://www.uc.pt/candidatos-internacionais/oportunidades/mobilidade-formacao</v>
      </c>
      <c r="O777" s="3" t="str">
        <f>IFERROR(__xludf.DUMMYFUNCTION("""COMPUTED_VALUE"""),"Más información / Informazio gehigarria")</f>
        <v>Más información / Informazio gehigarria</v>
      </c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30.0" customHeight="1">
      <c r="A778" s="2" t="str">
        <f>IFERROR(__xludf.DUMMYFUNCTION("""COMPUTED_VALUE"""),"Portugal")</f>
        <v>Portugal</v>
      </c>
      <c r="B778" s="2" t="str">
        <f>IFERROR(__xludf.DUMMYFUNCTION("""COMPUTED_VALUE"""),"P COIMBRA01")</f>
        <v>P COIMBRA01</v>
      </c>
      <c r="C778" s="3" t="str">
        <f>IFERROR(__xludf.DUMMYFUNCTION("""COMPUTED_VALUE"""),"University of Coimbra")</f>
        <v>University of Coimbra</v>
      </c>
      <c r="D778" s="2" t="str">
        <f>IFERROR(__xludf.DUMMYFUNCTION("""COMPUTED_VALUE"""),"Erasmus+")</f>
        <v>Erasmus+</v>
      </c>
      <c r="E778" s="2">
        <f>IFERROR(__xludf.DUMMYFUNCTION("""COMPUTED_VALUE"""),4.0)</f>
        <v>4</v>
      </c>
      <c r="F778" s="2" t="str">
        <f>IFERROR(__xludf.DUMMYFUNCTION("""COMPUTED_VALUE"""),"Semestre")</f>
        <v>Semestre</v>
      </c>
      <c r="G778" s="2" t="str">
        <f>IFERROR(__xludf.DUMMYFUNCTION("""COMPUTED_VALUE"""),"Ambos")</f>
        <v>Ambos</v>
      </c>
      <c r="H778" s="2" t="str">
        <f>IFERROR(__xludf.DUMMYFUNCTION("""COMPUTED_VALUE"""),"Educación y Deporte")</f>
        <v>Educación y Deporte</v>
      </c>
      <c r="I778" s="2" t="str">
        <f>IFERROR(__xludf.DUMMYFUNCTION("""COMPUTED_VALUE"""),"Educación Primaria")</f>
        <v>Educación Primaria</v>
      </c>
      <c r="J778" s="2" t="str">
        <f>IFERROR(__xludf.DUMMYFUNCTION("""COMPUTED_VALUE"""),"Grado")</f>
        <v>Grado</v>
      </c>
      <c r="K778" s="2" t="str">
        <f>IFERROR(__xludf.DUMMYFUNCTION("""COMPUTED_VALUE"""),"Portugués")</f>
        <v>Portugués</v>
      </c>
      <c r="L778" s="2" t="str">
        <f>IFERROR(__xludf.DUMMYFUNCTION("""COMPUTED_VALUE"""),"B1")</f>
        <v>B1</v>
      </c>
      <c r="M778" s="2" t="str">
        <f>IFERROR(__xludf.DUMMYFUNCTION("""COMPUTED_VALUE"""),"No")</f>
        <v>No</v>
      </c>
      <c r="N778" s="3" t="str">
        <f>IFERROR(__xludf.DUMMYFUNCTION("""COMPUTED_VALUE"""),"https://www.uc.pt/candidatos-internacionais/oportunidades/mobilidade-formacao")</f>
        <v>https://www.uc.pt/candidatos-internacionais/oportunidades/mobilidade-formacao</v>
      </c>
      <c r="O778" s="3" t="str">
        <f>IFERROR(__xludf.DUMMYFUNCTION("""COMPUTED_VALUE"""),"Más información / Informazio gehigarria")</f>
        <v>Más información / Informazio gehigarria</v>
      </c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30.0" customHeight="1">
      <c r="A779" s="2" t="str">
        <f>IFERROR(__xludf.DUMMYFUNCTION("""COMPUTED_VALUE"""),"Portugal")</f>
        <v>Portugal</v>
      </c>
      <c r="B779" s="2" t="str">
        <f>IFERROR(__xludf.DUMMYFUNCTION("""COMPUTED_VALUE"""),"P COIMBRA01")</f>
        <v>P COIMBRA01</v>
      </c>
      <c r="C779" s="3" t="str">
        <f>IFERROR(__xludf.DUMMYFUNCTION("""COMPUTED_VALUE"""),"University of Coimbra")</f>
        <v>University of Coimbra</v>
      </c>
      <c r="D779" s="2" t="str">
        <f>IFERROR(__xludf.DUMMYFUNCTION("""COMPUTED_VALUE"""),"Erasmus+")</f>
        <v>Erasmus+</v>
      </c>
      <c r="E779" s="2">
        <f>IFERROR(__xludf.DUMMYFUNCTION("""COMPUTED_VALUE"""),2.0)</f>
        <v>2</v>
      </c>
      <c r="F779" s="2" t="str">
        <f>IFERROR(__xludf.DUMMYFUNCTION("""COMPUTED_VALUE"""),"Anual")</f>
        <v>Anual</v>
      </c>
      <c r="G779" s="2" t="str">
        <f>IFERROR(__xludf.DUMMYFUNCTION("""COMPUTED_VALUE"""),"Bilbao")</f>
        <v>Bilbao</v>
      </c>
      <c r="H779" s="2" t="str">
        <f>IFERROR(__xludf.DUMMYFUNCTION("""COMPUTED_VALUE"""),"Ciencias de la Salud")</f>
        <v>Ciencias de la Salud</v>
      </c>
      <c r="I779" s="2" t="str">
        <f>IFERROR(__xludf.DUMMYFUNCTION("""COMPUTED_VALUE"""),"Psicología")</f>
        <v>Psicología</v>
      </c>
      <c r="J779" s="2" t="str">
        <f>IFERROR(__xludf.DUMMYFUNCTION("""COMPUTED_VALUE"""),"Grado")</f>
        <v>Grado</v>
      </c>
      <c r="K779" s="2" t="str">
        <f>IFERROR(__xludf.DUMMYFUNCTION("""COMPUTED_VALUE"""),"Portugués")</f>
        <v>Portugués</v>
      </c>
      <c r="L779" s="2" t="str">
        <f>IFERROR(__xludf.DUMMYFUNCTION("""COMPUTED_VALUE"""),"B1")</f>
        <v>B1</v>
      </c>
      <c r="M779" s="2" t="str">
        <f>IFERROR(__xludf.DUMMYFUNCTION("""COMPUTED_VALUE"""),"No")</f>
        <v>No</v>
      </c>
      <c r="N779" s="3" t="str">
        <f>IFERROR(__xludf.DUMMYFUNCTION("""COMPUTED_VALUE"""),"https://www.uc.pt/candidatos-internacionais/oportunidades/mobilidade-formacao")</f>
        <v>https://www.uc.pt/candidatos-internacionais/oportunidades/mobilidade-formacao</v>
      </c>
      <c r="O779" s="3" t="str">
        <f>IFERROR(__xludf.DUMMYFUNCTION("""COMPUTED_VALUE"""),"Más información / Informazio gehigarria")</f>
        <v>Más información / Informazio gehigarria</v>
      </c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30.0" customHeight="1">
      <c r="A780" s="2" t="str">
        <f>IFERROR(__xludf.DUMMYFUNCTION("""COMPUTED_VALUE"""),"Portugal")</f>
        <v>Portugal</v>
      </c>
      <c r="B780" s="2" t="str">
        <f>IFERROR(__xludf.DUMMYFUNCTION("""COMPUTED_VALUE"""),"P COIMBRA01")</f>
        <v>P COIMBRA01</v>
      </c>
      <c r="C780" s="3" t="str">
        <f>IFERROR(__xludf.DUMMYFUNCTION("""COMPUTED_VALUE"""),"University of Coimbra")</f>
        <v>University of Coimbra</v>
      </c>
      <c r="D780" s="2" t="str">
        <f>IFERROR(__xludf.DUMMYFUNCTION("""COMPUTED_VALUE"""),"Erasmus+")</f>
        <v>Erasmus+</v>
      </c>
      <c r="E780" s="2">
        <f>IFERROR(__xludf.DUMMYFUNCTION("""COMPUTED_VALUE"""),1.0)</f>
        <v>1</v>
      </c>
      <c r="F780" s="2" t="str">
        <f>IFERROR(__xludf.DUMMYFUNCTION("""COMPUTED_VALUE"""),"Anual")</f>
        <v>Anual</v>
      </c>
      <c r="G780" s="2" t="str">
        <f>IFERROR(__xludf.DUMMYFUNCTION("""COMPUTED_VALUE"""),"Bilbao")</f>
        <v>Bilbao</v>
      </c>
      <c r="H780" s="2" t="str">
        <f>IFERROR(__xludf.DUMMYFUNCTION("""COMPUTED_VALUE"""),"Ciencias Sociales y Humanas")</f>
        <v>Ciencias Sociales y Humanas</v>
      </c>
      <c r="I780" s="2" t="str">
        <f>IFERROR(__xludf.DUMMYFUNCTION("""COMPUTED_VALUE"""),"Relaciones Internacionales, Relaciones Internacionales + Derecho")</f>
        <v>Relaciones Internacionales, Relaciones Internacionales + Derecho</v>
      </c>
      <c r="J780" s="2" t="str">
        <f>IFERROR(__xludf.DUMMYFUNCTION("""COMPUTED_VALUE"""),"Grado")</f>
        <v>Grado</v>
      </c>
      <c r="K780" s="2" t="str">
        <f>IFERROR(__xludf.DUMMYFUNCTION("""COMPUTED_VALUE"""),"Portugués / Inglés")</f>
        <v>Portugués / Inglés</v>
      </c>
      <c r="L780" s="2" t="str">
        <f>IFERROR(__xludf.DUMMYFUNCTION("""COMPUTED_VALUE"""),"B1 Po / B2 En")</f>
        <v>B1 Po / B2 En</v>
      </c>
      <c r="M780" s="2" t="str">
        <f>IFERROR(__xludf.DUMMYFUNCTION("""COMPUTED_VALUE"""),"No")</f>
        <v>No</v>
      </c>
      <c r="N780" s="3" t="str">
        <f>IFERROR(__xludf.DUMMYFUNCTION("""COMPUTED_VALUE"""),"https://www.uc.pt/candidatos-internacionais/oportunidades/mobilidade-formacao")</f>
        <v>https://www.uc.pt/candidatos-internacionais/oportunidades/mobilidade-formacao</v>
      </c>
      <c r="O780" s="3" t="str">
        <f>IFERROR(__xludf.DUMMYFUNCTION("""COMPUTED_VALUE"""),"Más información / Informazio gehigarria")</f>
        <v>Más información / Informazio gehigarria</v>
      </c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30.0" customHeight="1">
      <c r="A781" s="2" t="str">
        <f>IFERROR(__xludf.DUMMYFUNCTION("""COMPUTED_VALUE"""),"Portugal")</f>
        <v>Portugal</v>
      </c>
      <c r="B781" s="2" t="str">
        <f>IFERROR(__xludf.DUMMYFUNCTION("""COMPUTED_VALUE"""),"P COIMBRA01")</f>
        <v>P COIMBRA01</v>
      </c>
      <c r="C781" s="3" t="str">
        <f>IFERROR(__xludf.DUMMYFUNCTION("""COMPUTED_VALUE"""),"University of Coimbra")</f>
        <v>University of Coimbra</v>
      </c>
      <c r="D781" s="2" t="str">
        <f>IFERROR(__xludf.DUMMYFUNCTION("""COMPUTED_VALUE"""),"Erasmus+")</f>
        <v>Erasmus+</v>
      </c>
      <c r="E781" s="2">
        <f>IFERROR(__xludf.DUMMYFUNCTION("""COMPUTED_VALUE"""),2.0)</f>
        <v>2</v>
      </c>
      <c r="F781" s="2" t="str">
        <f>IFERROR(__xludf.DUMMYFUNCTION("""COMPUTED_VALUE"""),"Semestre")</f>
        <v>Semestre</v>
      </c>
      <c r="G781" s="2" t="str">
        <f>IFERROR(__xludf.DUMMYFUNCTION("""COMPUTED_VALUE"""),"Ambos")</f>
        <v>Ambos</v>
      </c>
      <c r="H781" s="2" t="str">
        <f>IFERROR(__xludf.DUMMYFUNCTION("""COMPUTED_VALUE"""),"Ciencias Sociales y Humanas")</f>
        <v>Ciencias Sociales y Humanas</v>
      </c>
      <c r="I781" s="2" t="str">
        <f>IFERROR(__xludf.DUMMYFUNCTION("""COMPUTED_VALUE"""),"Trabajo Social")</f>
        <v>Trabajo Social</v>
      </c>
      <c r="J781" s="2" t="str">
        <f>IFERROR(__xludf.DUMMYFUNCTION("""COMPUTED_VALUE"""),"Grado")</f>
        <v>Grado</v>
      </c>
      <c r="K781" s="2" t="str">
        <f>IFERROR(__xludf.DUMMYFUNCTION("""COMPUTED_VALUE"""),"Portugués / Inglés")</f>
        <v>Portugués / Inglés</v>
      </c>
      <c r="L781" s="2" t="str">
        <f>IFERROR(__xludf.DUMMYFUNCTION("""COMPUTED_VALUE"""),"B1 Po / B2 En")</f>
        <v>B1 Po / B2 En</v>
      </c>
      <c r="M781" s="2" t="str">
        <f>IFERROR(__xludf.DUMMYFUNCTION("""COMPUTED_VALUE"""),"No")</f>
        <v>No</v>
      </c>
      <c r="N781" s="3" t="str">
        <f>IFERROR(__xludf.DUMMYFUNCTION("""COMPUTED_VALUE"""),"https://www.uc.pt/candidatos-internacionais/oportunidades/mobilidade-formacao")</f>
        <v>https://www.uc.pt/candidatos-internacionais/oportunidades/mobilidade-formacao</v>
      </c>
      <c r="O781" s="3" t="str">
        <f>IFERROR(__xludf.DUMMYFUNCTION("""COMPUTED_VALUE"""),"Más información / Informazio gehigarria")</f>
        <v>Más información / Informazio gehigarria</v>
      </c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30.0" customHeight="1">
      <c r="A782" s="2" t="str">
        <f>IFERROR(__xludf.DUMMYFUNCTION("""COMPUTED_VALUE"""),"Portugal")</f>
        <v>Portugal</v>
      </c>
      <c r="B782" s="2" t="str">
        <f>IFERROR(__xludf.DUMMYFUNCTION("""COMPUTED_VALUE"""),"P COIMBRA01")</f>
        <v>P COIMBRA01</v>
      </c>
      <c r="C782" s="3" t="str">
        <f>IFERROR(__xludf.DUMMYFUNCTION("""COMPUTED_VALUE"""),"University of Coimbra")</f>
        <v>University of Coimbra</v>
      </c>
      <c r="D782" s="2" t="str">
        <f>IFERROR(__xludf.DUMMYFUNCTION("""COMPUTED_VALUE"""),"Erasmus+")</f>
        <v>Erasmus+</v>
      </c>
      <c r="E782" s="2">
        <f>IFERROR(__xludf.DUMMYFUNCTION("""COMPUTED_VALUE"""),2.0)</f>
        <v>2</v>
      </c>
      <c r="F782" s="2" t="str">
        <f>IFERROR(__xludf.DUMMYFUNCTION("""COMPUTED_VALUE"""),"Semestre")</f>
        <v>Semestre</v>
      </c>
      <c r="G782" s="2" t="str">
        <f>IFERROR(__xludf.DUMMYFUNCTION("""COMPUTED_VALUE"""),"Bilbao")</f>
        <v>Bilbao</v>
      </c>
      <c r="H782" s="2" t="str">
        <f>IFERROR(__xludf.DUMMYFUNCTION("""COMPUTED_VALUE"""),"Ciencias Sociales y Humanas")</f>
        <v>Ciencias Sociales y Humanas</v>
      </c>
      <c r="I782" s="2" t="str">
        <f>IFERROR(__xludf.DUMMYFUNCTION("""COMPUTED_VALUE"""),"Turismo")</f>
        <v>Turismo</v>
      </c>
      <c r="J782" s="2" t="str">
        <f>IFERROR(__xludf.DUMMYFUNCTION("""COMPUTED_VALUE"""),"Grado")</f>
        <v>Grado</v>
      </c>
      <c r="K782" s="2" t="str">
        <f>IFERROR(__xludf.DUMMYFUNCTION("""COMPUTED_VALUE"""),"Portugués")</f>
        <v>Portugués</v>
      </c>
      <c r="L782" s="2" t="str">
        <f>IFERROR(__xludf.DUMMYFUNCTION("""COMPUTED_VALUE"""),"B1")</f>
        <v>B1</v>
      </c>
      <c r="M782" s="2" t="str">
        <f>IFERROR(__xludf.DUMMYFUNCTION("""COMPUTED_VALUE"""),"No")</f>
        <v>No</v>
      </c>
      <c r="N782" s="3" t="str">
        <f>IFERROR(__xludf.DUMMYFUNCTION("""COMPUTED_VALUE"""),"https://www.uc.pt/candidatos-internacionais/oportunidades/mobilidade-formacao")</f>
        <v>https://www.uc.pt/candidatos-internacionais/oportunidades/mobilidade-formacao</v>
      </c>
      <c r="O782" s="3" t="str">
        <f>IFERROR(__xludf.DUMMYFUNCTION("""COMPUTED_VALUE"""),"Más información / Informazio gehigarria")</f>
        <v>Más información / Informazio gehigarria</v>
      </c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30.0" customHeight="1">
      <c r="A783" s="2" t="str">
        <f>IFERROR(__xludf.DUMMYFUNCTION("""COMPUTED_VALUE"""),"Portugal")</f>
        <v>Portugal</v>
      </c>
      <c r="B783" s="2" t="str">
        <f>IFERROR(__xludf.DUMMYFUNCTION("""COMPUTED_VALUE"""),"P PORTO07")</f>
        <v>P PORTO07</v>
      </c>
      <c r="C783" s="3" t="str">
        <f>IFERROR(__xludf.DUMMYFUNCTION("""COMPUTED_VALUE"""),"Universidade Portucalense")</f>
        <v>Universidade Portucalense</v>
      </c>
      <c r="D783" s="2" t="str">
        <f>IFERROR(__xludf.DUMMYFUNCTION("""COMPUTED_VALUE"""),"Erasmus+")</f>
        <v>Erasmus+</v>
      </c>
      <c r="E783" s="2">
        <f>IFERROR(__xludf.DUMMYFUNCTION("""COMPUTED_VALUE"""),2.0)</f>
        <v>2</v>
      </c>
      <c r="F783" s="2" t="str">
        <f>IFERROR(__xludf.DUMMYFUNCTION("""COMPUTED_VALUE"""),"Semestre")</f>
        <v>Semestre</v>
      </c>
      <c r="G783" s="2" t="str">
        <f>IFERROR(__xludf.DUMMYFUNCTION("""COMPUTED_VALUE"""),"Bilbao")</f>
        <v>Bilbao</v>
      </c>
      <c r="H783" s="2" t="str">
        <f>IFERROR(__xludf.DUMMYFUNCTION("""COMPUTED_VALUE"""),"Derecho")</f>
        <v>Derecho</v>
      </c>
      <c r="I783" s="2" t="str">
        <f>IFERROR(__xludf.DUMMYFUNCTION("""COMPUTED_VALUE"""),"Derecho, Derecho + Relaciones Laborales")</f>
        <v>Derecho, Derecho + Relaciones Laborales</v>
      </c>
      <c r="J783" s="2" t="str">
        <f>IFERROR(__xludf.DUMMYFUNCTION("""COMPUTED_VALUE"""),"Grado")</f>
        <v>Grado</v>
      </c>
      <c r="K783" s="2" t="str">
        <f>IFERROR(__xludf.DUMMYFUNCTION("""COMPUTED_VALUE"""),"Portugués")</f>
        <v>Portugués</v>
      </c>
      <c r="L783" s="2" t="str">
        <f>IFERROR(__xludf.DUMMYFUNCTION("""COMPUTED_VALUE"""),"B1")</f>
        <v>B1</v>
      </c>
      <c r="M783" s="2" t="str">
        <f>IFERROR(__xludf.DUMMYFUNCTION("""COMPUTED_VALUE"""),"No")</f>
        <v>No</v>
      </c>
      <c r="N783" s="3" t="str">
        <f>IFERROR(__xludf.DUMMYFUNCTION("""COMPUTED_VALUE"""),"https://www.upt.pt/inicio/gabinete-de-relacoes-internacionais/")</f>
        <v>https://www.upt.pt/inicio/gabinete-de-relacoes-internacionais/</v>
      </c>
      <c r="O783" s="3" t="str">
        <f>IFERROR(__xludf.DUMMYFUNCTION("""COMPUTED_VALUE"""),"Más información / Informazio gehigarria")</f>
        <v>Más información / Informazio gehigarria</v>
      </c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30.0" customHeight="1">
      <c r="A784" s="2" t="str">
        <f>IFERROR(__xludf.DUMMYFUNCTION("""COMPUTED_VALUE"""),"Portugal")</f>
        <v>Portugal</v>
      </c>
      <c r="B784" s="2" t="str">
        <f>IFERROR(__xludf.DUMMYFUNCTION("""COMPUTED_VALUE"""),"P PORTO07")</f>
        <v>P PORTO07</v>
      </c>
      <c r="C784" s="3" t="str">
        <f>IFERROR(__xludf.DUMMYFUNCTION("""COMPUTED_VALUE"""),"Universidade Portucalense")</f>
        <v>Universidade Portucalense</v>
      </c>
      <c r="D784" s="2" t="str">
        <f>IFERROR(__xludf.DUMMYFUNCTION("""COMPUTED_VALUE"""),"Erasmus+")</f>
        <v>Erasmus+</v>
      </c>
      <c r="E784" s="2">
        <f>IFERROR(__xludf.DUMMYFUNCTION("""COMPUTED_VALUE"""),2.0)</f>
        <v>2</v>
      </c>
      <c r="F784" s="2" t="str">
        <f>IFERROR(__xludf.DUMMYFUNCTION("""COMPUTED_VALUE"""),"Anual")</f>
        <v>Anual</v>
      </c>
      <c r="G784" s="2" t="str">
        <f>IFERROR(__xludf.DUMMYFUNCTION("""COMPUTED_VALUE"""),"Bilbao")</f>
        <v>Bilbao</v>
      </c>
      <c r="H784" s="2" t="str">
        <f>IFERROR(__xludf.DUMMYFUNCTION("""COMPUTED_VALUE"""),"Ciencias de la Salud")</f>
        <v>Ciencias de la Salud</v>
      </c>
      <c r="I784" s="2" t="str">
        <f>IFERROR(__xludf.DUMMYFUNCTION("""COMPUTED_VALUE"""),"Psicología")</f>
        <v>Psicología</v>
      </c>
      <c r="J784" s="2" t="str">
        <f>IFERROR(__xludf.DUMMYFUNCTION("""COMPUTED_VALUE"""),"Grado")</f>
        <v>Grado</v>
      </c>
      <c r="K784" s="2" t="str">
        <f>IFERROR(__xludf.DUMMYFUNCTION("""COMPUTED_VALUE"""),"Portugués")</f>
        <v>Portugués</v>
      </c>
      <c r="L784" s="2" t="str">
        <f>IFERROR(__xludf.DUMMYFUNCTION("""COMPUTED_VALUE"""),"B1")</f>
        <v>B1</v>
      </c>
      <c r="M784" s="2" t="str">
        <f>IFERROR(__xludf.DUMMYFUNCTION("""COMPUTED_VALUE"""),"No")</f>
        <v>No</v>
      </c>
      <c r="N784" s="2"/>
      <c r="O784" s="2" t="str">
        <f>IFERROR(__xludf.DUMMYFUNCTION("""COMPUTED_VALUE"""),"Más información / Informazio gehigarria")</f>
        <v>Más información / Informazio gehigarria</v>
      </c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30.0" customHeight="1">
      <c r="A785" s="2" t="str">
        <f>IFERROR(__xludf.DUMMYFUNCTION("""COMPUTED_VALUE"""),"Portugal")</f>
        <v>Portugal</v>
      </c>
      <c r="B785" s="2" t="str">
        <f>IFERROR(__xludf.DUMMYFUNCTION("""COMPUTED_VALUE"""),"P PORTO07")</f>
        <v>P PORTO07</v>
      </c>
      <c r="C785" s="3" t="str">
        <f>IFERROR(__xludf.DUMMYFUNCTION("""COMPUTED_VALUE"""),"Universidade Portucalense")</f>
        <v>Universidade Portucalense</v>
      </c>
      <c r="D785" s="2" t="str">
        <f>IFERROR(__xludf.DUMMYFUNCTION("""COMPUTED_VALUE"""),"Erasmus+")</f>
        <v>Erasmus+</v>
      </c>
      <c r="E785" s="2">
        <f>IFERROR(__xludf.DUMMYFUNCTION("""COMPUTED_VALUE"""),2.0)</f>
        <v>2</v>
      </c>
      <c r="F785" s="2" t="str">
        <f>IFERROR(__xludf.DUMMYFUNCTION("""COMPUTED_VALUE"""),"Anual")</f>
        <v>Anual</v>
      </c>
      <c r="G785" s="2" t="str">
        <f>IFERROR(__xludf.DUMMYFUNCTION("""COMPUTED_VALUE"""),"Bilbao")</f>
        <v>Bilbao</v>
      </c>
      <c r="H785" s="2" t="str">
        <f>IFERROR(__xludf.DUMMYFUNCTION("""COMPUTED_VALUE"""),"Ciencias Sociales y Humanas")</f>
        <v>Ciencias Sociales y Humanas</v>
      </c>
      <c r="I785" s="2" t="str">
        <f>IFERROR(__xludf.DUMMYFUNCTION("""COMPUTED_VALUE"""),"Relaciones Internacionales, Relaciones Internacionales + Derecho")</f>
        <v>Relaciones Internacionales, Relaciones Internacionales + Derecho</v>
      </c>
      <c r="J785" s="2" t="str">
        <f>IFERROR(__xludf.DUMMYFUNCTION("""COMPUTED_VALUE"""),"Grado")</f>
        <v>Grado</v>
      </c>
      <c r="K785" s="2" t="str">
        <f>IFERROR(__xludf.DUMMYFUNCTION("""COMPUTED_VALUE"""),"Portugués")</f>
        <v>Portugués</v>
      </c>
      <c r="L785" s="2" t="str">
        <f>IFERROR(__xludf.DUMMYFUNCTION("""COMPUTED_VALUE"""),"B1")</f>
        <v>B1</v>
      </c>
      <c r="M785" s="2" t="str">
        <f>IFERROR(__xludf.DUMMYFUNCTION("""COMPUTED_VALUE"""),"No")</f>
        <v>No</v>
      </c>
      <c r="N785" s="2"/>
      <c r="O785" s="2" t="str">
        <f>IFERROR(__xludf.DUMMYFUNCTION("""COMPUTED_VALUE"""),"Más información / Informazio gehigarria")</f>
        <v>Más información / Informazio gehigarria</v>
      </c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30.0" customHeight="1">
      <c r="A786" s="2" t="str">
        <f>IFERROR(__xludf.DUMMYFUNCTION("""COMPUTED_VALUE"""),"Reino Unido")</f>
        <v>Reino Unido</v>
      </c>
      <c r="B786" s="2" t="str">
        <f>IFERROR(__xludf.DUMMYFUNCTION("""COMPUTED_VALUE"""),"UK COVENTR02")</f>
        <v>UK COVENTR02</v>
      </c>
      <c r="C786" s="3" t="str">
        <f>IFERROR(__xludf.DUMMYFUNCTION("""COMPUTED_VALUE"""),"Coventry University")</f>
        <v>Coventry University</v>
      </c>
      <c r="D786" s="2" t="str">
        <f>IFERROR(__xludf.DUMMYFUNCTION("""COMPUTED_VALUE"""),"Ac. Bilaterales (no Erasmus)")</f>
        <v>Ac. Bilaterales (no Erasmus)</v>
      </c>
      <c r="E786" s="2">
        <f>IFERROR(__xludf.DUMMYFUNCTION("""COMPUTED_VALUE"""),2.0)</f>
        <v>2</v>
      </c>
      <c r="F786" s="2" t="str">
        <f>IFERROR(__xludf.DUMMYFUNCTION("""COMPUTED_VALUE"""),"Anual")</f>
        <v>Anual</v>
      </c>
      <c r="G786" s="2" t="str">
        <f>IFERROR(__xludf.DUMMYFUNCTION("""COMPUTED_VALUE"""),"Bilbao")</f>
        <v>Bilbao</v>
      </c>
      <c r="H786" s="2" t="str">
        <f>IFERROR(__xludf.DUMMYFUNCTION("""COMPUTED_VALUE"""),"Ciencias Sociales y Humanas")</f>
        <v>Ciencias Sociales y Humanas</v>
      </c>
      <c r="I786" s="2" t="str">
        <f>IFERROR(__xludf.DUMMYFUNCTION("""COMPUTED_VALUE"""),"Relaciones Internacionales, Relaciones Internacionales + Derecho")</f>
        <v>Relaciones Internacionales, Relaciones Internacionales + Derecho</v>
      </c>
      <c r="J786" s="2" t="str">
        <f>IFERROR(__xludf.DUMMYFUNCTION("""COMPUTED_VALUE"""),"Grado")</f>
        <v>Grado</v>
      </c>
      <c r="K786" s="2" t="str">
        <f>IFERROR(__xludf.DUMMYFUNCTION("""COMPUTED_VALUE"""),"Inglés")</f>
        <v>Inglés</v>
      </c>
      <c r="L786" s="2" t="str">
        <f>IFERROR(__xludf.DUMMYFUNCTION("""COMPUTED_VALUE"""),"B2")</f>
        <v>B2</v>
      </c>
      <c r="M786" s="2" t="str">
        <f>IFERROR(__xludf.DUMMYFUNCTION("""COMPUTED_VALUE"""),"Sí")</f>
        <v>Sí</v>
      </c>
      <c r="N786" s="3" t="str">
        <f>IFERROR(__xludf.DUMMYFUNCTION("""COMPUTED_VALUE"""),"https://www.coventry.ac.uk/study-at-coventry/student-support/enhance-your-employability/global-opportunities/erasmus-study-exchange/faqs/")</f>
        <v>https://www.coventry.ac.uk/study-at-coventry/student-support/enhance-your-employability/global-opportunities/erasmus-study-exchange/faqs/</v>
      </c>
      <c r="O786" s="3" t="str">
        <f>IFERROR(__xludf.DUMMYFUNCTION("""COMPUTED_VALUE"""),"Más información / Informazio gehigarria")</f>
        <v>Más información / Informazio gehigarria</v>
      </c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30.0" customHeight="1">
      <c r="A787" s="2" t="str">
        <f>IFERROR(__xludf.DUMMYFUNCTION("""COMPUTED_VALUE"""),"Reino Unido")</f>
        <v>Reino Unido</v>
      </c>
      <c r="B787" s="2" t="str">
        <f>IFERROR(__xludf.DUMMYFUNCTION("""COMPUTED_VALUE"""),"UK LEICEST02")</f>
        <v>UK LEICEST02</v>
      </c>
      <c r="C787" s="3" t="str">
        <f>IFERROR(__xludf.DUMMYFUNCTION("""COMPUTED_VALUE"""),"De Montfort University Leicester")</f>
        <v>De Montfort University Leicester</v>
      </c>
      <c r="D787" s="2" t="str">
        <f>IFERROR(__xludf.DUMMYFUNCTION("""COMPUTED_VALUE"""),"Ac. Bilaterales (no Erasmus)")</f>
        <v>Ac. Bilaterales (no Erasmus)</v>
      </c>
      <c r="E787" s="2">
        <f>IFERROR(__xludf.DUMMYFUNCTION("""COMPUTED_VALUE"""),1.0)</f>
        <v>1</v>
      </c>
      <c r="F787" s="2" t="str">
        <f>IFERROR(__xludf.DUMMYFUNCTION("""COMPUTED_VALUE"""),"Semestre")</f>
        <v>Semestre</v>
      </c>
      <c r="G787" s="2" t="str">
        <f>IFERROR(__xludf.DUMMYFUNCTION("""COMPUTED_VALUE"""),"Ambos")</f>
        <v>Ambos</v>
      </c>
      <c r="H787" s="2" t="str">
        <f>IFERROR(__xludf.DUMMYFUNCTION("""COMPUTED_VALUE"""),"Ingeniería")</f>
        <v>Ingeniería</v>
      </c>
      <c r="I787" s="2" t="str">
        <f>IFERROR(__xludf.DUMMYFUNCTION("""COMPUTED_VALUE"""),"Ingeniería Informática, Diseño Industrial, Ciencia de Datos e IA + Ingeniería Informática, Diseño Industrial + Ingeniería Mecánica, Ingeniería Informática + Videojuegos")</f>
        <v>Ingeniería Informática, Diseño Industrial, Ciencia de Datos e IA + Ingeniería Informática, Diseño Industrial + Ingeniería Mecánica, Ingeniería Informática + Videojuegos</v>
      </c>
      <c r="J787" s="2" t="str">
        <f>IFERROR(__xludf.DUMMYFUNCTION("""COMPUTED_VALUE"""),"Grado")</f>
        <v>Grado</v>
      </c>
      <c r="K787" s="2" t="str">
        <f>IFERROR(__xludf.DUMMYFUNCTION("""COMPUTED_VALUE"""),"Inglés")</f>
        <v>Inglés</v>
      </c>
      <c r="L787" s="2" t="str">
        <f>IFERROR(__xludf.DUMMYFUNCTION("""COMPUTED_VALUE"""),"B2")</f>
        <v>B2</v>
      </c>
      <c r="M787" s="2" t="str">
        <f>IFERROR(__xludf.DUMMYFUNCTION("""COMPUTED_VALUE"""),"No")</f>
        <v>No</v>
      </c>
      <c r="N787" s="3" t="str">
        <f>IFERROR(__xludf.DUMMYFUNCTION("""COMPUTED_VALUE"""),"https://www.dmu.ac.uk/international/en/study-on-exchange/incoming-students.aspx#:~:text=Pearson%20English%20Language%20Test%20(PTE,or%20above%20in%20each%20component.&amp;text=IELTS%20%E2%80%93%20minimum%20score%206%20with,to%20determine%20their%20language%20"&amp;"level.")</f>
        <v>https://www.dmu.ac.uk/international/en/study-on-exchange/incoming-students.aspx#:~:text=Pearson%20English%20Language%20Test%20(PTE,or%20above%20in%20each%20component.&amp;text=IELTS%20%E2%80%93%20minimum%20score%206%20with,to%20determine%20their%20language%20level.</v>
      </c>
      <c r="O787" s="3" t="str">
        <f>IFERROR(__xludf.DUMMYFUNCTION("""COMPUTED_VALUE"""),"Más información / Informazio gehigarria")</f>
        <v>Más información / Informazio gehigarria</v>
      </c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30.0" customHeight="1">
      <c r="A788" s="2" t="str">
        <f>IFERROR(__xludf.DUMMYFUNCTION("""COMPUTED_VALUE"""),"Reino Unido")</f>
        <v>Reino Unido</v>
      </c>
      <c r="B788" s="2" t="str">
        <f>IFERROR(__xludf.DUMMYFUNCTION("""COMPUTED_VALUE"""),"UK LEICEST02")</f>
        <v>UK LEICEST02</v>
      </c>
      <c r="C788" s="3" t="str">
        <f>IFERROR(__xludf.DUMMYFUNCTION("""COMPUTED_VALUE"""),"De Montfort University Leicester")</f>
        <v>De Montfort University Leicester</v>
      </c>
      <c r="D788" s="2" t="str">
        <f>IFERROR(__xludf.DUMMYFUNCTION("""COMPUTED_VALUE"""),"Ac. Bilaterales (no Erasmus)")</f>
        <v>Ac. Bilaterales (no Erasmus)</v>
      </c>
      <c r="E788" s="2">
        <f>IFERROR(__xludf.DUMMYFUNCTION("""COMPUTED_VALUE"""),2.0)</f>
        <v>2</v>
      </c>
      <c r="F788" s="2" t="str">
        <f>IFERROR(__xludf.DUMMYFUNCTION("""COMPUTED_VALUE"""),"Semestre")</f>
        <v>Semestre</v>
      </c>
      <c r="G788" s="2" t="str">
        <f>IFERROR(__xludf.DUMMYFUNCTION("""COMPUTED_VALUE"""),"San Sebastián")</f>
        <v>San Sebastián</v>
      </c>
      <c r="H788" s="2" t="str">
        <f>IFERROR(__xludf.DUMMYFUNCTION("""COMPUTED_VALUE"""),"Ciencias Sociales y Humanas")</f>
        <v>Ciencias Sociales y Humanas</v>
      </c>
      <c r="I788" s="2" t="str">
        <f>IFERROR(__xludf.DUMMYFUNCTION("""COMPUTED_VALUE"""),"Comunicación")</f>
        <v>Comunicación</v>
      </c>
      <c r="J788" s="2" t="str">
        <f>IFERROR(__xludf.DUMMYFUNCTION("""COMPUTED_VALUE"""),"Grado")</f>
        <v>Grado</v>
      </c>
      <c r="K788" s="2" t="str">
        <f>IFERROR(__xludf.DUMMYFUNCTION("""COMPUTED_VALUE"""),"Inglés")</f>
        <v>Inglés</v>
      </c>
      <c r="L788" s="2" t="str">
        <f>IFERROR(__xludf.DUMMYFUNCTION("""COMPUTED_VALUE"""),"B2")</f>
        <v>B2</v>
      </c>
      <c r="M788" s="2" t="str">
        <f>IFERROR(__xludf.DUMMYFUNCTION("""COMPUTED_VALUE"""),"No")</f>
        <v>No</v>
      </c>
      <c r="N788" s="3" t="str">
        <f>IFERROR(__xludf.DUMMYFUNCTION("""COMPUTED_VALUE"""),"https://www.dmu.ac.uk/international/en/study-on-exchange/incoming-students.aspx#:~:text=Pearson%20English%20Language%20Test%20(PTE,or%20above%20in%20each%20component.&amp;text=IELTS%20%E2%80%93%20minimum%20score%206%20with,to%20determine%20their%20language%20"&amp;"level.")</f>
        <v>https://www.dmu.ac.uk/international/en/study-on-exchange/incoming-students.aspx#:~:text=Pearson%20English%20Language%20Test%20(PTE,or%20above%20in%20each%20component.&amp;text=IELTS%20%E2%80%93%20minimum%20score%206%20with,to%20determine%20their%20language%20level.</v>
      </c>
      <c r="O788" s="3" t="str">
        <f>IFERROR(__xludf.DUMMYFUNCTION("""COMPUTED_VALUE"""),"Más información / Informazio gehigarria")</f>
        <v>Más información / Informazio gehigarria</v>
      </c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30.0" customHeight="1">
      <c r="A789" s="2" t="str">
        <f>IFERROR(__xludf.DUMMYFUNCTION("""COMPUTED_VALUE"""),"Reino Unido")</f>
        <v>Reino Unido</v>
      </c>
      <c r="B789" s="2" t="str">
        <f>IFERROR(__xludf.DUMMYFUNCTION("""COMPUTED_VALUE"""),"UK LEICEST02")</f>
        <v>UK LEICEST02</v>
      </c>
      <c r="C789" s="3" t="str">
        <f>IFERROR(__xludf.DUMMYFUNCTION("""COMPUTED_VALUE"""),"De Montfort University Leicester")</f>
        <v>De Montfort University Leicester</v>
      </c>
      <c r="D789" s="2" t="str">
        <f>IFERROR(__xludf.DUMMYFUNCTION("""COMPUTED_VALUE"""),"Ac. Bilaterales (no Erasmus)")</f>
        <v>Ac. Bilaterales (no Erasmus)</v>
      </c>
      <c r="E789" s="2">
        <f>IFERROR(__xludf.DUMMYFUNCTION("""COMPUTED_VALUE"""),1.0)</f>
        <v>1</v>
      </c>
      <c r="F789" s="2" t="str">
        <f>IFERROR(__xludf.DUMMYFUNCTION("""COMPUTED_VALUE"""),"Anual")</f>
        <v>Anual</v>
      </c>
      <c r="G789" s="2" t="str">
        <f>IFERROR(__xludf.DUMMYFUNCTION("""COMPUTED_VALUE"""),"Bilbao")</f>
        <v>Bilbao</v>
      </c>
      <c r="H789" s="2" t="str">
        <f>IFERROR(__xludf.DUMMYFUNCTION("""COMPUTED_VALUE"""),"Ciencias Sociales y Humanas")</f>
        <v>Ciencias Sociales y Humanas</v>
      </c>
      <c r="I789" s="2" t="str">
        <f>IFERROR(__xludf.DUMMYFUNCTION("""COMPUTED_VALUE"""),"Relaciones Internacionales, Relaciones Internacionales + Derecho")</f>
        <v>Relaciones Internacionales, Relaciones Internacionales + Derecho</v>
      </c>
      <c r="J789" s="2" t="str">
        <f>IFERROR(__xludf.DUMMYFUNCTION("""COMPUTED_VALUE"""),"Grado")</f>
        <v>Grado</v>
      </c>
      <c r="K789" s="2" t="str">
        <f>IFERROR(__xludf.DUMMYFUNCTION("""COMPUTED_VALUE"""),"Inglés")</f>
        <v>Inglés</v>
      </c>
      <c r="L789" s="2" t="str">
        <f>IFERROR(__xludf.DUMMYFUNCTION("""COMPUTED_VALUE"""),"B2")</f>
        <v>B2</v>
      </c>
      <c r="M789" s="2" t="str">
        <f>IFERROR(__xludf.DUMMYFUNCTION("""COMPUTED_VALUE"""),"Sí")</f>
        <v>Sí</v>
      </c>
      <c r="N789" s="3" t="str">
        <f>IFERROR(__xludf.DUMMYFUNCTION("""COMPUTED_VALUE"""),"https://www.dmu.ac.uk/international/en/study-on-exchange/incoming-students.aspx#:~:text=Pearson%20English%20Language%20Test%20(PTE,or%20above%20in%20each%20component.&amp;text=IELTS%20%E2%80%93%20minimum%20score%206%20with,to%20determine%20their%20language%20"&amp;"level.")</f>
        <v>https://www.dmu.ac.uk/international/en/study-on-exchange/incoming-students.aspx#:~:text=Pearson%20English%20Language%20Test%20(PTE,or%20above%20in%20each%20component.&amp;text=IELTS%20%E2%80%93%20minimum%20score%206%20with,to%20determine%20their%20language%20level.</v>
      </c>
      <c r="O789" s="3" t="str">
        <f>IFERROR(__xludf.DUMMYFUNCTION("""COMPUTED_VALUE"""),"Más información / Informazio gehigarria")</f>
        <v>Más información / Informazio gehigarria</v>
      </c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30.0" customHeight="1">
      <c r="A790" s="2" t="str">
        <f>IFERROR(__xludf.DUMMYFUNCTION("""COMPUTED_VALUE"""),"Reino Unido")</f>
        <v>Reino Unido</v>
      </c>
      <c r="B790" s="2" t="str">
        <f>IFERROR(__xludf.DUMMYFUNCTION("""COMPUTED_VALUE"""),"UK EDINBUR02")</f>
        <v>UK EDINBUR02</v>
      </c>
      <c r="C790" s="3" t="str">
        <f>IFERROR(__xludf.DUMMYFUNCTION("""COMPUTED_VALUE"""),"Heriot-Watt University")</f>
        <v>Heriot-Watt University</v>
      </c>
      <c r="D790" s="2" t="str">
        <f>IFERROR(__xludf.DUMMYFUNCTION("""COMPUTED_VALUE"""),"Ac. Bilaterales (no Erasmus)")</f>
        <v>Ac. Bilaterales (no Erasmus)</v>
      </c>
      <c r="E790" s="2">
        <f>IFERROR(__xludf.DUMMYFUNCTION("""COMPUTED_VALUE"""),2.0)</f>
        <v>2</v>
      </c>
      <c r="F790" s="2" t="str">
        <f>IFERROR(__xludf.DUMMYFUNCTION("""COMPUTED_VALUE"""),"Semestre")</f>
        <v>Semestre</v>
      </c>
      <c r="G790" s="2" t="str">
        <f>IFERROR(__xludf.DUMMYFUNCTION("""COMPUTED_VALUE"""),"Bilbao")</f>
        <v>Bilbao</v>
      </c>
      <c r="H790" s="2" t="str">
        <f>IFERROR(__xludf.DUMMYFUNCTION("""COMPUTED_VALUE"""),"Deusto Business School")</f>
        <v>Deusto Business School</v>
      </c>
      <c r="I790" s="2" t="str">
        <f>IFERROR(__xludf.DUMMYFUNCTION("""COMPUTED_VALUE"""),"Administración y Dirección de Empresas")</f>
        <v>Administración y Dirección de Empresas</v>
      </c>
      <c r="J790" s="2" t="str">
        <f>IFERROR(__xludf.DUMMYFUNCTION("""COMPUTED_VALUE"""),"Grado")</f>
        <v>Grado</v>
      </c>
      <c r="K790" s="2" t="str">
        <f>IFERROR(__xludf.DUMMYFUNCTION("""COMPUTED_VALUE"""),"Inglés")</f>
        <v>Inglés</v>
      </c>
      <c r="L790" s="2" t="str">
        <f>IFERROR(__xludf.DUMMYFUNCTION("""COMPUTED_VALUE"""),"C1")</f>
        <v>C1</v>
      </c>
      <c r="M790" s="2" t="str">
        <f>IFERROR(__xludf.DUMMYFUNCTION("""COMPUTED_VALUE"""),"No")</f>
        <v>No</v>
      </c>
      <c r="N790" s="3" t="str">
        <f>IFERROR(__xludf.DUMMYFUNCTION("""COMPUTED_VALUE"""),"https://www.hw.ac.uk/study/entry/english-language-requirements.htm")</f>
        <v>https://www.hw.ac.uk/study/entry/english-language-requirements.htm</v>
      </c>
      <c r="O790" s="3" t="str">
        <f>IFERROR(__xludf.DUMMYFUNCTION("""COMPUTED_VALUE"""),"Más información / Informazio gehigarria")</f>
        <v>Más información / Informazio gehigarria</v>
      </c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30.0" customHeight="1">
      <c r="A791" s="2" t="str">
        <f>IFERROR(__xludf.DUMMYFUNCTION("""COMPUTED_VALUE"""),"Reino Unido")</f>
        <v>Reino Unido</v>
      </c>
      <c r="B791" s="2" t="str">
        <f>IFERROR(__xludf.DUMMYFUNCTION("""COMPUTED_VALUE"""),"UK LANCAST01")</f>
        <v>UK LANCAST01</v>
      </c>
      <c r="C791" s="3" t="str">
        <f>IFERROR(__xludf.DUMMYFUNCTION("""COMPUTED_VALUE"""),"Lancaster University")</f>
        <v>Lancaster University</v>
      </c>
      <c r="D791" s="2" t="str">
        <f>IFERROR(__xludf.DUMMYFUNCTION("""COMPUTED_VALUE"""),"Ac. Bilaterales (no Erasmus)")</f>
        <v>Ac. Bilaterales (no Erasmus)</v>
      </c>
      <c r="E791" s="2">
        <f>IFERROR(__xludf.DUMMYFUNCTION("""COMPUTED_VALUE"""),6.0)</f>
        <v>6</v>
      </c>
      <c r="F791" s="2" t="str">
        <f>IFERROR(__xludf.DUMMYFUNCTION("""COMPUTED_VALUE"""),"Semestre")</f>
        <v>Semestre</v>
      </c>
      <c r="G791" s="2" t="str">
        <f>IFERROR(__xludf.DUMMYFUNCTION("""COMPUTED_VALUE"""),"Bilbao")</f>
        <v>Bilbao</v>
      </c>
      <c r="H791" s="2" t="str">
        <f>IFERROR(__xludf.DUMMYFUNCTION("""COMPUTED_VALUE"""),"Deusto Business School")</f>
        <v>Deusto Business School</v>
      </c>
      <c r="I791" s="2" t="str">
        <f>IFERROR(__xludf.DUMMYFUNCTION("""COMPUTED_VALUE"""),"Administración y Dirección de Empresas")</f>
        <v>Administración y Dirección de Empresas</v>
      </c>
      <c r="J791" s="2" t="str">
        <f>IFERROR(__xludf.DUMMYFUNCTION("""COMPUTED_VALUE"""),"Grado")</f>
        <v>Grado</v>
      </c>
      <c r="K791" s="2" t="str">
        <f>IFERROR(__xludf.DUMMYFUNCTION("""COMPUTED_VALUE"""),"Inglés")</f>
        <v>Inglés</v>
      </c>
      <c r="L791" s="2" t="str">
        <f>IFERROR(__xludf.DUMMYFUNCTION("""COMPUTED_VALUE"""),"C1")</f>
        <v>C1</v>
      </c>
      <c r="M791" s="2" t="str">
        <f>IFERROR(__xludf.DUMMYFUNCTION("""COMPUTED_VALUE"""),"Sí")</f>
        <v>Sí</v>
      </c>
      <c r="N791" s="3" t="str">
        <f>IFERROR(__xludf.DUMMYFUNCTION("""COMPUTED_VALUE"""),"https://www.lancaster.ac.uk/study/entry-requirements/")</f>
        <v>https://www.lancaster.ac.uk/study/entry-requirements/</v>
      </c>
      <c r="O791" s="3" t="str">
        <f>IFERROR(__xludf.DUMMYFUNCTION("""COMPUTED_VALUE"""),"Más información / Informazio gehigarria")</f>
        <v>Más información / Informazio gehigarria</v>
      </c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30.0" customHeight="1">
      <c r="A792" s="2" t="str">
        <f>IFERROR(__xludf.DUMMYFUNCTION("""COMPUTED_VALUE"""),"Reino Unido")</f>
        <v>Reino Unido</v>
      </c>
      <c r="B792" s="2" t="str">
        <f>IFERROR(__xludf.DUMMYFUNCTION("""COMPUTED_VALUE"""),"UK LANCAST01")</f>
        <v>UK LANCAST01</v>
      </c>
      <c r="C792" s="3" t="str">
        <f>IFERROR(__xludf.DUMMYFUNCTION("""COMPUTED_VALUE"""),"Lancaster University")</f>
        <v>Lancaster University</v>
      </c>
      <c r="D792" s="2" t="str">
        <f>IFERROR(__xludf.DUMMYFUNCTION("""COMPUTED_VALUE"""),"Ac. Bilaterales (no Erasmus)")</f>
        <v>Ac. Bilaterales (no Erasmus)</v>
      </c>
      <c r="E792" s="2">
        <f>IFERROR(__xludf.DUMMYFUNCTION("""COMPUTED_VALUE"""),2.0)</f>
        <v>2</v>
      </c>
      <c r="F792" s="2" t="str">
        <f>IFERROR(__xludf.DUMMYFUNCTION("""COMPUTED_VALUE"""),"Anual")</f>
        <v>Anual</v>
      </c>
      <c r="G792" s="2" t="str">
        <f>IFERROR(__xludf.DUMMYFUNCTION("""COMPUTED_VALUE"""),"Bilbao")</f>
        <v>Bilbao</v>
      </c>
      <c r="H792" s="2" t="str">
        <f>IFERROR(__xludf.DUMMYFUNCTION("""COMPUTED_VALUE"""),"Ciencias Sociales y Humanas")</f>
        <v>Ciencias Sociales y Humanas</v>
      </c>
      <c r="I792" s="2" t="str">
        <f>IFERROR(__xludf.DUMMYFUNCTION("""COMPUTED_VALUE"""),"Lenguas Modernas, Lengua y Cultura Vasca + Lenguas Modernas, Lenguas Modernas y Gestión, Euskal Hizkuntza eta Kultura")</f>
        <v>Lenguas Modernas, Lengua y Cultura Vasca + Lenguas Modernas, Lenguas Modernas y Gestión, Euskal Hizkuntza eta Kultura</v>
      </c>
      <c r="J792" s="2" t="str">
        <f>IFERROR(__xludf.DUMMYFUNCTION("""COMPUTED_VALUE"""),"Grado")</f>
        <v>Grado</v>
      </c>
      <c r="K792" s="2" t="str">
        <f>IFERROR(__xludf.DUMMYFUNCTION("""COMPUTED_VALUE"""),"Inglés")</f>
        <v>Inglés</v>
      </c>
      <c r="L792" s="2" t="str">
        <f>IFERROR(__xludf.DUMMYFUNCTION("""COMPUTED_VALUE"""),"B2 / C1")</f>
        <v>B2 / C1</v>
      </c>
      <c r="M792" s="2" t="str">
        <f>IFERROR(__xludf.DUMMYFUNCTION("""COMPUTED_VALUE"""),"Sí")</f>
        <v>Sí</v>
      </c>
      <c r="N792" s="3" t="str">
        <f>IFERROR(__xludf.DUMMYFUNCTION("""COMPUTED_VALUE"""),"https://www.lancaster.ac.uk/study/undergraduate/courses/modern-languages-ba-hons-r800/2025/#course-entry")</f>
        <v>https://www.lancaster.ac.uk/study/undergraduate/courses/modern-languages-ba-hons-r800/2025/#course-entry</v>
      </c>
      <c r="O792" s="3" t="str">
        <f>IFERROR(__xludf.DUMMYFUNCTION("""COMPUTED_VALUE"""),"Más información / Informazio gehigarria")</f>
        <v>Más información / Informazio gehigarria</v>
      </c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30.0" customHeight="1">
      <c r="A793" s="2" t="str">
        <f>IFERROR(__xludf.DUMMYFUNCTION("""COMPUTED_VALUE"""),"Reino Unido")</f>
        <v>Reino Unido</v>
      </c>
      <c r="B793" s="2" t="str">
        <f>IFERROR(__xludf.DUMMYFUNCTION("""COMPUTED_VALUE"""),"UK NOTTING02")</f>
        <v>UK NOTTING02</v>
      </c>
      <c r="C793" s="3" t="str">
        <f>IFERROR(__xludf.DUMMYFUNCTION("""COMPUTED_VALUE"""),"Nottingham Trent University")</f>
        <v>Nottingham Trent University</v>
      </c>
      <c r="D793" s="2" t="str">
        <f>IFERROR(__xludf.DUMMYFUNCTION("""COMPUTED_VALUE"""),"Ac. Bilaterales (no Erasmus)")</f>
        <v>Ac. Bilaterales (no Erasmus)</v>
      </c>
      <c r="E793" s="2">
        <f>IFERROR(__xludf.DUMMYFUNCTION("""COMPUTED_VALUE"""),3.0)</f>
        <v>3</v>
      </c>
      <c r="F793" s="2" t="str">
        <f>IFERROR(__xludf.DUMMYFUNCTION("""COMPUTED_VALUE"""),"Anual")</f>
        <v>Anual</v>
      </c>
      <c r="G793" s="2" t="str">
        <f>IFERROR(__xludf.DUMMYFUNCTION("""COMPUTED_VALUE"""),"Bilbao")</f>
        <v>Bilbao</v>
      </c>
      <c r="H793" s="2" t="str">
        <f>IFERROR(__xludf.DUMMYFUNCTION("""COMPUTED_VALUE"""),"Ciencias Sociales y Humanas")</f>
        <v>Ciencias Sociales y Humanas</v>
      </c>
      <c r="I793" s="2" t="str">
        <f>IFERROR(__xludf.DUMMYFUNCTION("""COMPUTED_VALUE"""),"Relaciones Internacionales, Relaciones Internacionales + Derecho")</f>
        <v>Relaciones Internacionales, Relaciones Internacionales + Derecho</v>
      </c>
      <c r="J793" s="2" t="str">
        <f>IFERROR(__xludf.DUMMYFUNCTION("""COMPUTED_VALUE"""),"Grado")</f>
        <v>Grado</v>
      </c>
      <c r="K793" s="2" t="str">
        <f>IFERROR(__xludf.DUMMYFUNCTION("""COMPUTED_VALUE"""),"Inglés")</f>
        <v>Inglés</v>
      </c>
      <c r="L793" s="2" t="str">
        <f>IFERROR(__xludf.DUMMYFUNCTION("""COMPUTED_VALUE"""),"B2")</f>
        <v>B2</v>
      </c>
      <c r="M793" s="2" t="str">
        <f>IFERROR(__xludf.DUMMYFUNCTION("""COMPUTED_VALUE"""),"Sí")</f>
        <v>Sí</v>
      </c>
      <c r="N793" s="3" t="str">
        <f>IFERROR(__xludf.DUMMYFUNCTION("""COMPUTED_VALUE"""),"https://www.ntu.ac.uk/international/study-and-courses/your-application/entry-requirements-by-country/english-language-requirements")</f>
        <v>https://www.ntu.ac.uk/international/study-and-courses/your-application/entry-requirements-by-country/english-language-requirements</v>
      </c>
      <c r="O793" s="3" t="str">
        <f>IFERROR(__xludf.DUMMYFUNCTION("""COMPUTED_VALUE"""),"Más información / Informazio gehigarria")</f>
        <v>Más información / Informazio gehigarria</v>
      </c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30.0" customHeight="1">
      <c r="A794" s="2" t="str">
        <f>IFERROR(__xludf.DUMMYFUNCTION("""COMPUTED_VALUE"""),"Reino Unido")</f>
        <v>Reino Unido</v>
      </c>
      <c r="B794" s="2" t="str">
        <f>IFERROR(__xludf.DUMMYFUNCTION("""COMPUTED_VALUE"""),"UK BELFAST01")</f>
        <v>UK BELFAST01</v>
      </c>
      <c r="C794" s="3" t="str">
        <f>IFERROR(__xludf.DUMMYFUNCTION("""COMPUTED_VALUE"""),"Queen's University Belfast")</f>
        <v>Queen's University Belfast</v>
      </c>
      <c r="D794" s="2" t="str">
        <f>IFERROR(__xludf.DUMMYFUNCTION("""COMPUTED_VALUE"""),"Ac. Bilaterales (no Erasmus)")</f>
        <v>Ac. Bilaterales (no Erasmus)</v>
      </c>
      <c r="E794" s="2">
        <f>IFERROR(__xludf.DUMMYFUNCTION("""COMPUTED_VALUE"""),3.0)</f>
        <v>3</v>
      </c>
      <c r="F794" s="2" t="str">
        <f>IFERROR(__xludf.DUMMYFUNCTION("""COMPUTED_VALUE"""),"Semestre")</f>
        <v>Semestre</v>
      </c>
      <c r="G794" s="2" t="str">
        <f>IFERROR(__xludf.DUMMYFUNCTION("""COMPUTED_VALUE"""),"Bilbao")</f>
        <v>Bilbao</v>
      </c>
      <c r="H794" s="2" t="str">
        <f>IFERROR(__xludf.DUMMYFUNCTION("""COMPUTED_VALUE"""),"Deusto Business School")</f>
        <v>Deusto Business School</v>
      </c>
      <c r="I794" s="2" t="str">
        <f>IFERROR(__xludf.DUMMYFUNCTION("""COMPUTED_VALUE"""),"Administración y Dirección de Empresas")</f>
        <v>Administración y Dirección de Empresas</v>
      </c>
      <c r="J794" s="2" t="str">
        <f>IFERROR(__xludf.DUMMYFUNCTION("""COMPUTED_VALUE"""),"Grado")</f>
        <v>Grado</v>
      </c>
      <c r="K794" s="2" t="str">
        <f>IFERROR(__xludf.DUMMYFUNCTION("""COMPUTED_VALUE"""),"Inglés")</f>
        <v>Inglés</v>
      </c>
      <c r="L794" s="2" t="str">
        <f>IFERROR(__xludf.DUMMYFUNCTION("""COMPUTED_VALUE"""),"B2")</f>
        <v>B2</v>
      </c>
      <c r="M794" s="2" t="str">
        <f>IFERROR(__xludf.DUMMYFUNCTION("""COMPUTED_VALUE"""),"No")</f>
        <v>No</v>
      </c>
      <c r="N794" s="3" t="str">
        <f>IFERROR(__xludf.DUMMYFUNCTION("""COMPUTED_VALUE"""),"https://www.qub.ac.uk/International/International-students/Applying/English-language-requirements/")</f>
        <v>https://www.qub.ac.uk/International/International-students/Applying/English-language-requirements/</v>
      </c>
      <c r="O794" s="3" t="str">
        <f>IFERROR(__xludf.DUMMYFUNCTION("""COMPUTED_VALUE"""),"Más información / Informazio gehigarria")</f>
        <v>Más información / Informazio gehigarria</v>
      </c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30.0" customHeight="1">
      <c r="A795" s="2" t="str">
        <f>IFERROR(__xludf.DUMMYFUNCTION("""COMPUTED_VALUE"""),"Reino Unido")</f>
        <v>Reino Unido</v>
      </c>
      <c r="B795" s="2" t="str">
        <f>IFERROR(__xludf.DUMMYFUNCTION("""COMPUTED_VALUE"""),"UK BELFAST01")</f>
        <v>UK BELFAST01</v>
      </c>
      <c r="C795" s="3" t="str">
        <f>IFERROR(__xludf.DUMMYFUNCTION("""COMPUTED_VALUE"""),"Queen's University Belfast")</f>
        <v>Queen's University Belfast</v>
      </c>
      <c r="D795" s="2" t="str">
        <f>IFERROR(__xludf.DUMMYFUNCTION("""COMPUTED_VALUE"""),"Ac. Bilaterales (no Erasmus)")</f>
        <v>Ac. Bilaterales (no Erasmus)</v>
      </c>
      <c r="E795" s="2">
        <f>IFERROR(__xludf.DUMMYFUNCTION("""COMPUTED_VALUE"""),3.0)</f>
        <v>3</v>
      </c>
      <c r="F795" s="2" t="str">
        <f>IFERROR(__xludf.DUMMYFUNCTION("""COMPUTED_VALUE"""),"Semestre")</f>
        <v>Semestre</v>
      </c>
      <c r="G795" s="2" t="str">
        <f>IFERROR(__xludf.DUMMYFUNCTION("""COMPUTED_VALUE"""),"San Sebastián")</f>
        <v>San Sebastián</v>
      </c>
      <c r="H795" s="2" t="str">
        <f>IFERROR(__xludf.DUMMYFUNCTION("""COMPUTED_VALUE"""),"Deusto Business School")</f>
        <v>Deusto Business School</v>
      </c>
      <c r="I795" s="2" t="str">
        <f>IFERROR(__xludf.DUMMYFUNCTION("""COMPUTED_VALUE"""),"Administración y Dirección de Empresas")</f>
        <v>Administración y Dirección de Empresas</v>
      </c>
      <c r="J795" s="2" t="str">
        <f>IFERROR(__xludf.DUMMYFUNCTION("""COMPUTED_VALUE"""),"Grado")</f>
        <v>Grado</v>
      </c>
      <c r="K795" s="2" t="str">
        <f>IFERROR(__xludf.DUMMYFUNCTION("""COMPUTED_VALUE"""),"Inglés")</f>
        <v>Inglés</v>
      </c>
      <c r="L795" s="2" t="str">
        <f>IFERROR(__xludf.DUMMYFUNCTION("""COMPUTED_VALUE"""),"B2")</f>
        <v>B2</v>
      </c>
      <c r="M795" s="2" t="str">
        <f>IFERROR(__xludf.DUMMYFUNCTION("""COMPUTED_VALUE"""),"No")</f>
        <v>No</v>
      </c>
      <c r="N795" s="3" t="str">
        <f>IFERROR(__xludf.DUMMYFUNCTION("""COMPUTED_VALUE"""),"https://www.qub.ac.uk/International/International-students/Applying/English-language-requirements/")</f>
        <v>https://www.qub.ac.uk/International/International-students/Applying/English-language-requirements/</v>
      </c>
      <c r="O795" s="3" t="str">
        <f>IFERROR(__xludf.DUMMYFUNCTION("""COMPUTED_VALUE"""),"Más información / Informazio gehigarria")</f>
        <v>Más información / Informazio gehigarria</v>
      </c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30.0" customHeight="1">
      <c r="A796" s="2" t="str">
        <f>IFERROR(__xludf.DUMMYFUNCTION("""COMPUTED_VALUE"""),"Reino Unido")</f>
        <v>Reino Unido</v>
      </c>
      <c r="B796" s="2" t="str">
        <f>IFERROR(__xludf.DUMMYFUNCTION("""COMPUTED_VALUE"""),"UK SWANSEA01")</f>
        <v>UK SWANSEA01</v>
      </c>
      <c r="C796" s="3" t="str">
        <f>IFERROR(__xludf.DUMMYFUNCTION("""COMPUTED_VALUE"""),"Swansea University")</f>
        <v>Swansea University</v>
      </c>
      <c r="D796" s="2" t="str">
        <f>IFERROR(__xludf.DUMMYFUNCTION("""COMPUTED_VALUE"""),"Ac. Bilaterales (no Erasmus)")</f>
        <v>Ac. Bilaterales (no Erasmus)</v>
      </c>
      <c r="E796" s="2">
        <f>IFERROR(__xludf.DUMMYFUNCTION("""COMPUTED_VALUE"""),2.0)</f>
        <v>2</v>
      </c>
      <c r="F796" s="2" t="str">
        <f>IFERROR(__xludf.DUMMYFUNCTION("""COMPUTED_VALUE"""),"Anual")</f>
        <v>Anual</v>
      </c>
      <c r="G796" s="2" t="str">
        <f>IFERROR(__xludf.DUMMYFUNCTION("""COMPUTED_VALUE"""),"Bilbao")</f>
        <v>Bilbao</v>
      </c>
      <c r="H796" s="2" t="str">
        <f>IFERROR(__xludf.DUMMYFUNCTION("""COMPUTED_VALUE"""),"Ciencias Sociales y Humanas")</f>
        <v>Ciencias Sociales y Humanas</v>
      </c>
      <c r="I796" s="2" t="str">
        <f>IFERROR(__xludf.DUMMYFUNCTION("""COMPUTED_VALUE"""),"Lenguas Modernas, Lengua y Cultura Vasca + Lenguas Modernas, Lenguas Modernas y Gestión, Euskal Hizkuntza eta Kultura")</f>
        <v>Lenguas Modernas, Lengua y Cultura Vasca + Lenguas Modernas, Lenguas Modernas y Gestión, Euskal Hizkuntza eta Kultura</v>
      </c>
      <c r="J796" s="2" t="str">
        <f>IFERROR(__xludf.DUMMYFUNCTION("""COMPUTED_VALUE"""),"Grado")</f>
        <v>Grado</v>
      </c>
      <c r="K796" s="2" t="str">
        <f>IFERROR(__xludf.DUMMYFUNCTION("""COMPUTED_VALUE"""),"Inglés")</f>
        <v>Inglés</v>
      </c>
      <c r="L796" s="2" t="str">
        <f>IFERROR(__xludf.DUMMYFUNCTION("""COMPUTED_VALUE"""),"B2")</f>
        <v>B2</v>
      </c>
      <c r="M796" s="2" t="str">
        <f>IFERROR(__xludf.DUMMYFUNCTION("""COMPUTED_VALUE"""),"Sí")</f>
        <v>Sí</v>
      </c>
      <c r="N796" s="3" t="str">
        <f>IFERROR(__xludf.DUMMYFUNCTION("""COMPUTED_VALUE"""),"https://www.swansea.ac.uk/admissions/english-language-requirements/")</f>
        <v>https://www.swansea.ac.uk/admissions/english-language-requirements/</v>
      </c>
      <c r="O796" s="3" t="str">
        <f>IFERROR(__xludf.DUMMYFUNCTION("""COMPUTED_VALUE"""),"Más información / Informazio gehigarria")</f>
        <v>Más información / Informazio gehigarria</v>
      </c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30.0" customHeight="1">
      <c r="A797" s="2" t="str">
        <f>IFERROR(__xludf.DUMMYFUNCTION("""COMPUTED_VALUE"""),"Reino Unido")</f>
        <v>Reino Unido</v>
      </c>
      <c r="B797" s="2" t="str">
        <f>IFERROR(__xludf.DUMMYFUNCTION("""COMPUTED_VALUE"""),"UK SWANSEA01")</f>
        <v>UK SWANSEA01</v>
      </c>
      <c r="C797" s="3" t="str">
        <f>IFERROR(__xludf.DUMMYFUNCTION("""COMPUTED_VALUE"""),"Swansea University")</f>
        <v>Swansea University</v>
      </c>
      <c r="D797" s="2" t="str">
        <f>IFERROR(__xludf.DUMMYFUNCTION("""COMPUTED_VALUE"""),"Ac. Bilaterales (no Erasmus)")</f>
        <v>Ac. Bilaterales (no Erasmus)</v>
      </c>
      <c r="E797" s="2">
        <f>IFERROR(__xludf.DUMMYFUNCTION("""COMPUTED_VALUE"""),2.0)</f>
        <v>2</v>
      </c>
      <c r="F797" s="2" t="str">
        <f>IFERROR(__xludf.DUMMYFUNCTION("""COMPUTED_VALUE"""),"Semestre")</f>
        <v>Semestre</v>
      </c>
      <c r="G797" s="2" t="str">
        <f>IFERROR(__xludf.DUMMYFUNCTION("""COMPUTED_VALUE"""),"San Sebastián")</f>
        <v>San Sebastián</v>
      </c>
      <c r="H797" s="2" t="str">
        <f>IFERROR(__xludf.DUMMYFUNCTION("""COMPUTED_VALUE"""),"Ciencias Sociales y Humanas")</f>
        <v>Ciencias Sociales y Humanas</v>
      </c>
      <c r="I797" s="2" t="str">
        <f>IFERROR(__xludf.DUMMYFUNCTION("""COMPUTED_VALUE"""),"Comunicación")</f>
        <v>Comunicación</v>
      </c>
      <c r="J797" s="2" t="str">
        <f>IFERROR(__xludf.DUMMYFUNCTION("""COMPUTED_VALUE"""),"Grado")</f>
        <v>Grado</v>
      </c>
      <c r="K797" s="2" t="str">
        <f>IFERROR(__xludf.DUMMYFUNCTION("""COMPUTED_VALUE"""),"Inglés")</f>
        <v>Inglés</v>
      </c>
      <c r="L797" s="2" t="str">
        <f>IFERROR(__xludf.DUMMYFUNCTION("""COMPUTED_VALUE"""),"B2")</f>
        <v>B2</v>
      </c>
      <c r="M797" s="2" t="str">
        <f>IFERROR(__xludf.DUMMYFUNCTION("""COMPUTED_VALUE"""),"Sí")</f>
        <v>Sí</v>
      </c>
      <c r="N797" s="3" t="str">
        <f>IFERROR(__xludf.DUMMYFUNCTION("""COMPUTED_VALUE"""),"https://www.swansea.ac.uk/admissions/english-language-requirements/")</f>
        <v>https://www.swansea.ac.uk/admissions/english-language-requirements/</v>
      </c>
      <c r="O797" s="3" t="str">
        <f>IFERROR(__xludf.DUMMYFUNCTION("""COMPUTED_VALUE"""),"Más información / Informazio gehigarria")</f>
        <v>Más información / Informazio gehigarria</v>
      </c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30.0" customHeight="1">
      <c r="A798" s="2" t="str">
        <f>IFERROR(__xludf.DUMMYFUNCTION("""COMPUTED_VALUE"""),"Reino Unido")</f>
        <v>Reino Unido</v>
      </c>
      <c r="B798" s="2" t="str">
        <f>IFERROR(__xludf.DUMMYFUNCTION("""COMPUTED_VALUE"""),"UK ABERDEE01")</f>
        <v>UK ABERDEE01</v>
      </c>
      <c r="C798" s="3" t="str">
        <f>IFERROR(__xludf.DUMMYFUNCTION("""COMPUTED_VALUE"""),"University of Aberdeen")</f>
        <v>University of Aberdeen</v>
      </c>
      <c r="D798" s="2" t="str">
        <f>IFERROR(__xludf.DUMMYFUNCTION("""COMPUTED_VALUE"""),"Ac. Bilaterales (no Erasmus)")</f>
        <v>Ac. Bilaterales (no Erasmus)</v>
      </c>
      <c r="E798" s="2">
        <f>IFERROR(__xludf.DUMMYFUNCTION("""COMPUTED_VALUE"""),8.0)</f>
        <v>8</v>
      </c>
      <c r="F798" s="2" t="str">
        <f>IFERROR(__xludf.DUMMYFUNCTION("""COMPUTED_VALUE"""),"Semestre")</f>
        <v>Semestre</v>
      </c>
      <c r="G798" s="2" t="str">
        <f>IFERROR(__xludf.DUMMYFUNCTION("""COMPUTED_VALUE"""),"Ambos")</f>
        <v>Ambos</v>
      </c>
      <c r="H798" s="2" t="str">
        <f>IFERROR(__xludf.DUMMYFUNCTION("""COMPUTED_VALUE"""),"Derecho")</f>
        <v>Derecho</v>
      </c>
      <c r="I798" s="2" t="str">
        <f>IFERROR(__xludf.DUMMYFUNCTION("""COMPUTED_VALUE"""),"Derecho, Derecho + Relaciones Laborales")</f>
        <v>Derecho, Derecho + Relaciones Laborales</v>
      </c>
      <c r="J798" s="2" t="str">
        <f>IFERROR(__xludf.DUMMYFUNCTION("""COMPUTED_VALUE"""),"Grado")</f>
        <v>Grado</v>
      </c>
      <c r="K798" s="2" t="str">
        <f>IFERROR(__xludf.DUMMYFUNCTION("""COMPUTED_VALUE"""),"Inglés")</f>
        <v>Inglés</v>
      </c>
      <c r="L798" s="2" t="str">
        <f>IFERROR(__xludf.DUMMYFUNCTION("""COMPUTED_VALUE"""),"B2 / C1")</f>
        <v>B2 / C1</v>
      </c>
      <c r="M798" s="2" t="str">
        <f>IFERROR(__xludf.DUMMYFUNCTION("""COMPUTED_VALUE"""),"Sí")</f>
        <v>Sí</v>
      </c>
      <c r="N798" s="3" t="str">
        <f>IFERROR(__xludf.DUMMYFUNCTION("""COMPUTED_VALUE"""),"https://www.abdn.ac.uk/study/international/undergraduate-degrees-english-requirements-268.php")</f>
        <v>https://www.abdn.ac.uk/study/international/undergraduate-degrees-english-requirements-268.php</v>
      </c>
      <c r="O798" s="3" t="str">
        <f>IFERROR(__xludf.DUMMYFUNCTION("""COMPUTED_VALUE"""),"Más información / Informazio gehigarria")</f>
        <v>Más información / Informazio gehigarria</v>
      </c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30.0" customHeight="1">
      <c r="A799" s="2" t="str">
        <f>IFERROR(__xludf.DUMMYFUNCTION("""COMPUTED_VALUE"""),"Reino Unido")</f>
        <v>Reino Unido</v>
      </c>
      <c r="B799" s="2" t="str">
        <f>IFERROR(__xludf.DUMMYFUNCTION("""COMPUTED_VALUE"""),"UK ABERDEE01")</f>
        <v>UK ABERDEE01</v>
      </c>
      <c r="C799" s="3" t="str">
        <f>IFERROR(__xludf.DUMMYFUNCTION("""COMPUTED_VALUE"""),"University of Aberdeen")</f>
        <v>University of Aberdeen</v>
      </c>
      <c r="D799" s="2" t="str">
        <f>IFERROR(__xludf.DUMMYFUNCTION("""COMPUTED_VALUE"""),"Ac. Bilaterales (no Erasmus)")</f>
        <v>Ac. Bilaterales (no Erasmus)</v>
      </c>
      <c r="E799" s="2">
        <f>IFERROR(__xludf.DUMMYFUNCTION("""COMPUTED_VALUE"""),2.0)</f>
        <v>2</v>
      </c>
      <c r="F799" s="2" t="str">
        <f>IFERROR(__xludf.DUMMYFUNCTION("""COMPUTED_VALUE"""),"Anual")</f>
        <v>Anual</v>
      </c>
      <c r="G799" s="2" t="str">
        <f>IFERROR(__xludf.DUMMYFUNCTION("""COMPUTED_VALUE"""),"Bilbao")</f>
        <v>Bilbao</v>
      </c>
      <c r="H799" s="2" t="str">
        <f>IFERROR(__xludf.DUMMYFUNCTION("""COMPUTED_VALUE"""),"Ciencias Sociales y Humanas")</f>
        <v>Ciencias Sociales y Humanas</v>
      </c>
      <c r="I799" s="2" t="str">
        <f>IFERROR(__xludf.DUMMYFUNCTION("""COMPUTED_VALUE"""),"Relaciones Internacionales, Relaciones Internacionales + Derecho")</f>
        <v>Relaciones Internacionales, Relaciones Internacionales + Derecho</v>
      </c>
      <c r="J799" s="2" t="str">
        <f>IFERROR(__xludf.DUMMYFUNCTION("""COMPUTED_VALUE"""),"Grado")</f>
        <v>Grado</v>
      </c>
      <c r="K799" s="2" t="str">
        <f>IFERROR(__xludf.DUMMYFUNCTION("""COMPUTED_VALUE"""),"Inglés")</f>
        <v>Inglés</v>
      </c>
      <c r="L799" s="2" t="str">
        <f>IFERROR(__xludf.DUMMYFUNCTION("""COMPUTED_VALUE"""),"B2 / C1")</f>
        <v>B2 / C1</v>
      </c>
      <c r="M799" s="2" t="str">
        <f>IFERROR(__xludf.DUMMYFUNCTION("""COMPUTED_VALUE"""),"Sí")</f>
        <v>Sí</v>
      </c>
      <c r="N799" s="3" t="str">
        <f>IFERROR(__xludf.DUMMYFUNCTION("""COMPUTED_VALUE"""),"https://www.abdn.ac.uk/study/international/undergraduate-degrees-english-requirements-268.php")</f>
        <v>https://www.abdn.ac.uk/study/international/undergraduate-degrees-english-requirements-268.php</v>
      </c>
      <c r="O799" s="3" t="str">
        <f>IFERROR(__xludf.DUMMYFUNCTION("""COMPUTED_VALUE"""),"Más información / Informazio gehigarria")</f>
        <v>Más información / Informazio gehigarria</v>
      </c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30.0" customHeight="1">
      <c r="A800" s="2" t="str">
        <f>IFERROR(__xludf.DUMMYFUNCTION("""COMPUTED_VALUE"""),"Reino Unido")</f>
        <v>Reino Unido</v>
      </c>
      <c r="B800" s="2" t="str">
        <f>IFERROR(__xludf.DUMMYFUNCTION("""COMPUTED_VALUE"""),"UK BIRMING02")</f>
        <v>UK BIRMING02</v>
      </c>
      <c r="C800" s="3" t="str">
        <f>IFERROR(__xludf.DUMMYFUNCTION("""COMPUTED_VALUE"""),"University of Birmingham")</f>
        <v>University of Birmingham</v>
      </c>
      <c r="D800" s="2" t="str">
        <f>IFERROR(__xludf.DUMMYFUNCTION("""COMPUTED_VALUE"""),"Ac. Bilaterales (no Erasmus)")</f>
        <v>Ac. Bilaterales (no Erasmus)</v>
      </c>
      <c r="E800" s="2">
        <f>IFERROR(__xludf.DUMMYFUNCTION("""COMPUTED_VALUE"""),4.0)</f>
        <v>4</v>
      </c>
      <c r="F800" s="2" t="str">
        <f>IFERROR(__xludf.DUMMYFUNCTION("""COMPUTED_VALUE"""),"Semestre")</f>
        <v>Semestre</v>
      </c>
      <c r="G800" s="2" t="str">
        <f>IFERROR(__xludf.DUMMYFUNCTION("""COMPUTED_VALUE"""),"Bilbao")</f>
        <v>Bilbao</v>
      </c>
      <c r="H800" s="2" t="str">
        <f>IFERROR(__xludf.DUMMYFUNCTION("""COMPUTED_VALUE"""),"Deusto Business School")</f>
        <v>Deusto Business School</v>
      </c>
      <c r="I800" s="2" t="str">
        <f>IFERROR(__xludf.DUMMYFUNCTION("""COMPUTED_VALUE"""),"Administración y Dirección de Empresas")</f>
        <v>Administración y Dirección de Empresas</v>
      </c>
      <c r="J800" s="2" t="str">
        <f>IFERROR(__xludf.DUMMYFUNCTION("""COMPUTED_VALUE"""),"Grado")</f>
        <v>Grado</v>
      </c>
      <c r="K800" s="2" t="str">
        <f>IFERROR(__xludf.DUMMYFUNCTION("""COMPUTED_VALUE"""),"Inglés")</f>
        <v>Inglés</v>
      </c>
      <c r="L800" s="2" t="str">
        <f>IFERROR(__xludf.DUMMYFUNCTION("""COMPUTED_VALUE"""),"C1")</f>
        <v>C1</v>
      </c>
      <c r="M800" s="2" t="str">
        <f>IFERROR(__xludf.DUMMYFUNCTION("""COMPUTED_VALUE"""),"No")</f>
        <v>No</v>
      </c>
      <c r="N800" s="3" t="str">
        <f>IFERROR(__xludf.DUMMYFUNCTION("""COMPUTED_VALUE"""),"https://www.birmingham.ac.uk/international/study-abroad/study-abroad-incoming/applying.aspx")</f>
        <v>https://www.birmingham.ac.uk/international/study-abroad/study-abroad-incoming/applying.aspx</v>
      </c>
      <c r="O800" s="3" t="str">
        <f>IFERROR(__xludf.DUMMYFUNCTION("""COMPUTED_VALUE"""),"Más información / Informazio gehigarria")</f>
        <v>Más información / Informazio gehigarria</v>
      </c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30.0" customHeight="1">
      <c r="A801" s="2" t="str">
        <f>IFERROR(__xludf.DUMMYFUNCTION("""COMPUTED_VALUE"""),"Reino Unido")</f>
        <v>Reino Unido</v>
      </c>
      <c r="B801" s="2" t="str">
        <f>IFERROR(__xludf.DUMMYFUNCTION("""COMPUTED_VALUE"""),"UK BIRMING02")</f>
        <v>UK BIRMING02</v>
      </c>
      <c r="C801" s="3" t="str">
        <f>IFERROR(__xludf.DUMMYFUNCTION("""COMPUTED_VALUE"""),"University of Birmingham")</f>
        <v>University of Birmingham</v>
      </c>
      <c r="D801" s="2" t="str">
        <f>IFERROR(__xludf.DUMMYFUNCTION("""COMPUTED_VALUE"""),"Ac. Bilaterales (no Erasmus)")</f>
        <v>Ac. Bilaterales (no Erasmus)</v>
      </c>
      <c r="E801" s="2">
        <f>IFERROR(__xludf.DUMMYFUNCTION("""COMPUTED_VALUE"""),2.0)</f>
        <v>2</v>
      </c>
      <c r="F801" s="2" t="str">
        <f>IFERROR(__xludf.DUMMYFUNCTION("""COMPUTED_VALUE"""),"Semestre")</f>
        <v>Semestre</v>
      </c>
      <c r="G801" s="2" t="str">
        <f>IFERROR(__xludf.DUMMYFUNCTION("""COMPUTED_VALUE"""),"Bilbao")</f>
        <v>Bilbao</v>
      </c>
      <c r="H801" s="2" t="str">
        <f>IFERROR(__xludf.DUMMYFUNCTION("""COMPUTED_VALUE"""),"Educación y Deporte")</f>
        <v>Educación y Deporte</v>
      </c>
      <c r="I801" s="2" t="str">
        <f>IFERROR(__xludf.DUMMYFUNCTION("""COMPUTED_VALUE"""),"CAFyD")</f>
        <v>CAFyD</v>
      </c>
      <c r="J801" s="2" t="str">
        <f>IFERROR(__xludf.DUMMYFUNCTION("""COMPUTED_VALUE"""),"Grado")</f>
        <v>Grado</v>
      </c>
      <c r="K801" s="2" t="str">
        <f>IFERROR(__xludf.DUMMYFUNCTION("""COMPUTED_VALUE"""),"Inglés")</f>
        <v>Inglés</v>
      </c>
      <c r="L801" s="2" t="str">
        <f>IFERROR(__xludf.DUMMYFUNCTION("""COMPUTED_VALUE"""),"B2")</f>
        <v>B2</v>
      </c>
      <c r="M801" s="2" t="str">
        <f>IFERROR(__xludf.DUMMYFUNCTION("""COMPUTED_VALUE"""),"No")</f>
        <v>No</v>
      </c>
      <c r="N801" s="3" t="str">
        <f>IFERROR(__xludf.DUMMYFUNCTION("""COMPUTED_VALUE"""),"https://www.birmingham.ac.uk/international/study-abroad/study-abroad-incoming/applying.aspx")</f>
        <v>https://www.birmingham.ac.uk/international/study-abroad/study-abroad-incoming/applying.aspx</v>
      </c>
      <c r="O801" s="3" t="str">
        <f>IFERROR(__xludf.DUMMYFUNCTION("""COMPUTED_VALUE"""),"Más información / Informazio gehigarria")</f>
        <v>Más información / Informazio gehigarria</v>
      </c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30.0" customHeight="1">
      <c r="A802" s="2" t="str">
        <f>IFERROR(__xludf.DUMMYFUNCTION("""COMPUTED_VALUE"""),"Reino Unido")</f>
        <v>Reino Unido</v>
      </c>
      <c r="B802" s="2" t="str">
        <f>IFERROR(__xludf.DUMMYFUNCTION("""COMPUTED_VALUE"""),"UK BIRMING02")</f>
        <v>UK BIRMING02</v>
      </c>
      <c r="C802" s="3" t="str">
        <f>IFERROR(__xludf.DUMMYFUNCTION("""COMPUTED_VALUE"""),"University of Birmingham")</f>
        <v>University of Birmingham</v>
      </c>
      <c r="D802" s="2" t="str">
        <f>IFERROR(__xludf.DUMMYFUNCTION("""COMPUTED_VALUE"""),"Ac. Bilaterales (no Erasmus)")</f>
        <v>Ac. Bilaterales (no Erasmus)</v>
      </c>
      <c r="E802" s="2">
        <f>IFERROR(__xludf.DUMMYFUNCTION("""COMPUTED_VALUE"""),2.0)</f>
        <v>2</v>
      </c>
      <c r="F802" s="2" t="str">
        <f>IFERROR(__xludf.DUMMYFUNCTION("""COMPUTED_VALUE"""),"Anual")</f>
        <v>Anual</v>
      </c>
      <c r="G802" s="2" t="str">
        <f>IFERROR(__xludf.DUMMYFUNCTION("""COMPUTED_VALUE"""),"Bilbao")</f>
        <v>Bilbao</v>
      </c>
      <c r="H802" s="2" t="str">
        <f>IFERROR(__xludf.DUMMYFUNCTION("""COMPUTED_VALUE"""),"Ciencias Sociales y Humanas")</f>
        <v>Ciencias Sociales y Humanas</v>
      </c>
      <c r="I802" s="2" t="str">
        <f>IFERROR(__xludf.DUMMYFUNCTION("""COMPUTED_VALUE"""),"Relaciones Internacionales, Relaciones Internacionales + Derecho")</f>
        <v>Relaciones Internacionales, Relaciones Internacionales + Derecho</v>
      </c>
      <c r="J802" s="2" t="str">
        <f>IFERROR(__xludf.DUMMYFUNCTION("""COMPUTED_VALUE"""),"Grado")</f>
        <v>Grado</v>
      </c>
      <c r="K802" s="2" t="str">
        <f>IFERROR(__xludf.DUMMYFUNCTION("""COMPUTED_VALUE"""),"Inglés")</f>
        <v>Inglés</v>
      </c>
      <c r="L802" s="2" t="str">
        <f>IFERROR(__xludf.DUMMYFUNCTION("""COMPUTED_VALUE"""),"B2")</f>
        <v>B2</v>
      </c>
      <c r="M802" s="2" t="str">
        <f>IFERROR(__xludf.DUMMYFUNCTION("""COMPUTED_VALUE"""),"No")</f>
        <v>No</v>
      </c>
      <c r="N802" s="3" t="str">
        <f>IFERROR(__xludf.DUMMYFUNCTION("""COMPUTED_VALUE"""),"https://www.birmingham.ac.uk/international/study-abroad/study-abroad-incoming/applying.aspx")</f>
        <v>https://www.birmingham.ac.uk/international/study-abroad/study-abroad-incoming/applying.aspx</v>
      </c>
      <c r="O802" s="3" t="str">
        <f>IFERROR(__xludf.DUMMYFUNCTION("""COMPUTED_VALUE"""),"Más información / Informazio gehigarria")</f>
        <v>Más información / Informazio gehigarria</v>
      </c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30.0" customHeight="1">
      <c r="A803" s="2" t="str">
        <f>IFERROR(__xludf.DUMMYFUNCTION("""COMPUTED_VALUE"""),"Reino Unido")</f>
        <v>Reino Unido</v>
      </c>
      <c r="B803" s="2" t="str">
        <f>IFERROR(__xludf.DUMMYFUNCTION("""COMPUTED_VALUE"""),"UK BIRMING02")</f>
        <v>UK BIRMING02</v>
      </c>
      <c r="C803" s="3" t="str">
        <f>IFERROR(__xludf.DUMMYFUNCTION("""COMPUTED_VALUE"""),"University of Birmingham")</f>
        <v>University of Birmingham</v>
      </c>
      <c r="D803" s="2" t="str">
        <f>IFERROR(__xludf.DUMMYFUNCTION("""COMPUTED_VALUE"""),"Ac. Bilaterales (no Erasmus)")</f>
        <v>Ac. Bilaterales (no Erasmus)</v>
      </c>
      <c r="E803" s="2">
        <f>IFERROR(__xludf.DUMMYFUNCTION("""COMPUTED_VALUE"""),2.0)</f>
        <v>2</v>
      </c>
      <c r="F803" s="2" t="str">
        <f>IFERROR(__xludf.DUMMYFUNCTION("""COMPUTED_VALUE"""),"Anual")</f>
        <v>Anual</v>
      </c>
      <c r="G803" s="2" t="str">
        <f>IFERROR(__xludf.DUMMYFUNCTION("""COMPUTED_VALUE"""),"Bilbao")</f>
        <v>Bilbao</v>
      </c>
      <c r="H803" s="2" t="str">
        <f>IFERROR(__xludf.DUMMYFUNCTION("""COMPUTED_VALUE"""),"Ciencias de la Salud")</f>
        <v>Ciencias de la Salud</v>
      </c>
      <c r="I803" s="2" t="str">
        <f>IFERROR(__xludf.DUMMYFUNCTION("""COMPUTED_VALUE"""),"Psicología")</f>
        <v>Psicología</v>
      </c>
      <c r="J803" s="2" t="str">
        <f>IFERROR(__xludf.DUMMYFUNCTION("""COMPUTED_VALUE"""),"Grado")</f>
        <v>Grado</v>
      </c>
      <c r="K803" s="2" t="str">
        <f>IFERROR(__xludf.DUMMYFUNCTION("""COMPUTED_VALUE"""),"Inglés")</f>
        <v>Inglés</v>
      </c>
      <c r="L803" s="2" t="str">
        <f>IFERROR(__xludf.DUMMYFUNCTION("""COMPUTED_VALUE"""),"B2")</f>
        <v>B2</v>
      </c>
      <c r="M803" s="2" t="str">
        <f>IFERROR(__xludf.DUMMYFUNCTION("""COMPUTED_VALUE"""),"No")</f>
        <v>No</v>
      </c>
      <c r="N803" s="3" t="str">
        <f>IFERROR(__xludf.DUMMYFUNCTION("""COMPUTED_VALUE"""),"https://www.birmingham.ac.uk/international/study-abroad/study-abroad-incoming/applying.aspx")</f>
        <v>https://www.birmingham.ac.uk/international/study-abroad/study-abroad-incoming/applying.aspx</v>
      </c>
      <c r="O803" s="3" t="str">
        <f>IFERROR(__xludf.DUMMYFUNCTION("""COMPUTED_VALUE"""),"Más información / Informazio gehigarria")</f>
        <v>Más información / Informazio gehigarria</v>
      </c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30.0" customHeight="1">
      <c r="A804" s="2" t="str">
        <f>IFERROR(__xludf.DUMMYFUNCTION("""COMPUTED_VALUE"""),"Reino Unido")</f>
        <v>Reino Unido</v>
      </c>
      <c r="B804" s="2" t="str">
        <f>IFERROR(__xludf.DUMMYFUNCTION("""COMPUTED_VALUE"""),"UK BIRMING02")</f>
        <v>UK BIRMING02</v>
      </c>
      <c r="C804" s="3" t="str">
        <f>IFERROR(__xludf.DUMMYFUNCTION("""COMPUTED_VALUE"""),"University of Birmingham")</f>
        <v>University of Birmingham</v>
      </c>
      <c r="D804" s="2" t="str">
        <f>IFERROR(__xludf.DUMMYFUNCTION("""COMPUTED_VALUE"""),"Ac. Bilaterales (no Erasmus)")</f>
        <v>Ac. Bilaterales (no Erasmus)</v>
      </c>
      <c r="E804" s="2">
        <f>IFERROR(__xludf.DUMMYFUNCTION("""COMPUTED_VALUE"""),2.0)</f>
        <v>2</v>
      </c>
      <c r="F804" s="2" t="str">
        <f>IFERROR(__xludf.DUMMYFUNCTION("""COMPUTED_VALUE"""),"Anual")</f>
        <v>Anual</v>
      </c>
      <c r="G804" s="2" t="str">
        <f>IFERROR(__xludf.DUMMYFUNCTION("""COMPUTED_VALUE"""),"Bilbao")</f>
        <v>Bilbao</v>
      </c>
      <c r="H804" s="2" t="str">
        <f>IFERROR(__xludf.DUMMYFUNCTION("""COMPUTED_VALUE"""),"Ciencias Sociales y Humanas")</f>
        <v>Ciencias Sociales y Humanas</v>
      </c>
      <c r="I804" s="2" t="str">
        <f>IFERROR(__xludf.DUMMYFUNCTION("""COMPUTED_VALUE"""),"Lenguas Modernas, Lengua y Cultura Vasca + Lenguas Modernas, Lenguas Modernas y Gestión, Euskal Hizkuntza eta Kultura")</f>
        <v>Lenguas Modernas, Lengua y Cultura Vasca + Lenguas Modernas, Lenguas Modernas y Gestión, Euskal Hizkuntza eta Kultura</v>
      </c>
      <c r="J804" s="2" t="str">
        <f>IFERROR(__xludf.DUMMYFUNCTION("""COMPUTED_VALUE"""),"Grado")</f>
        <v>Grado</v>
      </c>
      <c r="K804" s="2" t="str">
        <f>IFERROR(__xludf.DUMMYFUNCTION("""COMPUTED_VALUE"""),"Inglés")</f>
        <v>Inglés</v>
      </c>
      <c r="L804" s="2" t="str">
        <f>IFERROR(__xludf.DUMMYFUNCTION("""COMPUTED_VALUE"""),"B2")</f>
        <v>B2</v>
      </c>
      <c r="M804" s="2" t="str">
        <f>IFERROR(__xludf.DUMMYFUNCTION("""COMPUTED_VALUE"""),"No")</f>
        <v>No</v>
      </c>
      <c r="N804" s="3" t="str">
        <f>IFERROR(__xludf.DUMMYFUNCTION("""COMPUTED_VALUE"""),"https://www.birmingham.ac.uk/international/study-abroad/study-abroad-incoming/applying.aspx")</f>
        <v>https://www.birmingham.ac.uk/international/study-abroad/study-abroad-incoming/applying.aspx</v>
      </c>
      <c r="O804" s="3" t="str">
        <f>IFERROR(__xludf.DUMMYFUNCTION("""COMPUTED_VALUE"""),"Más información / Informazio gehigarria")</f>
        <v>Más información / Informazio gehigarria</v>
      </c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30.0" customHeight="1">
      <c r="A805" s="2" t="str">
        <f>IFERROR(__xludf.DUMMYFUNCTION("""COMPUTED_VALUE"""),"Reino Unido")</f>
        <v>Reino Unido</v>
      </c>
      <c r="B805" s="2" t="str">
        <f>IFERROR(__xludf.DUMMYFUNCTION("""COMPUTED_VALUE"""),"UK BIRMING02")</f>
        <v>UK BIRMING02</v>
      </c>
      <c r="C805" s="3" t="str">
        <f>IFERROR(__xludf.DUMMYFUNCTION("""COMPUTED_VALUE"""),"University of Birmingham")</f>
        <v>University of Birmingham</v>
      </c>
      <c r="D805" s="2" t="str">
        <f>IFERROR(__xludf.DUMMYFUNCTION("""COMPUTED_VALUE"""),"Ac. Bilaterales (no Erasmus)")</f>
        <v>Ac. Bilaterales (no Erasmus)</v>
      </c>
      <c r="E805" s="2">
        <f>IFERROR(__xludf.DUMMYFUNCTION("""COMPUTED_VALUE"""),2.0)</f>
        <v>2</v>
      </c>
      <c r="F805" s="2" t="str">
        <f>IFERROR(__xludf.DUMMYFUNCTION("""COMPUTED_VALUE"""),"Semestre")</f>
        <v>Semestre</v>
      </c>
      <c r="G805" s="2" t="str">
        <f>IFERROR(__xludf.DUMMYFUNCTION("""COMPUTED_VALUE"""),"Bilbao")</f>
        <v>Bilbao</v>
      </c>
      <c r="H805" s="2" t="str">
        <f>IFERROR(__xludf.DUMMYFUNCTION("""COMPUTED_VALUE"""),"Derecho")</f>
        <v>Derecho</v>
      </c>
      <c r="I805" s="2" t="str">
        <f>IFERROR(__xludf.DUMMYFUNCTION("""COMPUTED_VALUE"""),"Derecho, Derecho + Relaciones Laborales")</f>
        <v>Derecho, Derecho + Relaciones Laborales</v>
      </c>
      <c r="J805" s="2" t="str">
        <f>IFERROR(__xludf.DUMMYFUNCTION("""COMPUTED_VALUE"""),"Grado")</f>
        <v>Grado</v>
      </c>
      <c r="K805" s="2" t="str">
        <f>IFERROR(__xludf.DUMMYFUNCTION("""COMPUTED_VALUE"""),"Inglés")</f>
        <v>Inglés</v>
      </c>
      <c r="L805" s="2" t="str">
        <f>IFERROR(__xludf.DUMMYFUNCTION("""COMPUTED_VALUE"""),"B2")</f>
        <v>B2</v>
      </c>
      <c r="M805" s="2" t="str">
        <f>IFERROR(__xludf.DUMMYFUNCTION("""COMPUTED_VALUE"""),"No")</f>
        <v>No</v>
      </c>
      <c r="N805" s="3" t="str">
        <f>IFERROR(__xludf.DUMMYFUNCTION("""COMPUTED_VALUE"""),"https://www.birmingham.ac.uk/international/study-abroad/study-abroad-incoming/applying.aspx")</f>
        <v>https://www.birmingham.ac.uk/international/study-abroad/study-abroad-incoming/applying.aspx</v>
      </c>
      <c r="O805" s="3" t="str">
        <f>IFERROR(__xludf.DUMMYFUNCTION("""COMPUTED_VALUE"""),"Más información / Informazio gehigarria")</f>
        <v>Más información / Informazio gehigarria</v>
      </c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30.0" customHeight="1">
      <c r="A806" s="2" t="str">
        <f>IFERROR(__xludf.DUMMYFUNCTION("""COMPUTED_VALUE"""),"Reino Unido")</f>
        <v>Reino Unido</v>
      </c>
      <c r="B806" s="2" t="str">
        <f>IFERROR(__xludf.DUMMYFUNCTION("""COMPUTED_VALUE"""),"UK BIRMING02")</f>
        <v>UK BIRMING02</v>
      </c>
      <c r="C806" s="3" t="str">
        <f>IFERROR(__xludf.DUMMYFUNCTION("""COMPUTED_VALUE"""),"University of Birmingham")</f>
        <v>University of Birmingham</v>
      </c>
      <c r="D806" s="2" t="str">
        <f>IFERROR(__xludf.DUMMYFUNCTION("""COMPUTED_VALUE"""),"Ac. Bilaterales (no Erasmus)")</f>
        <v>Ac. Bilaterales (no Erasmus)</v>
      </c>
      <c r="E806" s="2">
        <f>IFERROR(__xludf.DUMMYFUNCTION("""COMPUTED_VALUE"""),2.0)</f>
        <v>2</v>
      </c>
      <c r="F806" s="2" t="str">
        <f>IFERROR(__xludf.DUMMYFUNCTION("""COMPUTED_VALUE"""),"Semestre")</f>
        <v>Semestre</v>
      </c>
      <c r="G806" s="2" t="str">
        <f>IFERROR(__xludf.DUMMYFUNCTION("""COMPUTED_VALUE"""),"Ambos")</f>
        <v>Ambos</v>
      </c>
      <c r="H806" s="2" t="str">
        <f>IFERROR(__xludf.DUMMYFUNCTION("""COMPUTED_VALUE"""),"Educación y Deporte")</f>
        <v>Educación y Deporte</v>
      </c>
      <c r="I806" s="2" t="str">
        <f>IFERROR(__xludf.DUMMYFUNCTION("""COMPUTED_VALUE"""),"Educación Primaria")</f>
        <v>Educación Primaria</v>
      </c>
      <c r="J806" s="2" t="str">
        <f>IFERROR(__xludf.DUMMYFUNCTION("""COMPUTED_VALUE"""),"Grado")</f>
        <v>Grado</v>
      </c>
      <c r="K806" s="2" t="str">
        <f>IFERROR(__xludf.DUMMYFUNCTION("""COMPUTED_VALUE"""),"Inglés")</f>
        <v>Inglés</v>
      </c>
      <c r="L806" s="2" t="str">
        <f>IFERROR(__xludf.DUMMYFUNCTION("""COMPUTED_VALUE"""),"B2")</f>
        <v>B2</v>
      </c>
      <c r="M806" s="2" t="str">
        <f>IFERROR(__xludf.DUMMYFUNCTION("""COMPUTED_VALUE"""),"No")</f>
        <v>No</v>
      </c>
      <c r="N806" s="3" t="str">
        <f>IFERROR(__xludf.DUMMYFUNCTION("""COMPUTED_VALUE"""),"https://www.birmingham.ac.uk/international/study-abroad/study-abroad-incoming/applying.aspx")</f>
        <v>https://www.birmingham.ac.uk/international/study-abroad/study-abroad-incoming/applying.aspx</v>
      </c>
      <c r="O806" s="3" t="str">
        <f>IFERROR(__xludf.DUMMYFUNCTION("""COMPUTED_VALUE"""),"Más información / Informazio gehigarria")</f>
        <v>Más información / Informazio gehigarria</v>
      </c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30.0" customHeight="1">
      <c r="A807" s="2" t="str">
        <f>IFERROR(__xludf.DUMMYFUNCTION("""COMPUTED_VALUE"""),"Reino Unido")</f>
        <v>Reino Unido</v>
      </c>
      <c r="B807" s="2" t="str">
        <f>IFERROR(__xludf.DUMMYFUNCTION("""COMPUTED_VALUE"""),"UK BIRMING02")</f>
        <v>UK BIRMING02</v>
      </c>
      <c r="C807" s="3" t="str">
        <f>IFERROR(__xludf.DUMMYFUNCTION("""COMPUTED_VALUE"""),"University of Birmingham")</f>
        <v>University of Birmingham</v>
      </c>
      <c r="D807" s="2" t="str">
        <f>IFERROR(__xludf.DUMMYFUNCTION("""COMPUTED_VALUE"""),"Ac. Bilaterales (no Erasmus)")</f>
        <v>Ac. Bilaterales (no Erasmus)</v>
      </c>
      <c r="E807" s="2">
        <f>IFERROR(__xludf.DUMMYFUNCTION("""COMPUTED_VALUE"""),4.0)</f>
        <v>4</v>
      </c>
      <c r="F807" s="2" t="str">
        <f>IFERROR(__xludf.DUMMYFUNCTION("""COMPUTED_VALUE"""),"Semestre")</f>
        <v>Semestre</v>
      </c>
      <c r="G807" s="2" t="str">
        <f>IFERROR(__xludf.DUMMYFUNCTION("""COMPUTED_VALUE"""),"Bilbao")</f>
        <v>Bilbao</v>
      </c>
      <c r="H807" s="2" t="str">
        <f>IFERROR(__xludf.DUMMYFUNCTION("""COMPUTED_VALUE"""),"Ingeniería")</f>
        <v>Ingeniería</v>
      </c>
      <c r="I807" s="2" t="str">
        <f>IFERROR(__xludf.DUMMYFUNCTION("""COMPUTED_VALUE"""),"Ingeniería")</f>
        <v>Ingeniería</v>
      </c>
      <c r="J807" s="2" t="str">
        <f>IFERROR(__xludf.DUMMYFUNCTION("""COMPUTED_VALUE"""),"Grado")</f>
        <v>Grado</v>
      </c>
      <c r="K807" s="2" t="str">
        <f>IFERROR(__xludf.DUMMYFUNCTION("""COMPUTED_VALUE"""),"Inglés")</f>
        <v>Inglés</v>
      </c>
      <c r="L807" s="2" t="str">
        <f>IFERROR(__xludf.DUMMYFUNCTION("""COMPUTED_VALUE"""),"B2")</f>
        <v>B2</v>
      </c>
      <c r="M807" s="2" t="str">
        <f>IFERROR(__xludf.DUMMYFUNCTION("""COMPUTED_VALUE"""),"Si")</f>
        <v>Si</v>
      </c>
      <c r="N807" s="3" t="str">
        <f>IFERROR(__xludf.DUMMYFUNCTION("""COMPUTED_VALUE"""),"https://www.birmingham.ac.uk/international/study-abroad/study-abroad-incoming/applying.aspx")</f>
        <v>https://www.birmingham.ac.uk/international/study-abroad/study-abroad-incoming/applying.aspx</v>
      </c>
      <c r="O807" s="3" t="str">
        <f>IFERROR(__xludf.DUMMYFUNCTION("""COMPUTED_VALUE"""),"Más información / Informazio gehigarria")</f>
        <v>Más información / Informazio gehigarria</v>
      </c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30.0" customHeight="1">
      <c r="A808" s="2" t="str">
        <f>IFERROR(__xludf.DUMMYFUNCTION("""COMPUTED_VALUE"""),"Reino Unido")</f>
        <v>Reino Unido</v>
      </c>
      <c r="B808" s="2" t="str">
        <f>IFERROR(__xludf.DUMMYFUNCTION("""COMPUTED_VALUE"""),"UK BRISTOL01")</f>
        <v>UK BRISTOL01</v>
      </c>
      <c r="C808" s="3" t="str">
        <f>IFERROR(__xludf.DUMMYFUNCTION("""COMPUTED_VALUE"""),"University of Bristol")</f>
        <v>University of Bristol</v>
      </c>
      <c r="D808" s="2" t="str">
        <f>IFERROR(__xludf.DUMMYFUNCTION("""COMPUTED_VALUE"""),"Ac. Bilaterales (no Erasmus)")</f>
        <v>Ac. Bilaterales (no Erasmus)</v>
      </c>
      <c r="E808" s="2">
        <f>IFERROR(__xludf.DUMMYFUNCTION("""COMPUTED_VALUE"""),4.0)</f>
        <v>4</v>
      </c>
      <c r="F808" s="2" t="str">
        <f>IFERROR(__xludf.DUMMYFUNCTION("""COMPUTED_VALUE"""),"Anual")</f>
        <v>Anual</v>
      </c>
      <c r="G808" s="2" t="str">
        <f>IFERROR(__xludf.DUMMYFUNCTION("""COMPUTED_VALUE"""),"Bilbao")</f>
        <v>Bilbao</v>
      </c>
      <c r="H808" s="2" t="str">
        <f>IFERROR(__xludf.DUMMYFUNCTION("""COMPUTED_VALUE"""),"Ciencias Sociales y Humanas")</f>
        <v>Ciencias Sociales y Humanas</v>
      </c>
      <c r="I808" s="2" t="str">
        <f>IFERROR(__xludf.DUMMYFUNCTION("""COMPUTED_VALUE"""),"Lenguas Modernas, Lengua y Cultura Vasca + Lenguas Modernas, Lenguas Modernas y Gestión, Euskal Hizkuntza eta Kultura")</f>
        <v>Lenguas Modernas, Lengua y Cultura Vasca + Lenguas Modernas, Lenguas Modernas y Gestión, Euskal Hizkuntza eta Kultura</v>
      </c>
      <c r="J808" s="2" t="str">
        <f>IFERROR(__xludf.DUMMYFUNCTION("""COMPUTED_VALUE"""),"Grado")</f>
        <v>Grado</v>
      </c>
      <c r="K808" s="2" t="str">
        <f>IFERROR(__xludf.DUMMYFUNCTION("""COMPUTED_VALUE"""),"Inglés")</f>
        <v>Inglés</v>
      </c>
      <c r="L808" s="2" t="str">
        <f>IFERROR(__xludf.DUMMYFUNCTION("""COMPUTED_VALUE"""),"B2")</f>
        <v>B2</v>
      </c>
      <c r="M808" s="2" t="str">
        <f>IFERROR(__xludf.DUMMYFUNCTION("""COMPUTED_VALUE"""),"Sí")</f>
        <v>Sí</v>
      </c>
      <c r="N808" s="3" t="str">
        <f>IFERROR(__xludf.DUMMYFUNCTION("""COMPUTED_VALUE"""),"https://www.bristol.ac.uk/study/language-requirements/profile-h/")</f>
        <v>https://www.bristol.ac.uk/study/language-requirements/profile-h/</v>
      </c>
      <c r="O808" s="3" t="str">
        <f>IFERROR(__xludf.DUMMYFUNCTION("""COMPUTED_VALUE"""),"Más información / Informazio gehigarria")</f>
        <v>Más información / Informazio gehigarria</v>
      </c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30.0" customHeight="1">
      <c r="A809" s="2" t="str">
        <f>IFERROR(__xludf.DUMMYFUNCTION("""COMPUTED_VALUE"""),"Reino Unido")</f>
        <v>Reino Unido</v>
      </c>
      <c r="B809" s="2" t="str">
        <f>IFERROR(__xludf.DUMMYFUNCTION("""COMPUTED_VALUE"""),"UK NORWICH01")</f>
        <v>UK NORWICH01</v>
      </c>
      <c r="C809" s="3" t="str">
        <f>IFERROR(__xludf.DUMMYFUNCTION("""COMPUTED_VALUE"""),"University of East Anglia")</f>
        <v>University of East Anglia</v>
      </c>
      <c r="D809" s="2" t="str">
        <f>IFERROR(__xludf.DUMMYFUNCTION("""COMPUTED_VALUE"""),"Ac. Bilaterales (no Erasmus)")</f>
        <v>Ac. Bilaterales (no Erasmus)</v>
      </c>
      <c r="E809" s="2">
        <f>IFERROR(__xludf.DUMMYFUNCTION("""COMPUTED_VALUE"""),4.0)</f>
        <v>4</v>
      </c>
      <c r="F809" s="2" t="str">
        <f>IFERROR(__xludf.DUMMYFUNCTION("""COMPUTED_VALUE"""),"Semestre")</f>
        <v>Semestre</v>
      </c>
      <c r="G809" s="2" t="str">
        <f>IFERROR(__xludf.DUMMYFUNCTION("""COMPUTED_VALUE"""),"Bilbao")</f>
        <v>Bilbao</v>
      </c>
      <c r="H809" s="2" t="str">
        <f>IFERROR(__xludf.DUMMYFUNCTION("""COMPUTED_VALUE"""),"Derecho")</f>
        <v>Derecho</v>
      </c>
      <c r="I809" s="2" t="str">
        <f>IFERROR(__xludf.DUMMYFUNCTION("""COMPUTED_VALUE"""),"Derecho, Derecho + Relaciones Laborales")</f>
        <v>Derecho, Derecho + Relaciones Laborales</v>
      </c>
      <c r="J809" s="2" t="str">
        <f>IFERROR(__xludf.DUMMYFUNCTION("""COMPUTED_VALUE"""),"Grado")</f>
        <v>Grado</v>
      </c>
      <c r="K809" s="2" t="str">
        <f>IFERROR(__xludf.DUMMYFUNCTION("""COMPUTED_VALUE"""),"Inglés")</f>
        <v>Inglés</v>
      </c>
      <c r="L809" s="2" t="str">
        <f>IFERROR(__xludf.DUMMYFUNCTION("""COMPUTED_VALUE"""),"B2")</f>
        <v>B2</v>
      </c>
      <c r="M809" s="2" t="str">
        <f>IFERROR(__xludf.DUMMYFUNCTION("""COMPUTED_VALUE"""),"Sí")</f>
        <v>Sí</v>
      </c>
      <c r="N809" s="3" t="str">
        <f>IFERROR(__xludf.DUMMYFUNCTION("""COMPUTED_VALUE"""),"https://www.uea.ac.uk/study/study-abroad-and-exchange/inbound-study-abroad-and-exchange/application#:~:text=English%20Language&amp;text=Applicants%20with%20IELTS%206.0%20or,and%20Language%20and%20Communication%20Studies.")</f>
        <v>https://www.uea.ac.uk/study/study-abroad-and-exchange/inbound-study-abroad-and-exchange/application#:~:text=English%20Language&amp;text=Applicants%20with%20IELTS%206.0%20or,and%20Language%20and%20Communication%20Studies.</v>
      </c>
      <c r="O809" s="3" t="str">
        <f>IFERROR(__xludf.DUMMYFUNCTION("""COMPUTED_VALUE"""),"Más información / Informazio gehigarria")</f>
        <v>Más información / Informazio gehigarria</v>
      </c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30.0" customHeight="1">
      <c r="A810" s="2" t="str">
        <f>IFERROR(__xludf.DUMMYFUNCTION("""COMPUTED_VALUE"""),"Reino Unido")</f>
        <v>Reino Unido</v>
      </c>
      <c r="B810" s="2" t="str">
        <f>IFERROR(__xludf.DUMMYFUNCTION("""COMPUTED_VALUE"""),"UK NORWICH01")</f>
        <v>UK NORWICH01</v>
      </c>
      <c r="C810" s="3" t="str">
        <f>IFERROR(__xludf.DUMMYFUNCTION("""COMPUTED_VALUE"""),"University of East Anglia")</f>
        <v>University of East Anglia</v>
      </c>
      <c r="D810" s="2" t="str">
        <f>IFERROR(__xludf.DUMMYFUNCTION("""COMPUTED_VALUE"""),"Ac. Bilaterales (no Erasmus)")</f>
        <v>Ac. Bilaterales (no Erasmus)</v>
      </c>
      <c r="E810" s="2">
        <f>IFERROR(__xludf.DUMMYFUNCTION("""COMPUTED_VALUE"""),2.0)</f>
        <v>2</v>
      </c>
      <c r="F810" s="2" t="str">
        <f>IFERROR(__xludf.DUMMYFUNCTION("""COMPUTED_VALUE"""),"Anual")</f>
        <v>Anual</v>
      </c>
      <c r="G810" s="2" t="str">
        <f>IFERROR(__xludf.DUMMYFUNCTION("""COMPUTED_VALUE"""),"Bilbao")</f>
        <v>Bilbao</v>
      </c>
      <c r="H810" s="2" t="str">
        <f>IFERROR(__xludf.DUMMYFUNCTION("""COMPUTED_VALUE"""),"Ciencias Sociales y Humanas")</f>
        <v>Ciencias Sociales y Humanas</v>
      </c>
      <c r="I810" s="2" t="str">
        <f>IFERROR(__xludf.DUMMYFUNCTION("""COMPUTED_VALUE"""),"Lenguas Modernas, Lengua y Cultura Vasca + Lenguas Modernas, Lenguas Modernas y Gestión, Euskal Hizkuntza eta Kultura")</f>
        <v>Lenguas Modernas, Lengua y Cultura Vasca + Lenguas Modernas, Lenguas Modernas y Gestión, Euskal Hizkuntza eta Kultura</v>
      </c>
      <c r="J810" s="2" t="str">
        <f>IFERROR(__xludf.DUMMYFUNCTION("""COMPUTED_VALUE"""),"Grado")</f>
        <v>Grado</v>
      </c>
      <c r="K810" s="2" t="str">
        <f>IFERROR(__xludf.DUMMYFUNCTION("""COMPUTED_VALUE"""),"Inglés")</f>
        <v>Inglés</v>
      </c>
      <c r="L810" s="2" t="str">
        <f>IFERROR(__xludf.DUMMYFUNCTION("""COMPUTED_VALUE"""),"B2")</f>
        <v>B2</v>
      </c>
      <c r="M810" s="2" t="str">
        <f>IFERROR(__xludf.DUMMYFUNCTION("""COMPUTED_VALUE"""),"Sí")</f>
        <v>Sí</v>
      </c>
      <c r="N810" s="3" t="str">
        <f>IFERROR(__xludf.DUMMYFUNCTION("""COMPUTED_VALUE"""),"https://www.uea.ac.uk/study/study-abroad-and-exchange/inbound-study-abroad-and-exchange/application#:~:text=English%20Language&amp;text=Applicants%20with%20IELTS%206.0%20or,and%20Language%20and%20Communication%20Studies.")</f>
        <v>https://www.uea.ac.uk/study/study-abroad-and-exchange/inbound-study-abroad-and-exchange/application#:~:text=English%20Language&amp;text=Applicants%20with%20IELTS%206.0%20or,and%20Language%20and%20Communication%20Studies.</v>
      </c>
      <c r="O810" s="3" t="str">
        <f>IFERROR(__xludf.DUMMYFUNCTION("""COMPUTED_VALUE"""),"Más información / Informazio gehigarria")</f>
        <v>Más información / Informazio gehigarria</v>
      </c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30.0" customHeight="1">
      <c r="A811" s="2" t="str">
        <f>IFERROR(__xludf.DUMMYFUNCTION("""COMPUTED_VALUE"""),"Reino Unido")</f>
        <v>Reino Unido</v>
      </c>
      <c r="B811" s="2" t="str">
        <f>IFERROR(__xludf.DUMMYFUNCTION("""COMPUTED_VALUE"""),"UK NORWICH01")</f>
        <v>UK NORWICH01</v>
      </c>
      <c r="C811" s="3" t="str">
        <f>IFERROR(__xludf.DUMMYFUNCTION("""COMPUTED_VALUE"""),"University of East Anglia")</f>
        <v>University of East Anglia</v>
      </c>
      <c r="D811" s="2" t="str">
        <f>IFERROR(__xludf.DUMMYFUNCTION("""COMPUTED_VALUE"""),"Ac. Bilaterales (no Erasmus)")</f>
        <v>Ac. Bilaterales (no Erasmus)</v>
      </c>
      <c r="E811" s="2">
        <f>IFERROR(__xludf.DUMMYFUNCTION("""COMPUTED_VALUE"""),1.0)</f>
        <v>1</v>
      </c>
      <c r="F811" s="2" t="str">
        <f>IFERROR(__xludf.DUMMYFUNCTION("""COMPUTED_VALUE"""),"Anual")</f>
        <v>Anual</v>
      </c>
      <c r="G811" s="2" t="str">
        <f>IFERROR(__xludf.DUMMYFUNCTION("""COMPUTED_VALUE"""),"Bilbao")</f>
        <v>Bilbao</v>
      </c>
      <c r="H811" s="2" t="str">
        <f>IFERROR(__xludf.DUMMYFUNCTION("""COMPUTED_VALUE"""),"Ciencias Sociales y Humanas")</f>
        <v>Ciencias Sociales y Humanas</v>
      </c>
      <c r="I811" s="2" t="str">
        <f>IFERROR(__xludf.DUMMYFUNCTION("""COMPUTED_VALUE"""),"Relaciones Internacionales, Relaciones Internacionales + Derecho")</f>
        <v>Relaciones Internacionales, Relaciones Internacionales + Derecho</v>
      </c>
      <c r="J811" s="2" t="str">
        <f>IFERROR(__xludf.DUMMYFUNCTION("""COMPUTED_VALUE"""),"Grado")</f>
        <v>Grado</v>
      </c>
      <c r="K811" s="2" t="str">
        <f>IFERROR(__xludf.DUMMYFUNCTION("""COMPUTED_VALUE"""),"Inglés")</f>
        <v>Inglés</v>
      </c>
      <c r="L811" s="2" t="str">
        <f>IFERROR(__xludf.DUMMYFUNCTION("""COMPUTED_VALUE"""),"B2")</f>
        <v>B2</v>
      </c>
      <c r="M811" s="2" t="str">
        <f>IFERROR(__xludf.DUMMYFUNCTION("""COMPUTED_VALUE"""),"Sí")</f>
        <v>Sí</v>
      </c>
      <c r="N811" s="3" t="str">
        <f>IFERROR(__xludf.DUMMYFUNCTION("""COMPUTED_VALUE"""),"https://www.uea.ac.uk/study/study-abroad-and-exchange/inbound-study-abroad-and-exchange/application#:~:text=English%20Language&amp;text=Applicants%20with%20IELTS%206.0%20or,and%20Language%20and%20Communication%20Studies.")</f>
        <v>https://www.uea.ac.uk/study/study-abroad-and-exchange/inbound-study-abroad-and-exchange/application#:~:text=English%20Language&amp;text=Applicants%20with%20IELTS%206.0%20or,and%20Language%20and%20Communication%20Studies.</v>
      </c>
      <c r="O811" s="3" t="str">
        <f>IFERROR(__xludf.DUMMYFUNCTION("""COMPUTED_VALUE"""),"Más información / Informazio gehigarria")</f>
        <v>Más información / Informazio gehigarria</v>
      </c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30.0" customHeight="1">
      <c r="A812" s="2" t="str">
        <f>IFERROR(__xludf.DUMMYFUNCTION("""COMPUTED_VALUE"""),"Reino Unido")</f>
        <v>Reino Unido</v>
      </c>
      <c r="B812" s="2" t="str">
        <f>IFERROR(__xludf.DUMMYFUNCTION("""COMPUTED_VALUE"""),"UK EDINBUR01")</f>
        <v>UK EDINBUR01</v>
      </c>
      <c r="C812" s="3" t="str">
        <f>IFERROR(__xludf.DUMMYFUNCTION("""COMPUTED_VALUE"""),"University of Edinburgh")</f>
        <v>University of Edinburgh</v>
      </c>
      <c r="D812" s="2" t="str">
        <f>IFERROR(__xludf.DUMMYFUNCTION("""COMPUTED_VALUE"""),"Ac. Bilaterales (no Erasmus)")</f>
        <v>Ac. Bilaterales (no Erasmus)</v>
      </c>
      <c r="E812" s="2">
        <f>IFERROR(__xludf.DUMMYFUNCTION("""COMPUTED_VALUE"""),1.0)</f>
        <v>1</v>
      </c>
      <c r="F812" s="2" t="str">
        <f>IFERROR(__xludf.DUMMYFUNCTION("""COMPUTED_VALUE"""),"Semestre")</f>
        <v>Semestre</v>
      </c>
      <c r="G812" s="2" t="str">
        <f>IFERROR(__xludf.DUMMYFUNCTION("""COMPUTED_VALUE"""),"Bilbao")</f>
        <v>Bilbao</v>
      </c>
      <c r="H812" s="2" t="str">
        <f>IFERROR(__xludf.DUMMYFUNCTION("""COMPUTED_VALUE"""),"Deusto Business School")</f>
        <v>Deusto Business School</v>
      </c>
      <c r="I812" s="2" t="str">
        <f>IFERROR(__xludf.DUMMYFUNCTION("""COMPUTED_VALUE"""),"Administración y Dirección de Empresas")</f>
        <v>Administración y Dirección de Empresas</v>
      </c>
      <c r="J812" s="2" t="str">
        <f>IFERROR(__xludf.DUMMYFUNCTION("""COMPUTED_VALUE"""),"Grado")</f>
        <v>Grado</v>
      </c>
      <c r="K812" s="2" t="str">
        <f>IFERROR(__xludf.DUMMYFUNCTION("""COMPUTED_VALUE"""),"Inglés")</f>
        <v>Inglés</v>
      </c>
      <c r="L812" s="2" t="str">
        <f>IFERROR(__xludf.DUMMYFUNCTION("""COMPUTED_VALUE"""),"C1")</f>
        <v>C1</v>
      </c>
      <c r="M812" s="2" t="str">
        <f>IFERROR(__xludf.DUMMYFUNCTION("""COMPUTED_VALUE"""),"No")</f>
        <v>No</v>
      </c>
      <c r="N812" s="3" t="str">
        <f>IFERROR(__xludf.DUMMYFUNCTION("""COMPUTED_VALUE"""),"https://www.ed.ac.uk/global/study-work-away/study-exchanges/linguistic-requirements#:~:text=The%20B2%20language%20level%20requirement,April%20before%20your%20exchange%20begins.")</f>
        <v>https://www.ed.ac.uk/global/study-work-away/study-exchanges/linguistic-requirements#:~:text=The%20B2%20language%20level%20requirement,April%20before%20your%20exchange%20begins.</v>
      </c>
      <c r="O812" s="3" t="str">
        <f>IFERROR(__xludf.DUMMYFUNCTION("""COMPUTED_VALUE"""),"Más información / Informazio gehigarria")</f>
        <v>Más información / Informazio gehigarria</v>
      </c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30.0" customHeight="1">
      <c r="A813" s="2" t="str">
        <f>IFERROR(__xludf.DUMMYFUNCTION("""COMPUTED_VALUE"""),"Reino Unido")</f>
        <v>Reino Unido</v>
      </c>
      <c r="B813" s="2" t="str">
        <f>IFERROR(__xludf.DUMMYFUNCTION("""COMPUTED_VALUE"""),"UK EDINBUR01")</f>
        <v>UK EDINBUR01</v>
      </c>
      <c r="C813" s="3" t="str">
        <f>IFERROR(__xludf.DUMMYFUNCTION("""COMPUTED_VALUE"""),"University of Edinburgh")</f>
        <v>University of Edinburgh</v>
      </c>
      <c r="D813" s="2" t="str">
        <f>IFERROR(__xludf.DUMMYFUNCTION("""COMPUTED_VALUE"""),"Ac. Bilaterales (no Erasmus)")</f>
        <v>Ac. Bilaterales (no Erasmus)</v>
      </c>
      <c r="E813" s="2">
        <f>IFERROR(__xludf.DUMMYFUNCTION("""COMPUTED_VALUE"""),2.0)</f>
        <v>2</v>
      </c>
      <c r="F813" s="2" t="str">
        <f>IFERROR(__xludf.DUMMYFUNCTION("""COMPUTED_VALUE"""),"Semestre")</f>
        <v>Semestre</v>
      </c>
      <c r="G813" s="2" t="str">
        <f>IFERROR(__xludf.DUMMYFUNCTION("""COMPUTED_VALUE"""),"Bilbao")</f>
        <v>Bilbao</v>
      </c>
      <c r="H813" s="2" t="str">
        <f>IFERROR(__xludf.DUMMYFUNCTION("""COMPUTED_VALUE"""),"Derecho")</f>
        <v>Derecho</v>
      </c>
      <c r="I813" s="2" t="str">
        <f>IFERROR(__xludf.DUMMYFUNCTION("""COMPUTED_VALUE"""),"Derecho, Derecho + Relaciones Laborales")</f>
        <v>Derecho, Derecho + Relaciones Laborales</v>
      </c>
      <c r="J813" s="2" t="str">
        <f>IFERROR(__xludf.DUMMYFUNCTION("""COMPUTED_VALUE"""),"Grado")</f>
        <v>Grado</v>
      </c>
      <c r="K813" s="2" t="str">
        <f>IFERROR(__xludf.DUMMYFUNCTION("""COMPUTED_VALUE"""),"Inglés")</f>
        <v>Inglés</v>
      </c>
      <c r="L813" s="2" t="str">
        <f>IFERROR(__xludf.DUMMYFUNCTION("""COMPUTED_VALUE"""),"C1")</f>
        <v>C1</v>
      </c>
      <c r="M813" s="2" t="str">
        <f>IFERROR(__xludf.DUMMYFUNCTION("""COMPUTED_VALUE"""),"No")</f>
        <v>No</v>
      </c>
      <c r="N813" s="3" t="str">
        <f>IFERROR(__xludf.DUMMYFUNCTION("""COMPUTED_VALUE"""),"https://www.ed.ac.uk/global/study-work-away/study-exchanges/linguistic-requirements#:~:text=The%20B2%20language%20level%20requirement,April%20before%20your%20exchange%20begins.")</f>
        <v>https://www.ed.ac.uk/global/study-work-away/study-exchanges/linguistic-requirements#:~:text=The%20B2%20language%20level%20requirement,April%20before%20your%20exchange%20begins.</v>
      </c>
      <c r="O813" s="3" t="str">
        <f>IFERROR(__xludf.DUMMYFUNCTION("""COMPUTED_VALUE"""),"Más información / Informazio gehigarria")</f>
        <v>Más información / Informazio gehigarria</v>
      </c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30.0" customHeight="1">
      <c r="A814" s="2" t="str">
        <f>IFERROR(__xludf.DUMMYFUNCTION("""COMPUTED_VALUE"""),"Reino Unido")</f>
        <v>Reino Unido</v>
      </c>
      <c r="B814" s="2" t="str">
        <f>IFERROR(__xludf.DUMMYFUNCTION("""COMPUTED_VALUE"""),"UK EDINBUR01")</f>
        <v>UK EDINBUR01</v>
      </c>
      <c r="C814" s="3" t="str">
        <f>IFERROR(__xludf.DUMMYFUNCTION("""COMPUTED_VALUE"""),"University of Edinburgh")</f>
        <v>University of Edinburgh</v>
      </c>
      <c r="D814" s="2" t="str">
        <f>IFERROR(__xludf.DUMMYFUNCTION("""COMPUTED_VALUE"""),"Ac. Bilaterales (no Erasmus)")</f>
        <v>Ac. Bilaterales (no Erasmus)</v>
      </c>
      <c r="E814" s="2">
        <f>IFERROR(__xludf.DUMMYFUNCTION("""COMPUTED_VALUE"""),4.0)</f>
        <v>4</v>
      </c>
      <c r="F814" s="2" t="str">
        <f>IFERROR(__xludf.DUMMYFUNCTION("""COMPUTED_VALUE"""),"Semestre")</f>
        <v>Semestre</v>
      </c>
      <c r="G814" s="2" t="str">
        <f>IFERROR(__xludf.DUMMYFUNCTION("""COMPUTED_VALUE"""),"San Sebastián")</f>
        <v>San Sebastián</v>
      </c>
      <c r="H814" s="2" t="str">
        <f>IFERROR(__xludf.DUMMYFUNCTION("""COMPUTED_VALUE"""),"Deusto Business School")</f>
        <v>Deusto Business School</v>
      </c>
      <c r="I814" s="2" t="str">
        <f>IFERROR(__xludf.DUMMYFUNCTION("""COMPUTED_VALUE"""),"Administración y Dirección de Empresas")</f>
        <v>Administración y Dirección de Empresas</v>
      </c>
      <c r="J814" s="2" t="str">
        <f>IFERROR(__xludf.DUMMYFUNCTION("""COMPUTED_VALUE"""),"Grado")</f>
        <v>Grado</v>
      </c>
      <c r="K814" s="2" t="str">
        <f>IFERROR(__xludf.DUMMYFUNCTION("""COMPUTED_VALUE"""),"Inglés")</f>
        <v>Inglés</v>
      </c>
      <c r="L814" s="2" t="str">
        <f>IFERROR(__xludf.DUMMYFUNCTION("""COMPUTED_VALUE"""),"C1")</f>
        <v>C1</v>
      </c>
      <c r="M814" s="2" t="str">
        <f>IFERROR(__xludf.DUMMYFUNCTION("""COMPUTED_VALUE"""),"No")</f>
        <v>No</v>
      </c>
      <c r="N814" s="3" t="str">
        <f>IFERROR(__xludf.DUMMYFUNCTION("""COMPUTED_VALUE"""),"https://www.ed.ac.uk/global/study-work-away/study-exchanges/linguistic-requirements#:~:text=The%20B2%20language%20level%20requirement,April%20before%20your%20exchange%20begins.")</f>
        <v>https://www.ed.ac.uk/global/study-work-away/study-exchanges/linguistic-requirements#:~:text=The%20B2%20language%20level%20requirement,April%20before%20your%20exchange%20begins.</v>
      </c>
      <c r="O814" s="3" t="str">
        <f>IFERROR(__xludf.DUMMYFUNCTION("""COMPUTED_VALUE"""),"Más información / Informazio gehigarria")</f>
        <v>Más información / Informazio gehigarria</v>
      </c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30.0" customHeight="1">
      <c r="A815" s="2" t="str">
        <f>IFERROR(__xludf.DUMMYFUNCTION("""COMPUTED_VALUE"""),"Reino Unido")</f>
        <v>Reino Unido</v>
      </c>
      <c r="B815" s="2" t="str">
        <f>IFERROR(__xludf.DUMMYFUNCTION("""COMPUTED_VALUE"""),"UK EXETER01")</f>
        <v>UK EXETER01</v>
      </c>
      <c r="C815" s="3" t="str">
        <f>IFERROR(__xludf.DUMMYFUNCTION("""COMPUTED_VALUE"""),"University of Exeter")</f>
        <v>University of Exeter</v>
      </c>
      <c r="D815" s="2" t="str">
        <f>IFERROR(__xludf.DUMMYFUNCTION("""COMPUTED_VALUE"""),"Ac. Bilaterales (no Erasmus)")</f>
        <v>Ac. Bilaterales (no Erasmus)</v>
      </c>
      <c r="E815" s="2">
        <f>IFERROR(__xludf.DUMMYFUNCTION("""COMPUTED_VALUE"""),2.0)</f>
        <v>2</v>
      </c>
      <c r="F815" s="2" t="str">
        <f>IFERROR(__xludf.DUMMYFUNCTION("""COMPUTED_VALUE"""),"Semestre")</f>
        <v>Semestre</v>
      </c>
      <c r="G815" s="2" t="str">
        <f>IFERROR(__xludf.DUMMYFUNCTION("""COMPUTED_VALUE"""),"Bilbao")</f>
        <v>Bilbao</v>
      </c>
      <c r="H815" s="2" t="str">
        <f>IFERROR(__xludf.DUMMYFUNCTION("""COMPUTED_VALUE"""),"Derecho")</f>
        <v>Derecho</v>
      </c>
      <c r="I815" s="2" t="str">
        <f>IFERROR(__xludf.DUMMYFUNCTION("""COMPUTED_VALUE"""),"Derecho, Derecho + Relaciones Laborales")</f>
        <v>Derecho, Derecho + Relaciones Laborales</v>
      </c>
      <c r="J815" s="2" t="str">
        <f>IFERROR(__xludf.DUMMYFUNCTION("""COMPUTED_VALUE"""),"Grado")</f>
        <v>Grado</v>
      </c>
      <c r="K815" s="2" t="str">
        <f>IFERROR(__xludf.DUMMYFUNCTION("""COMPUTED_VALUE"""),"Inglés")</f>
        <v>Inglés</v>
      </c>
      <c r="L815" s="2" t="str">
        <f>IFERROR(__xludf.DUMMYFUNCTION("""COMPUTED_VALUE"""),"B2")</f>
        <v>B2</v>
      </c>
      <c r="M815" s="2" t="str">
        <f>IFERROR(__xludf.DUMMYFUNCTION("""COMPUTED_VALUE"""),"Sí")</f>
        <v>Sí</v>
      </c>
      <c r="N815" s="3" t="str">
        <f>IFERROR(__xludf.DUMMYFUNCTION("""COMPUTED_VALUE"""),"https://www.exeter.ac.uk/study/undergraduate/courses/law/laweurostudy/")</f>
        <v>https://www.exeter.ac.uk/study/undergraduate/courses/law/laweurostudy/</v>
      </c>
      <c r="O815" s="3" t="str">
        <f>IFERROR(__xludf.DUMMYFUNCTION("""COMPUTED_VALUE"""),"Más información / Informazio gehigarria")</f>
        <v>Más información / Informazio gehigarria</v>
      </c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30.0" customHeight="1">
      <c r="A816" s="2" t="str">
        <f>IFERROR(__xludf.DUMMYFUNCTION("""COMPUTED_VALUE"""),"Reino Unido")</f>
        <v>Reino Unido</v>
      </c>
      <c r="B816" s="2" t="str">
        <f>IFERROR(__xludf.DUMMYFUNCTION("""COMPUTED_VALUE"""),"UK LEEDS01")</f>
        <v>UK LEEDS01</v>
      </c>
      <c r="C816" s="3" t="str">
        <f>IFERROR(__xludf.DUMMYFUNCTION("""COMPUTED_VALUE"""),"University of Leeds")</f>
        <v>University of Leeds</v>
      </c>
      <c r="D816" s="2" t="str">
        <f>IFERROR(__xludf.DUMMYFUNCTION("""COMPUTED_VALUE"""),"Ac. Bilaterales (no Erasmus)")</f>
        <v>Ac. Bilaterales (no Erasmus)</v>
      </c>
      <c r="E816" s="2">
        <f>IFERROR(__xludf.DUMMYFUNCTION("""COMPUTED_VALUE"""),4.0)</f>
        <v>4</v>
      </c>
      <c r="F816" s="2" t="str">
        <f>IFERROR(__xludf.DUMMYFUNCTION("""COMPUTED_VALUE"""),"Anual")</f>
        <v>Anual</v>
      </c>
      <c r="G816" s="2" t="str">
        <f>IFERROR(__xludf.DUMMYFUNCTION("""COMPUTED_VALUE"""),"Bilbao")</f>
        <v>Bilbao</v>
      </c>
      <c r="H816" s="2" t="str">
        <f>IFERROR(__xludf.DUMMYFUNCTION("""COMPUTED_VALUE"""),"Ciencias Sociales y Humanas")</f>
        <v>Ciencias Sociales y Humanas</v>
      </c>
      <c r="I816" s="2" t="str">
        <f>IFERROR(__xludf.DUMMYFUNCTION("""COMPUTED_VALUE"""),"Lenguas Modernas, Lengua y Cultura Vasca + Lenguas Modernas, Lenguas Modernas y Gestión, Euskal Hizkuntza eta Kultura")</f>
        <v>Lenguas Modernas, Lengua y Cultura Vasca + Lenguas Modernas, Lenguas Modernas y Gestión, Euskal Hizkuntza eta Kultura</v>
      </c>
      <c r="J816" s="2" t="str">
        <f>IFERROR(__xludf.DUMMYFUNCTION("""COMPUTED_VALUE"""),"Grado")</f>
        <v>Grado</v>
      </c>
      <c r="K816" s="2" t="str">
        <f>IFERROR(__xludf.DUMMYFUNCTION("""COMPUTED_VALUE"""),"Inglés")</f>
        <v>Inglés</v>
      </c>
      <c r="L816" s="2" t="str">
        <f>IFERROR(__xludf.DUMMYFUNCTION("""COMPUTED_VALUE"""),"B2")</f>
        <v>B2</v>
      </c>
      <c r="M816" s="2" t="str">
        <f>IFERROR(__xludf.DUMMYFUNCTION("""COMPUTED_VALUE"""),"Sí")</f>
        <v>Sí</v>
      </c>
      <c r="N816" s="3" t="str">
        <f>IFERROR(__xludf.DUMMYFUNCTION("""COMPUTED_VALUE"""),"https://www.leeds.ac.uk/international-exchange-and-study-abroad/doc/language-requirements")</f>
        <v>https://www.leeds.ac.uk/international-exchange-and-study-abroad/doc/language-requirements</v>
      </c>
      <c r="O816" s="3" t="str">
        <f>IFERROR(__xludf.DUMMYFUNCTION("""COMPUTED_VALUE"""),"Más información / Informazio gehigarria")</f>
        <v>Más información / Informazio gehigarria</v>
      </c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30.0" customHeight="1">
      <c r="A817" s="2" t="str">
        <f>IFERROR(__xludf.DUMMYFUNCTION("""COMPUTED_VALUE"""),"Reino Unido")</f>
        <v>Reino Unido</v>
      </c>
      <c r="B817" s="2" t="str">
        <f>IFERROR(__xludf.DUMMYFUNCTION("""COMPUTED_VALUE"""),"UK LIVERPO01")</f>
        <v>UK LIVERPO01</v>
      </c>
      <c r="C817" s="3" t="str">
        <f>IFERROR(__xludf.DUMMYFUNCTION("""COMPUTED_VALUE"""),"University of Liverpool")</f>
        <v>University of Liverpool</v>
      </c>
      <c r="D817" s="2" t="str">
        <f>IFERROR(__xludf.DUMMYFUNCTION("""COMPUTED_VALUE"""),"Ac. Bilaterales (no Erasmus)")</f>
        <v>Ac. Bilaterales (no Erasmus)</v>
      </c>
      <c r="E817" s="2">
        <f>IFERROR(__xludf.DUMMYFUNCTION("""COMPUTED_VALUE"""),10.0)</f>
        <v>10</v>
      </c>
      <c r="F817" s="2" t="str">
        <f>IFERROR(__xludf.DUMMYFUNCTION("""COMPUTED_VALUE"""),"Semestre")</f>
        <v>Semestre</v>
      </c>
      <c r="G817" s="2" t="str">
        <f>IFERROR(__xludf.DUMMYFUNCTION("""COMPUTED_VALUE"""),"Bilbao")</f>
        <v>Bilbao</v>
      </c>
      <c r="H817" s="2" t="str">
        <f>IFERROR(__xludf.DUMMYFUNCTION("""COMPUTED_VALUE"""),"Derecho")</f>
        <v>Derecho</v>
      </c>
      <c r="I817" s="2" t="str">
        <f>IFERROR(__xludf.DUMMYFUNCTION("""COMPUTED_VALUE"""),"Derecho, Derecho + Relaciones Laborales")</f>
        <v>Derecho, Derecho + Relaciones Laborales</v>
      </c>
      <c r="J817" s="2" t="str">
        <f>IFERROR(__xludf.DUMMYFUNCTION("""COMPUTED_VALUE"""),"Grado")</f>
        <v>Grado</v>
      </c>
      <c r="K817" s="2" t="str">
        <f>IFERROR(__xludf.DUMMYFUNCTION("""COMPUTED_VALUE"""),"Inglés")</f>
        <v>Inglés</v>
      </c>
      <c r="L817" s="2" t="str">
        <f>IFERROR(__xludf.DUMMYFUNCTION("""COMPUTED_VALUE"""),"B2")</f>
        <v>B2</v>
      </c>
      <c r="M817" s="2" t="str">
        <f>IFERROR(__xludf.DUMMYFUNCTION("""COMPUTED_VALUE"""),"Sí")</f>
        <v>Sí</v>
      </c>
      <c r="N817" s="3" t="str">
        <f>IFERROR(__xludf.DUMMYFUNCTION("""COMPUTED_VALUE"""),"https://www.liverpool.ac.uk/courses/2025/international-relations-ba-hons#entry-requirements")</f>
        <v>https://www.liverpool.ac.uk/courses/2025/international-relations-ba-hons#entry-requirements</v>
      </c>
      <c r="O817" s="3" t="str">
        <f>IFERROR(__xludf.DUMMYFUNCTION("""COMPUTED_VALUE"""),"Más información / Informazio gehigarria")</f>
        <v>Más información / Informazio gehigarria</v>
      </c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30.0" customHeight="1">
      <c r="A818" s="2" t="str">
        <f>IFERROR(__xludf.DUMMYFUNCTION("""COMPUTED_VALUE"""),"Reino Unido")</f>
        <v>Reino Unido</v>
      </c>
      <c r="B818" s="2" t="str">
        <f>IFERROR(__xludf.DUMMYFUNCTION("""COMPUTED_VALUE"""),"UK LIVERPO01")</f>
        <v>UK LIVERPO01</v>
      </c>
      <c r="C818" s="3" t="str">
        <f>IFERROR(__xludf.DUMMYFUNCTION("""COMPUTED_VALUE"""),"University of Liverpool")</f>
        <v>University of Liverpool</v>
      </c>
      <c r="D818" s="2" t="str">
        <f>IFERROR(__xludf.DUMMYFUNCTION("""COMPUTED_VALUE"""),"Ac. Bilaterales (no Erasmus)")</f>
        <v>Ac. Bilaterales (no Erasmus)</v>
      </c>
      <c r="E818" s="2">
        <f>IFERROR(__xludf.DUMMYFUNCTION("""COMPUTED_VALUE"""),6.0)</f>
        <v>6</v>
      </c>
      <c r="F818" s="2" t="str">
        <f>IFERROR(__xludf.DUMMYFUNCTION("""COMPUTED_VALUE"""),"Semestre")</f>
        <v>Semestre</v>
      </c>
      <c r="G818" s="2" t="str">
        <f>IFERROR(__xludf.DUMMYFUNCTION("""COMPUTED_VALUE"""),"Bilbao")</f>
        <v>Bilbao</v>
      </c>
      <c r="H818" s="2" t="str">
        <f>IFERROR(__xludf.DUMMYFUNCTION("""COMPUTED_VALUE"""),"Ciencias Sociales y Humanas")</f>
        <v>Ciencias Sociales y Humanas</v>
      </c>
      <c r="I818" s="2" t="str">
        <f>IFERROR(__xludf.DUMMYFUNCTION("""COMPUTED_VALUE"""),"Lenguas Modernas, Lengua y Cultura Vasca + Lenguas Modernas, Lenguas Modernas y Gestión, Euskal Hizkuntza eta Kultura")</f>
        <v>Lenguas Modernas, Lengua y Cultura Vasca + Lenguas Modernas, Lenguas Modernas y Gestión, Euskal Hizkuntza eta Kultura</v>
      </c>
      <c r="J818" s="2" t="str">
        <f>IFERROR(__xludf.DUMMYFUNCTION("""COMPUTED_VALUE"""),"Grado")</f>
        <v>Grado</v>
      </c>
      <c r="K818" s="2" t="str">
        <f>IFERROR(__xludf.DUMMYFUNCTION("""COMPUTED_VALUE"""),"Inglés")</f>
        <v>Inglés</v>
      </c>
      <c r="L818" s="2" t="str">
        <f>IFERROR(__xludf.DUMMYFUNCTION("""COMPUTED_VALUE"""),"B2")</f>
        <v>B2</v>
      </c>
      <c r="M818" s="2" t="str">
        <f>IFERROR(__xludf.DUMMYFUNCTION("""COMPUTED_VALUE"""),"Sí")</f>
        <v>Sí</v>
      </c>
      <c r="N818" s="3" t="str">
        <f>IFERROR(__xludf.DUMMYFUNCTION("""COMPUTED_VALUE"""),"https://www.liverpool.ac.uk/courses/2025/english-language-ba-hons#entry-requirements")</f>
        <v>https://www.liverpool.ac.uk/courses/2025/english-language-ba-hons#entry-requirements</v>
      </c>
      <c r="O818" s="3" t="str">
        <f>IFERROR(__xludf.DUMMYFUNCTION("""COMPUTED_VALUE"""),"Más información / Informazio gehigarria")</f>
        <v>Más información / Informazio gehigarria</v>
      </c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30.0" customHeight="1">
      <c r="A819" s="2" t="str">
        <f>IFERROR(__xludf.DUMMYFUNCTION("""COMPUTED_VALUE"""),"Reino Unido")</f>
        <v>Reino Unido</v>
      </c>
      <c r="B819" s="2" t="str">
        <f>IFERROR(__xludf.DUMMYFUNCTION("""COMPUTED_VALUE"""),"UK MANCHES01")</f>
        <v>UK MANCHES01</v>
      </c>
      <c r="C819" s="3" t="str">
        <f>IFERROR(__xludf.DUMMYFUNCTION("""COMPUTED_VALUE"""),"University of Manchester")</f>
        <v>University of Manchester</v>
      </c>
      <c r="D819" s="2" t="str">
        <f>IFERROR(__xludf.DUMMYFUNCTION("""COMPUTED_VALUE"""),"Ac. Bilaterales (no Erasmus)")</f>
        <v>Ac. Bilaterales (no Erasmus)</v>
      </c>
      <c r="E819" s="2">
        <f>IFERROR(__xludf.DUMMYFUNCTION("""COMPUTED_VALUE"""),5.0)</f>
        <v>5</v>
      </c>
      <c r="F819" s="2" t="str">
        <f>IFERROR(__xludf.DUMMYFUNCTION("""COMPUTED_VALUE"""),"Anual")</f>
        <v>Anual</v>
      </c>
      <c r="G819" s="2" t="str">
        <f>IFERROR(__xludf.DUMMYFUNCTION("""COMPUTED_VALUE"""),"Bilbao")</f>
        <v>Bilbao</v>
      </c>
      <c r="H819" s="2" t="str">
        <f>IFERROR(__xludf.DUMMYFUNCTION("""COMPUTED_VALUE"""),"Ciencias Sociales y Humanas")</f>
        <v>Ciencias Sociales y Humanas</v>
      </c>
      <c r="I819" s="2" t="str">
        <f>IFERROR(__xludf.DUMMYFUNCTION("""COMPUTED_VALUE"""),"Lenguas Modernas")</f>
        <v>Lenguas Modernas</v>
      </c>
      <c r="J819" s="2" t="str">
        <f>IFERROR(__xludf.DUMMYFUNCTION("""COMPUTED_VALUE"""),"Grado")</f>
        <v>Grado</v>
      </c>
      <c r="K819" s="2" t="str">
        <f>IFERROR(__xludf.DUMMYFUNCTION("""COMPUTED_VALUE"""),"Inglés")</f>
        <v>Inglés</v>
      </c>
      <c r="L819" s="2" t="str">
        <f>IFERROR(__xludf.DUMMYFUNCTION("""COMPUTED_VALUE"""),"B2")</f>
        <v>B2</v>
      </c>
      <c r="M819" s="2" t="str">
        <f>IFERROR(__xludf.DUMMYFUNCTION("""COMPUTED_VALUE"""),"Sí")</f>
        <v>Sí</v>
      </c>
      <c r="N819" s="3" t="str">
        <f>IFERROR(__xludf.DUMMYFUNCTION("""COMPUTED_VALUE"""),"https://www.manchester.ac.uk/study/international/study-abroad-exchange/applications/#:~:text=an%20English%20language%20test%20(IELTS,or%20higher%20in%20every%20component.")</f>
        <v>https://www.manchester.ac.uk/study/international/study-abroad-exchange/applications/#:~:text=an%20English%20language%20test%20(IELTS,or%20higher%20in%20every%20component.</v>
      </c>
      <c r="O819" s="3" t="str">
        <f>IFERROR(__xludf.DUMMYFUNCTION("""COMPUTED_VALUE"""),"Más información / Informazio gehigarria")</f>
        <v>Más información / Informazio gehigarria</v>
      </c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30.0" customHeight="1">
      <c r="A820" s="2" t="str">
        <f>IFERROR(__xludf.DUMMYFUNCTION("""COMPUTED_VALUE"""),"Reino Unido")</f>
        <v>Reino Unido</v>
      </c>
      <c r="B820" s="2" t="str">
        <f>IFERROR(__xludf.DUMMYFUNCTION("""COMPUTED_VALUE"""),"UK MANCHES01")</f>
        <v>UK MANCHES01</v>
      </c>
      <c r="C820" s="3" t="str">
        <f>IFERROR(__xludf.DUMMYFUNCTION("""COMPUTED_VALUE"""),"University of Manchester")</f>
        <v>University of Manchester</v>
      </c>
      <c r="D820" s="2" t="str">
        <f>IFERROR(__xludf.DUMMYFUNCTION("""COMPUTED_VALUE"""),"Ac. Bilaterales (no Erasmus)")</f>
        <v>Ac. Bilaterales (no Erasmus)</v>
      </c>
      <c r="E820" s="2">
        <f>IFERROR(__xludf.DUMMYFUNCTION("""COMPUTED_VALUE"""),2.0)</f>
        <v>2</v>
      </c>
      <c r="F820" s="2" t="str">
        <f>IFERROR(__xludf.DUMMYFUNCTION("""COMPUTED_VALUE"""),"Semestre")</f>
        <v>Semestre</v>
      </c>
      <c r="G820" s="2" t="str">
        <f>IFERROR(__xludf.DUMMYFUNCTION("""COMPUTED_VALUE"""),"Bilbao")</f>
        <v>Bilbao</v>
      </c>
      <c r="H820" s="2" t="str">
        <f>IFERROR(__xludf.DUMMYFUNCTION("""COMPUTED_VALUE"""),"Ciencias Sociales y Humanas")</f>
        <v>Ciencias Sociales y Humanas</v>
      </c>
      <c r="I820" s="2" t="str">
        <f>IFERROR(__xludf.DUMMYFUNCTION("""COMPUTED_VALUE"""),"Lenguas Modernas y Gestión, Lengua y Cultura Vasca + Lenguas Modernas, Euskal Hizkuntza eta Kultura")</f>
        <v>Lenguas Modernas y Gestión, Lengua y Cultura Vasca + Lenguas Modernas, Euskal Hizkuntza eta Kultura</v>
      </c>
      <c r="J820" s="2" t="str">
        <f>IFERROR(__xludf.DUMMYFUNCTION("""COMPUTED_VALUE"""),"Grado")</f>
        <v>Grado</v>
      </c>
      <c r="K820" s="2" t="str">
        <f>IFERROR(__xludf.DUMMYFUNCTION("""COMPUTED_VALUE"""),"Inglés")</f>
        <v>Inglés</v>
      </c>
      <c r="L820" s="2" t="str">
        <f>IFERROR(__xludf.DUMMYFUNCTION("""COMPUTED_VALUE"""),"B2")</f>
        <v>B2</v>
      </c>
      <c r="M820" s="2" t="str">
        <f>IFERROR(__xludf.DUMMYFUNCTION("""COMPUTED_VALUE"""),"Sí")</f>
        <v>Sí</v>
      </c>
      <c r="N820" s="3" t="str">
        <f>IFERROR(__xludf.DUMMYFUNCTION("""COMPUTED_VALUE"""),"https://www.manchester.ac.uk/study/international/study-abroad-exchange/applications/#:~:text=an%20English%20language%20test%20(IELTS,or%20higher%20in%20every%20component.")</f>
        <v>https://www.manchester.ac.uk/study/international/study-abroad-exchange/applications/#:~:text=an%20English%20language%20test%20(IELTS,or%20higher%20in%20every%20component.</v>
      </c>
      <c r="O820" s="3" t="str">
        <f>IFERROR(__xludf.DUMMYFUNCTION("""COMPUTED_VALUE"""),"Más información / Informazio gehigarria")</f>
        <v>Más información / Informazio gehigarria</v>
      </c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30.0" customHeight="1">
      <c r="A821" s="2" t="str">
        <f>IFERROR(__xludf.DUMMYFUNCTION("""COMPUTED_VALUE"""),"Reino Unido")</f>
        <v>Reino Unido</v>
      </c>
      <c r="B821" s="2" t="str">
        <f>IFERROR(__xludf.DUMMYFUNCTION("""COMPUTED_VALUE"""),"UK READING01")</f>
        <v>UK READING01</v>
      </c>
      <c r="C821" s="3" t="str">
        <f>IFERROR(__xludf.DUMMYFUNCTION("""COMPUTED_VALUE"""),"University of Reading")</f>
        <v>University of Reading</v>
      </c>
      <c r="D821" s="2" t="str">
        <f>IFERROR(__xludf.DUMMYFUNCTION("""COMPUTED_VALUE"""),"Ac. Bilaterales (no Erasmus)")</f>
        <v>Ac. Bilaterales (no Erasmus)</v>
      </c>
      <c r="E821" s="2">
        <f>IFERROR(__xludf.DUMMYFUNCTION("""COMPUTED_VALUE"""),3.0)</f>
        <v>3</v>
      </c>
      <c r="F821" s="2" t="str">
        <f>IFERROR(__xludf.DUMMYFUNCTION("""COMPUTED_VALUE"""),"Semestre")</f>
        <v>Semestre</v>
      </c>
      <c r="G821" s="2" t="str">
        <f>IFERROR(__xludf.DUMMYFUNCTION("""COMPUTED_VALUE"""),"Bilbao")</f>
        <v>Bilbao</v>
      </c>
      <c r="H821" s="2" t="str">
        <f>IFERROR(__xludf.DUMMYFUNCTION("""COMPUTED_VALUE"""),"Deusto Business School")</f>
        <v>Deusto Business School</v>
      </c>
      <c r="I821" s="2" t="str">
        <f>IFERROR(__xludf.DUMMYFUNCTION("""COMPUTED_VALUE"""),"Administración y Dirección de Empresas")</f>
        <v>Administración y Dirección de Empresas</v>
      </c>
      <c r="J821" s="2" t="str">
        <f>IFERROR(__xludf.DUMMYFUNCTION("""COMPUTED_VALUE"""),"Grado")</f>
        <v>Grado</v>
      </c>
      <c r="K821" s="2" t="str">
        <f>IFERROR(__xludf.DUMMYFUNCTION("""COMPUTED_VALUE"""),"Inglés")</f>
        <v>Inglés</v>
      </c>
      <c r="L821" s="2" t="str">
        <f>IFERROR(__xludf.DUMMYFUNCTION("""COMPUTED_VALUE"""),"C1")</f>
        <v>C1</v>
      </c>
      <c r="M821" s="2" t="str">
        <f>IFERROR(__xludf.DUMMYFUNCTION("""COMPUTED_VALUE"""),"Sí")</f>
        <v>Sí</v>
      </c>
      <c r="N821" s="3" t="str">
        <f>IFERROR(__xludf.DUMMYFUNCTION("""COMPUTED_VALUE"""),"https://studyabroad.reading.ac.uk/incoming/apply/exchange-students/#:~:text=This%20certificate%20serves%20as%20evidence,writing%2C%20speaking%2C%20and%20listening.")</f>
        <v>https://studyabroad.reading.ac.uk/incoming/apply/exchange-students/#:~:text=This%20certificate%20serves%20as%20evidence,writing%2C%20speaking%2C%20and%20listening.</v>
      </c>
      <c r="O821" s="3" t="str">
        <f>IFERROR(__xludf.DUMMYFUNCTION("""COMPUTED_VALUE"""),"Más información / Informazio gehigarria")</f>
        <v>Más información / Informazio gehigarria</v>
      </c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30.0" customHeight="1">
      <c r="A822" s="2" t="str">
        <f>IFERROR(__xludf.DUMMYFUNCTION("""COMPUTED_VALUE"""),"Reino Unido")</f>
        <v>Reino Unido</v>
      </c>
      <c r="B822" s="2" t="str">
        <f>IFERROR(__xludf.DUMMYFUNCTION("""COMPUTED_VALUE"""),"UK READING01")</f>
        <v>UK READING01</v>
      </c>
      <c r="C822" s="3" t="str">
        <f>IFERROR(__xludf.DUMMYFUNCTION("""COMPUTED_VALUE"""),"University of Reading")</f>
        <v>University of Reading</v>
      </c>
      <c r="D822" s="2" t="str">
        <f>IFERROR(__xludf.DUMMYFUNCTION("""COMPUTED_VALUE"""),"Ac. Bilaterales (no Erasmus)")</f>
        <v>Ac. Bilaterales (no Erasmus)</v>
      </c>
      <c r="E822" s="2">
        <f>IFERROR(__xludf.DUMMYFUNCTION("""COMPUTED_VALUE"""),4.0)</f>
        <v>4</v>
      </c>
      <c r="F822" s="2" t="str">
        <f>IFERROR(__xludf.DUMMYFUNCTION("""COMPUTED_VALUE"""),"Semestre")</f>
        <v>Semestre</v>
      </c>
      <c r="G822" s="2" t="str">
        <f>IFERROR(__xludf.DUMMYFUNCTION("""COMPUTED_VALUE"""),"Bilbao")</f>
        <v>Bilbao</v>
      </c>
      <c r="H822" s="2" t="str">
        <f>IFERROR(__xludf.DUMMYFUNCTION("""COMPUTED_VALUE"""),"Ciencias Sociales y Humanas")</f>
        <v>Ciencias Sociales y Humanas</v>
      </c>
      <c r="I822" s="2" t="str">
        <f>IFERROR(__xludf.DUMMYFUNCTION("""COMPUTED_VALUE"""),"Lenguas Modernas, Lengua y Cultura Vasca + Lenguas Modernas, Lenguas Modernas y Gestión, Euskal Hizkuntza eta Kultura")</f>
        <v>Lenguas Modernas, Lengua y Cultura Vasca + Lenguas Modernas, Lenguas Modernas y Gestión, Euskal Hizkuntza eta Kultura</v>
      </c>
      <c r="J822" s="2" t="str">
        <f>IFERROR(__xludf.DUMMYFUNCTION("""COMPUTED_VALUE"""),"Grado")</f>
        <v>Grado</v>
      </c>
      <c r="K822" s="2" t="str">
        <f>IFERROR(__xludf.DUMMYFUNCTION("""COMPUTED_VALUE"""),"Inglés")</f>
        <v>Inglés</v>
      </c>
      <c r="L822" s="2" t="str">
        <f>IFERROR(__xludf.DUMMYFUNCTION("""COMPUTED_VALUE"""),"B2 / C1")</f>
        <v>B2 / C1</v>
      </c>
      <c r="M822" s="2" t="str">
        <f>IFERROR(__xludf.DUMMYFUNCTION("""COMPUTED_VALUE"""),"Sí")</f>
        <v>Sí</v>
      </c>
      <c r="N822" s="3" t="str">
        <f>IFERROR(__xludf.DUMMYFUNCTION("""COMPUTED_VALUE"""),"https://studyabroad.reading.ac.uk/incoming/apply/exchange-students/#:~:text=This%20certificate%20serves%20as%20evidence,writing%2C%20speaking%2C%20and%20listening.")</f>
        <v>https://studyabroad.reading.ac.uk/incoming/apply/exchange-students/#:~:text=This%20certificate%20serves%20as%20evidence,writing%2C%20speaking%2C%20and%20listening.</v>
      </c>
      <c r="O822" s="3" t="str">
        <f>IFERROR(__xludf.DUMMYFUNCTION("""COMPUTED_VALUE"""),"Más información / Informazio gehigarria")</f>
        <v>Más información / Informazio gehigarria</v>
      </c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30.0" customHeight="1">
      <c r="A823" s="2" t="str">
        <f>IFERROR(__xludf.DUMMYFUNCTION("""COMPUTED_VALUE"""),"Reino Unido")</f>
        <v>Reino Unido</v>
      </c>
      <c r="B823" s="2" t="str">
        <f>IFERROR(__xludf.DUMMYFUNCTION("""COMPUTED_VALUE"""),"UK READING01")</f>
        <v>UK READING01</v>
      </c>
      <c r="C823" s="3" t="str">
        <f>IFERROR(__xludf.DUMMYFUNCTION("""COMPUTED_VALUE"""),"University of Reading")</f>
        <v>University of Reading</v>
      </c>
      <c r="D823" s="2" t="str">
        <f>IFERROR(__xludf.DUMMYFUNCTION("""COMPUTED_VALUE"""),"Ac. Bilaterales (no Erasmus)")</f>
        <v>Ac. Bilaterales (no Erasmus)</v>
      </c>
      <c r="E823" s="2">
        <f>IFERROR(__xludf.DUMMYFUNCTION("""COMPUTED_VALUE"""),4.0)</f>
        <v>4</v>
      </c>
      <c r="F823" s="2" t="str">
        <f>IFERROR(__xludf.DUMMYFUNCTION("""COMPUTED_VALUE"""),"Semestre")</f>
        <v>Semestre</v>
      </c>
      <c r="G823" s="2" t="str">
        <f>IFERROR(__xludf.DUMMYFUNCTION("""COMPUTED_VALUE"""),"San Sebastián")</f>
        <v>San Sebastián</v>
      </c>
      <c r="H823" s="2" t="str">
        <f>IFERROR(__xludf.DUMMYFUNCTION("""COMPUTED_VALUE"""),"Deusto Business School")</f>
        <v>Deusto Business School</v>
      </c>
      <c r="I823" s="2" t="str">
        <f>IFERROR(__xludf.DUMMYFUNCTION("""COMPUTED_VALUE"""),"Administración y Dirección de Empresas")</f>
        <v>Administración y Dirección de Empresas</v>
      </c>
      <c r="J823" s="2" t="str">
        <f>IFERROR(__xludf.DUMMYFUNCTION("""COMPUTED_VALUE"""),"Grado")</f>
        <v>Grado</v>
      </c>
      <c r="K823" s="2" t="str">
        <f>IFERROR(__xludf.DUMMYFUNCTION("""COMPUTED_VALUE"""),"Inglés")</f>
        <v>Inglés</v>
      </c>
      <c r="L823" s="2" t="str">
        <f>IFERROR(__xludf.DUMMYFUNCTION("""COMPUTED_VALUE"""),"B2")</f>
        <v>B2</v>
      </c>
      <c r="M823" s="2" t="str">
        <f>IFERROR(__xludf.DUMMYFUNCTION("""COMPUTED_VALUE"""),"No")</f>
        <v>No</v>
      </c>
      <c r="N823" s="3" t="str">
        <f>IFERROR(__xludf.DUMMYFUNCTION("""COMPUTED_VALUE"""),"https://studyabroad.reading.ac.uk/incoming/apply/exchange-students/#:~:text=This%20certificate%20serves%20as%20evidence,writing%2C%20speaking%2C%20and%20listening.")</f>
        <v>https://studyabroad.reading.ac.uk/incoming/apply/exchange-students/#:~:text=This%20certificate%20serves%20as%20evidence,writing%2C%20speaking%2C%20and%20listening.</v>
      </c>
      <c r="O823" s="3" t="str">
        <f>IFERROR(__xludf.DUMMYFUNCTION("""COMPUTED_VALUE"""),"Más información / Informazio gehigarria")</f>
        <v>Más información / Informazio gehigarria</v>
      </c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30.0" customHeight="1">
      <c r="A824" s="2" t="str">
        <f>IFERROR(__xludf.DUMMYFUNCTION("""COMPUTED_VALUE"""),"Reino Unido")</f>
        <v>Reino Unido</v>
      </c>
      <c r="B824" s="2" t="str">
        <f>IFERROR(__xludf.DUMMYFUNCTION("""COMPUTED_VALUE"""),"UK READING01")</f>
        <v>UK READING01</v>
      </c>
      <c r="C824" s="3" t="str">
        <f>IFERROR(__xludf.DUMMYFUNCTION("""COMPUTED_VALUE"""),"University of Reading")</f>
        <v>University of Reading</v>
      </c>
      <c r="D824" s="2" t="str">
        <f>IFERROR(__xludf.DUMMYFUNCTION("""COMPUTED_VALUE"""),"Ac. Bilaterales (no Erasmus)")</f>
        <v>Ac. Bilaterales (no Erasmus)</v>
      </c>
      <c r="E824" s="2">
        <f>IFERROR(__xludf.DUMMYFUNCTION("""COMPUTED_VALUE"""),2.0)</f>
        <v>2</v>
      </c>
      <c r="F824" s="2" t="str">
        <f>IFERROR(__xludf.DUMMYFUNCTION("""COMPUTED_VALUE"""),"Anual")</f>
        <v>Anual</v>
      </c>
      <c r="G824" s="2" t="str">
        <f>IFERROR(__xludf.DUMMYFUNCTION("""COMPUTED_VALUE"""),"Bilbao")</f>
        <v>Bilbao</v>
      </c>
      <c r="H824" s="2" t="str">
        <f>IFERROR(__xludf.DUMMYFUNCTION("""COMPUTED_VALUE"""),"Ciencias Sociales y Humanas")</f>
        <v>Ciencias Sociales y Humanas</v>
      </c>
      <c r="I824" s="2" t="str">
        <f>IFERROR(__xludf.DUMMYFUNCTION("""COMPUTED_VALUE"""),"Relaciones Internacionales, Relaciones Internacionales + Derecho")</f>
        <v>Relaciones Internacionales, Relaciones Internacionales + Derecho</v>
      </c>
      <c r="J824" s="2" t="str">
        <f>IFERROR(__xludf.DUMMYFUNCTION("""COMPUTED_VALUE"""),"Grado")</f>
        <v>Grado</v>
      </c>
      <c r="K824" s="2" t="str">
        <f>IFERROR(__xludf.DUMMYFUNCTION("""COMPUTED_VALUE"""),"Inglés")</f>
        <v>Inglés</v>
      </c>
      <c r="L824" s="2" t="str">
        <f>IFERROR(__xludf.DUMMYFUNCTION("""COMPUTED_VALUE"""),"B2 / C1")</f>
        <v>B2 / C1</v>
      </c>
      <c r="M824" s="2" t="str">
        <f>IFERROR(__xludf.DUMMYFUNCTION("""COMPUTED_VALUE"""),"Sí")</f>
        <v>Sí</v>
      </c>
      <c r="N824" s="3" t="str">
        <f>IFERROR(__xludf.DUMMYFUNCTION("""COMPUTED_VALUE"""),"https://studyabroad.reading.ac.uk/incoming/apply/exchange-students/#:~:text=This%20certificate%20serves%20as%20evidence,writing%2C%20speaking%2C%20and%20listening.")</f>
        <v>https://studyabroad.reading.ac.uk/incoming/apply/exchange-students/#:~:text=This%20certificate%20serves%20as%20evidence,writing%2C%20speaking%2C%20and%20listening.</v>
      </c>
      <c r="O824" s="3" t="str">
        <f>IFERROR(__xludf.DUMMYFUNCTION("""COMPUTED_VALUE"""),"Más información / Informazio gehigarria")</f>
        <v>Más información / Informazio gehigarria</v>
      </c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30.0" customHeight="1">
      <c r="A825" s="2" t="str">
        <f>IFERROR(__xludf.DUMMYFUNCTION("""COMPUTED_VALUE"""),"Reino Unido")</f>
        <v>Reino Unido</v>
      </c>
      <c r="B825" s="2" t="str">
        <f>IFERROR(__xludf.DUMMYFUNCTION("""COMPUTED_VALUE"""),"UK GLASGOW02")</f>
        <v>UK GLASGOW02</v>
      </c>
      <c r="C825" s="3" t="str">
        <f>IFERROR(__xludf.DUMMYFUNCTION("""COMPUTED_VALUE"""),"University of Strathclyde")</f>
        <v>University of Strathclyde</v>
      </c>
      <c r="D825" s="2" t="str">
        <f>IFERROR(__xludf.DUMMYFUNCTION("""COMPUTED_VALUE"""),"Ac. Bilaterales (no Erasmus)")</f>
        <v>Ac. Bilaterales (no Erasmus)</v>
      </c>
      <c r="E825" s="2">
        <f>IFERROR(__xludf.DUMMYFUNCTION("""COMPUTED_VALUE"""),4.0)</f>
        <v>4</v>
      </c>
      <c r="F825" s="2" t="str">
        <f>IFERROR(__xludf.DUMMYFUNCTION("""COMPUTED_VALUE"""),"Semestre")</f>
        <v>Semestre</v>
      </c>
      <c r="G825" s="2" t="str">
        <f>IFERROR(__xludf.DUMMYFUNCTION("""COMPUTED_VALUE"""),"Bilbao")</f>
        <v>Bilbao</v>
      </c>
      <c r="H825" s="2" t="str">
        <f>IFERROR(__xludf.DUMMYFUNCTION("""COMPUTED_VALUE"""),"Deusto Business School")</f>
        <v>Deusto Business School</v>
      </c>
      <c r="I825" s="2" t="str">
        <f>IFERROR(__xludf.DUMMYFUNCTION("""COMPUTED_VALUE"""),"Administración y Dirección de Empresas")</f>
        <v>Administración y Dirección de Empresas</v>
      </c>
      <c r="J825" s="2" t="str">
        <f>IFERROR(__xludf.DUMMYFUNCTION("""COMPUTED_VALUE"""),"Grado")</f>
        <v>Grado</v>
      </c>
      <c r="K825" s="2" t="str">
        <f>IFERROR(__xludf.DUMMYFUNCTION("""COMPUTED_VALUE"""),"Inglés")</f>
        <v>Inglés</v>
      </c>
      <c r="L825" s="2" t="str">
        <f>IFERROR(__xludf.DUMMYFUNCTION("""COMPUTED_VALUE"""),"C1")</f>
        <v>C1</v>
      </c>
      <c r="M825" s="2" t="str">
        <f>IFERROR(__xludf.DUMMYFUNCTION("""COMPUTED_VALUE"""),"Sí")</f>
        <v>Sí</v>
      </c>
      <c r="N825" s="3" t="str">
        <f>IFERROR(__xludf.DUMMYFUNCTION("""COMPUTED_VALUE"""),"https://www.strath.ac.uk/business/undergraduate/international/comingtostrathclyde/erasmusexchange/#:~:text=be%20found%20here.-,Language%20Requirements,individual%20test%20score%20below%205.5).")</f>
        <v>https://www.strath.ac.uk/business/undergraduate/international/comingtostrathclyde/erasmusexchange/#:~:text=be%20found%20here.-,Language%20Requirements,individual%20test%20score%20below%205.5).</v>
      </c>
      <c r="O825" s="3" t="str">
        <f>IFERROR(__xludf.DUMMYFUNCTION("""COMPUTED_VALUE"""),"Más información / Informazio gehigarria")</f>
        <v>Más información / Informazio gehigarria</v>
      </c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30.0" customHeight="1">
      <c r="A826" s="2" t="str">
        <f>IFERROR(__xludf.DUMMYFUNCTION("""COMPUTED_VALUE"""),"Reino Unido")</f>
        <v>Reino Unido</v>
      </c>
      <c r="B826" s="2" t="str">
        <f>IFERROR(__xludf.DUMMYFUNCTION("""COMPUTED_VALUE"""),"UK GLASGOW02")</f>
        <v>UK GLASGOW02</v>
      </c>
      <c r="C826" s="3" t="str">
        <f>IFERROR(__xludf.DUMMYFUNCTION("""COMPUTED_VALUE"""),"University of Strathclyde")</f>
        <v>University of Strathclyde</v>
      </c>
      <c r="D826" s="2" t="str">
        <f>IFERROR(__xludf.DUMMYFUNCTION("""COMPUTED_VALUE"""),"Ac. Bilaterales (no Erasmus)")</f>
        <v>Ac. Bilaterales (no Erasmus)</v>
      </c>
      <c r="E826" s="2">
        <f>IFERROR(__xludf.DUMMYFUNCTION("""COMPUTED_VALUE"""),4.0)</f>
        <v>4</v>
      </c>
      <c r="F826" s="2" t="str">
        <f>IFERROR(__xludf.DUMMYFUNCTION("""COMPUTED_VALUE"""),"Semestre")</f>
        <v>Semestre</v>
      </c>
      <c r="G826" s="2" t="str">
        <f>IFERROR(__xludf.DUMMYFUNCTION("""COMPUTED_VALUE"""),"Ambos")</f>
        <v>Ambos</v>
      </c>
      <c r="H826" s="2" t="str">
        <f>IFERROR(__xludf.DUMMYFUNCTION("""COMPUTED_VALUE"""),"Derecho")</f>
        <v>Derecho</v>
      </c>
      <c r="I826" s="2" t="str">
        <f>IFERROR(__xludf.DUMMYFUNCTION("""COMPUTED_VALUE"""),"Derecho, Derecho + Relaciones Laborales")</f>
        <v>Derecho, Derecho + Relaciones Laborales</v>
      </c>
      <c r="J826" s="2" t="str">
        <f>IFERROR(__xludf.DUMMYFUNCTION("""COMPUTED_VALUE"""),"Grado")</f>
        <v>Grado</v>
      </c>
      <c r="K826" s="2" t="str">
        <f>IFERROR(__xludf.DUMMYFUNCTION("""COMPUTED_VALUE"""),"Inglés")</f>
        <v>Inglés</v>
      </c>
      <c r="L826" s="2" t="str">
        <f>IFERROR(__xludf.DUMMYFUNCTION("""COMPUTED_VALUE"""),"B2")</f>
        <v>B2</v>
      </c>
      <c r="M826" s="2" t="str">
        <f>IFERROR(__xludf.DUMMYFUNCTION("""COMPUTED_VALUE"""),"Sí")</f>
        <v>Sí</v>
      </c>
      <c r="N826" s="3" t="str">
        <f>IFERROR(__xludf.DUMMYFUNCTION("""COMPUTED_VALUE"""),"https://www.strath.ac.uk/business/undergraduate/international/comingtostrathclyde/erasmusexchange/#:~:text=be%20found%20here.-,Language%20Requirements,individual%20test%20score%20below%205.5).")</f>
        <v>https://www.strath.ac.uk/business/undergraduate/international/comingtostrathclyde/erasmusexchange/#:~:text=be%20found%20here.-,Language%20Requirements,individual%20test%20score%20below%205.5).</v>
      </c>
      <c r="O826" s="3" t="str">
        <f>IFERROR(__xludf.DUMMYFUNCTION("""COMPUTED_VALUE"""),"Más información / Informazio gehigarria")</f>
        <v>Más información / Informazio gehigarria</v>
      </c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30.0" customHeight="1">
      <c r="A827" s="2" t="str">
        <f>IFERROR(__xludf.DUMMYFUNCTION("""COMPUTED_VALUE"""),"Reino Unido")</f>
        <v>Reino Unido</v>
      </c>
      <c r="B827" s="2" t="str">
        <f>IFERROR(__xludf.DUMMYFUNCTION("""COMPUTED_VALUE"""),"UK GLASGOW02")</f>
        <v>UK GLASGOW02</v>
      </c>
      <c r="C827" s="3" t="str">
        <f>IFERROR(__xludf.DUMMYFUNCTION("""COMPUTED_VALUE"""),"University of Strathclyde")</f>
        <v>University of Strathclyde</v>
      </c>
      <c r="D827" s="2" t="str">
        <f>IFERROR(__xludf.DUMMYFUNCTION("""COMPUTED_VALUE"""),"Ac. Bilaterales (no Erasmus)")</f>
        <v>Ac. Bilaterales (no Erasmus)</v>
      </c>
      <c r="E827" s="2">
        <f>IFERROR(__xludf.DUMMYFUNCTION("""COMPUTED_VALUE"""),8.0)</f>
        <v>8</v>
      </c>
      <c r="F827" s="2" t="str">
        <f>IFERROR(__xludf.DUMMYFUNCTION("""COMPUTED_VALUE"""),"Semestre")</f>
        <v>Semestre</v>
      </c>
      <c r="G827" s="2" t="str">
        <f>IFERROR(__xludf.DUMMYFUNCTION("""COMPUTED_VALUE"""),"San Sebastián")</f>
        <v>San Sebastián</v>
      </c>
      <c r="H827" s="2" t="str">
        <f>IFERROR(__xludf.DUMMYFUNCTION("""COMPUTED_VALUE"""),"Deusto Business School")</f>
        <v>Deusto Business School</v>
      </c>
      <c r="I827" s="2" t="str">
        <f>IFERROR(__xludf.DUMMYFUNCTION("""COMPUTED_VALUE"""),"Administración y Dirección de Empresas")</f>
        <v>Administración y Dirección de Empresas</v>
      </c>
      <c r="J827" s="2" t="str">
        <f>IFERROR(__xludf.DUMMYFUNCTION("""COMPUTED_VALUE"""),"Grado")</f>
        <v>Grado</v>
      </c>
      <c r="K827" s="2" t="str">
        <f>IFERROR(__xludf.DUMMYFUNCTION("""COMPUTED_VALUE"""),"Inglés")</f>
        <v>Inglés</v>
      </c>
      <c r="L827" s="2" t="str">
        <f>IFERROR(__xludf.DUMMYFUNCTION("""COMPUTED_VALUE"""),"C1")</f>
        <v>C1</v>
      </c>
      <c r="M827" s="2" t="str">
        <f>IFERROR(__xludf.DUMMYFUNCTION("""COMPUTED_VALUE"""),"Sí")</f>
        <v>Sí</v>
      </c>
      <c r="N827" s="3" t="str">
        <f>IFERROR(__xludf.DUMMYFUNCTION("""COMPUTED_VALUE"""),"https://www.strath.ac.uk/business/undergraduate/international/comingtostrathclyde/erasmusexchange/#:~:text=be%20found%20here.-,Language%20Requirements,individual%20test%20score%20below%205.5).")</f>
        <v>https://www.strath.ac.uk/business/undergraduate/international/comingtostrathclyde/erasmusexchange/#:~:text=be%20found%20here.-,Language%20Requirements,individual%20test%20score%20below%205.5).</v>
      </c>
      <c r="O827" s="3" t="str">
        <f>IFERROR(__xludf.DUMMYFUNCTION("""COMPUTED_VALUE"""),"Más información / Informazio gehigarria")</f>
        <v>Más información / Informazio gehigarria</v>
      </c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30.0" customHeight="1">
      <c r="A828" s="2" t="str">
        <f>IFERROR(__xludf.DUMMYFUNCTION("""COMPUTED_VALUE"""),"Reino Unido")</f>
        <v>Reino Unido</v>
      </c>
      <c r="B828" s="2" t="str">
        <f>IFERROR(__xludf.DUMMYFUNCTION("""COMPUTED_VALUE"""),"UK LONDON93")</f>
        <v>UK LONDON93</v>
      </c>
      <c r="C828" s="3" t="str">
        <f>IFERROR(__xludf.DUMMYFUNCTION("""COMPUTED_VALUE"""),"Roehampton University")</f>
        <v>Roehampton University</v>
      </c>
      <c r="D828" s="2" t="str">
        <f>IFERROR(__xludf.DUMMYFUNCTION("""COMPUTED_VALUE"""),"Ac. Bilaterales (no Erasmus)")</f>
        <v>Ac. Bilaterales (no Erasmus)</v>
      </c>
      <c r="E828" s="2">
        <f>IFERROR(__xludf.DUMMYFUNCTION("""COMPUTED_VALUE"""),4.0)</f>
        <v>4</v>
      </c>
      <c r="F828" s="2" t="str">
        <f>IFERROR(__xludf.DUMMYFUNCTION("""COMPUTED_VALUE"""),"Anual")</f>
        <v>Anual</v>
      </c>
      <c r="G828" s="2" t="str">
        <f>IFERROR(__xludf.DUMMYFUNCTION("""COMPUTED_VALUE"""),"Bilbao")</f>
        <v>Bilbao</v>
      </c>
      <c r="H828" s="2" t="str">
        <f>IFERROR(__xludf.DUMMYFUNCTION("""COMPUTED_VALUE"""),"Ciencias Sociales y Humanas")</f>
        <v>Ciencias Sociales y Humanas</v>
      </c>
      <c r="I828" s="2" t="str">
        <f>IFERROR(__xludf.DUMMYFUNCTION("""COMPUTED_VALUE"""),"MA in Human Rights Policy and Practice")</f>
        <v>MA in Human Rights Policy and Practice</v>
      </c>
      <c r="J828" s="2" t="str">
        <f>IFERROR(__xludf.DUMMYFUNCTION("""COMPUTED_VALUE"""),"Master")</f>
        <v>Master</v>
      </c>
      <c r="K828" s="2" t="str">
        <f>IFERROR(__xludf.DUMMYFUNCTION("""COMPUTED_VALUE"""),"Inglés")</f>
        <v>Inglés</v>
      </c>
      <c r="L828" s="2" t="str">
        <f>IFERROR(__xludf.DUMMYFUNCTION("""COMPUTED_VALUE"""),"C1")</f>
        <v>C1</v>
      </c>
      <c r="M828" s="2" t="str">
        <f>IFERROR(__xludf.DUMMYFUNCTION("""COMPUTED_VALUE"""),"Sí")</f>
        <v>Sí</v>
      </c>
      <c r="N828" s="3" t="str">
        <f>IFERROR(__xludf.DUMMYFUNCTION("""COMPUTED_VALUE"""),"https://www.roehampton.ac.uk/")</f>
        <v>https://www.roehampton.ac.uk/</v>
      </c>
      <c r="O828" s="3" t="str">
        <f>IFERROR(__xludf.DUMMYFUNCTION("""COMPUTED_VALUE"""),"Más información / Informazio gehigarria")</f>
        <v>Más información / Informazio gehigarria</v>
      </c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30.0" customHeight="1">
      <c r="A829" s="2" t="str">
        <f>IFERROR(__xludf.DUMMYFUNCTION("""COMPUTED_VALUE"""),"Reino Unido")</f>
        <v>Reino Unido</v>
      </c>
      <c r="B829" s="2"/>
      <c r="C829" s="3" t="str">
        <f>IFERROR(__xludf.DUMMYFUNCTION("""COMPUTED_VALUE"""),"Newcastle University")</f>
        <v>Newcastle University</v>
      </c>
      <c r="D829" s="2" t="str">
        <f>IFERROR(__xludf.DUMMYFUNCTION("""COMPUTED_VALUE"""),"Ac. Bilaterales (no Erasmus)")</f>
        <v>Ac. Bilaterales (no Erasmus)</v>
      </c>
      <c r="E829" s="2">
        <f>IFERROR(__xludf.DUMMYFUNCTION("""COMPUTED_VALUE"""),4.0)</f>
        <v>4</v>
      </c>
      <c r="F829" s="2" t="str">
        <f>IFERROR(__xludf.DUMMYFUNCTION("""COMPUTED_VALUE"""),"Semestre")</f>
        <v>Semestre</v>
      </c>
      <c r="G829" s="2" t="str">
        <f>IFERROR(__xludf.DUMMYFUNCTION("""COMPUTED_VALUE"""),"Bilbao")</f>
        <v>Bilbao</v>
      </c>
      <c r="H829" s="2" t="str">
        <f>IFERROR(__xludf.DUMMYFUNCTION("""COMPUTED_VALUE"""),"Deusto Business School")</f>
        <v>Deusto Business School</v>
      </c>
      <c r="I829" s="2" t="str">
        <f>IFERROR(__xludf.DUMMYFUNCTION("""COMPUTED_VALUE"""),"Administración y Dirección de Empresas")</f>
        <v>Administración y Dirección de Empresas</v>
      </c>
      <c r="J829" s="2" t="str">
        <f>IFERROR(__xludf.DUMMYFUNCTION("""COMPUTED_VALUE"""),"Grado")</f>
        <v>Grado</v>
      </c>
      <c r="K829" s="2" t="str">
        <f>IFERROR(__xludf.DUMMYFUNCTION("""COMPUTED_VALUE"""),"Inglés")</f>
        <v>Inglés</v>
      </c>
      <c r="L829" s="2" t="str">
        <f>IFERROR(__xludf.DUMMYFUNCTION("""COMPUTED_VALUE"""),"C1")</f>
        <v>C1</v>
      </c>
      <c r="M829" s="2"/>
      <c r="N829" s="2"/>
      <c r="O829" s="2" t="str">
        <f>IFERROR(__xludf.DUMMYFUNCTION("""COMPUTED_VALUE"""),"Más información / Informazio gehigarria")</f>
        <v>Más información / Informazio gehigarria</v>
      </c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30.0" customHeight="1">
      <c r="A830" s="2" t="str">
        <f>IFERROR(__xludf.DUMMYFUNCTION("""COMPUTED_VALUE"""),"Reino Unido")</f>
        <v>Reino Unido</v>
      </c>
      <c r="B830" s="2"/>
      <c r="C830" s="3" t="str">
        <f>IFERROR(__xludf.DUMMYFUNCTION("""COMPUTED_VALUE"""),"Newcastle University")</f>
        <v>Newcastle University</v>
      </c>
      <c r="D830" s="2" t="str">
        <f>IFERROR(__xludf.DUMMYFUNCTION("""COMPUTED_VALUE"""),"Ac. Bilaterales (no Erasmus)")</f>
        <v>Ac. Bilaterales (no Erasmus)</v>
      </c>
      <c r="E830" s="2">
        <f>IFERROR(__xludf.DUMMYFUNCTION("""COMPUTED_VALUE"""),2.0)</f>
        <v>2</v>
      </c>
      <c r="F830" s="2" t="str">
        <f>IFERROR(__xludf.DUMMYFUNCTION("""COMPUTED_VALUE"""),"Anual")</f>
        <v>Anual</v>
      </c>
      <c r="G830" s="2" t="str">
        <f>IFERROR(__xludf.DUMMYFUNCTION("""COMPUTED_VALUE"""),"Bilbao")</f>
        <v>Bilbao</v>
      </c>
      <c r="H830" s="2" t="str">
        <f>IFERROR(__xludf.DUMMYFUNCTION("""COMPUTED_VALUE"""),"Ciencias Sociales y Humanas")</f>
        <v>Ciencias Sociales y Humanas</v>
      </c>
      <c r="I830" s="2" t="str">
        <f>IFERROR(__xludf.DUMMYFUNCTION("""COMPUTED_VALUE"""),"Lenguas Modernas, Lengua y Cultura Vasca + Lenguas Modernas, Lenguas Modernas y Gestión, Euskal Hizkuntza eta Kultura")</f>
        <v>Lenguas Modernas, Lengua y Cultura Vasca + Lenguas Modernas, Lenguas Modernas y Gestión, Euskal Hizkuntza eta Kultura</v>
      </c>
      <c r="J830" s="2" t="str">
        <f>IFERROR(__xludf.DUMMYFUNCTION("""COMPUTED_VALUE"""),"Grado")</f>
        <v>Grado</v>
      </c>
      <c r="K830" s="2" t="str">
        <f>IFERROR(__xludf.DUMMYFUNCTION("""COMPUTED_VALUE"""),"Inglés")</f>
        <v>Inglés</v>
      </c>
      <c r="L830" s="2"/>
      <c r="M830" s="2"/>
      <c r="N830" s="2"/>
      <c r="O830" s="2" t="str">
        <f>IFERROR(__xludf.DUMMYFUNCTION("""COMPUTED_VALUE"""),"Más información / Informazio gehigarria")</f>
        <v>Más información / Informazio gehigarria</v>
      </c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30.0" customHeight="1">
      <c r="A831" s="2" t="str">
        <f>IFERROR(__xludf.DUMMYFUNCTION("""COMPUTED_VALUE"""),"Reino Unido")</f>
        <v>Reino Unido</v>
      </c>
      <c r="B831" s="2"/>
      <c r="C831" s="3" t="str">
        <f>IFERROR(__xludf.DUMMYFUNCTION("""COMPUTED_VALUE"""),"Newcastle University")</f>
        <v>Newcastle University</v>
      </c>
      <c r="D831" s="2" t="str">
        <f>IFERROR(__xludf.DUMMYFUNCTION("""COMPUTED_VALUE"""),"Ac. Bilaterales (no Erasmus)")</f>
        <v>Ac. Bilaterales (no Erasmus)</v>
      </c>
      <c r="E831" s="2">
        <f>IFERROR(__xludf.DUMMYFUNCTION("""COMPUTED_VALUE"""),2.0)</f>
        <v>2</v>
      </c>
      <c r="F831" s="2" t="str">
        <f>IFERROR(__xludf.DUMMYFUNCTION("""COMPUTED_VALUE"""),"Anual")</f>
        <v>Anual</v>
      </c>
      <c r="G831" s="2" t="str">
        <f>IFERROR(__xludf.DUMMYFUNCTION("""COMPUTED_VALUE"""),"Bilbao")</f>
        <v>Bilbao</v>
      </c>
      <c r="H831" s="2" t="str">
        <f>IFERROR(__xludf.DUMMYFUNCTION("""COMPUTED_VALUE"""),"Ciencias Sociales y Humanas")</f>
        <v>Ciencias Sociales y Humanas</v>
      </c>
      <c r="I831" s="2" t="str">
        <f>IFERROR(__xludf.DUMMYFUNCTION("""COMPUTED_VALUE"""),"Relaciones Internacionales, Relaciones Internacionales + Derecho")</f>
        <v>Relaciones Internacionales, Relaciones Internacionales + Derecho</v>
      </c>
      <c r="J831" s="2" t="str">
        <f>IFERROR(__xludf.DUMMYFUNCTION("""COMPUTED_VALUE"""),"Grado")</f>
        <v>Grado</v>
      </c>
      <c r="K831" s="2" t="str">
        <f>IFERROR(__xludf.DUMMYFUNCTION("""COMPUTED_VALUE"""),"Inglés")</f>
        <v>Inglés</v>
      </c>
      <c r="L831" s="2"/>
      <c r="M831" s="2"/>
      <c r="N831" s="2"/>
      <c r="O831" s="2" t="str">
        <f>IFERROR(__xludf.DUMMYFUNCTION("""COMPUTED_VALUE"""),"Más información / Informazio gehigarria")</f>
        <v>Más información / Informazio gehigarria</v>
      </c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30.0" customHeight="1">
      <c r="A832" s="2" t="str">
        <f>IFERROR(__xludf.DUMMYFUNCTION("""COMPUTED_VALUE"""),"Reino Unido")</f>
        <v>Reino Unido</v>
      </c>
      <c r="B832" s="2"/>
      <c r="C832" s="3" t="str">
        <f>IFERROR(__xludf.DUMMYFUNCTION("""COMPUTED_VALUE"""),"Newcastle University")</f>
        <v>Newcastle University</v>
      </c>
      <c r="D832" s="2" t="str">
        <f>IFERROR(__xludf.DUMMYFUNCTION("""COMPUTED_VALUE"""),"Ac. Bilaterales (no Erasmus)")</f>
        <v>Ac. Bilaterales (no Erasmus)</v>
      </c>
      <c r="E832" s="2">
        <f>IFERROR(__xludf.DUMMYFUNCTION("""COMPUTED_VALUE"""),2.0)</f>
        <v>2</v>
      </c>
      <c r="F832" s="2" t="str">
        <f>IFERROR(__xludf.DUMMYFUNCTION("""COMPUTED_VALUE"""),"Semestre")</f>
        <v>Semestre</v>
      </c>
      <c r="G832" s="2" t="str">
        <f>IFERROR(__xludf.DUMMYFUNCTION("""COMPUTED_VALUE"""),"Bilbao")</f>
        <v>Bilbao</v>
      </c>
      <c r="H832" s="2" t="str">
        <f>IFERROR(__xludf.DUMMYFUNCTION("""COMPUTED_VALUE"""),"Educación y Deporte")</f>
        <v>Educación y Deporte</v>
      </c>
      <c r="I832" s="2" t="str">
        <f>IFERROR(__xludf.DUMMYFUNCTION("""COMPUTED_VALUE"""),"CAFyD")</f>
        <v>CAFyD</v>
      </c>
      <c r="J832" s="2" t="str">
        <f>IFERROR(__xludf.DUMMYFUNCTION("""COMPUTED_VALUE"""),"Grado")</f>
        <v>Grado</v>
      </c>
      <c r="K832" s="2" t="str">
        <f>IFERROR(__xludf.DUMMYFUNCTION("""COMPUTED_VALUE"""),"Inglés")</f>
        <v>Inglés</v>
      </c>
      <c r="L832" s="2"/>
      <c r="M832" s="2"/>
      <c r="N832" s="2"/>
      <c r="O832" s="2" t="str">
        <f>IFERROR(__xludf.DUMMYFUNCTION("""COMPUTED_VALUE"""),"Más información / Informazio gehigarria")</f>
        <v>Más información / Informazio gehigarria</v>
      </c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30.0" customHeight="1">
      <c r="A833" s="2" t="str">
        <f>IFERROR(__xludf.DUMMYFUNCTION("""COMPUTED_VALUE"""),"Reino Unido")</f>
        <v>Reino Unido</v>
      </c>
      <c r="B833" s="2"/>
      <c r="C833" s="3" t="str">
        <f>IFERROR(__xludf.DUMMYFUNCTION("""COMPUTED_VALUE"""),"Newcastle University")</f>
        <v>Newcastle University</v>
      </c>
      <c r="D833" s="2" t="str">
        <f>IFERROR(__xludf.DUMMYFUNCTION("""COMPUTED_VALUE"""),"Ac. Bilaterales (no Erasmus)")</f>
        <v>Ac. Bilaterales (no Erasmus)</v>
      </c>
      <c r="E833" s="2">
        <f>IFERROR(__xludf.DUMMYFUNCTION("""COMPUTED_VALUE"""),4.0)</f>
        <v>4</v>
      </c>
      <c r="F833" s="2" t="str">
        <f>IFERROR(__xludf.DUMMYFUNCTION("""COMPUTED_VALUE"""),"Semestre")</f>
        <v>Semestre</v>
      </c>
      <c r="G833" s="2" t="str">
        <f>IFERROR(__xludf.DUMMYFUNCTION("""COMPUTED_VALUE"""),"Bilbao")</f>
        <v>Bilbao</v>
      </c>
      <c r="H833" s="2" t="str">
        <f>IFERROR(__xludf.DUMMYFUNCTION("""COMPUTED_VALUE"""),"Ingeniería")</f>
        <v>Ingeniería</v>
      </c>
      <c r="I833" s="2" t="str">
        <f>IFERROR(__xludf.DUMMYFUNCTION("""COMPUTED_VALUE"""),"Ingeniería Biomédica")</f>
        <v>Ingeniería Biomédica</v>
      </c>
      <c r="J833" s="2" t="str">
        <f>IFERROR(__xludf.DUMMYFUNCTION("""COMPUTED_VALUE"""),"Grado")</f>
        <v>Grado</v>
      </c>
      <c r="K833" s="2" t="str">
        <f>IFERROR(__xludf.DUMMYFUNCTION("""COMPUTED_VALUE"""),"Inglés")</f>
        <v>Inglés</v>
      </c>
      <c r="L833" s="2"/>
      <c r="M833" s="2"/>
      <c r="N833" s="2"/>
      <c r="O833" s="2" t="str">
        <f>IFERROR(__xludf.DUMMYFUNCTION("""COMPUTED_VALUE"""),"Más información / Informazio gehigarria")</f>
        <v>Más información / Informazio gehigarria</v>
      </c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30.0" customHeight="1">
      <c r="A834" s="2" t="str">
        <f>IFERROR(__xludf.DUMMYFUNCTION("""COMPUTED_VALUE"""),"Reino Unido")</f>
        <v>Reino Unido</v>
      </c>
      <c r="B834" s="2"/>
      <c r="C834" s="3" t="str">
        <f>IFERROR(__xludf.DUMMYFUNCTION("""COMPUTED_VALUE"""),"Kingston University London")</f>
        <v>Kingston University London</v>
      </c>
      <c r="D834" s="2" t="str">
        <f>IFERROR(__xludf.DUMMYFUNCTION("""COMPUTED_VALUE"""),"Ac. Bilaterales (no Erasmus)")</f>
        <v>Ac. Bilaterales (no Erasmus)</v>
      </c>
      <c r="E834" s="2">
        <f>IFERROR(__xludf.DUMMYFUNCTION("""COMPUTED_VALUE"""),3.0)</f>
        <v>3</v>
      </c>
      <c r="F834" s="2" t="str">
        <f>IFERROR(__xludf.DUMMYFUNCTION("""COMPUTED_VALUE"""),"Semestre")</f>
        <v>Semestre</v>
      </c>
      <c r="G834" s="2" t="str">
        <f>IFERROR(__xludf.DUMMYFUNCTION("""COMPUTED_VALUE"""),"Bilbao")</f>
        <v>Bilbao</v>
      </c>
      <c r="H834" s="2" t="str">
        <f>IFERROR(__xludf.DUMMYFUNCTION("""COMPUTED_VALUE"""),"Derecho")</f>
        <v>Derecho</v>
      </c>
      <c r="I834" s="2" t="str">
        <f>IFERROR(__xludf.DUMMYFUNCTION("""COMPUTED_VALUE"""),"Derecho, Derecho + Relaciones Laborales")</f>
        <v>Derecho, Derecho + Relaciones Laborales</v>
      </c>
      <c r="J834" s="2" t="str">
        <f>IFERROR(__xludf.DUMMYFUNCTION("""COMPUTED_VALUE"""),"Grado")</f>
        <v>Grado</v>
      </c>
      <c r="K834" s="2" t="str">
        <f>IFERROR(__xludf.DUMMYFUNCTION("""COMPUTED_VALUE"""),"Inglés")</f>
        <v>Inglés</v>
      </c>
      <c r="L834" s="2"/>
      <c r="M834" s="2"/>
      <c r="N834" s="3" t="str">
        <f>IFERROR(__xludf.DUMMYFUNCTION("""COMPUTED_VALUE"""),"https://www.kingston.ac.uk/")</f>
        <v>https://www.kingston.ac.uk/</v>
      </c>
      <c r="O834" s="3" t="str">
        <f>IFERROR(__xludf.DUMMYFUNCTION("""COMPUTED_VALUE"""),"Más información / Informazio gehigarria")</f>
        <v>Más información / Informazio gehigarria</v>
      </c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30.0" customHeight="1">
      <c r="A835" s="2" t="str">
        <f>IFERROR(__xludf.DUMMYFUNCTION("""COMPUTED_VALUE"""),"República Checa")</f>
        <v>República Checa</v>
      </c>
      <c r="B835" s="2" t="str">
        <f>IFERROR(__xludf.DUMMYFUNCTION("""COMPUTED_VALUE"""),"CZ PRAHA07")</f>
        <v>CZ PRAHA07</v>
      </c>
      <c r="C835" s="3" t="str">
        <f>IFERROR(__xludf.DUMMYFUNCTION("""COMPUTED_VALUE"""),"Charles University in Prague")</f>
        <v>Charles University in Prague</v>
      </c>
      <c r="D835" s="2" t="str">
        <f>IFERROR(__xludf.DUMMYFUNCTION("""COMPUTED_VALUE"""),"Erasmus+")</f>
        <v>Erasmus+</v>
      </c>
      <c r="E835" s="2">
        <f>IFERROR(__xludf.DUMMYFUNCTION("""COMPUTED_VALUE"""),2.0)</f>
        <v>2</v>
      </c>
      <c r="F835" s="2" t="str">
        <f>IFERROR(__xludf.DUMMYFUNCTION("""COMPUTED_VALUE"""),"Semestre")</f>
        <v>Semestre</v>
      </c>
      <c r="G835" s="2" t="str">
        <f>IFERROR(__xludf.DUMMYFUNCTION("""COMPUTED_VALUE"""),"Bilbao")</f>
        <v>Bilbao</v>
      </c>
      <c r="H835" s="2" t="str">
        <f>IFERROR(__xludf.DUMMYFUNCTION("""COMPUTED_VALUE"""),"Ciencias Sociales y Humanas")</f>
        <v>Ciencias Sociales y Humanas</v>
      </c>
      <c r="I835" s="2" t="str">
        <f>IFERROR(__xludf.DUMMYFUNCTION("""COMPUTED_VALUE"""),"Filosofía, Política y Economía")</f>
        <v>Filosofía, Política y Economía</v>
      </c>
      <c r="J835" s="2" t="str">
        <f>IFERROR(__xludf.DUMMYFUNCTION("""COMPUTED_VALUE"""),"Grado")</f>
        <v>Grado</v>
      </c>
      <c r="K835" s="2" t="str">
        <f>IFERROR(__xludf.DUMMYFUNCTION("""COMPUTED_VALUE"""),"Inglés")</f>
        <v>Inglés</v>
      </c>
      <c r="L835" s="2" t="str">
        <f>IFERROR(__xludf.DUMMYFUNCTION("""COMPUTED_VALUE"""),"B2")</f>
        <v>B2</v>
      </c>
      <c r="M835" s="2" t="str">
        <f>IFERROR(__xludf.DUMMYFUNCTION("""COMPUTED_VALUE"""),"Sí")</f>
        <v>Sí</v>
      </c>
      <c r="N835" s="3" t="str">
        <f>IFERROR(__xludf.DUMMYFUNCTION("""COMPUTED_VALUE"""),"https://cuni.cz/UKEN-344.html")</f>
        <v>https://cuni.cz/UKEN-344.html</v>
      </c>
      <c r="O835" s="3" t="str">
        <f>IFERROR(__xludf.DUMMYFUNCTION("""COMPUTED_VALUE"""),"Más información / Informazio gehigarria")</f>
        <v>Más información / Informazio gehigarria</v>
      </c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30.0" customHeight="1">
      <c r="A836" s="2" t="str">
        <f>IFERROR(__xludf.DUMMYFUNCTION("""COMPUTED_VALUE"""),"República Checa")</f>
        <v>República Checa</v>
      </c>
      <c r="B836" s="2" t="str">
        <f>IFERROR(__xludf.DUMMYFUNCTION("""COMPUTED_VALUE"""),"CZ PRAHA07")</f>
        <v>CZ PRAHA07</v>
      </c>
      <c r="C836" s="3" t="str">
        <f>IFERROR(__xludf.DUMMYFUNCTION("""COMPUTED_VALUE"""),"Charles University in Prague")</f>
        <v>Charles University in Prague</v>
      </c>
      <c r="D836" s="2" t="str">
        <f>IFERROR(__xludf.DUMMYFUNCTION("""COMPUTED_VALUE"""),"Erasmus+")</f>
        <v>Erasmus+</v>
      </c>
      <c r="E836" s="2">
        <f>IFERROR(__xludf.DUMMYFUNCTION("""COMPUTED_VALUE"""),2.0)</f>
        <v>2</v>
      </c>
      <c r="F836" s="2" t="str">
        <f>IFERROR(__xludf.DUMMYFUNCTION("""COMPUTED_VALUE"""),"Semestre")</f>
        <v>Semestre</v>
      </c>
      <c r="G836" s="2" t="str">
        <f>IFERROR(__xludf.DUMMYFUNCTION("""COMPUTED_VALUE"""),"San Sebastián")</f>
        <v>San Sebastián</v>
      </c>
      <c r="H836" s="2" t="str">
        <f>IFERROR(__xludf.DUMMYFUNCTION("""COMPUTED_VALUE"""),"Ciencias de la Salud")</f>
        <v>Ciencias de la Salud</v>
      </c>
      <c r="I836" s="2" t="str">
        <f>IFERROR(__xludf.DUMMYFUNCTION("""COMPUTED_VALUE"""),"Fisioterapia")</f>
        <v>Fisioterapia</v>
      </c>
      <c r="J836" s="2" t="str">
        <f>IFERROR(__xludf.DUMMYFUNCTION("""COMPUTED_VALUE"""),"Grado")</f>
        <v>Grado</v>
      </c>
      <c r="K836" s="2" t="str">
        <f>IFERROR(__xludf.DUMMYFUNCTION("""COMPUTED_VALUE"""),"Inglés")</f>
        <v>Inglés</v>
      </c>
      <c r="L836" s="2" t="str">
        <f>IFERROR(__xludf.DUMMYFUNCTION("""COMPUTED_VALUE"""),"B2")</f>
        <v>B2</v>
      </c>
      <c r="M836" s="2" t="str">
        <f>IFERROR(__xludf.DUMMYFUNCTION("""COMPUTED_VALUE"""),"Si")</f>
        <v>Si</v>
      </c>
      <c r="N836" s="3" t="str">
        <f>IFERROR(__xludf.DUMMYFUNCTION("""COMPUTED_VALUE"""),"https://cuni.cz/UKEN-344.html")</f>
        <v>https://cuni.cz/UKEN-344.html</v>
      </c>
      <c r="O836" s="3" t="str">
        <f>IFERROR(__xludf.DUMMYFUNCTION("""COMPUTED_VALUE"""),"Más información / Informazio gehigarria")</f>
        <v>Más información / Informazio gehigarria</v>
      </c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30.0" customHeight="1">
      <c r="A837" s="2" t="str">
        <f>IFERROR(__xludf.DUMMYFUNCTION("""COMPUTED_VALUE"""),"República Checa")</f>
        <v>República Checa</v>
      </c>
      <c r="B837" s="2" t="str">
        <f>IFERROR(__xludf.DUMMYFUNCTION("""COMPUTED_VALUE"""),"CZ PRAHA10")</f>
        <v>CZ PRAHA10</v>
      </c>
      <c r="C837" s="3" t="str">
        <f>IFERROR(__xludf.DUMMYFUNCTION("""COMPUTED_VALUE"""),"Czech Technical University in Prague")</f>
        <v>Czech Technical University in Prague</v>
      </c>
      <c r="D837" s="2" t="str">
        <f>IFERROR(__xludf.DUMMYFUNCTION("""COMPUTED_VALUE"""),"Erasmus+")</f>
        <v>Erasmus+</v>
      </c>
      <c r="E837" s="2">
        <f>IFERROR(__xludf.DUMMYFUNCTION("""COMPUTED_VALUE"""),2.0)</f>
        <v>2</v>
      </c>
      <c r="F837" s="2" t="str">
        <f>IFERROR(__xludf.DUMMYFUNCTION("""COMPUTED_VALUE"""),"Semestre")</f>
        <v>Semestre</v>
      </c>
      <c r="G837" s="2" t="str">
        <f>IFERROR(__xludf.DUMMYFUNCTION("""COMPUTED_VALUE"""),"Ambos")</f>
        <v>Ambos</v>
      </c>
      <c r="H837" s="2" t="str">
        <f>IFERROR(__xludf.DUMMYFUNCTION("""COMPUTED_VALUE"""),"Ingeniería")</f>
        <v>Ingeniería</v>
      </c>
      <c r="I837" s="2" t="str">
        <f>IFERROR(__xludf.DUMMYFUNCTION("""COMPUTED_VALUE"""),"Ingeniería Informática, Ciencia de Datos e IA + Ingeniería Informática, Ingeniería Informática + Videojuegos")</f>
        <v>Ingeniería Informática, Ciencia de Datos e IA + Ingeniería Informática, Ingeniería Informática + Videojuegos</v>
      </c>
      <c r="J837" s="2" t="str">
        <f>IFERROR(__xludf.DUMMYFUNCTION("""COMPUTED_VALUE"""),"Grado")</f>
        <v>Grado</v>
      </c>
      <c r="K837" s="2" t="str">
        <f>IFERROR(__xludf.DUMMYFUNCTION("""COMPUTED_VALUE"""),"Inglés")</f>
        <v>Inglés</v>
      </c>
      <c r="L837" s="2" t="str">
        <f>IFERROR(__xludf.DUMMYFUNCTION("""COMPUTED_VALUE"""),"B2")</f>
        <v>B2</v>
      </c>
      <c r="M837" s="2" t="str">
        <f>IFERROR(__xludf.DUMMYFUNCTION("""COMPUTED_VALUE"""),"Sí")</f>
        <v>Sí</v>
      </c>
      <c r="N837" s="3" t="str">
        <f>IFERROR(__xludf.DUMMYFUNCTION("""COMPUTED_VALUE"""),"https://international.cvut.cz/students/incoming-students/erasmus-and-exchange/language-requirements/")</f>
        <v>https://international.cvut.cz/students/incoming-students/erasmus-and-exchange/language-requirements/</v>
      </c>
      <c r="O837" s="3" t="str">
        <f>IFERROR(__xludf.DUMMYFUNCTION("""COMPUTED_VALUE"""),"Más información / Informazio gehigarria")</f>
        <v>Más información / Informazio gehigarria</v>
      </c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30.0" customHeight="1">
      <c r="A838" s="2" t="str">
        <f>IFERROR(__xludf.DUMMYFUNCTION("""COMPUTED_VALUE"""),"República Checa")</f>
        <v>República Checa</v>
      </c>
      <c r="B838" s="2" t="str">
        <f>IFERROR(__xludf.DUMMYFUNCTION("""COMPUTED_VALUE"""),"CZ PRAHA02")</f>
        <v>CZ PRAHA02</v>
      </c>
      <c r="C838" s="3" t="str">
        <f>IFERROR(__xludf.DUMMYFUNCTION("""COMPUTED_VALUE"""),"Czech University of Life Science Prague")</f>
        <v>Czech University of Life Science Prague</v>
      </c>
      <c r="D838" s="2" t="str">
        <f>IFERROR(__xludf.DUMMYFUNCTION("""COMPUTED_VALUE"""),"Erasmus+")</f>
        <v>Erasmus+</v>
      </c>
      <c r="E838" s="2">
        <f>IFERROR(__xludf.DUMMYFUNCTION("""COMPUTED_VALUE"""),3.0)</f>
        <v>3</v>
      </c>
      <c r="F838" s="2" t="str">
        <f>IFERROR(__xludf.DUMMYFUNCTION("""COMPUTED_VALUE"""),"2do Semestre")</f>
        <v>2do Semestre</v>
      </c>
      <c r="G838" s="2" t="str">
        <f>IFERROR(__xludf.DUMMYFUNCTION("""COMPUTED_VALUE"""),"Bilbao")</f>
        <v>Bilbao</v>
      </c>
      <c r="H838" s="2" t="str">
        <f>IFERROR(__xludf.DUMMYFUNCTION("""COMPUTED_VALUE"""),"Deusto Business School")</f>
        <v>Deusto Business School</v>
      </c>
      <c r="I838" s="2" t="str">
        <f>IFERROR(__xludf.DUMMYFUNCTION("""COMPUTED_VALUE"""),"Administración y Dirección de Empresas")</f>
        <v>Administración y Dirección de Empresas</v>
      </c>
      <c r="J838" s="2" t="str">
        <f>IFERROR(__xludf.DUMMYFUNCTION("""COMPUTED_VALUE"""),"Grado")</f>
        <v>Grado</v>
      </c>
      <c r="K838" s="2" t="str">
        <f>IFERROR(__xludf.DUMMYFUNCTION("""COMPUTED_VALUE"""),"Inglés")</f>
        <v>Inglés</v>
      </c>
      <c r="L838" s="2" t="str">
        <f>IFERROR(__xludf.DUMMYFUNCTION("""COMPUTED_VALUE"""),"B2")</f>
        <v>B2</v>
      </c>
      <c r="M838" s="2" t="str">
        <f>IFERROR(__xludf.DUMMYFUNCTION("""COMPUTED_VALUE"""),"No")</f>
        <v>No</v>
      </c>
      <c r="N838" s="3" t="str">
        <f>IFERROR(__xludf.DUMMYFUNCTION("""COMPUTED_VALUE"""),"https://international.cvut.cz/students/incoming-students/erasmus-and-exchange/language-requirements/")</f>
        <v>https://international.cvut.cz/students/incoming-students/erasmus-and-exchange/language-requirements/</v>
      </c>
      <c r="O838" s="3" t="str">
        <f>IFERROR(__xludf.DUMMYFUNCTION("""COMPUTED_VALUE"""),"Más información / Informazio gehigarria")</f>
        <v>Más información / Informazio gehigarria</v>
      </c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30.0" customHeight="1">
      <c r="A839" s="2" t="str">
        <f>IFERROR(__xludf.DUMMYFUNCTION("""COMPUTED_VALUE"""),"República Checa")</f>
        <v>República Checa</v>
      </c>
      <c r="B839" s="2" t="str">
        <f>IFERROR(__xludf.DUMMYFUNCTION("""COMPUTED_VALUE"""),"CZ PRAHA02")</f>
        <v>CZ PRAHA02</v>
      </c>
      <c r="C839" s="3" t="str">
        <f>IFERROR(__xludf.DUMMYFUNCTION("""COMPUTED_VALUE"""),"Czech University of Life Science Prague")</f>
        <v>Czech University of Life Science Prague</v>
      </c>
      <c r="D839" s="2" t="str">
        <f>IFERROR(__xludf.DUMMYFUNCTION("""COMPUTED_VALUE"""),"Erasmus+")</f>
        <v>Erasmus+</v>
      </c>
      <c r="E839" s="2">
        <f>IFERROR(__xludf.DUMMYFUNCTION("""COMPUTED_VALUE"""),2.0)</f>
        <v>2</v>
      </c>
      <c r="F839" s="2" t="str">
        <f>IFERROR(__xludf.DUMMYFUNCTION("""COMPUTED_VALUE"""),"Semestre")</f>
        <v>Semestre</v>
      </c>
      <c r="G839" s="2" t="str">
        <f>IFERROR(__xludf.DUMMYFUNCTION("""COMPUTED_VALUE"""),"Ambos")</f>
        <v>Ambos</v>
      </c>
      <c r="H839" s="2" t="str">
        <f>IFERROR(__xludf.DUMMYFUNCTION("""COMPUTED_VALUE"""),"Ingeniería")</f>
        <v>Ingeniería</v>
      </c>
      <c r="I839" s="2" t="str">
        <f>IFERROR(__xludf.DUMMYFUNCTION("""COMPUTED_VALUE"""),"Ingeniería Informática, Organización Industrial, Ciencia de Datos e IA + Ingeniería Informática, Ingeniería Informática + Videojuegos")</f>
        <v>Ingeniería Informática, Organización Industrial, Ciencia de Datos e IA + Ingeniería Informática, Ingeniería Informática + Videojuegos</v>
      </c>
      <c r="J839" s="2" t="str">
        <f>IFERROR(__xludf.DUMMYFUNCTION("""COMPUTED_VALUE"""),"Grado")</f>
        <v>Grado</v>
      </c>
      <c r="K839" s="2" t="str">
        <f>IFERROR(__xludf.DUMMYFUNCTION("""COMPUTED_VALUE"""),"Inglés")</f>
        <v>Inglés</v>
      </c>
      <c r="L839" s="2" t="str">
        <f>IFERROR(__xludf.DUMMYFUNCTION("""COMPUTED_VALUE"""),"B2")</f>
        <v>B2</v>
      </c>
      <c r="M839" s="2" t="str">
        <f>IFERROR(__xludf.DUMMYFUNCTION("""COMPUTED_VALUE"""),"Si")</f>
        <v>Si</v>
      </c>
      <c r="N839" s="3" t="str">
        <f>IFERROR(__xludf.DUMMYFUNCTION("""COMPUTED_VALUE"""),"https://international.cvut.cz/students/incoming-students/erasmus-and-exchange/language-requirements/")</f>
        <v>https://international.cvut.cz/students/incoming-students/erasmus-and-exchange/language-requirements/</v>
      </c>
      <c r="O839" s="3" t="str">
        <f>IFERROR(__xludf.DUMMYFUNCTION("""COMPUTED_VALUE"""),"Más información / Informazio gehigarria")</f>
        <v>Más información / Informazio gehigarria</v>
      </c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30.0" customHeight="1">
      <c r="A840" s="2" t="str">
        <f>IFERROR(__xludf.DUMMYFUNCTION("""COMPUTED_VALUE"""),"República Checa")</f>
        <v>República Checa</v>
      </c>
      <c r="B840" s="2" t="str">
        <f>IFERROR(__xludf.DUMMYFUNCTION("""COMPUTED_VALUE"""),"CZ BRNO05")</f>
        <v>CZ BRNO05</v>
      </c>
      <c r="C840" s="3" t="str">
        <f>IFERROR(__xludf.DUMMYFUNCTION("""COMPUTED_VALUE"""),"Masaryk University")</f>
        <v>Masaryk University</v>
      </c>
      <c r="D840" s="2" t="str">
        <f>IFERROR(__xludf.DUMMYFUNCTION("""COMPUTED_VALUE"""),"Erasmus+")</f>
        <v>Erasmus+</v>
      </c>
      <c r="E840" s="2">
        <f>IFERROR(__xludf.DUMMYFUNCTION("""COMPUTED_VALUE"""),6.0)</f>
        <v>6</v>
      </c>
      <c r="F840" s="2" t="str">
        <f>IFERROR(__xludf.DUMMYFUNCTION("""COMPUTED_VALUE"""),"Semestre")</f>
        <v>Semestre</v>
      </c>
      <c r="G840" s="2" t="str">
        <f>IFERROR(__xludf.DUMMYFUNCTION("""COMPUTED_VALUE"""),"Bilbao")</f>
        <v>Bilbao</v>
      </c>
      <c r="H840" s="2" t="str">
        <f>IFERROR(__xludf.DUMMYFUNCTION("""COMPUTED_VALUE"""),"Begoñako Andramari, BAM")</f>
        <v>Begoñako Andramari, BAM</v>
      </c>
      <c r="I840" s="2" t="str">
        <f>IFERROR(__xludf.DUMMYFUNCTION("""COMPUTED_VALUE"""),"Educación Primaria, Educación Infantil")</f>
        <v>Educación Primaria, Educación Infantil</v>
      </c>
      <c r="J840" s="2" t="str">
        <f>IFERROR(__xludf.DUMMYFUNCTION("""COMPUTED_VALUE"""),"Grado")</f>
        <v>Grado</v>
      </c>
      <c r="K840" s="2" t="str">
        <f>IFERROR(__xludf.DUMMYFUNCTION("""COMPUTED_VALUE"""),"Inglés")</f>
        <v>Inglés</v>
      </c>
      <c r="L840" s="2" t="str">
        <f>IFERROR(__xludf.DUMMYFUNCTION("""COMPUTED_VALUE"""),"B2")</f>
        <v>B2</v>
      </c>
      <c r="M840" s="2" t="str">
        <f>IFERROR(__xludf.DUMMYFUNCTION("""COMPUTED_VALUE"""),"Sí")</f>
        <v>Sí</v>
      </c>
      <c r="N840" s="3" t="str">
        <f>IFERROR(__xludf.DUMMYFUNCTION("""COMPUTED_VALUE"""),"https://czs.muni.cz/en/student-from-abroad/international-student-guide/credit-and-language-requirements#language-requirements")</f>
        <v>https://czs.muni.cz/en/student-from-abroad/international-student-guide/credit-and-language-requirements#language-requirements</v>
      </c>
      <c r="O840" s="3" t="str">
        <f>IFERROR(__xludf.DUMMYFUNCTION("""COMPUTED_VALUE"""),"Más información / Informazio gehigarria")</f>
        <v>Más información / Informazio gehigarria</v>
      </c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30.0" customHeight="1">
      <c r="A841" s="2" t="str">
        <f>IFERROR(__xludf.DUMMYFUNCTION("""COMPUTED_VALUE"""),"República Checa")</f>
        <v>República Checa</v>
      </c>
      <c r="B841" s="2" t="str">
        <f>IFERROR(__xludf.DUMMYFUNCTION("""COMPUTED_VALUE"""),"CZ BRNO05")</f>
        <v>CZ BRNO05</v>
      </c>
      <c r="C841" s="3" t="str">
        <f>IFERROR(__xludf.DUMMYFUNCTION("""COMPUTED_VALUE"""),"Masaryk University")</f>
        <v>Masaryk University</v>
      </c>
      <c r="D841" s="2" t="str">
        <f>IFERROR(__xludf.DUMMYFUNCTION("""COMPUTED_VALUE"""),"Erasmus+")</f>
        <v>Erasmus+</v>
      </c>
      <c r="E841" s="2">
        <f>IFERROR(__xludf.DUMMYFUNCTION("""COMPUTED_VALUE"""),1.0)</f>
        <v>1</v>
      </c>
      <c r="F841" s="2" t="str">
        <f>IFERROR(__xludf.DUMMYFUNCTION("""COMPUTED_VALUE"""),"Anual")</f>
        <v>Anual</v>
      </c>
      <c r="G841" s="2" t="str">
        <f>IFERROR(__xludf.DUMMYFUNCTION("""COMPUTED_VALUE"""),"Bilbao")</f>
        <v>Bilbao</v>
      </c>
      <c r="H841" s="2" t="str">
        <f>IFERROR(__xludf.DUMMYFUNCTION("""COMPUTED_VALUE"""),"Ciencias Sociales y Humanas")</f>
        <v>Ciencias Sociales y Humanas</v>
      </c>
      <c r="I841" s="2" t="str">
        <f>IFERROR(__xludf.DUMMYFUNCTION("""COMPUTED_VALUE"""),"Relaciones Internacionales, Relaciones Internacionales + Derecho")</f>
        <v>Relaciones Internacionales, Relaciones Internacionales + Derecho</v>
      </c>
      <c r="J841" s="2" t="str">
        <f>IFERROR(__xludf.DUMMYFUNCTION("""COMPUTED_VALUE"""),"Grado")</f>
        <v>Grado</v>
      </c>
      <c r="K841" s="2" t="str">
        <f>IFERROR(__xludf.DUMMYFUNCTION("""COMPUTED_VALUE"""),"Inglés")</f>
        <v>Inglés</v>
      </c>
      <c r="L841" s="2" t="str">
        <f>IFERROR(__xludf.DUMMYFUNCTION("""COMPUTED_VALUE"""),"B2")</f>
        <v>B2</v>
      </c>
      <c r="M841" s="2" t="str">
        <f>IFERROR(__xludf.DUMMYFUNCTION("""COMPUTED_VALUE"""),"Sí")</f>
        <v>Sí</v>
      </c>
      <c r="N841" s="3" t="str">
        <f>IFERROR(__xludf.DUMMYFUNCTION("""COMPUTED_VALUE"""),"https://czs.muni.cz/en/student-from-abroad/international-student-guide/credit-and-language-requirements#language-requirements")</f>
        <v>https://czs.muni.cz/en/student-from-abroad/international-student-guide/credit-and-language-requirements#language-requirements</v>
      </c>
      <c r="O841" s="3" t="str">
        <f>IFERROR(__xludf.DUMMYFUNCTION("""COMPUTED_VALUE"""),"Más información / Informazio gehigarria")</f>
        <v>Más información / Informazio gehigarria</v>
      </c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30.0" customHeight="1">
      <c r="A842" s="2" t="str">
        <f>IFERROR(__xludf.DUMMYFUNCTION("""COMPUTED_VALUE"""),"República Checa")</f>
        <v>República Checa</v>
      </c>
      <c r="B842" s="2" t="str">
        <f>IFERROR(__xludf.DUMMYFUNCTION("""COMPUTED_VALUE"""),"CZ PRAHA18")</f>
        <v>CZ PRAHA18</v>
      </c>
      <c r="C842" s="3" t="str">
        <f>IFERROR(__xludf.DUMMYFUNCTION("""COMPUTED_VALUE"""),"Metropolitan University Prague")</f>
        <v>Metropolitan University Prague</v>
      </c>
      <c r="D842" s="2" t="str">
        <f>IFERROR(__xludf.DUMMYFUNCTION("""COMPUTED_VALUE"""),"Erasmus+")</f>
        <v>Erasmus+</v>
      </c>
      <c r="E842" s="2">
        <f>IFERROR(__xludf.DUMMYFUNCTION("""COMPUTED_VALUE"""),1.0)</f>
        <v>1</v>
      </c>
      <c r="F842" s="2" t="str">
        <f>IFERROR(__xludf.DUMMYFUNCTION("""COMPUTED_VALUE"""),"Anual")</f>
        <v>Anual</v>
      </c>
      <c r="G842" s="2" t="str">
        <f>IFERROR(__xludf.DUMMYFUNCTION("""COMPUTED_VALUE"""),"Bilbao")</f>
        <v>Bilbao</v>
      </c>
      <c r="H842" s="2" t="str">
        <f>IFERROR(__xludf.DUMMYFUNCTION("""COMPUTED_VALUE"""),"Ciencias Sociales y Humanas")</f>
        <v>Ciencias Sociales y Humanas</v>
      </c>
      <c r="I842" s="2" t="str">
        <f>IFERROR(__xludf.DUMMYFUNCTION("""COMPUTED_VALUE"""),"Relaciones Internacionales, Relaciones Internacionales + Derecho")</f>
        <v>Relaciones Internacionales, Relaciones Internacionales + Derecho</v>
      </c>
      <c r="J842" s="2" t="str">
        <f>IFERROR(__xludf.DUMMYFUNCTION("""COMPUTED_VALUE"""),"Grado")</f>
        <v>Grado</v>
      </c>
      <c r="K842" s="2" t="str">
        <f>IFERROR(__xludf.DUMMYFUNCTION("""COMPUTED_VALUE"""),"Inglés")</f>
        <v>Inglés</v>
      </c>
      <c r="L842" s="2" t="str">
        <f>IFERROR(__xludf.DUMMYFUNCTION("""COMPUTED_VALUE"""),"B2")</f>
        <v>B2</v>
      </c>
      <c r="M842" s="2" t="str">
        <f>IFERROR(__xludf.DUMMYFUNCTION("""COMPUTED_VALUE"""),"Sí")</f>
        <v>Sí</v>
      </c>
      <c r="N842" s="3" t="str">
        <f>IFERROR(__xludf.DUMMYFUNCTION("""COMPUTED_VALUE"""),"https://www.mup.cz/en/international-cooperation/information-for-incoming-exchange-students/exchange-student-application-procedure/")</f>
        <v>https://www.mup.cz/en/international-cooperation/information-for-incoming-exchange-students/exchange-student-application-procedure/</v>
      </c>
      <c r="O842" s="3" t="str">
        <f>IFERROR(__xludf.DUMMYFUNCTION("""COMPUTED_VALUE"""),"Más información / Informazio gehigarria")</f>
        <v>Más información / Informazio gehigarria</v>
      </c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30.0" customHeight="1">
      <c r="A843" s="2" t="str">
        <f>IFERROR(__xludf.DUMMYFUNCTION("""COMPUTED_VALUE"""),"República Checa")</f>
        <v>República Checa</v>
      </c>
      <c r="B843" s="2" t="str">
        <f>IFERROR(__xludf.DUMMYFUNCTION("""COMPUTED_VALUE"""),"CZ LIBEREC01")</f>
        <v>CZ LIBEREC01</v>
      </c>
      <c r="C843" s="3" t="str">
        <f>IFERROR(__xludf.DUMMYFUNCTION("""COMPUTED_VALUE"""),"Technical University of Liberec")</f>
        <v>Technical University of Liberec</v>
      </c>
      <c r="D843" s="2" t="str">
        <f>IFERROR(__xludf.DUMMYFUNCTION("""COMPUTED_VALUE"""),"Erasmus+")</f>
        <v>Erasmus+</v>
      </c>
      <c r="E843" s="2">
        <f>IFERROR(__xludf.DUMMYFUNCTION("""COMPUTED_VALUE"""),4.0)</f>
        <v>4</v>
      </c>
      <c r="F843" s="2" t="str">
        <f>IFERROR(__xludf.DUMMYFUNCTION("""COMPUTED_VALUE"""),"Semestre")</f>
        <v>Semestre</v>
      </c>
      <c r="G843" s="2" t="str">
        <f>IFERROR(__xludf.DUMMYFUNCTION("""COMPUTED_VALUE"""),"Ambos")</f>
        <v>Ambos</v>
      </c>
      <c r="H843" s="2" t="str">
        <f>IFERROR(__xludf.DUMMYFUNCTION("""COMPUTED_VALUE"""),"Educación y Deporte")</f>
        <v>Educación y Deporte</v>
      </c>
      <c r="I843" s="2" t="str">
        <f>IFERROR(__xludf.DUMMYFUNCTION("""COMPUTED_VALUE"""),"Educación Primaria")</f>
        <v>Educación Primaria</v>
      </c>
      <c r="J843" s="2" t="str">
        <f>IFERROR(__xludf.DUMMYFUNCTION("""COMPUTED_VALUE"""),"Grado")</f>
        <v>Grado</v>
      </c>
      <c r="K843" s="2" t="str">
        <f>IFERROR(__xludf.DUMMYFUNCTION("""COMPUTED_VALUE"""),"Inglés")</f>
        <v>Inglés</v>
      </c>
      <c r="L843" s="2" t="str">
        <f>IFERROR(__xludf.DUMMYFUNCTION("""COMPUTED_VALUE"""),"B2")</f>
        <v>B2</v>
      </c>
      <c r="M843" s="2" t="str">
        <f>IFERROR(__xludf.DUMMYFUNCTION("""COMPUTED_VALUE"""),"No")</f>
        <v>No</v>
      </c>
      <c r="N843" s="3" t="str">
        <f>IFERROR(__xludf.DUMMYFUNCTION("""COMPUTED_VALUE"""),"https://www.economia.unifi.it/upload/sub/relazioni-internazionali/FACTSHEETS/CZ%20LIBEREC01%20202021.pdf")</f>
        <v>https://www.economia.unifi.it/upload/sub/relazioni-internazionali/FACTSHEETS/CZ%20LIBEREC01%20202021.pdf</v>
      </c>
      <c r="O843" s="3" t="str">
        <f>IFERROR(__xludf.DUMMYFUNCTION("""COMPUTED_VALUE"""),"Más información / Informazio gehigarria")</f>
        <v>Más información / Informazio gehigarria</v>
      </c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30.0" customHeight="1">
      <c r="A844" s="2" t="str">
        <f>IFERROR(__xludf.DUMMYFUNCTION("""COMPUTED_VALUE"""),"República Checa")</f>
        <v>República Checa</v>
      </c>
      <c r="B844" s="2" t="str">
        <f>IFERROR(__xludf.DUMMYFUNCTION("""COMPUTED_VALUE"""),"CZ OSTRAVA01")</f>
        <v>CZ OSTRAVA01</v>
      </c>
      <c r="C844" s="3" t="str">
        <f>IFERROR(__xludf.DUMMYFUNCTION("""COMPUTED_VALUE"""),"Technical University Ostrava")</f>
        <v>Technical University Ostrava</v>
      </c>
      <c r="D844" s="2" t="str">
        <f>IFERROR(__xludf.DUMMYFUNCTION("""COMPUTED_VALUE"""),"Erasmus+")</f>
        <v>Erasmus+</v>
      </c>
      <c r="E844" s="2">
        <f>IFERROR(__xludf.DUMMYFUNCTION("""COMPUTED_VALUE"""),4.0)</f>
        <v>4</v>
      </c>
      <c r="F844" s="2" t="str">
        <f>IFERROR(__xludf.DUMMYFUNCTION("""COMPUTED_VALUE"""),"Semestre")</f>
        <v>Semestre</v>
      </c>
      <c r="G844" s="2" t="str">
        <f>IFERROR(__xludf.DUMMYFUNCTION("""COMPUTED_VALUE"""),"Bilbao")</f>
        <v>Bilbao</v>
      </c>
      <c r="H844" s="2" t="str">
        <f>IFERROR(__xludf.DUMMYFUNCTION("""COMPUTED_VALUE"""),"Ingeniería")</f>
        <v>Ingeniería</v>
      </c>
      <c r="I844" s="2" t="str">
        <f>IFERROR(__xludf.DUMMYFUNCTION("""COMPUTED_VALUE"""),"Tecnologías Industriales, Ingeniería Mecánica, Diseño y Mecánica, Diseño Industrial + Ingeniería Mecánica")</f>
        <v>Tecnologías Industriales, Ingeniería Mecánica, Diseño y Mecánica, Diseño Industrial + Ingeniería Mecánica</v>
      </c>
      <c r="J844" s="2" t="str">
        <f>IFERROR(__xludf.DUMMYFUNCTION("""COMPUTED_VALUE"""),"Grado")</f>
        <v>Grado</v>
      </c>
      <c r="K844" s="2" t="str">
        <f>IFERROR(__xludf.DUMMYFUNCTION("""COMPUTED_VALUE"""),"Inglés")</f>
        <v>Inglés</v>
      </c>
      <c r="L844" s="2" t="str">
        <f>IFERROR(__xludf.DUMMYFUNCTION("""COMPUTED_VALUE"""),"B2")</f>
        <v>B2</v>
      </c>
      <c r="M844" s="2" t="str">
        <f>IFERROR(__xludf.DUMMYFUNCTION("""COMPUTED_VALUE"""),"Sí")</f>
        <v>Sí</v>
      </c>
      <c r="N844" s="3" t="str">
        <f>IFERROR(__xludf.DUMMYFUNCTION("""COMPUTED_VALUE"""),"https://www.vsb.cz/en/study/exchange-students/exchange-programme/admission-requirements-and-application-procedure/")</f>
        <v>https://www.vsb.cz/en/study/exchange-students/exchange-programme/admission-requirements-and-application-procedure/</v>
      </c>
      <c r="O844" s="3" t="str">
        <f>IFERROR(__xludf.DUMMYFUNCTION("""COMPUTED_VALUE"""),"Más información / Informazio gehigarria")</f>
        <v>Más información / Informazio gehigarria</v>
      </c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30.0" customHeight="1">
      <c r="A845" s="2" t="str">
        <f>IFERROR(__xludf.DUMMYFUNCTION("""COMPUTED_VALUE"""),"República Checa")</f>
        <v>República Checa</v>
      </c>
      <c r="B845" s="2" t="str">
        <f>IFERROR(__xludf.DUMMYFUNCTION("""COMPUTED_VALUE"""),"CZ OLOMUC01")</f>
        <v>CZ OLOMUC01</v>
      </c>
      <c r="C845" s="3" t="str">
        <f>IFERROR(__xludf.DUMMYFUNCTION("""COMPUTED_VALUE"""),"Univerzita Palackeho V Olomouci")</f>
        <v>Univerzita Palackeho V Olomouci</v>
      </c>
      <c r="D845" s="2" t="str">
        <f>IFERROR(__xludf.DUMMYFUNCTION("""COMPUTED_VALUE"""),"Erasmus+")</f>
        <v>Erasmus+</v>
      </c>
      <c r="E845" s="2">
        <f>IFERROR(__xludf.DUMMYFUNCTION("""COMPUTED_VALUE"""),4.0)</f>
        <v>4</v>
      </c>
      <c r="F845" s="2" t="str">
        <f>IFERROR(__xludf.DUMMYFUNCTION("""COMPUTED_VALUE"""),"Semestre")</f>
        <v>Semestre</v>
      </c>
      <c r="G845" s="2" t="str">
        <f>IFERROR(__xludf.DUMMYFUNCTION("""COMPUTED_VALUE"""),"Bilbao")</f>
        <v>Bilbao</v>
      </c>
      <c r="H845" s="2" t="str">
        <f>IFERROR(__xludf.DUMMYFUNCTION("""COMPUTED_VALUE"""),"Educación y Deporte")</f>
        <v>Educación y Deporte</v>
      </c>
      <c r="I845" s="2" t="str">
        <f>IFERROR(__xludf.DUMMYFUNCTION("""COMPUTED_VALUE"""),"CAFyD")</f>
        <v>CAFyD</v>
      </c>
      <c r="J845" s="2" t="str">
        <f>IFERROR(__xludf.DUMMYFUNCTION("""COMPUTED_VALUE"""),"Grado")</f>
        <v>Grado</v>
      </c>
      <c r="K845" s="2" t="str">
        <f>IFERROR(__xludf.DUMMYFUNCTION("""COMPUTED_VALUE"""),"Inglés")</f>
        <v>Inglés</v>
      </c>
      <c r="L845" s="2" t="str">
        <f>IFERROR(__xludf.DUMMYFUNCTION("""COMPUTED_VALUE"""),"B2")</f>
        <v>B2</v>
      </c>
      <c r="M845" s="2" t="str">
        <f>IFERROR(__xludf.DUMMYFUNCTION("""COMPUTED_VALUE"""),"No")</f>
        <v>No</v>
      </c>
      <c r="N845" s="3" t="str">
        <f>IFERROR(__xludf.DUMMYFUNCTION("""COMPUTED_VALUE"""),"https://internazionalelingue.uniparthenope.it/wp-content/uploads/POLONIA-CZ_OLOMOUC01_factsheet_2021_2022_20210225_General.pdf")</f>
        <v>https://internazionalelingue.uniparthenope.it/wp-content/uploads/POLONIA-CZ_OLOMOUC01_factsheet_2021_2022_20210225_General.pdf</v>
      </c>
      <c r="O845" s="3" t="str">
        <f>IFERROR(__xludf.DUMMYFUNCTION("""COMPUTED_VALUE"""),"Más información / Informazio gehigarria")</f>
        <v>Más información / Informazio gehigarria</v>
      </c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30.0" customHeight="1">
      <c r="A846" s="2" t="str">
        <f>IFERROR(__xludf.DUMMYFUNCTION("""COMPUTED_VALUE"""),"República Checa")</f>
        <v>República Checa</v>
      </c>
      <c r="B846" s="2" t="str">
        <f>IFERROR(__xludf.DUMMYFUNCTION("""COMPUTED_VALUE"""),"CZ OLOMUC01")</f>
        <v>CZ OLOMUC01</v>
      </c>
      <c r="C846" s="3" t="str">
        <f>IFERROR(__xludf.DUMMYFUNCTION("""COMPUTED_VALUE"""),"Univerzita Palackeho V Olomouci")</f>
        <v>Univerzita Palackeho V Olomouci</v>
      </c>
      <c r="D846" s="2" t="str">
        <f>IFERROR(__xludf.DUMMYFUNCTION("""COMPUTED_VALUE"""),"Erasmus+")</f>
        <v>Erasmus+</v>
      </c>
      <c r="E846" s="2">
        <f>IFERROR(__xludf.DUMMYFUNCTION("""COMPUTED_VALUE"""),4.0)</f>
        <v>4</v>
      </c>
      <c r="F846" s="2" t="str">
        <f>IFERROR(__xludf.DUMMYFUNCTION("""COMPUTED_VALUE"""),"Semestre")</f>
        <v>Semestre</v>
      </c>
      <c r="G846" s="2" t="str">
        <f>IFERROR(__xludf.DUMMYFUNCTION("""COMPUTED_VALUE"""),"Ambos")</f>
        <v>Ambos</v>
      </c>
      <c r="H846" s="2" t="str">
        <f>IFERROR(__xludf.DUMMYFUNCTION("""COMPUTED_VALUE"""),"Educación y Deporte")</f>
        <v>Educación y Deporte</v>
      </c>
      <c r="I846" s="2" t="str">
        <f>IFERROR(__xludf.DUMMYFUNCTION("""COMPUTED_VALUE"""),"Educación Primaria")</f>
        <v>Educación Primaria</v>
      </c>
      <c r="J846" s="2" t="str">
        <f>IFERROR(__xludf.DUMMYFUNCTION("""COMPUTED_VALUE"""),"Grado")</f>
        <v>Grado</v>
      </c>
      <c r="K846" s="2" t="str">
        <f>IFERROR(__xludf.DUMMYFUNCTION("""COMPUTED_VALUE"""),"Inglés")</f>
        <v>Inglés</v>
      </c>
      <c r="L846" s="2" t="str">
        <f>IFERROR(__xludf.DUMMYFUNCTION("""COMPUTED_VALUE"""),"B2")</f>
        <v>B2</v>
      </c>
      <c r="M846" s="2" t="str">
        <f>IFERROR(__xludf.DUMMYFUNCTION("""COMPUTED_VALUE"""),"No")</f>
        <v>No</v>
      </c>
      <c r="N846" s="3" t="str">
        <f>IFERROR(__xludf.DUMMYFUNCTION("""COMPUTED_VALUE"""),"https://internazionalelingue.uniparthenope.it/wp-content/uploads/POLONIA-CZ_OLOMOUC01_factsheet_2021_2022_20210225_General.pdf")</f>
        <v>https://internazionalelingue.uniparthenope.it/wp-content/uploads/POLONIA-CZ_OLOMOUC01_factsheet_2021_2022_20210225_General.pdf</v>
      </c>
      <c r="O846" s="3" t="str">
        <f>IFERROR(__xludf.DUMMYFUNCTION("""COMPUTED_VALUE"""),"Más información / Informazio gehigarria")</f>
        <v>Más información / Informazio gehigarria</v>
      </c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30.0" customHeight="1">
      <c r="A847" s="2" t="str">
        <f>IFERROR(__xludf.DUMMYFUNCTION("""COMPUTED_VALUE"""),"República de Corea")</f>
        <v>República de Corea</v>
      </c>
      <c r="B847" s="2"/>
      <c r="C847" s="3" t="str">
        <f>IFERROR(__xludf.DUMMYFUNCTION("""COMPUTED_VALUE"""),"Hanyang University - Erica Campus")</f>
        <v>Hanyang University - Erica Campus</v>
      </c>
      <c r="D847" s="2" t="str">
        <f>IFERROR(__xludf.DUMMYFUNCTION("""COMPUTED_VALUE"""),"Ac. Bilaterales (no Erasmus)")</f>
        <v>Ac. Bilaterales (no Erasmus)</v>
      </c>
      <c r="E847" s="2">
        <f>IFERROR(__xludf.DUMMYFUNCTION("""COMPUTED_VALUE"""),4.0)</f>
        <v>4</v>
      </c>
      <c r="F847" s="2" t="str">
        <f>IFERROR(__xludf.DUMMYFUNCTION("""COMPUTED_VALUE"""),"Semestre")</f>
        <v>Semestre</v>
      </c>
      <c r="G847" s="2" t="str">
        <f>IFERROR(__xludf.DUMMYFUNCTION("""COMPUTED_VALUE"""),"Ambos")</f>
        <v>Ambos</v>
      </c>
      <c r="H847" s="2" t="str">
        <f>IFERROR(__xludf.DUMMYFUNCTION("""COMPUTED_VALUE"""),"Ingeniería")</f>
        <v>Ingeniería</v>
      </c>
      <c r="I847" s="2" t="str">
        <f>IFERROR(__xludf.DUMMYFUNCTION("""COMPUTED_VALUE"""),"Ingeniería Informática, Diseño Industrial, Ingeniería Mecánica, Ciencia de Datos e IA + Ingeniería Informática, Diseño Industrial + Ingeniería Mecánica, Ingeniería Informática + Videojuegos")</f>
        <v>Ingeniería Informática, Diseño Industrial, Ingeniería Mecánica, Ciencia de Datos e IA + Ingeniería Informática, Diseño Industrial + Ingeniería Mecánica, Ingeniería Informática + Videojuegos</v>
      </c>
      <c r="J847" s="2" t="str">
        <f>IFERROR(__xludf.DUMMYFUNCTION("""COMPUTED_VALUE"""),"Grado")</f>
        <v>Grado</v>
      </c>
      <c r="K847" s="2" t="str">
        <f>IFERROR(__xludf.DUMMYFUNCTION("""COMPUTED_VALUE"""),"Coreano / Inglés")</f>
        <v>Coreano / Inglés</v>
      </c>
      <c r="L847" s="2" t="str">
        <f>IFERROR(__xludf.DUMMYFUNCTION("""COMPUTED_VALUE"""),"B2")</f>
        <v>B2</v>
      </c>
      <c r="M847" s="2" t="str">
        <f>IFERROR(__xludf.DUMMYFUNCTION("""COMPUTED_VALUE"""),"Sí")</f>
        <v>Sí</v>
      </c>
      <c r="N847" s="3" t="str">
        <f>IFERROR(__xludf.DUMMYFUNCTION("""COMPUTED_VALUE"""),"https://intl.hkbu.edu.hk/f/partner/1397/South%20Korea_Hanyang%20University_factsheet.pdf")</f>
        <v>https://intl.hkbu.edu.hk/f/partner/1397/South%20Korea_Hanyang%20University_factsheet.pdf</v>
      </c>
      <c r="O847" s="3" t="str">
        <f>IFERROR(__xludf.DUMMYFUNCTION("""COMPUTED_VALUE"""),"Más información / Informazio gehigarria")</f>
        <v>Más información / Informazio gehigarria</v>
      </c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30.0" customHeight="1">
      <c r="A848" s="2" t="str">
        <f>IFERROR(__xludf.DUMMYFUNCTION("""COMPUTED_VALUE"""),"República de Corea")</f>
        <v>República de Corea</v>
      </c>
      <c r="B848" s="2"/>
      <c r="C848" s="3" t="str">
        <f>IFERROR(__xludf.DUMMYFUNCTION("""COMPUTED_VALUE"""),"Hanyang University - Seoul Campus")</f>
        <v>Hanyang University - Seoul Campus</v>
      </c>
      <c r="D848" s="2" t="str">
        <f>IFERROR(__xludf.DUMMYFUNCTION("""COMPUTED_VALUE"""),"Ac. Bilaterales (no Erasmus)")</f>
        <v>Ac. Bilaterales (no Erasmus)</v>
      </c>
      <c r="E848" s="2">
        <f>IFERROR(__xludf.DUMMYFUNCTION("""COMPUTED_VALUE"""),1.0)</f>
        <v>1</v>
      </c>
      <c r="F848" s="2" t="str">
        <f>IFERROR(__xludf.DUMMYFUNCTION("""COMPUTED_VALUE"""),"Anual")</f>
        <v>Anual</v>
      </c>
      <c r="G848" s="2" t="str">
        <f>IFERROR(__xludf.DUMMYFUNCTION("""COMPUTED_VALUE"""),"Bilbao")</f>
        <v>Bilbao</v>
      </c>
      <c r="H848" s="2" t="str">
        <f>IFERROR(__xludf.DUMMYFUNCTION("""COMPUTED_VALUE"""),"Ciencias Sociales y Humanas")</f>
        <v>Ciencias Sociales y Humanas</v>
      </c>
      <c r="I848" s="2" t="str">
        <f>IFERROR(__xludf.DUMMYFUNCTION("""COMPUTED_VALUE"""),"Relaciones Internacionales, Relaciones Internacionales + Derecho")</f>
        <v>Relaciones Internacionales, Relaciones Internacionales + Derecho</v>
      </c>
      <c r="J848" s="2" t="str">
        <f>IFERROR(__xludf.DUMMYFUNCTION("""COMPUTED_VALUE"""),"Grado")</f>
        <v>Grado</v>
      </c>
      <c r="K848" s="2" t="str">
        <f>IFERROR(__xludf.DUMMYFUNCTION("""COMPUTED_VALUE"""),"Inglés")</f>
        <v>Inglés</v>
      </c>
      <c r="L848" s="2" t="str">
        <f>IFERROR(__xludf.DUMMYFUNCTION("""COMPUTED_VALUE"""),"B2")</f>
        <v>B2</v>
      </c>
      <c r="M848" s="2" t="str">
        <f>IFERROR(__xludf.DUMMYFUNCTION("""COMPUTED_VALUE"""),"Sí")</f>
        <v>Sí</v>
      </c>
      <c r="N848" s="3" t="str">
        <f>IFERROR(__xludf.DUMMYFUNCTION("""COMPUTED_VALUE"""),"https://www.hanyang.ac.kr/web/eng/global_s")</f>
        <v>https://www.hanyang.ac.kr/web/eng/global_s</v>
      </c>
      <c r="O848" s="3" t="str">
        <f>IFERROR(__xludf.DUMMYFUNCTION("""COMPUTED_VALUE"""),"Más información / Informazio gehigarria")</f>
        <v>Más información / Informazio gehigarria</v>
      </c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30.0" customHeight="1">
      <c r="A849" s="2" t="str">
        <f>IFERROR(__xludf.DUMMYFUNCTION("""COMPUTED_VALUE"""),"República de Corea")</f>
        <v>República de Corea</v>
      </c>
      <c r="B849" s="2"/>
      <c r="C849" s="3" t="str">
        <f>IFERROR(__xludf.DUMMYFUNCTION("""COMPUTED_VALUE"""),"Incheon National Universilty")</f>
        <v>Incheon National Universilty</v>
      </c>
      <c r="D849" s="2" t="str">
        <f>IFERROR(__xludf.DUMMYFUNCTION("""COMPUTED_VALUE"""),"Ac. Bilaterales (no Erasmus)")</f>
        <v>Ac. Bilaterales (no Erasmus)</v>
      </c>
      <c r="E849" s="2">
        <f>IFERROR(__xludf.DUMMYFUNCTION("""COMPUTED_VALUE"""),4.0)</f>
        <v>4</v>
      </c>
      <c r="F849" s="2" t="str">
        <f>IFERROR(__xludf.DUMMYFUNCTION("""COMPUTED_VALUE"""),"Anual")</f>
        <v>Anual</v>
      </c>
      <c r="G849" s="2" t="str">
        <f>IFERROR(__xludf.DUMMYFUNCTION("""COMPUTED_VALUE"""),"Bilbao")</f>
        <v>Bilbao</v>
      </c>
      <c r="H849" s="2" t="str">
        <f>IFERROR(__xludf.DUMMYFUNCTION("""COMPUTED_VALUE"""),"Ciencias Sociales y Humanas")</f>
        <v>Ciencias Sociales y Humanas</v>
      </c>
      <c r="I849" s="2" t="str">
        <f>IFERROR(__xludf.DUMMYFUNCTION("""COMPUTED_VALUE"""),"Relaciones Internacionales, Relaciones Internacionales + Derecho")</f>
        <v>Relaciones Internacionales, Relaciones Internacionales + Derecho</v>
      </c>
      <c r="J849" s="2" t="str">
        <f>IFERROR(__xludf.DUMMYFUNCTION("""COMPUTED_VALUE"""),"Grado")</f>
        <v>Grado</v>
      </c>
      <c r="K849" s="2" t="str">
        <f>IFERROR(__xludf.DUMMYFUNCTION("""COMPUTED_VALUE"""),"Inglés")</f>
        <v>Inglés</v>
      </c>
      <c r="L849" s="2" t="str">
        <f>IFERROR(__xludf.DUMMYFUNCTION("""COMPUTED_VALUE"""),"B2")</f>
        <v>B2</v>
      </c>
      <c r="M849" s="2" t="str">
        <f>IFERROR(__xludf.DUMMYFUNCTION("""COMPUTED_VALUE"""),"No")</f>
        <v>No</v>
      </c>
      <c r="N849" s="3" t="str">
        <f>IFERROR(__xludf.DUMMYFUNCTION("""COMPUTED_VALUE"""),"https://www.inu.ac.kr/inuengl/8533/subview.do")</f>
        <v>https://www.inu.ac.kr/inuengl/8533/subview.do</v>
      </c>
      <c r="O849" s="3" t="str">
        <f>IFERROR(__xludf.DUMMYFUNCTION("""COMPUTED_VALUE"""),"Más información / Informazio gehigarria")</f>
        <v>Más información / Informazio gehigarria</v>
      </c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30.0" customHeight="1">
      <c r="A850" s="2" t="str">
        <f>IFERROR(__xludf.DUMMYFUNCTION("""COMPUTED_VALUE"""),"República de Corea")</f>
        <v>República de Corea</v>
      </c>
      <c r="B850" s="2"/>
      <c r="C850" s="3" t="str">
        <f>IFERROR(__xludf.DUMMYFUNCTION("""COMPUTED_VALUE"""),"Korea University")</f>
        <v>Korea University</v>
      </c>
      <c r="D850" s="2" t="str">
        <f>IFERROR(__xludf.DUMMYFUNCTION("""COMPUTED_VALUE"""),"Ac. Bilaterales (no Erasmus)")</f>
        <v>Ac. Bilaterales (no Erasmus)</v>
      </c>
      <c r="E850" s="2">
        <f>IFERROR(__xludf.DUMMYFUNCTION("""COMPUTED_VALUE"""),2.0)</f>
        <v>2</v>
      </c>
      <c r="F850" s="2" t="str">
        <f>IFERROR(__xludf.DUMMYFUNCTION("""COMPUTED_VALUE"""),"Semestre")</f>
        <v>Semestre</v>
      </c>
      <c r="G850" s="2" t="str">
        <f>IFERROR(__xludf.DUMMYFUNCTION("""COMPUTED_VALUE"""),"Bilbao")</f>
        <v>Bilbao</v>
      </c>
      <c r="H850" s="2" t="str">
        <f>IFERROR(__xludf.DUMMYFUNCTION("""COMPUTED_VALUE"""),"Derecho")</f>
        <v>Derecho</v>
      </c>
      <c r="I850" s="2" t="str">
        <f>IFERROR(__xludf.DUMMYFUNCTION("""COMPUTED_VALUE"""),"Derecho, Derecho + Relaciones Laborales")</f>
        <v>Derecho, Derecho + Relaciones Laborales</v>
      </c>
      <c r="J850" s="2" t="str">
        <f>IFERROR(__xludf.DUMMYFUNCTION("""COMPUTED_VALUE"""),"Grado")</f>
        <v>Grado</v>
      </c>
      <c r="K850" s="2" t="str">
        <f>IFERROR(__xludf.DUMMYFUNCTION("""COMPUTED_VALUE"""),"Inglés")</f>
        <v>Inglés</v>
      </c>
      <c r="L850" s="2" t="str">
        <f>IFERROR(__xludf.DUMMYFUNCTION("""COMPUTED_VALUE"""),"B2")</f>
        <v>B2</v>
      </c>
      <c r="M850" s="2" t="str">
        <f>IFERROR(__xludf.DUMMYFUNCTION("""COMPUTED_VALUE"""),"Sí")</f>
        <v>Sí</v>
      </c>
      <c r="N850" s="3" t="str">
        <f>IFERROR(__xludf.DUMMYFUNCTION("""COMPUTED_VALUE"""),"https://www.waseda.jp/fire/gsaps/assets/uploads/2022/07/08_Spring-2023-FACT-SHEETCHECKLIST-for-Exchange-Students.pdf")</f>
        <v>https://www.waseda.jp/fire/gsaps/assets/uploads/2022/07/08_Spring-2023-FACT-SHEETCHECKLIST-for-Exchange-Students.pdf</v>
      </c>
      <c r="O850" s="3" t="str">
        <f>IFERROR(__xludf.DUMMYFUNCTION("""COMPUTED_VALUE"""),"Más información / Informazio gehigarria")</f>
        <v>Más información / Informazio gehigarria</v>
      </c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30.0" customHeight="1">
      <c r="A851" s="2" t="str">
        <f>IFERROR(__xludf.DUMMYFUNCTION("""COMPUTED_VALUE"""),"República de Corea")</f>
        <v>República de Corea</v>
      </c>
      <c r="B851" s="2"/>
      <c r="C851" s="3" t="str">
        <f>IFERROR(__xludf.DUMMYFUNCTION("""COMPUTED_VALUE"""),"Korea University")</f>
        <v>Korea University</v>
      </c>
      <c r="D851" s="2" t="str">
        <f>IFERROR(__xludf.DUMMYFUNCTION("""COMPUTED_VALUE"""),"Ac. Bilaterales (no Erasmus)")</f>
        <v>Ac. Bilaterales (no Erasmus)</v>
      </c>
      <c r="E851" s="2">
        <f>IFERROR(__xludf.DUMMYFUNCTION("""COMPUTED_VALUE"""),1.0)</f>
        <v>1</v>
      </c>
      <c r="F851" s="2" t="str">
        <f>IFERROR(__xludf.DUMMYFUNCTION("""COMPUTED_VALUE"""),"Anual")</f>
        <v>Anual</v>
      </c>
      <c r="G851" s="2" t="str">
        <f>IFERROR(__xludf.DUMMYFUNCTION("""COMPUTED_VALUE"""),"Bilbao")</f>
        <v>Bilbao</v>
      </c>
      <c r="H851" s="2" t="str">
        <f>IFERROR(__xludf.DUMMYFUNCTION("""COMPUTED_VALUE"""),"Ciencias Sociales y Humanas")</f>
        <v>Ciencias Sociales y Humanas</v>
      </c>
      <c r="I851" s="2" t="str">
        <f>IFERROR(__xludf.DUMMYFUNCTION("""COMPUTED_VALUE"""),"Lenguas Modernas, Lengua y Cultura Vasca + Lenguas Modernas, Lenguas Modernas y Gestión, Euskal Hizkuntza eta Kultura")</f>
        <v>Lenguas Modernas, Lengua y Cultura Vasca + Lenguas Modernas, Lenguas Modernas y Gestión, Euskal Hizkuntza eta Kultura</v>
      </c>
      <c r="J851" s="2" t="str">
        <f>IFERROR(__xludf.DUMMYFUNCTION("""COMPUTED_VALUE"""),"Grado")</f>
        <v>Grado</v>
      </c>
      <c r="K851" s="2" t="str">
        <f>IFERROR(__xludf.DUMMYFUNCTION("""COMPUTED_VALUE"""),"Inglés")</f>
        <v>Inglés</v>
      </c>
      <c r="L851" s="2" t="str">
        <f>IFERROR(__xludf.DUMMYFUNCTION("""COMPUTED_VALUE"""),"B2")</f>
        <v>B2</v>
      </c>
      <c r="M851" s="2" t="str">
        <f>IFERROR(__xludf.DUMMYFUNCTION("""COMPUTED_VALUE"""),"Sí")</f>
        <v>Sí</v>
      </c>
      <c r="N851" s="3" t="str">
        <f>IFERROR(__xludf.DUMMYFUNCTION("""COMPUTED_VALUE"""),"https://www.waseda.jp/fire/gsaps/assets/uploads/2022/07/08_Spring-2023-FACT-SHEETCHECKLIST-for-Exchange-Students.pdf")</f>
        <v>https://www.waseda.jp/fire/gsaps/assets/uploads/2022/07/08_Spring-2023-FACT-SHEETCHECKLIST-for-Exchange-Students.pdf</v>
      </c>
      <c r="O851" s="3" t="str">
        <f>IFERROR(__xludf.DUMMYFUNCTION("""COMPUTED_VALUE"""),"Más información / Informazio gehigarria")</f>
        <v>Más información / Informazio gehigarria</v>
      </c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30.0" customHeight="1">
      <c r="A852" s="2" t="str">
        <f>IFERROR(__xludf.DUMMYFUNCTION("""COMPUTED_VALUE"""),"República de Corea")</f>
        <v>República de Corea</v>
      </c>
      <c r="B852" s="2"/>
      <c r="C852" s="3" t="str">
        <f>IFERROR(__xludf.DUMMYFUNCTION("""COMPUTED_VALUE"""),"Korea University")</f>
        <v>Korea University</v>
      </c>
      <c r="D852" s="2" t="str">
        <f>IFERROR(__xludf.DUMMYFUNCTION("""COMPUTED_VALUE"""),"Ac. Bilaterales (no Erasmus)")</f>
        <v>Ac. Bilaterales (no Erasmus)</v>
      </c>
      <c r="E852" s="2">
        <f>IFERROR(__xludf.DUMMYFUNCTION("""COMPUTED_VALUE"""),1.0)</f>
        <v>1</v>
      </c>
      <c r="F852" s="2" t="str">
        <f>IFERROR(__xludf.DUMMYFUNCTION("""COMPUTED_VALUE"""),"Anual")</f>
        <v>Anual</v>
      </c>
      <c r="G852" s="2" t="str">
        <f>IFERROR(__xludf.DUMMYFUNCTION("""COMPUTED_VALUE"""),"Bilbao")</f>
        <v>Bilbao</v>
      </c>
      <c r="H852" s="2" t="str">
        <f>IFERROR(__xludf.DUMMYFUNCTION("""COMPUTED_VALUE"""),"Ciencias Sociales y Humanas")</f>
        <v>Ciencias Sociales y Humanas</v>
      </c>
      <c r="I852" s="2" t="str">
        <f>IFERROR(__xludf.DUMMYFUNCTION("""COMPUTED_VALUE"""),"Relaciones Internacionales, Relaciones Internacionales + Derecho")</f>
        <v>Relaciones Internacionales, Relaciones Internacionales + Derecho</v>
      </c>
      <c r="J852" s="2" t="str">
        <f>IFERROR(__xludf.DUMMYFUNCTION("""COMPUTED_VALUE"""),"Grado")</f>
        <v>Grado</v>
      </c>
      <c r="K852" s="2" t="str">
        <f>IFERROR(__xludf.DUMMYFUNCTION("""COMPUTED_VALUE"""),"Inglés")</f>
        <v>Inglés</v>
      </c>
      <c r="L852" s="2" t="str">
        <f>IFERROR(__xludf.DUMMYFUNCTION("""COMPUTED_VALUE"""),"B2")</f>
        <v>B2</v>
      </c>
      <c r="M852" s="2" t="str">
        <f>IFERROR(__xludf.DUMMYFUNCTION("""COMPUTED_VALUE"""),"Sí")</f>
        <v>Sí</v>
      </c>
      <c r="N852" s="3" t="str">
        <f>IFERROR(__xludf.DUMMYFUNCTION("""COMPUTED_VALUE"""),"https://www.waseda.jp/fire/gsaps/assets/uploads/2022/07/08_Spring-2023-FACT-SHEETCHECKLIST-for-Exchange-Students.pdf")</f>
        <v>https://www.waseda.jp/fire/gsaps/assets/uploads/2022/07/08_Spring-2023-FACT-SHEETCHECKLIST-for-Exchange-Students.pdf</v>
      </c>
      <c r="O852" s="3" t="str">
        <f>IFERROR(__xludf.DUMMYFUNCTION("""COMPUTED_VALUE"""),"Más información / Informazio gehigarria")</f>
        <v>Más información / Informazio gehigarria</v>
      </c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30.0" customHeight="1">
      <c r="A853" s="2" t="str">
        <f>IFERROR(__xludf.DUMMYFUNCTION("""COMPUTED_VALUE"""),"República de Corea")</f>
        <v>República de Corea</v>
      </c>
      <c r="B853" s="2"/>
      <c r="C853" s="3" t="str">
        <f>IFERROR(__xludf.DUMMYFUNCTION("""COMPUTED_VALUE"""),"Pusan National University")</f>
        <v>Pusan National University</v>
      </c>
      <c r="D853" s="2" t="str">
        <f>IFERROR(__xludf.DUMMYFUNCTION("""COMPUTED_VALUE"""),"Ac. Bilaterales (no Erasmus)")</f>
        <v>Ac. Bilaterales (no Erasmus)</v>
      </c>
      <c r="E853" s="2">
        <f>IFERROR(__xludf.DUMMYFUNCTION("""COMPUTED_VALUE"""),8.0)</f>
        <v>8</v>
      </c>
      <c r="F853" s="2" t="str">
        <f>IFERROR(__xludf.DUMMYFUNCTION("""COMPUTED_VALUE"""),"Semestre")</f>
        <v>Semestre</v>
      </c>
      <c r="G853" s="2" t="str">
        <f>IFERROR(__xludf.DUMMYFUNCTION("""COMPUTED_VALUE"""),"Bilbao")</f>
        <v>Bilbao</v>
      </c>
      <c r="H853" s="2" t="str">
        <f>IFERROR(__xludf.DUMMYFUNCTION("""COMPUTED_VALUE"""),"Derecho")</f>
        <v>Derecho</v>
      </c>
      <c r="I853" s="2" t="str">
        <f>IFERROR(__xludf.DUMMYFUNCTION("""COMPUTED_VALUE"""),"Derecho, Derecho + Relaciones Laborales")</f>
        <v>Derecho, Derecho + Relaciones Laborales</v>
      </c>
      <c r="J853" s="2" t="str">
        <f>IFERROR(__xludf.DUMMYFUNCTION("""COMPUTED_VALUE"""),"Grado")</f>
        <v>Grado</v>
      </c>
      <c r="K853" s="2" t="str">
        <f>IFERROR(__xludf.DUMMYFUNCTION("""COMPUTED_VALUE"""),"Coreano / Inglés")</f>
        <v>Coreano / Inglés</v>
      </c>
      <c r="L853" s="2" t="str">
        <f>IFERROR(__xludf.DUMMYFUNCTION("""COMPUTED_VALUE"""),"B2")</f>
        <v>B2</v>
      </c>
      <c r="M853" s="2" t="str">
        <f>IFERROR(__xludf.DUMMYFUNCTION("""COMPUTED_VALUE"""),"No")</f>
        <v>No</v>
      </c>
      <c r="N853" s="3" t="str">
        <f>IFERROR(__xludf.DUMMYFUNCTION("""COMPUTED_VALUE"""),"https://his.pusan.ac.kr/sites/international_eng/download/Study%20Abroad%20at%20PNU.pdf")</f>
        <v>https://his.pusan.ac.kr/sites/international_eng/download/Study%20Abroad%20at%20PNU.pdf</v>
      </c>
      <c r="O853" s="3" t="str">
        <f>IFERROR(__xludf.DUMMYFUNCTION("""COMPUTED_VALUE"""),"Más información / Informazio gehigarria")</f>
        <v>Más información / Informazio gehigarria</v>
      </c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30.0" customHeight="1">
      <c r="A854" s="2" t="str">
        <f>IFERROR(__xludf.DUMMYFUNCTION("""COMPUTED_VALUE"""),"República de Corea")</f>
        <v>República de Corea</v>
      </c>
      <c r="B854" s="2"/>
      <c r="C854" s="3" t="str">
        <f>IFERROR(__xludf.DUMMYFUNCTION("""COMPUTED_VALUE"""),"Pusan National University")</f>
        <v>Pusan National University</v>
      </c>
      <c r="D854" s="2" t="str">
        <f>IFERROR(__xludf.DUMMYFUNCTION("""COMPUTED_VALUE"""),"Ac. Bilaterales (no Erasmus)")</f>
        <v>Ac. Bilaterales (no Erasmus)</v>
      </c>
      <c r="E854" s="2">
        <f>IFERROR(__xludf.DUMMYFUNCTION("""COMPUTED_VALUE"""),4.0)</f>
        <v>4</v>
      </c>
      <c r="F854" s="2" t="str">
        <f>IFERROR(__xludf.DUMMYFUNCTION("""COMPUTED_VALUE"""),"Anual")</f>
        <v>Anual</v>
      </c>
      <c r="G854" s="2" t="str">
        <f>IFERROR(__xludf.DUMMYFUNCTION("""COMPUTED_VALUE"""),"Bilbao")</f>
        <v>Bilbao</v>
      </c>
      <c r="H854" s="2" t="str">
        <f>IFERROR(__xludf.DUMMYFUNCTION("""COMPUTED_VALUE"""),"Ciencias Sociales y Humanas")</f>
        <v>Ciencias Sociales y Humanas</v>
      </c>
      <c r="I854" s="2" t="str">
        <f>IFERROR(__xludf.DUMMYFUNCTION("""COMPUTED_VALUE"""),"Relaciones Internacionales, Relaciones Internacionales + Derecho")</f>
        <v>Relaciones Internacionales, Relaciones Internacionales + Derecho</v>
      </c>
      <c r="J854" s="2" t="str">
        <f>IFERROR(__xludf.DUMMYFUNCTION("""COMPUTED_VALUE"""),"Grado")</f>
        <v>Grado</v>
      </c>
      <c r="K854" s="2" t="str">
        <f>IFERROR(__xludf.DUMMYFUNCTION("""COMPUTED_VALUE"""),"Coreano / Inglés")</f>
        <v>Coreano / Inglés</v>
      </c>
      <c r="L854" s="2" t="str">
        <f>IFERROR(__xludf.DUMMYFUNCTION("""COMPUTED_VALUE"""),"B2")</f>
        <v>B2</v>
      </c>
      <c r="M854" s="2" t="str">
        <f>IFERROR(__xludf.DUMMYFUNCTION("""COMPUTED_VALUE"""),"No")</f>
        <v>No</v>
      </c>
      <c r="N854" s="3" t="str">
        <f>IFERROR(__xludf.DUMMYFUNCTION("""COMPUTED_VALUE"""),"https://his.pusan.ac.kr/sites/international_eng/download/Study%20Abroad%20at%20PNU.pdf")</f>
        <v>https://his.pusan.ac.kr/sites/international_eng/download/Study%20Abroad%20at%20PNU.pdf</v>
      </c>
      <c r="O854" s="3" t="str">
        <f>IFERROR(__xludf.DUMMYFUNCTION("""COMPUTED_VALUE"""),"Más información / Informazio gehigarria")</f>
        <v>Más información / Informazio gehigarria</v>
      </c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30.0" customHeight="1">
      <c r="A855" s="2" t="str">
        <f>IFERROR(__xludf.DUMMYFUNCTION("""COMPUTED_VALUE"""),"República de Corea")</f>
        <v>República de Corea</v>
      </c>
      <c r="B855" s="2"/>
      <c r="C855" s="3" t="str">
        <f>IFERROR(__xludf.DUMMYFUNCTION("""COMPUTED_VALUE"""),"Pusan National University")</f>
        <v>Pusan National University</v>
      </c>
      <c r="D855" s="2" t="str">
        <f>IFERROR(__xludf.DUMMYFUNCTION("""COMPUTED_VALUE"""),"Ac. Bilaterales (no Erasmus)")</f>
        <v>Ac. Bilaterales (no Erasmus)</v>
      </c>
      <c r="E855" s="2">
        <f>IFERROR(__xludf.DUMMYFUNCTION("""COMPUTED_VALUE"""),8.0)</f>
        <v>8</v>
      </c>
      <c r="F855" s="2" t="str">
        <f>IFERROR(__xludf.DUMMYFUNCTION("""COMPUTED_VALUE"""),"Semestre")</f>
        <v>Semestre</v>
      </c>
      <c r="G855" s="2" t="str">
        <f>IFERROR(__xludf.DUMMYFUNCTION("""COMPUTED_VALUE"""),"Bilbao")</f>
        <v>Bilbao</v>
      </c>
      <c r="H855" s="2" t="str">
        <f>IFERROR(__xludf.DUMMYFUNCTION("""COMPUTED_VALUE"""),"Ingeniería")</f>
        <v>Ingeniería</v>
      </c>
      <c r="I855" s="2" t="str">
        <f>IFERROR(__xludf.DUMMYFUNCTION("""COMPUTED_VALUE"""),"Tecnologías Industriales, Ingeniería Mecánica, Electrónica y Automática, Organización Industrial, Diseño Industrial + Ingeniería Mecánica")</f>
        <v>Tecnologías Industriales, Ingeniería Mecánica, Electrónica y Automática, Organización Industrial, Diseño Industrial + Ingeniería Mecánica</v>
      </c>
      <c r="J855" s="2" t="str">
        <f>IFERROR(__xludf.DUMMYFUNCTION("""COMPUTED_VALUE"""),"Grado")</f>
        <v>Grado</v>
      </c>
      <c r="K855" s="2" t="str">
        <f>IFERROR(__xludf.DUMMYFUNCTION("""COMPUTED_VALUE"""),"Coreano / Inglés")</f>
        <v>Coreano / Inglés</v>
      </c>
      <c r="L855" s="2" t="str">
        <f>IFERROR(__xludf.DUMMYFUNCTION("""COMPUTED_VALUE"""),"B2")</f>
        <v>B2</v>
      </c>
      <c r="M855" s="2" t="str">
        <f>IFERROR(__xludf.DUMMYFUNCTION("""COMPUTED_VALUE"""),"No")</f>
        <v>No</v>
      </c>
      <c r="N855" s="3" t="str">
        <f>IFERROR(__xludf.DUMMYFUNCTION("""COMPUTED_VALUE"""),"https://his.pusan.ac.kr/sites/international_eng/download/Study%20Abroad%20at%20PNU.pdf")</f>
        <v>https://his.pusan.ac.kr/sites/international_eng/download/Study%20Abroad%20at%20PNU.pdf</v>
      </c>
      <c r="O855" s="3" t="str">
        <f>IFERROR(__xludf.DUMMYFUNCTION("""COMPUTED_VALUE"""),"Más información / Informazio gehigarria")</f>
        <v>Más información / Informazio gehigarria</v>
      </c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30.0" customHeight="1">
      <c r="A856" s="2" t="str">
        <f>IFERROR(__xludf.DUMMYFUNCTION("""COMPUTED_VALUE"""),"República de Corea")</f>
        <v>República de Corea</v>
      </c>
      <c r="B856" s="2"/>
      <c r="C856" s="3" t="str">
        <f>IFERROR(__xludf.DUMMYFUNCTION("""COMPUTED_VALUE"""),"Sogang University")</f>
        <v>Sogang University</v>
      </c>
      <c r="D856" s="2" t="str">
        <f>IFERROR(__xludf.DUMMYFUNCTION("""COMPUTED_VALUE"""),"Ac. Bilaterales (no Erasmus)")</f>
        <v>Ac. Bilaterales (no Erasmus)</v>
      </c>
      <c r="E856" s="2">
        <f>IFERROR(__xludf.DUMMYFUNCTION("""COMPUTED_VALUE"""),2.0)</f>
        <v>2</v>
      </c>
      <c r="F856" s="2" t="str">
        <f>IFERROR(__xludf.DUMMYFUNCTION("""COMPUTED_VALUE"""),"Ambos semestres")</f>
        <v>Ambos semestres</v>
      </c>
      <c r="G856" s="2" t="str">
        <f>IFERROR(__xludf.DUMMYFUNCTION("""COMPUTED_VALUE"""),"Bilbao")</f>
        <v>Bilbao</v>
      </c>
      <c r="H856" s="2" t="str">
        <f>IFERROR(__xludf.DUMMYFUNCTION("""COMPUTED_VALUE"""),"Deusto Business School")</f>
        <v>Deusto Business School</v>
      </c>
      <c r="I856" s="2" t="str">
        <f>IFERROR(__xludf.DUMMYFUNCTION("""COMPUTED_VALUE"""),"Administración y Dirección de Empresas")</f>
        <v>Administración y Dirección de Empresas</v>
      </c>
      <c r="J856" s="2" t="str">
        <f>IFERROR(__xludf.DUMMYFUNCTION("""COMPUTED_VALUE"""),"Grado")</f>
        <v>Grado</v>
      </c>
      <c r="K856" s="2" t="str">
        <f>IFERROR(__xludf.DUMMYFUNCTION("""COMPUTED_VALUE"""),"Inglés")</f>
        <v>Inglés</v>
      </c>
      <c r="L856" s="2" t="str">
        <f>IFERROR(__xludf.DUMMYFUNCTION("""COMPUTED_VALUE"""),"C1")</f>
        <v>C1</v>
      </c>
      <c r="M856" s="2" t="str">
        <f>IFERROR(__xludf.DUMMYFUNCTION("""COMPUTED_VALUE"""),"Sí")</f>
        <v>Sí</v>
      </c>
      <c r="N856" s="3" t="str">
        <f>IFERROR(__xludf.DUMMYFUNCTION("""COMPUTED_VALUE"""),"https://web.aiu.ac.jp/en/wp-content/uploads/2023/04/Sogang-University-Information-Sheet-2023-2024-2023.4.pdf")</f>
        <v>https://web.aiu.ac.jp/en/wp-content/uploads/2023/04/Sogang-University-Information-Sheet-2023-2024-2023.4.pdf</v>
      </c>
      <c r="O856" s="3" t="str">
        <f>IFERROR(__xludf.DUMMYFUNCTION("""COMPUTED_VALUE"""),"Más información / Informazio gehigarria")</f>
        <v>Más información / Informazio gehigarria</v>
      </c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30.0" customHeight="1">
      <c r="A857" s="2" t="str">
        <f>IFERROR(__xludf.DUMMYFUNCTION("""COMPUTED_VALUE"""),"República de Corea")</f>
        <v>República de Corea</v>
      </c>
      <c r="B857" s="2"/>
      <c r="C857" s="3" t="str">
        <f>IFERROR(__xludf.DUMMYFUNCTION("""COMPUTED_VALUE"""),"Sungkyunkwan University")</f>
        <v>Sungkyunkwan University</v>
      </c>
      <c r="D857" s="2" t="str">
        <f>IFERROR(__xludf.DUMMYFUNCTION("""COMPUTED_VALUE"""),"Ac. Bilaterales (no Erasmus)")</f>
        <v>Ac. Bilaterales (no Erasmus)</v>
      </c>
      <c r="E857" s="2">
        <f>IFERROR(__xludf.DUMMYFUNCTION("""COMPUTED_VALUE"""),2.0)</f>
        <v>2</v>
      </c>
      <c r="F857" s="2" t="str">
        <f>IFERROR(__xludf.DUMMYFUNCTION("""COMPUTED_VALUE"""),"Semestre")</f>
        <v>Semestre</v>
      </c>
      <c r="G857" s="2" t="str">
        <f>IFERROR(__xludf.DUMMYFUNCTION("""COMPUTED_VALUE"""),"Ambos")</f>
        <v>Ambos</v>
      </c>
      <c r="H857" s="2" t="str">
        <f>IFERROR(__xludf.DUMMYFUNCTION("""COMPUTED_VALUE"""),"Ingeniería")</f>
        <v>Ingeniería</v>
      </c>
      <c r="I857" s="2" t="str">
        <f>IFERROR(__xludf.DUMMYFUNCTION("""COMPUTED_VALUE"""),"Tecnologías Industriales, Ingeniería Mecánica, Ingeniería Informática, Organización Industrial, Diseño Industrial, Ciencia de Datos e IA, Ciencia de Datos e IA + Ingeniería Informática, Diseño Industrial + Ingeniería Mecánica, Ingeniería Informática + Vid"&amp;"eojuegos")</f>
        <v>Tecnologías Industriales, Ingeniería Mecánica, Ingeniería Informática, Organización Industrial, Diseño Industrial, Ciencia de Datos e IA, Ciencia de Datos e IA + Ingeniería Informática, Diseño Industrial + Ingeniería Mecánica, Ingeniería Informática + Videojuegos</v>
      </c>
      <c r="J857" s="2" t="str">
        <f>IFERROR(__xludf.DUMMYFUNCTION("""COMPUTED_VALUE"""),"Grado")</f>
        <v>Grado</v>
      </c>
      <c r="K857" s="2" t="str">
        <f>IFERROR(__xludf.DUMMYFUNCTION("""COMPUTED_VALUE"""),"Inglés")</f>
        <v>Inglés</v>
      </c>
      <c r="L857" s="2" t="str">
        <f>IFERROR(__xludf.DUMMYFUNCTION("""COMPUTED_VALUE"""),"B2")</f>
        <v>B2</v>
      </c>
      <c r="M857" s="2" t="str">
        <f>IFERROR(__xludf.DUMMYFUNCTION("""COMPUTED_VALUE"""),"Sí")</f>
        <v>Sí</v>
      </c>
      <c r="N857" s="3" t="str">
        <f>IFERROR(__xludf.DUMMYFUNCTION("""COMPUTED_VALUE"""),"https://www.skku.edu/eng/International/StudySKKU/Application.do")</f>
        <v>https://www.skku.edu/eng/International/StudySKKU/Application.do</v>
      </c>
      <c r="O857" s="3" t="str">
        <f>IFERROR(__xludf.DUMMYFUNCTION("""COMPUTED_VALUE"""),"Más información / Informazio gehigarria")</f>
        <v>Más información / Informazio gehigarria</v>
      </c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30.0" customHeight="1">
      <c r="A858" s="2" t="str">
        <f>IFERROR(__xludf.DUMMYFUNCTION("""COMPUTED_VALUE"""),"República de Corea")</f>
        <v>República de Corea</v>
      </c>
      <c r="B858" s="2"/>
      <c r="C858" s="3" t="str">
        <f>IFERROR(__xludf.DUMMYFUNCTION("""COMPUTED_VALUE"""),"Woosong University")</f>
        <v>Woosong University</v>
      </c>
      <c r="D858" s="2" t="str">
        <f>IFERROR(__xludf.DUMMYFUNCTION("""COMPUTED_VALUE"""),"Ac. Bilaterales (no Erasmus)")</f>
        <v>Ac. Bilaterales (no Erasmus)</v>
      </c>
      <c r="E858" s="2">
        <f>IFERROR(__xludf.DUMMYFUNCTION("""COMPUTED_VALUE"""),2.0)</f>
        <v>2</v>
      </c>
      <c r="F858" s="2" t="str">
        <f>IFERROR(__xludf.DUMMYFUNCTION("""COMPUTED_VALUE"""),"Semestre")</f>
        <v>Semestre</v>
      </c>
      <c r="G858" s="2" t="str">
        <f>IFERROR(__xludf.DUMMYFUNCTION("""COMPUTED_VALUE"""),"San Sebastián")</f>
        <v>San Sebastián</v>
      </c>
      <c r="H858" s="2" t="str">
        <f>IFERROR(__xludf.DUMMYFUNCTION("""COMPUTED_VALUE"""),"Deusto Business School")</f>
        <v>Deusto Business School</v>
      </c>
      <c r="I858" s="2" t="str">
        <f>IFERROR(__xludf.DUMMYFUNCTION("""COMPUTED_VALUE"""),"Administración y Dirección de Empresas")</f>
        <v>Administración y Dirección de Empresas</v>
      </c>
      <c r="J858" s="2" t="str">
        <f>IFERROR(__xludf.DUMMYFUNCTION("""COMPUTED_VALUE"""),"Grado")</f>
        <v>Grado</v>
      </c>
      <c r="K858" s="2" t="str">
        <f>IFERROR(__xludf.DUMMYFUNCTION("""COMPUTED_VALUE"""),"Inglés")</f>
        <v>Inglés</v>
      </c>
      <c r="L858" s="2" t="str">
        <f>IFERROR(__xludf.DUMMYFUNCTION("""COMPUTED_VALUE"""),"B2")</f>
        <v>B2</v>
      </c>
      <c r="M858" s="2" t="str">
        <f>IFERROR(__xludf.DUMMYFUNCTION("""COMPUTED_VALUE"""),"Sí")</f>
        <v>Sí</v>
      </c>
      <c r="N858" s="3" t="str">
        <f>IFERROR(__xludf.DUMMYFUNCTION("""COMPUTED_VALUE"""),"https://www.youtube.com/playlist?list=PLcSbla144TtIqw_UuhmaV3evO0oGOLWca")</f>
        <v>https://www.youtube.com/playlist?list=PLcSbla144TtIqw_UuhmaV3evO0oGOLWca</v>
      </c>
      <c r="O858" s="3" t="str">
        <f>IFERROR(__xludf.DUMMYFUNCTION("""COMPUTED_VALUE"""),"Más información / Informazio gehigarria")</f>
        <v>Más información / Informazio gehigarria</v>
      </c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30.0" customHeight="1">
      <c r="A859" s="2" t="str">
        <f>IFERROR(__xludf.DUMMYFUNCTION("""COMPUTED_VALUE"""),"República de Corea")</f>
        <v>República de Corea</v>
      </c>
      <c r="B859" s="2"/>
      <c r="C859" s="3" t="str">
        <f>IFERROR(__xludf.DUMMYFUNCTION("""COMPUTED_VALUE"""),"Woosong University")</f>
        <v>Woosong University</v>
      </c>
      <c r="D859" s="2" t="str">
        <f>IFERROR(__xludf.DUMMYFUNCTION("""COMPUTED_VALUE"""),"Ac. Bilaterales (no Erasmus)")</f>
        <v>Ac. Bilaterales (no Erasmus)</v>
      </c>
      <c r="E859" s="2">
        <f>IFERROR(__xludf.DUMMYFUNCTION("""COMPUTED_VALUE"""),2.0)</f>
        <v>2</v>
      </c>
      <c r="F859" s="2" t="str">
        <f>IFERROR(__xludf.DUMMYFUNCTION("""COMPUTED_VALUE"""),"Semestre")</f>
        <v>Semestre</v>
      </c>
      <c r="G859" s="2" t="str">
        <f>IFERROR(__xludf.DUMMYFUNCTION("""COMPUTED_VALUE"""),"Bilbao")</f>
        <v>Bilbao</v>
      </c>
      <c r="H859" s="2" t="str">
        <f>IFERROR(__xludf.DUMMYFUNCTION("""COMPUTED_VALUE"""),"Ciencias Sociales y Humanas")</f>
        <v>Ciencias Sociales y Humanas</v>
      </c>
      <c r="I859" s="2" t="str">
        <f>IFERROR(__xludf.DUMMYFUNCTION("""COMPUTED_VALUE"""),"Relaciones Internacionales, Relaciones Internacionales + Derecho")</f>
        <v>Relaciones Internacionales, Relaciones Internacionales + Derecho</v>
      </c>
      <c r="J859" s="2" t="str">
        <f>IFERROR(__xludf.DUMMYFUNCTION("""COMPUTED_VALUE"""),"Grado")</f>
        <v>Grado</v>
      </c>
      <c r="K859" s="2" t="str">
        <f>IFERROR(__xludf.DUMMYFUNCTION("""COMPUTED_VALUE"""),"Inglés")</f>
        <v>Inglés</v>
      </c>
      <c r="L859" s="2" t="str">
        <f>IFERROR(__xludf.DUMMYFUNCTION("""COMPUTED_VALUE"""),"B2")</f>
        <v>B2</v>
      </c>
      <c r="M859" s="2" t="str">
        <f>IFERROR(__xludf.DUMMYFUNCTION("""COMPUTED_VALUE"""),"Sí")</f>
        <v>Sí</v>
      </c>
      <c r="N859" s="2"/>
      <c r="O859" s="2" t="str">
        <f>IFERROR(__xludf.DUMMYFUNCTION("""COMPUTED_VALUE"""),"Más información / Informazio gehigarria")</f>
        <v>Más información / Informazio gehigarria</v>
      </c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30.0" customHeight="1">
      <c r="A860" s="2" t="str">
        <f>IFERROR(__xludf.DUMMYFUNCTION("""COMPUTED_VALUE"""),"República Dominicana")</f>
        <v>República Dominicana</v>
      </c>
      <c r="B860" s="2"/>
      <c r="C860" s="3" t="str">
        <f>IFERROR(__xludf.DUMMYFUNCTION("""COMPUTED_VALUE"""),"Pontificia Universidad Católica Madre y Maestra")</f>
        <v>Pontificia Universidad Católica Madre y Maestra</v>
      </c>
      <c r="D860" s="2" t="str">
        <f>IFERROR(__xludf.DUMMYFUNCTION("""COMPUTED_VALUE"""),"Ac. Bilaterales (no Erasmus)")</f>
        <v>Ac. Bilaterales (no Erasmus)</v>
      </c>
      <c r="E860" s="2">
        <f>IFERROR(__xludf.DUMMYFUNCTION("""COMPUTED_VALUE"""),2.0)</f>
        <v>2</v>
      </c>
      <c r="F860" s="2" t="str">
        <f>IFERROR(__xludf.DUMMYFUNCTION("""COMPUTED_VALUE"""),"Semestre")</f>
        <v>Semestre</v>
      </c>
      <c r="G860" s="2" t="str">
        <f>IFERROR(__xludf.DUMMYFUNCTION("""COMPUTED_VALUE"""),"Ambos")</f>
        <v>Ambos</v>
      </c>
      <c r="H860" s="2" t="str">
        <f>IFERROR(__xludf.DUMMYFUNCTION("""COMPUTED_VALUE"""),"Ciencias de la Salud")</f>
        <v>Ciencias de la Salud</v>
      </c>
      <c r="I860" s="2" t="str">
        <f>IFERROR(__xludf.DUMMYFUNCTION("""COMPUTED_VALUE"""),"Enfermería")</f>
        <v>Enfermería</v>
      </c>
      <c r="J860" s="2" t="str">
        <f>IFERROR(__xludf.DUMMYFUNCTION("""COMPUTED_VALUE"""),"Grado")</f>
        <v>Grado</v>
      </c>
      <c r="K860" s="2" t="str">
        <f>IFERROR(__xludf.DUMMYFUNCTION("""COMPUTED_VALUE"""),"Español")</f>
        <v>Español</v>
      </c>
      <c r="L860" s="2" t="str">
        <f>IFERROR(__xludf.DUMMYFUNCTION("""COMPUTED_VALUE"""),"n/a")</f>
        <v>n/a</v>
      </c>
      <c r="M860" s="2" t="str">
        <f>IFERROR(__xludf.DUMMYFUNCTION("""COMPUTED_VALUE"""),"No")</f>
        <v>No</v>
      </c>
      <c r="N860" s="3" t="str">
        <f>IFERROR(__xludf.DUMMYFUNCTION("""COMPUTED_VALUE"""),"https://pucmm.edu.do/")</f>
        <v>https://pucmm.edu.do/</v>
      </c>
      <c r="O860" s="3" t="str">
        <f>IFERROR(__xludf.DUMMYFUNCTION("""COMPUTED_VALUE"""),"Más información / Informazio gehigarria")</f>
        <v>Más información / Informazio gehigarria</v>
      </c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30.0" customHeight="1">
      <c r="A861" s="2" t="str">
        <f>IFERROR(__xludf.DUMMYFUNCTION("""COMPUTED_VALUE"""),"Rumania")</f>
        <v>Rumania</v>
      </c>
      <c r="B861" s="2" t="str">
        <f>IFERROR(__xludf.DUMMYFUNCTION("""COMPUTED_VALUE"""),"RO ORADEA03")</f>
        <v>RO ORADEA03</v>
      </c>
      <c r="C861" s="3" t="str">
        <f>IFERROR(__xludf.DUMMYFUNCTION("""COMPUTED_VALUE"""),"Agora University of Oradea")</f>
        <v>Agora University of Oradea</v>
      </c>
      <c r="D861" s="2" t="str">
        <f>IFERROR(__xludf.DUMMYFUNCTION("""COMPUTED_VALUE"""),"Erasmus+")</f>
        <v>Erasmus+</v>
      </c>
      <c r="E861" s="2">
        <f>IFERROR(__xludf.DUMMYFUNCTION("""COMPUTED_VALUE"""),2.0)</f>
        <v>2</v>
      </c>
      <c r="F861" s="2" t="str">
        <f>IFERROR(__xludf.DUMMYFUNCTION("""COMPUTED_VALUE"""),"Semestre")</f>
        <v>Semestre</v>
      </c>
      <c r="G861" s="2" t="str">
        <f>IFERROR(__xludf.DUMMYFUNCTION("""COMPUTED_VALUE"""),"Bilbao")</f>
        <v>Bilbao</v>
      </c>
      <c r="H861" s="2" t="str">
        <f>IFERROR(__xludf.DUMMYFUNCTION("""COMPUTED_VALUE"""),"Derecho")</f>
        <v>Derecho</v>
      </c>
      <c r="I861" s="2" t="str">
        <f>IFERROR(__xludf.DUMMYFUNCTION("""COMPUTED_VALUE"""),"Derecho, Derecho + Relaciones Laborales")</f>
        <v>Derecho, Derecho + Relaciones Laborales</v>
      </c>
      <c r="J861" s="2" t="str">
        <f>IFERROR(__xludf.DUMMYFUNCTION("""COMPUTED_VALUE"""),"Grado")</f>
        <v>Grado</v>
      </c>
      <c r="K861" s="2" t="str">
        <f>IFERROR(__xludf.DUMMYFUNCTION("""COMPUTED_VALUE"""),"Inglés")</f>
        <v>Inglés</v>
      </c>
      <c r="L861" s="2" t="str">
        <f>IFERROR(__xludf.DUMMYFUNCTION("""COMPUTED_VALUE"""),"B2")</f>
        <v>B2</v>
      </c>
      <c r="M861" s="2" t="str">
        <f>IFERROR(__xludf.DUMMYFUNCTION("""COMPUTED_VALUE"""),"No")</f>
        <v>No</v>
      </c>
      <c r="N861" s="3" t="str">
        <f>IFERROR(__xludf.DUMMYFUNCTION("""COMPUTED_VALUE"""),"https://spu.ba/wp-content/uploads/2018/02/AGORA-University-of-Oradea-Erasmus.pdf")</f>
        <v>https://spu.ba/wp-content/uploads/2018/02/AGORA-University-of-Oradea-Erasmus.pdf</v>
      </c>
      <c r="O861" s="3" t="str">
        <f>IFERROR(__xludf.DUMMYFUNCTION("""COMPUTED_VALUE"""),"Más información / Informazio gehigarria")</f>
        <v>Más información / Informazio gehigarria</v>
      </c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30.0" customHeight="1">
      <c r="A862" s="2" t="str">
        <f>IFERROR(__xludf.DUMMYFUNCTION("""COMPUTED_VALUE"""),"Rumania")</f>
        <v>Rumania</v>
      </c>
      <c r="B862" s="2" t="str">
        <f>IFERROR(__xludf.DUMMYFUNCTION("""COMPUTED_VALUE"""),"RO BUCURES17")</f>
        <v>RO BUCURES17</v>
      </c>
      <c r="C862" s="3" t="str">
        <f>IFERROR(__xludf.DUMMYFUNCTION("""COMPUTED_VALUE"""),"Nicolae Titulescu Univesity of Bucharest")</f>
        <v>Nicolae Titulescu Univesity of Bucharest</v>
      </c>
      <c r="D862" s="2" t="str">
        <f>IFERROR(__xludf.DUMMYFUNCTION("""COMPUTED_VALUE"""),"Erasmus+")</f>
        <v>Erasmus+</v>
      </c>
      <c r="E862" s="2">
        <f>IFERROR(__xludf.DUMMYFUNCTION("""COMPUTED_VALUE"""),5.0)</f>
        <v>5</v>
      </c>
      <c r="F862" s="2" t="str">
        <f>IFERROR(__xludf.DUMMYFUNCTION("""COMPUTED_VALUE"""),"Semestre")</f>
        <v>Semestre</v>
      </c>
      <c r="G862" s="2" t="str">
        <f>IFERROR(__xludf.DUMMYFUNCTION("""COMPUTED_VALUE"""),"Bilbao")</f>
        <v>Bilbao</v>
      </c>
      <c r="H862" s="2" t="str">
        <f>IFERROR(__xludf.DUMMYFUNCTION("""COMPUTED_VALUE"""),"Derecho")</f>
        <v>Derecho</v>
      </c>
      <c r="I862" s="2" t="str">
        <f>IFERROR(__xludf.DUMMYFUNCTION("""COMPUTED_VALUE"""),"Derecho, Derecho + Relaciones Laborales")</f>
        <v>Derecho, Derecho + Relaciones Laborales</v>
      </c>
      <c r="J862" s="2" t="str">
        <f>IFERROR(__xludf.DUMMYFUNCTION("""COMPUTED_VALUE"""),"Grado")</f>
        <v>Grado</v>
      </c>
      <c r="K862" s="2" t="str">
        <f>IFERROR(__xludf.DUMMYFUNCTION("""COMPUTED_VALUE"""),"Inglés")</f>
        <v>Inglés</v>
      </c>
      <c r="L862" s="2" t="str">
        <f>IFERROR(__xludf.DUMMYFUNCTION("""COMPUTED_VALUE"""),"B2")</f>
        <v>B2</v>
      </c>
      <c r="M862" s="2" t="str">
        <f>IFERROR(__xludf.DUMMYFUNCTION("""COMPUTED_VALUE"""),"No")</f>
        <v>No</v>
      </c>
      <c r="N862" s="3" t="str">
        <f>IFERROR(__xludf.DUMMYFUNCTION("""COMPUTED_VALUE"""),"https://www.univnt.ro/index.php/erasmus/")</f>
        <v>https://www.univnt.ro/index.php/erasmus/</v>
      </c>
      <c r="O862" s="3" t="str">
        <f>IFERROR(__xludf.DUMMYFUNCTION("""COMPUTED_VALUE"""),"Más información / Informazio gehigarria")</f>
        <v>Más información / Informazio gehigarria</v>
      </c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30.0" customHeight="1">
      <c r="A863" s="2" t="str">
        <f>IFERROR(__xludf.DUMMYFUNCTION("""COMPUTED_VALUE"""),"Rumania")</f>
        <v>Rumania</v>
      </c>
      <c r="B863" s="2" t="str">
        <f>IFERROR(__xludf.DUMMYFUNCTION("""COMPUTED_VALUE"""),"RO BUCURES11")</f>
        <v>RO BUCURES11</v>
      </c>
      <c r="C863" s="3" t="str">
        <f>IFERROR(__xludf.DUMMYFUNCTION("""COMPUTED_VALUE"""),"Universitatea Politehnica Bucureşti")</f>
        <v>Universitatea Politehnica Bucureşti</v>
      </c>
      <c r="D863" s="2" t="str">
        <f>IFERROR(__xludf.DUMMYFUNCTION("""COMPUTED_VALUE"""),"Erasmus+")</f>
        <v>Erasmus+</v>
      </c>
      <c r="E863" s="2">
        <f>IFERROR(__xludf.DUMMYFUNCTION("""COMPUTED_VALUE"""),2.0)</f>
        <v>2</v>
      </c>
      <c r="F863" s="2" t="str">
        <f>IFERROR(__xludf.DUMMYFUNCTION("""COMPUTED_VALUE"""),"Semestre")</f>
        <v>Semestre</v>
      </c>
      <c r="G863" s="2" t="str">
        <f>IFERROR(__xludf.DUMMYFUNCTION("""COMPUTED_VALUE"""),"Ambos")</f>
        <v>Ambos</v>
      </c>
      <c r="H863" s="2" t="str">
        <f>IFERROR(__xludf.DUMMYFUNCTION("""COMPUTED_VALUE"""),"Ingeniería")</f>
        <v>Ingeniería</v>
      </c>
      <c r="I863" s="2" t="str">
        <f>IFERROR(__xludf.DUMMYFUNCTION("""COMPUTED_VALUE"""),"Ingeniería Informática, Organización Industrial, Tecnologías Industriales, Ingeniería Mecánica, Electrónica y Automática, Ciencia de Datos e IA + Ingeniería Informática, Diseño Industrial + Ingeniería Mecánica, Ingeniería Informática + Videojuegos")</f>
        <v>Ingeniería Informática, Organización Industrial, Tecnologías Industriales, Ingeniería Mecánica, Electrónica y Automática, Ciencia de Datos e IA + Ingeniería Informática, Diseño Industrial + Ingeniería Mecánica, Ingeniería Informática + Videojuegos</v>
      </c>
      <c r="J863" s="2" t="str">
        <f>IFERROR(__xludf.DUMMYFUNCTION("""COMPUTED_VALUE"""),"Grado")</f>
        <v>Grado</v>
      </c>
      <c r="K863" s="2" t="str">
        <f>IFERROR(__xludf.DUMMYFUNCTION("""COMPUTED_VALUE"""),"Inglés")</f>
        <v>Inglés</v>
      </c>
      <c r="L863" s="2" t="str">
        <f>IFERROR(__xludf.DUMMYFUNCTION("""COMPUTED_VALUE"""),"B2")</f>
        <v>B2</v>
      </c>
      <c r="M863" s="2" t="str">
        <f>IFERROR(__xludf.DUMMYFUNCTION("""COMPUTED_VALUE"""),"Si")</f>
        <v>Si</v>
      </c>
      <c r="N863" s="3" t="str">
        <f>IFERROR(__xludf.DUMMYFUNCTION("""COMPUTED_VALUE"""),"https://upb.ro/en/erasmus/erasmus-policy-statement/")</f>
        <v>https://upb.ro/en/erasmus/erasmus-policy-statement/</v>
      </c>
      <c r="O863" s="3" t="str">
        <f>IFERROR(__xludf.DUMMYFUNCTION("""COMPUTED_VALUE"""),"Más información / Informazio gehigarria")</f>
        <v>Más información / Informazio gehigarria</v>
      </c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30.0" customHeight="1">
      <c r="A864" s="2" t="str">
        <f>IFERROR(__xludf.DUMMYFUNCTION("""COMPUTED_VALUE"""),"Rumania")</f>
        <v>Rumania</v>
      </c>
      <c r="B864" s="2" t="str">
        <f>IFERROR(__xludf.DUMMYFUNCTION("""COMPUTED_VALUE"""),"RO BUCURES09")</f>
        <v>RO BUCURES09</v>
      </c>
      <c r="C864" s="3" t="str">
        <f>IFERROR(__xludf.DUMMYFUNCTION("""COMPUTED_VALUE"""),"University of Bucharest")</f>
        <v>University of Bucharest</v>
      </c>
      <c r="D864" s="2" t="str">
        <f>IFERROR(__xludf.DUMMYFUNCTION("""COMPUTED_VALUE"""),"Erasmus+")</f>
        <v>Erasmus+</v>
      </c>
      <c r="E864" s="2">
        <f>IFERROR(__xludf.DUMMYFUNCTION("""COMPUTED_VALUE"""),2.0)</f>
        <v>2</v>
      </c>
      <c r="F864" s="2" t="str">
        <f>IFERROR(__xludf.DUMMYFUNCTION("""COMPUTED_VALUE"""),"Anual")</f>
        <v>Anual</v>
      </c>
      <c r="G864" s="2" t="str">
        <f>IFERROR(__xludf.DUMMYFUNCTION("""COMPUTED_VALUE"""),"Bilbao")</f>
        <v>Bilbao</v>
      </c>
      <c r="H864" s="2" t="str">
        <f>IFERROR(__xludf.DUMMYFUNCTION("""COMPUTED_VALUE"""),"Ciencias Sociales y Humanas")</f>
        <v>Ciencias Sociales y Humanas</v>
      </c>
      <c r="I864" s="2" t="str">
        <f>IFERROR(__xludf.DUMMYFUNCTION("""COMPUTED_VALUE"""),"Relaciones Internacionales")</f>
        <v>Relaciones Internacionales</v>
      </c>
      <c r="J864" s="2" t="str">
        <f>IFERROR(__xludf.DUMMYFUNCTION("""COMPUTED_VALUE"""),"Grado")</f>
        <v>Grado</v>
      </c>
      <c r="K864" s="2" t="str">
        <f>IFERROR(__xludf.DUMMYFUNCTION("""COMPUTED_VALUE"""),"Inglés")</f>
        <v>Inglés</v>
      </c>
      <c r="L864" s="2" t="str">
        <f>IFERROR(__xludf.DUMMYFUNCTION("""COMPUTED_VALUE"""),"B2")</f>
        <v>B2</v>
      </c>
      <c r="M864" s="2" t="str">
        <f>IFERROR(__xludf.DUMMYFUNCTION("""COMPUTED_VALUE"""),"No")</f>
        <v>No</v>
      </c>
      <c r="N864" s="3" t="str">
        <f>IFERROR(__xludf.DUMMYFUNCTION("""COMPUTED_VALUE"""),"https://unibuc.ro/international/programul-erasmus/studenti-erasmus/?lang=en")</f>
        <v>https://unibuc.ro/international/programul-erasmus/studenti-erasmus/?lang=en</v>
      </c>
      <c r="O864" s="3" t="str">
        <f>IFERROR(__xludf.DUMMYFUNCTION("""COMPUTED_VALUE"""),"Más información / Informazio gehigarria")</f>
        <v>Más información / Informazio gehigarria</v>
      </c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30.0" customHeight="1">
      <c r="A865" s="2" t="str">
        <f>IFERROR(__xludf.DUMMYFUNCTION("""COMPUTED_VALUE"""),"Rumania")</f>
        <v>Rumania</v>
      </c>
      <c r="B865" s="2" t="str">
        <f>IFERROR(__xludf.DUMMYFUNCTION("""COMPUTED_VALUE"""),"RO BUCURES09")</f>
        <v>RO BUCURES09</v>
      </c>
      <c r="C865" s="3" t="str">
        <f>IFERROR(__xludf.DUMMYFUNCTION("""COMPUTED_VALUE"""),"University of Bucharest")</f>
        <v>University of Bucharest</v>
      </c>
      <c r="D865" s="2" t="str">
        <f>IFERROR(__xludf.DUMMYFUNCTION("""COMPUTED_VALUE"""),"Erasmus+")</f>
        <v>Erasmus+</v>
      </c>
      <c r="E865" s="2">
        <f>IFERROR(__xludf.DUMMYFUNCTION("""COMPUTED_VALUE"""),3.0)</f>
        <v>3</v>
      </c>
      <c r="F865" s="2" t="str">
        <f>IFERROR(__xludf.DUMMYFUNCTION("""COMPUTED_VALUE"""),"Semestre")</f>
        <v>Semestre</v>
      </c>
      <c r="G865" s="2" t="str">
        <f>IFERROR(__xludf.DUMMYFUNCTION("""COMPUTED_VALUE"""),"Bilbao")</f>
        <v>Bilbao</v>
      </c>
      <c r="H865" s="2" t="str">
        <f>IFERROR(__xludf.DUMMYFUNCTION("""COMPUTED_VALUE"""),"Ciencias Sociales y Humanas")</f>
        <v>Ciencias Sociales y Humanas</v>
      </c>
      <c r="I865" s="2" t="str">
        <f>IFERROR(__xludf.DUMMYFUNCTION("""COMPUTED_VALUE"""),"Relaciones Internacionales + Derecho")</f>
        <v>Relaciones Internacionales + Derecho</v>
      </c>
      <c r="J865" s="2" t="str">
        <f>IFERROR(__xludf.DUMMYFUNCTION("""COMPUTED_VALUE"""),"Grado")</f>
        <v>Grado</v>
      </c>
      <c r="K865" s="2" t="str">
        <f>IFERROR(__xludf.DUMMYFUNCTION("""COMPUTED_VALUE"""),"Inglés")</f>
        <v>Inglés</v>
      </c>
      <c r="L865" s="2" t="str">
        <f>IFERROR(__xludf.DUMMYFUNCTION("""COMPUTED_VALUE"""),"B2")</f>
        <v>B2</v>
      </c>
      <c r="M865" s="2" t="str">
        <f>IFERROR(__xludf.DUMMYFUNCTION("""COMPUTED_VALUE"""),"No")</f>
        <v>No</v>
      </c>
      <c r="N865" s="3" t="str">
        <f>IFERROR(__xludf.DUMMYFUNCTION("""COMPUTED_VALUE"""),"https://unibuc.ro/international/programul-erasmus/studenti-erasmus/?lang=en")</f>
        <v>https://unibuc.ro/international/programul-erasmus/studenti-erasmus/?lang=en</v>
      </c>
      <c r="O865" s="3" t="str">
        <f>IFERROR(__xludf.DUMMYFUNCTION("""COMPUTED_VALUE"""),"Más información / Informazio gehigarria")</f>
        <v>Más información / Informazio gehigarria</v>
      </c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30.0" customHeight="1">
      <c r="A866" s="2" t="str">
        <f>IFERROR(__xludf.DUMMYFUNCTION("""COMPUTED_VALUE"""),"Rumania")</f>
        <v>Rumania</v>
      </c>
      <c r="B866" s="2" t="str">
        <f>IFERROR(__xludf.DUMMYFUNCTION("""COMPUTED_VALUE"""),"RO GALATI01")</f>
        <v>RO GALATI01</v>
      </c>
      <c r="C866" s="3" t="str">
        <f>IFERROR(__xludf.DUMMYFUNCTION("""COMPUTED_VALUE"""),"University of Galati ""Dunarea de Jos""")</f>
        <v>University of Galati "Dunarea de Jos"</v>
      </c>
      <c r="D866" s="2" t="str">
        <f>IFERROR(__xludf.DUMMYFUNCTION("""COMPUTED_VALUE"""),"Erasmus+")</f>
        <v>Erasmus+</v>
      </c>
      <c r="E866" s="2">
        <f>IFERROR(__xludf.DUMMYFUNCTION("""COMPUTED_VALUE"""),2.0)</f>
        <v>2</v>
      </c>
      <c r="F866" s="2" t="str">
        <f>IFERROR(__xludf.DUMMYFUNCTION("""COMPUTED_VALUE"""),"Semestre")</f>
        <v>Semestre</v>
      </c>
      <c r="G866" s="2" t="str">
        <f>IFERROR(__xludf.DUMMYFUNCTION("""COMPUTED_VALUE"""),"Bilbao")</f>
        <v>Bilbao</v>
      </c>
      <c r="H866" s="2" t="str">
        <f>IFERROR(__xludf.DUMMYFUNCTION("""COMPUTED_VALUE"""),"Educación y Deporte")</f>
        <v>Educación y Deporte</v>
      </c>
      <c r="I866" s="2" t="str">
        <f>IFERROR(__xludf.DUMMYFUNCTION("""COMPUTED_VALUE"""),"CAFyD")</f>
        <v>CAFyD</v>
      </c>
      <c r="J866" s="2" t="str">
        <f>IFERROR(__xludf.DUMMYFUNCTION("""COMPUTED_VALUE"""),"Grado")</f>
        <v>Grado</v>
      </c>
      <c r="K866" s="2" t="str">
        <f>IFERROR(__xludf.DUMMYFUNCTION("""COMPUTED_VALUE"""),"Francés / Inglés")</f>
        <v>Francés / Inglés</v>
      </c>
      <c r="L866" s="2" t="str">
        <f>IFERROR(__xludf.DUMMYFUNCTION("""COMPUTED_VALUE"""),"B2")</f>
        <v>B2</v>
      </c>
      <c r="M866" s="2" t="str">
        <f>IFERROR(__xludf.DUMMYFUNCTION("""COMPUTED_VALUE"""),"No")</f>
        <v>No</v>
      </c>
      <c r="N866" s="3" t="str">
        <f>IFERROR(__xludf.DUMMYFUNCTION("""COMPUTED_VALUE"""),"https://www.en.ugal.ro/files/erasmus/2020/3/KA107_Erasmus_Info_Sheet_RO_GALATI01_incoming_students.pdf")</f>
        <v>https://www.en.ugal.ro/files/erasmus/2020/3/KA107_Erasmus_Info_Sheet_RO_GALATI01_incoming_students.pdf</v>
      </c>
      <c r="O866" s="3" t="str">
        <f>IFERROR(__xludf.DUMMYFUNCTION("""COMPUTED_VALUE"""),"Más información / Informazio gehigarria")</f>
        <v>Más información / Informazio gehigarria</v>
      </c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30.0" customHeight="1">
      <c r="A867" s="2" t="str">
        <f>IFERROR(__xludf.DUMMYFUNCTION("""COMPUTED_VALUE"""),"Serbia")</f>
        <v>Serbia</v>
      </c>
      <c r="B867" s="2" t="str">
        <f>IFERROR(__xludf.DUMMYFUNCTION("""COMPUTED_VALUE"""),"RS BELGRAD02")</f>
        <v>RS BELGRAD02</v>
      </c>
      <c r="C867" s="3" t="str">
        <f>IFERROR(__xludf.DUMMYFUNCTION("""COMPUTED_VALUE"""),"University of Belgrade")</f>
        <v>University of Belgrade</v>
      </c>
      <c r="D867" s="2" t="str">
        <f>IFERROR(__xludf.DUMMYFUNCTION("""COMPUTED_VALUE"""),"Erasmus+")</f>
        <v>Erasmus+</v>
      </c>
      <c r="E867" s="2">
        <f>IFERROR(__xludf.DUMMYFUNCTION("""COMPUTED_VALUE"""),2.0)</f>
        <v>2</v>
      </c>
      <c r="F867" s="2" t="str">
        <f>IFERROR(__xludf.DUMMYFUNCTION("""COMPUTED_VALUE"""),"Anual")</f>
        <v>Anual</v>
      </c>
      <c r="G867" s="2" t="str">
        <f>IFERROR(__xludf.DUMMYFUNCTION("""COMPUTED_VALUE"""),"Bilbao")</f>
        <v>Bilbao</v>
      </c>
      <c r="H867" s="2" t="str">
        <f>IFERROR(__xludf.DUMMYFUNCTION("""COMPUTED_VALUE"""),"Ciencias Sociales y Humanas")</f>
        <v>Ciencias Sociales y Humanas</v>
      </c>
      <c r="I867" s="2" t="str">
        <f>IFERROR(__xludf.DUMMYFUNCTION("""COMPUTED_VALUE"""),"Relaciones Internacionales")</f>
        <v>Relaciones Internacionales</v>
      </c>
      <c r="J867" s="2" t="str">
        <f>IFERROR(__xludf.DUMMYFUNCTION("""COMPUTED_VALUE"""),"Grado")</f>
        <v>Grado</v>
      </c>
      <c r="K867" s="2" t="str">
        <f>IFERROR(__xludf.DUMMYFUNCTION("""COMPUTED_VALUE"""),"Inglés")</f>
        <v>Inglés</v>
      </c>
      <c r="L867" s="2" t="str">
        <f>IFERROR(__xludf.DUMMYFUNCTION("""COMPUTED_VALUE"""),"B2")</f>
        <v>B2</v>
      </c>
      <c r="M867" s="2" t="str">
        <f>IFERROR(__xludf.DUMMYFUNCTION("""COMPUTED_VALUE"""),"No")</f>
        <v>No</v>
      </c>
      <c r="N867" s="3" t="str">
        <f>IFERROR(__xludf.DUMMYFUNCTION("""COMPUTED_VALUE"""),"https://www.bg.ac.rs/faq/")</f>
        <v>https://www.bg.ac.rs/faq/</v>
      </c>
      <c r="O867" s="3" t="str">
        <f>IFERROR(__xludf.DUMMYFUNCTION("""COMPUTED_VALUE"""),"Más información / Informazio gehigarria")</f>
        <v>Más información / Informazio gehigarria</v>
      </c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30.0" customHeight="1">
      <c r="A868" s="2" t="str">
        <f>IFERROR(__xludf.DUMMYFUNCTION("""COMPUTED_VALUE"""),"Serbia")</f>
        <v>Serbia</v>
      </c>
      <c r="B868" s="2" t="str">
        <f>IFERROR(__xludf.DUMMYFUNCTION("""COMPUTED_VALUE"""),"RS KRAGUJE01")</f>
        <v>RS KRAGUJE01</v>
      </c>
      <c r="C868" s="3" t="str">
        <f>IFERROR(__xludf.DUMMYFUNCTION("""COMPUTED_VALUE"""),"University of Kragujevac")</f>
        <v>University of Kragujevac</v>
      </c>
      <c r="D868" s="2" t="str">
        <f>IFERROR(__xludf.DUMMYFUNCTION("""COMPUTED_VALUE"""),"Erasmus+")</f>
        <v>Erasmus+</v>
      </c>
      <c r="E868" s="2">
        <f>IFERROR(__xludf.DUMMYFUNCTION("""COMPUTED_VALUE"""),4.0)</f>
        <v>4</v>
      </c>
      <c r="F868" s="2" t="str">
        <f>IFERROR(__xludf.DUMMYFUNCTION("""COMPUTED_VALUE"""),"Semestre")</f>
        <v>Semestre</v>
      </c>
      <c r="G868" s="2" t="str">
        <f>IFERROR(__xludf.DUMMYFUNCTION("""COMPUTED_VALUE"""),"Ambos")</f>
        <v>Ambos</v>
      </c>
      <c r="H868" s="2" t="str">
        <f>IFERROR(__xludf.DUMMYFUNCTION("""COMPUTED_VALUE"""),"Educación y Deporte")</f>
        <v>Educación y Deporte</v>
      </c>
      <c r="I868" s="2" t="str">
        <f>IFERROR(__xludf.DUMMYFUNCTION("""COMPUTED_VALUE"""),"Educación Primaria")</f>
        <v>Educación Primaria</v>
      </c>
      <c r="J868" s="2" t="str">
        <f>IFERROR(__xludf.DUMMYFUNCTION("""COMPUTED_VALUE"""),"Grado")</f>
        <v>Grado</v>
      </c>
      <c r="K868" s="2" t="str">
        <f>IFERROR(__xludf.DUMMYFUNCTION("""COMPUTED_VALUE"""),"Inglés")</f>
        <v>Inglés</v>
      </c>
      <c r="L868" s="2" t="str">
        <f>IFERROR(__xludf.DUMMYFUNCTION("""COMPUTED_VALUE"""),"B2")</f>
        <v>B2</v>
      </c>
      <c r="M868" s="2" t="str">
        <f>IFERROR(__xludf.DUMMYFUNCTION("""COMPUTED_VALUE"""),"No")</f>
        <v>No</v>
      </c>
      <c r="N868" s="3" t="str">
        <f>IFERROR(__xludf.DUMMYFUNCTION("""COMPUTED_VALUE"""),"https://docs.univr.it/documenti/Documento/allegati/allegati722764.pdf")</f>
        <v>https://docs.univr.it/documenti/Documento/allegati/allegati722764.pdf</v>
      </c>
      <c r="O868" s="3" t="str">
        <f>IFERROR(__xludf.DUMMYFUNCTION("""COMPUTED_VALUE"""),"Más información / Informazio gehigarria")</f>
        <v>Más información / Informazio gehigarria</v>
      </c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30.0" customHeight="1">
      <c r="A869" s="2" t="str">
        <f>IFERROR(__xludf.DUMMYFUNCTION("""COMPUTED_VALUE"""),"Serbia")</f>
        <v>Serbia</v>
      </c>
      <c r="B869" s="2" t="str">
        <f>IFERROR(__xludf.DUMMYFUNCTION("""COMPUTED_VALUE"""),"RS KRAGUJE01")</f>
        <v>RS KRAGUJE01</v>
      </c>
      <c r="C869" s="3" t="str">
        <f>IFERROR(__xludf.DUMMYFUNCTION("""COMPUTED_VALUE"""),"University of Kragujevac")</f>
        <v>University of Kragujevac</v>
      </c>
      <c r="D869" s="2" t="str">
        <f>IFERROR(__xludf.DUMMYFUNCTION("""COMPUTED_VALUE"""),"Erasmus+")</f>
        <v>Erasmus+</v>
      </c>
      <c r="E869" s="2">
        <f>IFERROR(__xludf.DUMMYFUNCTION("""COMPUTED_VALUE"""),2.0)</f>
        <v>2</v>
      </c>
      <c r="F869" s="2" t="str">
        <f>IFERROR(__xludf.DUMMYFUNCTION("""COMPUTED_VALUE"""),"Semestre")</f>
        <v>Semestre</v>
      </c>
      <c r="G869" s="2" t="str">
        <f>IFERROR(__xludf.DUMMYFUNCTION("""COMPUTED_VALUE"""),"Bilbao")</f>
        <v>Bilbao</v>
      </c>
      <c r="H869" s="2" t="str">
        <f>IFERROR(__xludf.DUMMYFUNCTION("""COMPUTED_VALUE"""),"Ciencias Sociales y Humanas")</f>
        <v>Ciencias Sociales y Humanas</v>
      </c>
      <c r="I869" s="2" t="str">
        <f>IFERROR(__xludf.DUMMYFUNCTION("""COMPUTED_VALUE"""),"Turismo")</f>
        <v>Turismo</v>
      </c>
      <c r="J869" s="2" t="str">
        <f>IFERROR(__xludf.DUMMYFUNCTION("""COMPUTED_VALUE"""),"Grado")</f>
        <v>Grado</v>
      </c>
      <c r="K869" s="2" t="str">
        <f>IFERROR(__xludf.DUMMYFUNCTION("""COMPUTED_VALUE"""),"Inglés")</f>
        <v>Inglés</v>
      </c>
      <c r="L869" s="2" t="str">
        <f>IFERROR(__xludf.DUMMYFUNCTION("""COMPUTED_VALUE"""),"B2")</f>
        <v>B2</v>
      </c>
      <c r="M869" s="2" t="str">
        <f>IFERROR(__xludf.DUMMYFUNCTION("""COMPUTED_VALUE"""),"No")</f>
        <v>No</v>
      </c>
      <c r="N869" s="3" t="str">
        <f>IFERROR(__xludf.DUMMYFUNCTION("""COMPUTED_VALUE"""),"https://docs.univr.it/documenti/Documento/allegati/allegati722764.pdf")</f>
        <v>https://docs.univr.it/documenti/Documento/allegati/allegati722764.pdf</v>
      </c>
      <c r="O869" s="3" t="str">
        <f>IFERROR(__xludf.DUMMYFUNCTION("""COMPUTED_VALUE"""),"Más información / Informazio gehigarria")</f>
        <v>Más información / Informazio gehigarria</v>
      </c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30.0" customHeight="1">
      <c r="A870" s="2" t="str">
        <f>IFERROR(__xludf.DUMMYFUNCTION("""COMPUTED_VALUE"""),"Suecia")</f>
        <v>Suecia</v>
      </c>
      <c r="B870" s="2" t="str">
        <f>IFERROR(__xludf.DUMMYFUNCTION("""COMPUTED_VALUE"""),"S KARLSKR01")</f>
        <v>S KARLSKR01</v>
      </c>
      <c r="C870" s="3" t="str">
        <f>IFERROR(__xludf.DUMMYFUNCTION("""COMPUTED_VALUE"""),"Blekinge Tekniska Högskola")</f>
        <v>Blekinge Tekniska Högskola</v>
      </c>
      <c r="D870" s="2" t="str">
        <f>IFERROR(__xludf.DUMMYFUNCTION("""COMPUTED_VALUE"""),"Erasmus+")</f>
        <v>Erasmus+</v>
      </c>
      <c r="E870" s="2">
        <f>IFERROR(__xludf.DUMMYFUNCTION("""COMPUTED_VALUE"""),1.0)</f>
        <v>1</v>
      </c>
      <c r="F870" s="2" t="str">
        <f>IFERROR(__xludf.DUMMYFUNCTION("""COMPUTED_VALUE"""),"Semestre")</f>
        <v>Semestre</v>
      </c>
      <c r="G870" s="2" t="str">
        <f>IFERROR(__xludf.DUMMYFUNCTION("""COMPUTED_VALUE"""),"Ambos")</f>
        <v>Ambos</v>
      </c>
      <c r="H870" s="2" t="str">
        <f>IFERROR(__xludf.DUMMYFUNCTION("""COMPUTED_VALUE"""),"Ingeniería")</f>
        <v>Ingeniería</v>
      </c>
      <c r="I870" s="2" t="str">
        <f>IFERROR(__xludf.DUMMYFUNCTION("""COMPUTED_VALUE"""),"Ingeniería Informática, Ciencia de Datos e IA, Ciencia de Datos e IA + Ingeniería Informática, Ingeniería Informática + Videojuegos")</f>
        <v>Ingeniería Informática, Ciencia de Datos e IA, Ciencia de Datos e IA + Ingeniería Informática, Ingeniería Informática + Videojuegos</v>
      </c>
      <c r="J870" s="2" t="str">
        <f>IFERROR(__xludf.DUMMYFUNCTION("""COMPUTED_VALUE"""),"Grado")</f>
        <v>Grado</v>
      </c>
      <c r="K870" s="2" t="str">
        <f>IFERROR(__xludf.DUMMYFUNCTION("""COMPUTED_VALUE"""),"Inglés")</f>
        <v>Inglés</v>
      </c>
      <c r="L870" s="2" t="str">
        <f>IFERROR(__xludf.DUMMYFUNCTION("""COMPUTED_VALUE"""),"B2")</f>
        <v>B2</v>
      </c>
      <c r="M870" s="2" t="str">
        <f>IFERROR(__xludf.DUMMYFUNCTION("""COMPUTED_VALUE"""),"No")</f>
        <v>No</v>
      </c>
      <c r="N870" s="3" t="str">
        <f>IFERROR(__xludf.DUMMYFUNCTION("""COMPUTED_VALUE"""),"https://www.bth.se/eng/education/exchange-studies/exchange-studies-at-bth/#:~:text=We%20do%20not%20require%20certification,write%20essays%2C%20and%20take%20exams.")</f>
        <v>https://www.bth.se/eng/education/exchange-studies/exchange-studies-at-bth/#:~:text=We%20do%20not%20require%20certification,write%20essays%2C%20and%20take%20exams.</v>
      </c>
      <c r="O870" s="3" t="str">
        <f>IFERROR(__xludf.DUMMYFUNCTION("""COMPUTED_VALUE"""),"Más información / Informazio gehigarria")</f>
        <v>Más información / Informazio gehigarria</v>
      </c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30.0" customHeight="1">
      <c r="A871" s="2" t="str">
        <f>IFERROR(__xludf.DUMMYFUNCTION("""COMPUTED_VALUE"""),"Suecia")</f>
        <v>Suecia</v>
      </c>
      <c r="B871" s="2" t="str">
        <f>IFERROR(__xludf.DUMMYFUNCTION("""COMPUTED_VALUE"""),"S KARLSTA01")</f>
        <v>S KARLSTA01</v>
      </c>
      <c r="C871" s="3" t="str">
        <f>IFERROR(__xludf.DUMMYFUNCTION("""COMPUTED_VALUE"""),"Karlstads Universitet")</f>
        <v>Karlstads Universitet</v>
      </c>
      <c r="D871" s="2" t="str">
        <f>IFERROR(__xludf.DUMMYFUNCTION("""COMPUTED_VALUE"""),"Erasmus+")</f>
        <v>Erasmus+</v>
      </c>
      <c r="E871" s="2">
        <f>IFERROR(__xludf.DUMMYFUNCTION("""COMPUTED_VALUE"""),4.0)</f>
        <v>4</v>
      </c>
      <c r="F871" s="2" t="str">
        <f>IFERROR(__xludf.DUMMYFUNCTION("""COMPUTED_VALUE"""),"Semestre")</f>
        <v>Semestre</v>
      </c>
      <c r="G871" s="2" t="str">
        <f>IFERROR(__xludf.DUMMYFUNCTION("""COMPUTED_VALUE"""),"Ambos")</f>
        <v>Ambos</v>
      </c>
      <c r="H871" s="2" t="str">
        <f>IFERROR(__xludf.DUMMYFUNCTION("""COMPUTED_VALUE"""),"Ingeniería")</f>
        <v>Ingeniería</v>
      </c>
      <c r="I871" s="2" t="str">
        <f>IFERROR(__xludf.DUMMYFUNCTION("""COMPUTED_VALUE"""),"Ingeniería Informática, Tecnologías Industriales, Ingeniería Mecánica, Ciencia de Datos e IA + Ingeniería Informática, Diseño Industrial + Ingeniería Mecánica, Ingeniería Informática + Videojuegos")</f>
        <v>Ingeniería Informática, Tecnologías Industriales, Ingeniería Mecánica, Ciencia de Datos e IA + Ingeniería Informática, Diseño Industrial + Ingeniería Mecánica, Ingeniería Informática + Videojuegos</v>
      </c>
      <c r="J871" s="2" t="str">
        <f>IFERROR(__xludf.DUMMYFUNCTION("""COMPUTED_VALUE"""),"Grado")</f>
        <v>Grado</v>
      </c>
      <c r="K871" s="2" t="str">
        <f>IFERROR(__xludf.DUMMYFUNCTION("""COMPUTED_VALUE"""),"Inglés")</f>
        <v>Inglés</v>
      </c>
      <c r="L871" s="2" t="str">
        <f>IFERROR(__xludf.DUMMYFUNCTION("""COMPUTED_VALUE"""),"B2")</f>
        <v>B2</v>
      </c>
      <c r="M871" s="2" t="str">
        <f>IFERROR(__xludf.DUMMYFUNCTION("""COMPUTED_VALUE"""),"No")</f>
        <v>No</v>
      </c>
      <c r="N871" s="3" t="str">
        <f>IFERROR(__xludf.DUMMYFUNCTION("""COMPUTED_VALUE"""),"https://www.kau.se/en/education/study-abroad/incoming-exchange-students/nomination-application-and-admission")</f>
        <v>https://www.kau.se/en/education/study-abroad/incoming-exchange-students/nomination-application-and-admission</v>
      </c>
      <c r="O871" s="3" t="str">
        <f>IFERROR(__xludf.DUMMYFUNCTION("""COMPUTED_VALUE"""),"Más información / Informazio gehigarria")</f>
        <v>Más información / Informazio gehigarria</v>
      </c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30.0" customHeight="1">
      <c r="A872" s="2" t="str">
        <f>IFERROR(__xludf.DUMMYFUNCTION("""COMPUTED_VALUE"""),"Suecia")</f>
        <v>Suecia</v>
      </c>
      <c r="B872" s="2" t="str">
        <f>IFERROR(__xludf.DUMMYFUNCTION("""COMPUTED_VALUE"""),"S LUND01")</f>
        <v>S LUND01</v>
      </c>
      <c r="C872" s="3" t="str">
        <f>IFERROR(__xludf.DUMMYFUNCTION("""COMPUTED_VALUE"""),"Lund University")</f>
        <v>Lund University</v>
      </c>
      <c r="D872" s="2" t="str">
        <f>IFERROR(__xludf.DUMMYFUNCTION("""COMPUTED_VALUE"""),"Erasmus+")</f>
        <v>Erasmus+</v>
      </c>
      <c r="E872" s="2">
        <f>IFERROR(__xludf.DUMMYFUNCTION("""COMPUTED_VALUE"""),5.0)</f>
        <v>5</v>
      </c>
      <c r="F872" s="2" t="str">
        <f>IFERROR(__xludf.DUMMYFUNCTION("""COMPUTED_VALUE"""),"Semestre")</f>
        <v>Semestre</v>
      </c>
      <c r="G872" s="2" t="str">
        <f>IFERROR(__xludf.DUMMYFUNCTION("""COMPUTED_VALUE"""),"San Sebastián")</f>
        <v>San Sebastián</v>
      </c>
      <c r="H872" s="2" t="str">
        <f>IFERROR(__xludf.DUMMYFUNCTION("""COMPUTED_VALUE"""),"Deusto Business School")</f>
        <v>Deusto Business School</v>
      </c>
      <c r="I872" s="2" t="str">
        <f>IFERROR(__xludf.DUMMYFUNCTION("""COMPUTED_VALUE"""),"Administración y Dirección de Empresas")</f>
        <v>Administración y Dirección de Empresas</v>
      </c>
      <c r="J872" s="2" t="str">
        <f>IFERROR(__xludf.DUMMYFUNCTION("""COMPUTED_VALUE"""),"Grado")</f>
        <v>Grado</v>
      </c>
      <c r="K872" s="2" t="str">
        <f>IFERROR(__xludf.DUMMYFUNCTION("""COMPUTED_VALUE"""),"Inglés")</f>
        <v>Inglés</v>
      </c>
      <c r="L872" s="2" t="str">
        <f>IFERROR(__xludf.DUMMYFUNCTION("""COMPUTED_VALUE"""),"B2")</f>
        <v>B2</v>
      </c>
      <c r="M872" s="2" t="str">
        <f>IFERROR(__xludf.DUMMYFUNCTION("""COMPUTED_VALUE"""),"No")</f>
        <v>No</v>
      </c>
      <c r="N872" s="3" t="str">
        <f>IFERROR(__xludf.DUMMYFUNCTION("""COMPUTED_VALUE"""),"https://www.lusem.lu.se/study/international-opportunities/incoming")</f>
        <v>https://www.lusem.lu.se/study/international-opportunities/incoming</v>
      </c>
      <c r="O872" s="3" t="str">
        <f>IFERROR(__xludf.DUMMYFUNCTION("""COMPUTED_VALUE"""),"Más información / Informazio gehigarria")</f>
        <v>Más información / Informazio gehigarria</v>
      </c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30.0" customHeight="1">
      <c r="A873" s="2" t="str">
        <f>IFERROR(__xludf.DUMMYFUNCTION("""COMPUTED_VALUE"""),"Suecia")</f>
        <v>Suecia</v>
      </c>
      <c r="B873" s="2" t="str">
        <f>IFERROR(__xludf.DUMMYFUNCTION("""COMPUTED_VALUE"""),"S MALMO01")</f>
        <v>S MALMO01</v>
      </c>
      <c r="C873" s="3" t="str">
        <f>IFERROR(__xludf.DUMMYFUNCTION("""COMPUTED_VALUE"""),"Malmö University")</f>
        <v>Malmö University</v>
      </c>
      <c r="D873" s="2" t="str">
        <f>IFERROR(__xludf.DUMMYFUNCTION("""COMPUTED_VALUE"""),"Erasmus+")</f>
        <v>Erasmus+</v>
      </c>
      <c r="E873" s="2">
        <f>IFERROR(__xludf.DUMMYFUNCTION("""COMPUTED_VALUE"""),4.0)</f>
        <v>4</v>
      </c>
      <c r="F873" s="2" t="str">
        <f>IFERROR(__xludf.DUMMYFUNCTION("""COMPUTED_VALUE"""),"Semestre")</f>
        <v>Semestre</v>
      </c>
      <c r="G873" s="2" t="str">
        <f>IFERROR(__xludf.DUMMYFUNCTION("""COMPUTED_VALUE"""),"Ambos")</f>
        <v>Ambos</v>
      </c>
      <c r="H873" s="2" t="str">
        <f>IFERROR(__xludf.DUMMYFUNCTION("""COMPUTED_VALUE"""),"Educación y Deporte")</f>
        <v>Educación y Deporte</v>
      </c>
      <c r="I873" s="2" t="str">
        <f>IFERROR(__xludf.DUMMYFUNCTION("""COMPUTED_VALUE"""),"Educación Primaria")</f>
        <v>Educación Primaria</v>
      </c>
      <c r="J873" s="2" t="str">
        <f>IFERROR(__xludf.DUMMYFUNCTION("""COMPUTED_VALUE"""),"Grado")</f>
        <v>Grado</v>
      </c>
      <c r="K873" s="2" t="str">
        <f>IFERROR(__xludf.DUMMYFUNCTION("""COMPUTED_VALUE"""),"Inglés")</f>
        <v>Inglés</v>
      </c>
      <c r="L873" s="2" t="str">
        <f>IFERROR(__xludf.DUMMYFUNCTION("""COMPUTED_VALUE"""),"B2")</f>
        <v>B2</v>
      </c>
      <c r="M873" s="2" t="str">
        <f>IFERROR(__xludf.DUMMYFUNCTION("""COMPUTED_VALUE"""),"No")</f>
        <v>No</v>
      </c>
      <c r="N873" s="3" t="str">
        <f>IFERROR(__xludf.DUMMYFUNCTION("""COMPUTED_VALUE"""),"https://mau.se/en/education/apply-for-exchange-studies/#accordion-6676")</f>
        <v>https://mau.se/en/education/apply-for-exchange-studies/#accordion-6676</v>
      </c>
      <c r="O873" s="3" t="str">
        <f>IFERROR(__xludf.DUMMYFUNCTION("""COMPUTED_VALUE"""),"Más información / Informazio gehigarria")</f>
        <v>Más información / Informazio gehigarria</v>
      </c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30.0" customHeight="1">
      <c r="A874" s="2" t="str">
        <f>IFERROR(__xludf.DUMMYFUNCTION("""COMPUTED_VALUE"""),"Suecia")</f>
        <v>Suecia</v>
      </c>
      <c r="B874" s="2" t="str">
        <f>IFERROR(__xludf.DUMMYFUNCTION("""COMPUTED_VALUE"""),"S STOCKHO01")</f>
        <v>S STOCKHO01</v>
      </c>
      <c r="C874" s="3" t="str">
        <f>IFERROR(__xludf.DUMMYFUNCTION("""COMPUTED_VALUE"""),"Stockholm University")</f>
        <v>Stockholm University</v>
      </c>
      <c r="D874" s="2" t="str">
        <f>IFERROR(__xludf.DUMMYFUNCTION("""COMPUTED_VALUE"""),"Erasmus+")</f>
        <v>Erasmus+</v>
      </c>
      <c r="E874" s="2">
        <f>IFERROR(__xludf.DUMMYFUNCTION("""COMPUTED_VALUE"""),2.0)</f>
        <v>2</v>
      </c>
      <c r="F874" s="2" t="str">
        <f>IFERROR(__xludf.DUMMYFUNCTION("""COMPUTED_VALUE"""),"Ambos semestres")</f>
        <v>Ambos semestres</v>
      </c>
      <c r="G874" s="2" t="str">
        <f>IFERROR(__xludf.DUMMYFUNCTION("""COMPUTED_VALUE"""),"Bilbao")</f>
        <v>Bilbao</v>
      </c>
      <c r="H874" s="2" t="str">
        <f>IFERROR(__xludf.DUMMYFUNCTION("""COMPUTED_VALUE"""),"Deusto Business School")</f>
        <v>Deusto Business School</v>
      </c>
      <c r="I874" s="2" t="str">
        <f>IFERROR(__xludf.DUMMYFUNCTION("""COMPUTED_VALUE"""),"Administración y Dirección de Empresas")</f>
        <v>Administración y Dirección de Empresas</v>
      </c>
      <c r="J874" s="2" t="str">
        <f>IFERROR(__xludf.DUMMYFUNCTION("""COMPUTED_VALUE"""),"Grado")</f>
        <v>Grado</v>
      </c>
      <c r="K874" s="2" t="str">
        <f>IFERROR(__xludf.DUMMYFUNCTION("""COMPUTED_VALUE"""),"Inglés")</f>
        <v>Inglés</v>
      </c>
      <c r="L874" s="2" t="str">
        <f>IFERROR(__xludf.DUMMYFUNCTION("""COMPUTED_VALUE"""),"C1")</f>
        <v>C1</v>
      </c>
      <c r="M874" s="2" t="str">
        <f>IFERROR(__xludf.DUMMYFUNCTION("""COMPUTED_VALUE"""),"No")</f>
        <v>No</v>
      </c>
      <c r="N874" s="3" t="str">
        <f>IFERROR(__xludf.DUMMYFUNCTION("""COMPUTED_VALUE"""),"https://www.su.se/english/education/how-to-apply/entry-requirements/english-requirement-1.446683")</f>
        <v>https://www.su.se/english/education/how-to-apply/entry-requirements/english-requirement-1.446683</v>
      </c>
      <c r="O874" s="3" t="str">
        <f>IFERROR(__xludf.DUMMYFUNCTION("""COMPUTED_VALUE"""),"Más información / Informazio gehigarria")</f>
        <v>Más información / Informazio gehigarria</v>
      </c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30.0" customHeight="1">
      <c r="A875" s="2" t="str">
        <f>IFERROR(__xludf.DUMMYFUNCTION("""COMPUTED_VALUE"""),"Suecia")</f>
        <v>Suecia</v>
      </c>
      <c r="B875" s="2" t="str">
        <f>IFERROR(__xludf.DUMMYFUNCTION("""COMPUTED_VALUE"""),"S STOCKHO01")</f>
        <v>S STOCKHO01</v>
      </c>
      <c r="C875" s="3" t="str">
        <f>IFERROR(__xludf.DUMMYFUNCTION("""COMPUTED_VALUE"""),"Stockholm University")</f>
        <v>Stockholm University</v>
      </c>
      <c r="D875" s="2" t="str">
        <f>IFERROR(__xludf.DUMMYFUNCTION("""COMPUTED_VALUE"""),"Erasmus+")</f>
        <v>Erasmus+</v>
      </c>
      <c r="E875" s="2">
        <f>IFERROR(__xludf.DUMMYFUNCTION("""COMPUTED_VALUE"""),4.0)</f>
        <v>4</v>
      </c>
      <c r="F875" s="2" t="str">
        <f>IFERROR(__xludf.DUMMYFUNCTION("""COMPUTED_VALUE"""),"Semestre")</f>
        <v>Semestre</v>
      </c>
      <c r="G875" s="2" t="str">
        <f>IFERROR(__xludf.DUMMYFUNCTION("""COMPUTED_VALUE"""),"Ambos")</f>
        <v>Ambos</v>
      </c>
      <c r="H875" s="2" t="str">
        <f>IFERROR(__xludf.DUMMYFUNCTION("""COMPUTED_VALUE"""),"Derecho")</f>
        <v>Derecho</v>
      </c>
      <c r="I875" s="2" t="str">
        <f>IFERROR(__xludf.DUMMYFUNCTION("""COMPUTED_VALUE"""),"Derecho, Derecho + Relaciones Laborales")</f>
        <v>Derecho, Derecho + Relaciones Laborales</v>
      </c>
      <c r="J875" s="2" t="str">
        <f>IFERROR(__xludf.DUMMYFUNCTION("""COMPUTED_VALUE"""),"Grado")</f>
        <v>Grado</v>
      </c>
      <c r="K875" s="2" t="str">
        <f>IFERROR(__xludf.DUMMYFUNCTION("""COMPUTED_VALUE"""),"Inglés")</f>
        <v>Inglés</v>
      </c>
      <c r="L875" s="2" t="str">
        <f>IFERROR(__xludf.DUMMYFUNCTION("""COMPUTED_VALUE"""),"B2 / C1")</f>
        <v>B2 / C1</v>
      </c>
      <c r="M875" s="2" t="str">
        <f>IFERROR(__xludf.DUMMYFUNCTION("""COMPUTED_VALUE"""),"Sí")</f>
        <v>Sí</v>
      </c>
      <c r="N875" s="3" t="str">
        <f>IFERROR(__xludf.DUMMYFUNCTION("""COMPUTED_VALUE"""),"https://www.su.se/english/education/how-to-apply/entry-requirements/english-requirement-1.446683")</f>
        <v>https://www.su.se/english/education/how-to-apply/entry-requirements/english-requirement-1.446683</v>
      </c>
      <c r="O875" s="3" t="str">
        <f>IFERROR(__xludf.DUMMYFUNCTION("""COMPUTED_VALUE"""),"Más información / Informazio gehigarria")</f>
        <v>Más información / Informazio gehigarria</v>
      </c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30.0" customHeight="1">
      <c r="A876" s="2" t="str">
        <f>IFERROR(__xludf.DUMMYFUNCTION("""COMPUTED_VALUE"""),"Suecia")</f>
        <v>Suecia</v>
      </c>
      <c r="B876" s="2" t="str">
        <f>IFERROR(__xludf.DUMMYFUNCTION("""COMPUTED_VALUE"""),"S STOCKHO01")</f>
        <v>S STOCKHO01</v>
      </c>
      <c r="C876" s="3" t="str">
        <f>IFERROR(__xludf.DUMMYFUNCTION("""COMPUTED_VALUE"""),"Stockholm University")</f>
        <v>Stockholm University</v>
      </c>
      <c r="D876" s="2" t="str">
        <f>IFERROR(__xludf.DUMMYFUNCTION("""COMPUTED_VALUE"""),"Erasmus+")</f>
        <v>Erasmus+</v>
      </c>
      <c r="E876" s="2">
        <f>IFERROR(__xludf.DUMMYFUNCTION("""COMPUTED_VALUE"""),4.0)</f>
        <v>4</v>
      </c>
      <c r="F876" s="2" t="str">
        <f>IFERROR(__xludf.DUMMYFUNCTION("""COMPUTED_VALUE"""),"Semestre")</f>
        <v>Semestre</v>
      </c>
      <c r="G876" s="2" t="str">
        <f>IFERROR(__xludf.DUMMYFUNCTION("""COMPUTED_VALUE"""),"San Sebastián")</f>
        <v>San Sebastián</v>
      </c>
      <c r="H876" s="2" t="str">
        <f>IFERROR(__xludf.DUMMYFUNCTION("""COMPUTED_VALUE"""),"Deusto Business School")</f>
        <v>Deusto Business School</v>
      </c>
      <c r="I876" s="2" t="str">
        <f>IFERROR(__xludf.DUMMYFUNCTION("""COMPUTED_VALUE"""),"Administración y Dirección de Empresas")</f>
        <v>Administración y Dirección de Empresas</v>
      </c>
      <c r="J876" s="2" t="str">
        <f>IFERROR(__xludf.DUMMYFUNCTION("""COMPUTED_VALUE"""),"Grado")</f>
        <v>Grado</v>
      </c>
      <c r="K876" s="2" t="str">
        <f>IFERROR(__xludf.DUMMYFUNCTION("""COMPUTED_VALUE"""),"Inglés")</f>
        <v>Inglés</v>
      </c>
      <c r="L876" s="2" t="str">
        <f>IFERROR(__xludf.DUMMYFUNCTION("""COMPUTED_VALUE"""),"B2")</f>
        <v>B2</v>
      </c>
      <c r="M876" s="2" t="str">
        <f>IFERROR(__xludf.DUMMYFUNCTION("""COMPUTED_VALUE"""),"No")</f>
        <v>No</v>
      </c>
      <c r="N876" s="3" t="str">
        <f>IFERROR(__xludf.DUMMYFUNCTION("""COMPUTED_VALUE"""),"https://www.su.se/english/education/how-to-apply/entry-requirements/english-requirement-1.446683")</f>
        <v>https://www.su.se/english/education/how-to-apply/entry-requirements/english-requirement-1.446683</v>
      </c>
      <c r="O876" s="3" t="str">
        <f>IFERROR(__xludf.DUMMYFUNCTION("""COMPUTED_VALUE"""),"Más información / Informazio gehigarria")</f>
        <v>Más información / Informazio gehigarria</v>
      </c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30.0" customHeight="1">
      <c r="A877" s="2" t="str">
        <f>IFERROR(__xludf.DUMMYFUNCTION("""COMPUTED_VALUE"""),"Suecia")</f>
        <v>Suecia</v>
      </c>
      <c r="B877" s="2" t="str">
        <f>IFERROR(__xludf.DUMMYFUNCTION("""COMPUTED_VALUE"""),"S STOCKHO01")</f>
        <v>S STOCKHO01</v>
      </c>
      <c r="C877" s="3" t="str">
        <f>IFERROR(__xludf.DUMMYFUNCTION("""COMPUTED_VALUE"""),"Stockholm University")</f>
        <v>Stockholm University</v>
      </c>
      <c r="D877" s="2" t="str">
        <f>IFERROR(__xludf.DUMMYFUNCTION("""COMPUTED_VALUE"""),"Erasmus+")</f>
        <v>Erasmus+</v>
      </c>
      <c r="E877" s="2">
        <f>IFERROR(__xludf.DUMMYFUNCTION("""COMPUTED_VALUE"""),2.0)</f>
        <v>2</v>
      </c>
      <c r="F877" s="2" t="str">
        <f>IFERROR(__xludf.DUMMYFUNCTION("""COMPUTED_VALUE"""),"Anual")</f>
        <v>Anual</v>
      </c>
      <c r="G877" s="2" t="str">
        <f>IFERROR(__xludf.DUMMYFUNCTION("""COMPUTED_VALUE"""),"Bilbao")</f>
        <v>Bilbao</v>
      </c>
      <c r="H877" s="2" t="str">
        <f>IFERROR(__xludf.DUMMYFUNCTION("""COMPUTED_VALUE"""),"Ciencias Sociales y Humanas")</f>
        <v>Ciencias Sociales y Humanas</v>
      </c>
      <c r="I877" s="2" t="str">
        <f>IFERROR(__xludf.DUMMYFUNCTION("""COMPUTED_VALUE"""),"Lenguas Modernas")</f>
        <v>Lenguas Modernas</v>
      </c>
      <c r="J877" s="2" t="str">
        <f>IFERROR(__xludf.DUMMYFUNCTION("""COMPUTED_VALUE"""),"Grado")</f>
        <v>Grado</v>
      </c>
      <c r="K877" s="2" t="str">
        <f>IFERROR(__xludf.DUMMYFUNCTION("""COMPUTED_VALUE"""),"Inglés")</f>
        <v>Inglés</v>
      </c>
      <c r="L877" s="2" t="str">
        <f>IFERROR(__xludf.DUMMYFUNCTION("""COMPUTED_VALUE"""),"B2")</f>
        <v>B2</v>
      </c>
      <c r="M877" s="2" t="str">
        <f>IFERROR(__xludf.DUMMYFUNCTION("""COMPUTED_VALUE"""),"Sí")</f>
        <v>Sí</v>
      </c>
      <c r="N877" s="3" t="str">
        <f>IFERROR(__xludf.DUMMYFUNCTION("""COMPUTED_VALUE"""),"https://www.su.se/english/education/how-to-apply/entry-requirements/english-requirement-1.446683")</f>
        <v>https://www.su.se/english/education/how-to-apply/entry-requirements/english-requirement-1.446683</v>
      </c>
      <c r="O877" s="3" t="str">
        <f>IFERROR(__xludf.DUMMYFUNCTION("""COMPUTED_VALUE"""),"Más información / Informazio gehigarria")</f>
        <v>Más información / Informazio gehigarria</v>
      </c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30.0" customHeight="1">
      <c r="A878" s="2" t="str">
        <f>IFERROR(__xludf.DUMMYFUNCTION("""COMPUTED_VALUE"""),"Suecia")</f>
        <v>Suecia</v>
      </c>
      <c r="B878" s="2" t="str">
        <f>IFERROR(__xludf.DUMMYFUNCTION("""COMPUTED_VALUE"""),"S STOCKHO01")</f>
        <v>S STOCKHO01</v>
      </c>
      <c r="C878" s="3" t="str">
        <f>IFERROR(__xludf.DUMMYFUNCTION("""COMPUTED_VALUE"""),"Stockholm University")</f>
        <v>Stockholm University</v>
      </c>
      <c r="D878" s="2" t="str">
        <f>IFERROR(__xludf.DUMMYFUNCTION("""COMPUTED_VALUE"""),"Erasmus+")</f>
        <v>Erasmus+</v>
      </c>
      <c r="E878" s="2">
        <f>IFERROR(__xludf.DUMMYFUNCTION("""COMPUTED_VALUE"""),2.0)</f>
        <v>2</v>
      </c>
      <c r="F878" s="2" t="str">
        <f>IFERROR(__xludf.DUMMYFUNCTION("""COMPUTED_VALUE"""),"Semestre")</f>
        <v>Semestre</v>
      </c>
      <c r="G878" s="2" t="str">
        <f>IFERROR(__xludf.DUMMYFUNCTION("""COMPUTED_VALUE"""),"Bilbao")</f>
        <v>Bilbao</v>
      </c>
      <c r="H878" s="2" t="str">
        <f>IFERROR(__xludf.DUMMYFUNCTION("""COMPUTED_VALUE"""),"Ciencias Sociales y Humanas")</f>
        <v>Ciencias Sociales y Humanas</v>
      </c>
      <c r="I878" s="2" t="str">
        <f>IFERROR(__xludf.DUMMYFUNCTION("""COMPUTED_VALUE"""),"Lenguas Modernas y Gestión, Lengua y Cultura Vasca + Lenguas Modernas, Euskal Hizkuntza eta Kultura")</f>
        <v>Lenguas Modernas y Gestión, Lengua y Cultura Vasca + Lenguas Modernas, Euskal Hizkuntza eta Kultura</v>
      </c>
      <c r="J878" s="2" t="str">
        <f>IFERROR(__xludf.DUMMYFUNCTION("""COMPUTED_VALUE"""),"Grado")</f>
        <v>Grado</v>
      </c>
      <c r="K878" s="2" t="str">
        <f>IFERROR(__xludf.DUMMYFUNCTION("""COMPUTED_VALUE"""),"Inglés")</f>
        <v>Inglés</v>
      </c>
      <c r="L878" s="2" t="str">
        <f>IFERROR(__xludf.DUMMYFUNCTION("""COMPUTED_VALUE"""),"B2")</f>
        <v>B2</v>
      </c>
      <c r="M878" s="2" t="str">
        <f>IFERROR(__xludf.DUMMYFUNCTION("""COMPUTED_VALUE"""),"Sí")</f>
        <v>Sí</v>
      </c>
      <c r="N878" s="3" t="str">
        <f>IFERROR(__xludf.DUMMYFUNCTION("""COMPUTED_VALUE"""),"https://www.su.se/english/education/how-to-apply/entry-requirements/english-requirement-1.446683")</f>
        <v>https://www.su.se/english/education/how-to-apply/entry-requirements/english-requirement-1.446683</v>
      </c>
      <c r="O878" s="3" t="str">
        <f>IFERROR(__xludf.DUMMYFUNCTION("""COMPUTED_VALUE"""),"Más información / Informazio gehigarria")</f>
        <v>Más información / Informazio gehigarria</v>
      </c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30.0" customHeight="1">
      <c r="A879" s="2" t="str">
        <f>IFERROR(__xludf.DUMMYFUNCTION("""COMPUTED_VALUE"""),"Suecia")</f>
        <v>Suecia</v>
      </c>
      <c r="B879" s="2" t="str">
        <f>IFERROR(__xludf.DUMMYFUNCTION("""COMPUTED_VALUE"""),"S STOCKHO01")</f>
        <v>S STOCKHO01</v>
      </c>
      <c r="C879" s="3" t="str">
        <f>IFERROR(__xludf.DUMMYFUNCTION("""COMPUTED_VALUE"""),"Stockholm University")</f>
        <v>Stockholm University</v>
      </c>
      <c r="D879" s="2" t="str">
        <f>IFERROR(__xludf.DUMMYFUNCTION("""COMPUTED_VALUE"""),"Erasmus+")</f>
        <v>Erasmus+</v>
      </c>
      <c r="E879" s="2">
        <f>IFERROR(__xludf.DUMMYFUNCTION("""COMPUTED_VALUE"""),2.0)</f>
        <v>2</v>
      </c>
      <c r="F879" s="2" t="str">
        <f>IFERROR(__xludf.DUMMYFUNCTION("""COMPUTED_VALUE"""),"Anual")</f>
        <v>Anual</v>
      </c>
      <c r="G879" s="2" t="str">
        <f>IFERROR(__xludf.DUMMYFUNCTION("""COMPUTED_VALUE"""),"Bilbao")</f>
        <v>Bilbao</v>
      </c>
      <c r="H879" s="2" t="str">
        <f>IFERROR(__xludf.DUMMYFUNCTION("""COMPUTED_VALUE"""),"Ciencias Sociales y Humanas")</f>
        <v>Ciencias Sociales y Humanas</v>
      </c>
      <c r="I879" s="2" t="str">
        <f>IFERROR(__xludf.DUMMYFUNCTION("""COMPUTED_VALUE"""),"Relaciones Internacionales, Relaciones Internacionales + Derecho")</f>
        <v>Relaciones Internacionales, Relaciones Internacionales + Derecho</v>
      </c>
      <c r="J879" s="2" t="str">
        <f>IFERROR(__xludf.DUMMYFUNCTION("""COMPUTED_VALUE"""),"Grado")</f>
        <v>Grado</v>
      </c>
      <c r="K879" s="2" t="str">
        <f>IFERROR(__xludf.DUMMYFUNCTION("""COMPUTED_VALUE"""),"Inglés")</f>
        <v>Inglés</v>
      </c>
      <c r="L879" s="2" t="str">
        <f>IFERROR(__xludf.DUMMYFUNCTION("""COMPUTED_VALUE"""),"B2")</f>
        <v>B2</v>
      </c>
      <c r="M879" s="2" t="str">
        <f>IFERROR(__xludf.DUMMYFUNCTION("""COMPUTED_VALUE"""),"Sí")</f>
        <v>Sí</v>
      </c>
      <c r="N879" s="3" t="str">
        <f>IFERROR(__xludf.DUMMYFUNCTION("""COMPUTED_VALUE"""),"https://www.su.se/english/education/how-to-apply/entry-requirements/english-requirement-1.446683")</f>
        <v>https://www.su.se/english/education/how-to-apply/entry-requirements/english-requirement-1.446683</v>
      </c>
      <c r="O879" s="3" t="str">
        <f>IFERROR(__xludf.DUMMYFUNCTION("""COMPUTED_VALUE"""),"Más información / Informazio gehigarria")</f>
        <v>Más información / Informazio gehigarria</v>
      </c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30.0" customHeight="1">
      <c r="A880" s="2" t="str">
        <f>IFERROR(__xludf.DUMMYFUNCTION("""COMPUTED_VALUE"""),"Suecia")</f>
        <v>Suecia</v>
      </c>
      <c r="B880" s="2" t="str">
        <f>IFERROR(__xludf.DUMMYFUNCTION("""COMPUTED_VALUE"""),"S STOCKHO01")</f>
        <v>S STOCKHO01</v>
      </c>
      <c r="C880" s="3" t="str">
        <f>IFERROR(__xludf.DUMMYFUNCTION("""COMPUTED_VALUE"""),"Stockholm University")</f>
        <v>Stockholm University</v>
      </c>
      <c r="D880" s="2" t="str">
        <f>IFERROR(__xludf.DUMMYFUNCTION("""COMPUTED_VALUE"""),"Erasmus+")</f>
        <v>Erasmus+</v>
      </c>
      <c r="E880" s="2">
        <f>IFERROR(__xludf.DUMMYFUNCTION("""COMPUTED_VALUE"""),2.0)</f>
        <v>2</v>
      </c>
      <c r="F880" s="2" t="str">
        <f>IFERROR(__xludf.DUMMYFUNCTION("""COMPUTED_VALUE"""),"Semestre")</f>
        <v>Semestre</v>
      </c>
      <c r="G880" s="2" t="str">
        <f>IFERROR(__xludf.DUMMYFUNCTION("""COMPUTED_VALUE"""),"Ambos")</f>
        <v>Ambos</v>
      </c>
      <c r="H880" s="2" t="str">
        <f>IFERROR(__xludf.DUMMYFUNCTION("""COMPUTED_VALUE"""),"Ciencias Sociales y Humanas")</f>
        <v>Ciencias Sociales y Humanas</v>
      </c>
      <c r="I880" s="2" t="str">
        <f>IFERROR(__xludf.DUMMYFUNCTION("""COMPUTED_VALUE"""),"Trabajo Social")</f>
        <v>Trabajo Social</v>
      </c>
      <c r="J880" s="2" t="str">
        <f>IFERROR(__xludf.DUMMYFUNCTION("""COMPUTED_VALUE"""),"Grado")</f>
        <v>Grado</v>
      </c>
      <c r="K880" s="2" t="str">
        <f>IFERROR(__xludf.DUMMYFUNCTION("""COMPUTED_VALUE"""),"Inglés")</f>
        <v>Inglés</v>
      </c>
      <c r="L880" s="2" t="str">
        <f>IFERROR(__xludf.DUMMYFUNCTION("""COMPUTED_VALUE"""),"B2")</f>
        <v>B2</v>
      </c>
      <c r="M880" s="2" t="str">
        <f>IFERROR(__xludf.DUMMYFUNCTION("""COMPUTED_VALUE"""),"Sí")</f>
        <v>Sí</v>
      </c>
      <c r="N880" s="3" t="str">
        <f>IFERROR(__xludf.DUMMYFUNCTION("""COMPUTED_VALUE"""),"https://www.su.se/english/education/how-to-apply/entry-requirements/english-requirement-1.446683")</f>
        <v>https://www.su.se/english/education/how-to-apply/entry-requirements/english-requirement-1.446683</v>
      </c>
      <c r="O880" s="3" t="str">
        <f>IFERROR(__xludf.DUMMYFUNCTION("""COMPUTED_VALUE"""),"Más información / Informazio gehigarria")</f>
        <v>Más información / Informazio gehigarria</v>
      </c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30.0" customHeight="1">
      <c r="A881" s="2" t="str">
        <f>IFERROR(__xludf.DUMMYFUNCTION("""COMPUTED_VALUE"""),"Suecia")</f>
        <v>Suecia</v>
      </c>
      <c r="B881" s="2" t="str">
        <f>IFERROR(__xludf.DUMMYFUNCTION("""COMPUTED_VALUE"""),"S UMEA01")</f>
        <v>S UMEA01</v>
      </c>
      <c r="C881" s="3" t="str">
        <f>IFERROR(__xludf.DUMMYFUNCTION("""COMPUTED_VALUE"""),"Umea University")</f>
        <v>Umea University</v>
      </c>
      <c r="D881" s="2" t="str">
        <f>IFERROR(__xludf.DUMMYFUNCTION("""COMPUTED_VALUE"""),"Erasmus+")</f>
        <v>Erasmus+</v>
      </c>
      <c r="E881" s="2">
        <f>IFERROR(__xludf.DUMMYFUNCTION("""COMPUTED_VALUE"""),4.0)</f>
        <v>4</v>
      </c>
      <c r="F881" s="2" t="str">
        <f>IFERROR(__xludf.DUMMYFUNCTION("""COMPUTED_VALUE"""),"Semestre")</f>
        <v>Semestre</v>
      </c>
      <c r="G881" s="2" t="str">
        <f>IFERROR(__xludf.DUMMYFUNCTION("""COMPUTED_VALUE"""),"Ambos")</f>
        <v>Ambos</v>
      </c>
      <c r="H881" s="2" t="str">
        <f>IFERROR(__xludf.DUMMYFUNCTION("""COMPUTED_VALUE"""),"Ingeniería")</f>
        <v>Ingeniería</v>
      </c>
      <c r="I881" s="2" t="str">
        <f>IFERROR(__xludf.DUMMYFUNCTION("""COMPUTED_VALUE"""),"Ingeniería Informática,  Ingeniería Informática + Videojuegos, Ciencia de Datos e IA + Ingeniería Informática, Ingeniería Biomédica")</f>
        <v>Ingeniería Informática,  Ingeniería Informática + Videojuegos, Ciencia de Datos e IA + Ingeniería Informática, Ingeniería Biomédica</v>
      </c>
      <c r="J881" s="2" t="str">
        <f>IFERROR(__xludf.DUMMYFUNCTION("""COMPUTED_VALUE"""),"Grado")</f>
        <v>Grado</v>
      </c>
      <c r="K881" s="2" t="str">
        <f>IFERROR(__xludf.DUMMYFUNCTION("""COMPUTED_VALUE"""),"Inglés")</f>
        <v>Inglés</v>
      </c>
      <c r="L881" s="2" t="str">
        <f>IFERROR(__xludf.DUMMYFUNCTION("""COMPUTED_VALUE"""),"B2")</f>
        <v>B2</v>
      </c>
      <c r="M881" s="2" t="str">
        <f>IFERROR(__xludf.DUMMYFUNCTION("""COMPUTED_VALUE"""),"No")</f>
        <v>No</v>
      </c>
      <c r="N881" s="3" t="str">
        <f>IFERROR(__xludf.DUMMYFUNCTION("""COMPUTED_VALUE"""),"https://www.umu.se/en/education/exchange-students/frequently-asked-questions/")</f>
        <v>https://www.umu.se/en/education/exchange-students/frequently-asked-questions/</v>
      </c>
      <c r="O881" s="3" t="str">
        <f>IFERROR(__xludf.DUMMYFUNCTION("""COMPUTED_VALUE"""),"Más información / Informazio gehigarria")</f>
        <v>Más información / Informazio gehigarria</v>
      </c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30.0" customHeight="1">
      <c r="A882" s="2" t="str">
        <f>IFERROR(__xludf.DUMMYFUNCTION("""COMPUTED_VALUE"""),"Suecia")</f>
        <v>Suecia</v>
      </c>
      <c r="B882" s="2" t="str">
        <f>IFERROR(__xludf.DUMMYFUNCTION("""COMPUTED_VALUE"""),"S UMEA01")</f>
        <v>S UMEA01</v>
      </c>
      <c r="C882" s="3" t="str">
        <f>IFERROR(__xludf.DUMMYFUNCTION("""COMPUTED_VALUE"""),"Umea University")</f>
        <v>Umea University</v>
      </c>
      <c r="D882" s="2" t="str">
        <f>IFERROR(__xludf.DUMMYFUNCTION("""COMPUTED_VALUE"""),"Erasmus+")</f>
        <v>Erasmus+</v>
      </c>
      <c r="E882" s="2">
        <f>IFERROR(__xludf.DUMMYFUNCTION("""COMPUTED_VALUE"""),5.0)</f>
        <v>5</v>
      </c>
      <c r="F882" s="2" t="str">
        <f>IFERROR(__xludf.DUMMYFUNCTION("""COMPUTED_VALUE"""),"Semestre")</f>
        <v>Semestre</v>
      </c>
      <c r="G882" s="2" t="str">
        <f>IFERROR(__xludf.DUMMYFUNCTION("""COMPUTED_VALUE"""),"San Sebastián")</f>
        <v>San Sebastián</v>
      </c>
      <c r="H882" s="2" t="str">
        <f>IFERROR(__xludf.DUMMYFUNCTION("""COMPUTED_VALUE"""),"Deusto Business School")</f>
        <v>Deusto Business School</v>
      </c>
      <c r="I882" s="2" t="str">
        <f>IFERROR(__xludf.DUMMYFUNCTION("""COMPUTED_VALUE"""),"Administración y Dirección de Empresas")</f>
        <v>Administración y Dirección de Empresas</v>
      </c>
      <c r="J882" s="2" t="str">
        <f>IFERROR(__xludf.DUMMYFUNCTION("""COMPUTED_VALUE"""),"Grado")</f>
        <v>Grado</v>
      </c>
      <c r="K882" s="2" t="str">
        <f>IFERROR(__xludf.DUMMYFUNCTION("""COMPUTED_VALUE"""),"Inglés")</f>
        <v>Inglés</v>
      </c>
      <c r="L882" s="2" t="str">
        <f>IFERROR(__xludf.DUMMYFUNCTION("""COMPUTED_VALUE"""),"B2")</f>
        <v>B2</v>
      </c>
      <c r="M882" s="2"/>
      <c r="N882" s="3" t="str">
        <f>IFERROR(__xludf.DUMMYFUNCTION("""COMPUTED_VALUE"""),"https://www.umu.se/en/education/exchange-students/frequently-asked-questions/")</f>
        <v>https://www.umu.se/en/education/exchange-students/frequently-asked-questions/</v>
      </c>
      <c r="O882" s="3" t="str">
        <f>IFERROR(__xludf.DUMMYFUNCTION("""COMPUTED_VALUE"""),"Más información / Informazio gehigarria")</f>
        <v>Más información / Informazio gehigarria</v>
      </c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30.0" customHeight="1">
      <c r="A883" s="2" t="str">
        <f>IFERROR(__xludf.DUMMYFUNCTION("""COMPUTED_VALUE"""),"Suecia")</f>
        <v>Suecia</v>
      </c>
      <c r="B883" s="2" t="str">
        <f>IFERROR(__xludf.DUMMYFUNCTION("""COMPUTED_VALUE"""),"S GOTEBOR 01")</f>
        <v>S GOTEBOR 01</v>
      </c>
      <c r="C883" s="3" t="str">
        <f>IFERROR(__xludf.DUMMYFUNCTION("""COMPUTED_VALUE"""),"University of Gothenburg")</f>
        <v>University of Gothenburg</v>
      </c>
      <c r="D883" s="2" t="str">
        <f>IFERROR(__xludf.DUMMYFUNCTION("""COMPUTED_VALUE"""),"Erasmus+")</f>
        <v>Erasmus+</v>
      </c>
      <c r="E883" s="2">
        <f>IFERROR(__xludf.DUMMYFUNCTION("""COMPUTED_VALUE"""),2.0)</f>
        <v>2</v>
      </c>
      <c r="F883" s="2" t="str">
        <f>IFERROR(__xludf.DUMMYFUNCTION("""COMPUTED_VALUE"""),"Anual")</f>
        <v>Anual</v>
      </c>
      <c r="G883" s="2" t="str">
        <f>IFERROR(__xludf.DUMMYFUNCTION("""COMPUTED_VALUE"""),"Bilbao")</f>
        <v>Bilbao</v>
      </c>
      <c r="H883" s="2" t="str">
        <f>IFERROR(__xludf.DUMMYFUNCTION("""COMPUTED_VALUE"""),"Ciencias Sociales y Humanas")</f>
        <v>Ciencias Sociales y Humanas</v>
      </c>
      <c r="I883" s="2" t="str">
        <f>IFERROR(__xludf.DUMMYFUNCTION("""COMPUTED_VALUE"""),"Relaciones Internacionales, Relaciones Internacionales + Derecho")</f>
        <v>Relaciones Internacionales, Relaciones Internacionales + Derecho</v>
      </c>
      <c r="J883" s="2" t="str">
        <f>IFERROR(__xludf.DUMMYFUNCTION("""COMPUTED_VALUE"""),"Grado")</f>
        <v>Grado</v>
      </c>
      <c r="K883" s="2" t="str">
        <f>IFERROR(__xludf.DUMMYFUNCTION("""COMPUTED_VALUE"""),"Inglés")</f>
        <v>Inglés</v>
      </c>
      <c r="L883" s="2" t="str">
        <f>IFERROR(__xludf.DUMMYFUNCTION("""COMPUTED_VALUE"""),"B2")</f>
        <v>B2</v>
      </c>
      <c r="M883" s="2" t="str">
        <f>IFERROR(__xludf.DUMMYFUNCTION("""COMPUTED_VALUE"""),"No")</f>
        <v>No</v>
      </c>
      <c r="N883" s="3" t="str">
        <f>IFERROR(__xludf.DUMMYFUNCTION("""COMPUTED_VALUE"""),"https://www.gu.se/en/study-in-gothenburg/exchange-student/apply-for-exchange-studies")</f>
        <v>https://www.gu.se/en/study-in-gothenburg/exchange-student/apply-for-exchange-studies</v>
      </c>
      <c r="O883" s="3" t="str">
        <f>IFERROR(__xludf.DUMMYFUNCTION("""COMPUTED_VALUE"""),"Más información / Informazio gehigarria")</f>
        <v>Más información / Informazio gehigarria</v>
      </c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30.0" customHeight="1">
      <c r="A884" s="2" t="str">
        <f>IFERROR(__xludf.DUMMYFUNCTION("""COMPUTED_VALUE"""),"Suecia")</f>
        <v>Suecia</v>
      </c>
      <c r="B884" s="2" t="str">
        <f>IFERROR(__xludf.DUMMYFUNCTION("""COMPUTED_VALUE"""),"S GOTEBOR 01")</f>
        <v>S GOTEBOR 01</v>
      </c>
      <c r="C884" s="3" t="str">
        <f>IFERROR(__xludf.DUMMYFUNCTION("""COMPUTED_VALUE"""),"University of Gothenburg")</f>
        <v>University of Gothenburg</v>
      </c>
      <c r="D884" s="2" t="str">
        <f>IFERROR(__xludf.DUMMYFUNCTION("""COMPUTED_VALUE"""),"Erasmus+")</f>
        <v>Erasmus+</v>
      </c>
      <c r="E884" s="2">
        <f>IFERROR(__xludf.DUMMYFUNCTION("""COMPUTED_VALUE"""),5.0)</f>
        <v>5</v>
      </c>
      <c r="F884" s="2" t="str">
        <f>IFERROR(__xludf.DUMMYFUNCTION("""COMPUTED_VALUE"""),"Semestre")</f>
        <v>Semestre</v>
      </c>
      <c r="G884" s="2" t="str">
        <f>IFERROR(__xludf.DUMMYFUNCTION("""COMPUTED_VALUE"""),"San Sebastián")</f>
        <v>San Sebastián</v>
      </c>
      <c r="H884" s="2" t="str">
        <f>IFERROR(__xludf.DUMMYFUNCTION("""COMPUTED_VALUE"""),"Deusto Business School")</f>
        <v>Deusto Business School</v>
      </c>
      <c r="I884" s="2" t="str">
        <f>IFERROR(__xludf.DUMMYFUNCTION("""COMPUTED_VALUE"""),"Administración y Dirección de Empresas")</f>
        <v>Administración y Dirección de Empresas</v>
      </c>
      <c r="J884" s="2" t="str">
        <f>IFERROR(__xludf.DUMMYFUNCTION("""COMPUTED_VALUE"""),"Grado")</f>
        <v>Grado</v>
      </c>
      <c r="K884" s="2" t="str">
        <f>IFERROR(__xludf.DUMMYFUNCTION("""COMPUTED_VALUE"""),"Inglés")</f>
        <v>Inglés</v>
      </c>
      <c r="L884" s="2" t="str">
        <f>IFERROR(__xludf.DUMMYFUNCTION("""COMPUTED_VALUE"""),"B2")</f>
        <v>B2</v>
      </c>
      <c r="M884" s="2" t="str">
        <f>IFERROR(__xludf.DUMMYFUNCTION("""COMPUTED_VALUE"""),"No")</f>
        <v>No</v>
      </c>
      <c r="N884" s="3" t="str">
        <f>IFERROR(__xludf.DUMMYFUNCTION("""COMPUTED_VALUE"""),"https://www.gu.se/en/study-in-gothenburg/exchange-student/apply-for-exchange-studies")</f>
        <v>https://www.gu.se/en/study-in-gothenburg/exchange-student/apply-for-exchange-studies</v>
      </c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30.0" customHeight="1">
      <c r="A885" s="2" t="str">
        <f>IFERROR(__xludf.DUMMYFUNCTION("""COMPUTED_VALUE"""),"Suecia")</f>
        <v>Suecia</v>
      </c>
      <c r="B885" s="2" t="str">
        <f>IFERROR(__xludf.DUMMYFUNCTION("""COMPUTED_VALUE"""),"S LINKOPI01")</f>
        <v>S LINKOPI01</v>
      </c>
      <c r="C885" s="3" t="str">
        <f>IFERROR(__xludf.DUMMYFUNCTION("""COMPUTED_VALUE"""),"Linköping University")</f>
        <v>Linköping University</v>
      </c>
      <c r="D885" s="2" t="str">
        <f>IFERROR(__xludf.DUMMYFUNCTION("""COMPUTED_VALUE"""),"Erasmus+")</f>
        <v>Erasmus+</v>
      </c>
      <c r="E885" s="2">
        <f>IFERROR(__xludf.DUMMYFUNCTION("""COMPUTED_VALUE"""),2.0)</f>
        <v>2</v>
      </c>
      <c r="F885" s="2" t="str">
        <f>IFERROR(__xludf.DUMMYFUNCTION("""COMPUTED_VALUE"""),"Semestre")</f>
        <v>Semestre</v>
      </c>
      <c r="G885" s="2" t="str">
        <f>IFERROR(__xludf.DUMMYFUNCTION("""COMPUTED_VALUE"""),"Bilbao")</f>
        <v>Bilbao</v>
      </c>
      <c r="H885" s="2" t="str">
        <f>IFERROR(__xludf.DUMMYFUNCTION("""COMPUTED_VALUE"""),"Deusto Business School")</f>
        <v>Deusto Business School</v>
      </c>
      <c r="I885" s="2" t="str">
        <f>IFERROR(__xludf.DUMMYFUNCTION("""COMPUTED_VALUE"""),"Administración y Dirección de Empresas")</f>
        <v>Administración y Dirección de Empresas</v>
      </c>
      <c r="J885" s="2" t="str">
        <f>IFERROR(__xludf.DUMMYFUNCTION("""COMPUTED_VALUE"""),"Grado")</f>
        <v>Grado</v>
      </c>
      <c r="K885" s="2" t="str">
        <f>IFERROR(__xludf.DUMMYFUNCTION("""COMPUTED_VALUE"""),"Inglés")</f>
        <v>Inglés</v>
      </c>
      <c r="L885" s="2" t="str">
        <f>IFERROR(__xludf.DUMMYFUNCTION("""COMPUTED_VALUE"""),"C1")</f>
        <v>C1</v>
      </c>
      <c r="M885" s="2"/>
      <c r="N885" s="2"/>
      <c r="O885" s="2" t="str">
        <f>IFERROR(__xludf.DUMMYFUNCTION("""COMPUTED_VALUE"""),"Más información / Informazio gehigarria")</f>
        <v>Más información / Informazio gehigarria</v>
      </c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30.0" customHeight="1">
      <c r="A886" s="2" t="str">
        <f>IFERROR(__xludf.DUMMYFUNCTION("""COMPUTED_VALUE"""),"Suecia")</f>
        <v>Suecia</v>
      </c>
      <c r="B886" s="2" t="str">
        <f>IFERROR(__xludf.DUMMYFUNCTION("""COMPUTED_VALUE"""),"S UPPSALA01")</f>
        <v>S UPPSALA01</v>
      </c>
      <c r="C886" s="3" t="str">
        <f>IFERROR(__xludf.DUMMYFUNCTION("""COMPUTED_VALUE"""),"Uppsala Universitet")</f>
        <v>Uppsala Universitet</v>
      </c>
      <c r="D886" s="2" t="str">
        <f>IFERROR(__xludf.DUMMYFUNCTION("""COMPUTED_VALUE"""),"Erasmus+")</f>
        <v>Erasmus+</v>
      </c>
      <c r="E886" s="2">
        <f>IFERROR(__xludf.DUMMYFUNCTION("""COMPUTED_VALUE"""),2.0)</f>
        <v>2</v>
      </c>
      <c r="F886" s="2" t="str">
        <f>IFERROR(__xludf.DUMMYFUNCTION("""COMPUTED_VALUE"""),"Ambos semestres")</f>
        <v>Ambos semestres</v>
      </c>
      <c r="G886" s="2" t="str">
        <f>IFERROR(__xludf.DUMMYFUNCTION("""COMPUTED_VALUE"""),"Bilbao")</f>
        <v>Bilbao</v>
      </c>
      <c r="H886" s="2" t="str">
        <f>IFERROR(__xludf.DUMMYFUNCTION("""COMPUTED_VALUE"""),"Deusto Business School")</f>
        <v>Deusto Business School</v>
      </c>
      <c r="I886" s="2" t="str">
        <f>IFERROR(__xludf.DUMMYFUNCTION("""COMPUTED_VALUE"""),"Administración y Dirección de Empresas")</f>
        <v>Administración y Dirección de Empresas</v>
      </c>
      <c r="J886" s="2" t="str">
        <f>IFERROR(__xludf.DUMMYFUNCTION("""COMPUTED_VALUE"""),"Grado")</f>
        <v>Grado</v>
      </c>
      <c r="K886" s="2" t="str">
        <f>IFERROR(__xludf.DUMMYFUNCTION("""COMPUTED_VALUE"""),"Inglés")</f>
        <v>Inglés</v>
      </c>
      <c r="L886" s="2" t="str">
        <f>IFERROR(__xludf.DUMMYFUNCTION("""COMPUTED_VALUE"""),"C1")</f>
        <v>C1</v>
      </c>
      <c r="M886" s="2" t="str">
        <f>IFERROR(__xludf.DUMMYFUNCTION("""COMPUTED_VALUE"""),"No")</f>
        <v>No</v>
      </c>
      <c r="N886" s="3" t="str">
        <f>IFERROR(__xludf.DUMMYFUNCTION("""COMPUTED_VALUE"""),"https://www.uu.se/en/admissions/exchange/faq#:~:text=Uppsala%20University%20expects%20exchange%20students,or%20language%20exam%20is%20required.")</f>
        <v>https://www.uu.se/en/admissions/exchange/faq#:~:text=Uppsala%20University%20expects%20exchange%20students,or%20language%20exam%20is%20required.</v>
      </c>
      <c r="O886" s="3" t="str">
        <f>IFERROR(__xludf.DUMMYFUNCTION("""COMPUTED_VALUE"""),"Más información / Informazio gehigarria")</f>
        <v>Más información / Informazio gehigarria</v>
      </c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30.0" customHeight="1">
      <c r="A887" s="2" t="str">
        <f>IFERROR(__xludf.DUMMYFUNCTION("""COMPUTED_VALUE"""),"Suecia")</f>
        <v>Suecia</v>
      </c>
      <c r="B887" s="2" t="str">
        <f>IFERROR(__xludf.DUMMYFUNCTION("""COMPUTED_VALUE"""),"S UPPSALA01")</f>
        <v>S UPPSALA01</v>
      </c>
      <c r="C887" s="3" t="str">
        <f>IFERROR(__xludf.DUMMYFUNCTION("""COMPUTED_VALUE"""),"Uppsala Universitet")</f>
        <v>Uppsala Universitet</v>
      </c>
      <c r="D887" s="2" t="str">
        <f>IFERROR(__xludf.DUMMYFUNCTION("""COMPUTED_VALUE"""),"Erasmus+")</f>
        <v>Erasmus+</v>
      </c>
      <c r="E887" s="2">
        <f>IFERROR(__xludf.DUMMYFUNCTION("""COMPUTED_VALUE"""),4.0)</f>
        <v>4</v>
      </c>
      <c r="F887" s="2" t="str">
        <f>IFERROR(__xludf.DUMMYFUNCTION("""COMPUTED_VALUE"""),"Semestre")</f>
        <v>Semestre</v>
      </c>
      <c r="G887" s="2" t="str">
        <f>IFERROR(__xludf.DUMMYFUNCTION("""COMPUTED_VALUE"""),"San Sebastián")</f>
        <v>San Sebastián</v>
      </c>
      <c r="H887" s="2" t="str">
        <f>IFERROR(__xludf.DUMMYFUNCTION("""COMPUTED_VALUE"""),"Deusto Business School")</f>
        <v>Deusto Business School</v>
      </c>
      <c r="I887" s="2" t="str">
        <f>IFERROR(__xludf.DUMMYFUNCTION("""COMPUTED_VALUE"""),"Administración y Dirección de Empresas")</f>
        <v>Administración y Dirección de Empresas</v>
      </c>
      <c r="J887" s="2" t="str">
        <f>IFERROR(__xludf.DUMMYFUNCTION("""COMPUTED_VALUE"""),"Grado")</f>
        <v>Grado</v>
      </c>
      <c r="K887" s="2" t="str">
        <f>IFERROR(__xludf.DUMMYFUNCTION("""COMPUTED_VALUE"""),"Inglés")</f>
        <v>Inglés</v>
      </c>
      <c r="L887" s="2" t="str">
        <f>IFERROR(__xludf.DUMMYFUNCTION("""COMPUTED_VALUE"""),"B2")</f>
        <v>B2</v>
      </c>
      <c r="M887" s="2" t="str">
        <f>IFERROR(__xludf.DUMMYFUNCTION("""COMPUTED_VALUE"""),"No")</f>
        <v>No</v>
      </c>
      <c r="N887" s="3" t="str">
        <f>IFERROR(__xludf.DUMMYFUNCTION("""COMPUTED_VALUE"""),"https://www.uu.se/en/admissions/exchange/faq#:~:text=Uppsala%20University%20expects%20exchange%20students,or%20language%20exam%20is%20required.")</f>
        <v>https://www.uu.se/en/admissions/exchange/faq#:~:text=Uppsala%20University%20expects%20exchange%20students,or%20language%20exam%20is%20required.</v>
      </c>
      <c r="O887" s="2" t="str">
        <f>IFERROR(__xludf.DUMMYFUNCTION("""COMPUTED_VALUE"""),"n/a")</f>
        <v>n/a</v>
      </c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30.0" customHeight="1">
      <c r="A888" s="2" t="str">
        <f>IFERROR(__xludf.DUMMYFUNCTION("""COMPUTED_VALUE"""),"Suecia")</f>
        <v>Suecia</v>
      </c>
      <c r="B888" s="2" t="str">
        <f>IFERROR(__xludf.DUMMYFUNCTION("""COMPUTED_VALUE"""),"S UPPSALA01")</f>
        <v>S UPPSALA01</v>
      </c>
      <c r="C888" s="3" t="str">
        <f>IFERROR(__xludf.DUMMYFUNCTION("""COMPUTED_VALUE"""),"Uppsala Universitet")</f>
        <v>Uppsala Universitet</v>
      </c>
      <c r="D888" s="2" t="str">
        <f>IFERROR(__xludf.DUMMYFUNCTION("""COMPUTED_VALUE"""),"Erasmus+")</f>
        <v>Erasmus+</v>
      </c>
      <c r="E888" s="2">
        <f>IFERROR(__xludf.DUMMYFUNCTION("""COMPUTED_VALUE"""),4.0)</f>
        <v>4</v>
      </c>
      <c r="F888" s="2" t="str">
        <f>IFERROR(__xludf.DUMMYFUNCTION("""COMPUTED_VALUE"""),"Semestre")</f>
        <v>Semestre</v>
      </c>
      <c r="G888" s="2" t="str">
        <f>IFERROR(__xludf.DUMMYFUNCTION("""COMPUTED_VALUE"""),"Bilbao")</f>
        <v>Bilbao</v>
      </c>
      <c r="H888" s="2" t="str">
        <f>IFERROR(__xludf.DUMMYFUNCTION("""COMPUTED_VALUE"""),"Ciencias Sociales y Humanas")</f>
        <v>Ciencias Sociales y Humanas</v>
      </c>
      <c r="I888" s="2" t="str">
        <f>IFERROR(__xludf.DUMMYFUNCTION("""COMPUTED_VALUE"""),"Relaciones Internacionales, Relaciones Internacionales + Derecho")</f>
        <v>Relaciones Internacionales, Relaciones Internacionales + Derecho</v>
      </c>
      <c r="J888" s="2" t="str">
        <f>IFERROR(__xludf.DUMMYFUNCTION("""COMPUTED_VALUE"""),"Grado")</f>
        <v>Grado</v>
      </c>
      <c r="K888" s="2" t="str">
        <f>IFERROR(__xludf.DUMMYFUNCTION("""COMPUTED_VALUE"""),"Inglés")</f>
        <v>Inglés</v>
      </c>
      <c r="L888" s="2" t="str">
        <f>IFERROR(__xludf.DUMMYFUNCTION("""COMPUTED_VALUE"""),"B2")</f>
        <v>B2</v>
      </c>
      <c r="M888" s="2" t="str">
        <f>IFERROR(__xludf.DUMMYFUNCTION("""COMPUTED_VALUE"""),"No")</f>
        <v>No</v>
      </c>
      <c r="N888" s="3" t="str">
        <f>IFERROR(__xludf.DUMMYFUNCTION("""COMPUTED_VALUE"""),"https://www.uu.se/en/admissions/exchange/faq#:~:text=Uppsala%20University%20expects%20exchange%20students,or%20language%20exam%20is%20required.")</f>
        <v>https://www.uu.se/en/admissions/exchange/faq#:~:text=Uppsala%20University%20expects%20exchange%20students,or%20language%20exam%20is%20required.</v>
      </c>
      <c r="O888" s="2" t="str">
        <f>IFERROR(__xludf.DUMMYFUNCTION("""COMPUTED_VALUE"""),"n/a")</f>
        <v>n/a</v>
      </c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30.0" customHeight="1">
      <c r="A889" s="2" t="str">
        <f>IFERROR(__xludf.DUMMYFUNCTION("""COMPUTED_VALUE"""),"Suiza")</f>
        <v>Suiza</v>
      </c>
      <c r="B889" s="2"/>
      <c r="C889" s="3" t="str">
        <f>IFERROR(__xludf.DUMMYFUNCTION("""COMPUTED_VALUE"""),"Lucerne University of Applied Sciences")</f>
        <v>Lucerne University of Applied Sciences</v>
      </c>
      <c r="D889" s="2" t="str">
        <f>IFERROR(__xludf.DUMMYFUNCTION("""COMPUTED_VALUE"""),"Erasmus+")</f>
        <v>Erasmus+</v>
      </c>
      <c r="E889" s="2">
        <f>IFERROR(__xludf.DUMMYFUNCTION("""COMPUTED_VALUE"""),1.0)</f>
        <v>1</v>
      </c>
      <c r="F889" s="2" t="str">
        <f>IFERROR(__xludf.DUMMYFUNCTION("""COMPUTED_VALUE"""),"Semestre")</f>
        <v>Semestre</v>
      </c>
      <c r="G889" s="2" t="str">
        <f>IFERROR(__xludf.DUMMYFUNCTION("""COMPUTED_VALUE"""),"Ambos")</f>
        <v>Ambos</v>
      </c>
      <c r="H889" s="2" t="str">
        <f>IFERROR(__xludf.DUMMYFUNCTION("""COMPUTED_VALUE"""),"Ingeniería")</f>
        <v>Ingeniería</v>
      </c>
      <c r="I889" s="2" t="str">
        <f>IFERROR(__xludf.DUMMYFUNCTION("""COMPUTED_VALUE"""),"Ingeniería Informática, Ingeniería Informática + Videojuegos")</f>
        <v>Ingeniería Informática, Ingeniería Informática + Videojuegos</v>
      </c>
      <c r="J889" s="2" t="str">
        <f>IFERROR(__xludf.DUMMYFUNCTION("""COMPUTED_VALUE"""),"Grado")</f>
        <v>Grado</v>
      </c>
      <c r="K889" s="2" t="str">
        <f>IFERROR(__xludf.DUMMYFUNCTION("""COMPUTED_VALUE"""),"Inglés")</f>
        <v>Inglés</v>
      </c>
      <c r="L889" s="2" t="str">
        <f>IFERROR(__xludf.DUMMYFUNCTION("""COMPUTED_VALUE"""),"B2")</f>
        <v>B2</v>
      </c>
      <c r="M889" s="2" t="str">
        <f>IFERROR(__xludf.DUMMYFUNCTION("""COMPUTED_VALUE"""),"No")</f>
        <v>No</v>
      </c>
      <c r="N889" s="3" t="str">
        <f>IFERROR(__xludf.DUMMYFUNCTION("""COMPUTED_VALUE"""),"https://www.hslu.ch/en/lucerne-school-of-information-technology/international/incoming/program-for-visiting-students/")</f>
        <v>https://www.hslu.ch/en/lucerne-school-of-information-technology/international/incoming/program-for-visiting-students/</v>
      </c>
      <c r="O889" s="2" t="str">
        <f>IFERROR(__xludf.DUMMYFUNCTION("""COMPUTED_VALUE"""),"n/a")</f>
        <v>n/a</v>
      </c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30.0" customHeight="1">
      <c r="A890" s="2" t="str">
        <f>IFERROR(__xludf.DUMMYFUNCTION("""COMPUTED_VALUE"""),"Suiza")</f>
        <v>Suiza</v>
      </c>
      <c r="B890" s="2"/>
      <c r="C890" s="3" t="str">
        <f>IFERROR(__xludf.DUMMYFUNCTION("""COMPUTED_VALUE"""),"Lucerne University of Applied Sciences")</f>
        <v>Lucerne University of Applied Sciences</v>
      </c>
      <c r="D890" s="2" t="str">
        <f>IFERROR(__xludf.DUMMYFUNCTION("""COMPUTED_VALUE"""),"Ac. Bilaterales (no Erasmus)")</f>
        <v>Ac. Bilaterales (no Erasmus)</v>
      </c>
      <c r="E890" s="2">
        <f>IFERROR(__xludf.DUMMYFUNCTION("""COMPUTED_VALUE"""),2.0)</f>
        <v>2</v>
      </c>
      <c r="F890" s="2" t="str">
        <f>IFERROR(__xludf.DUMMYFUNCTION("""COMPUTED_VALUE"""),"Semestre")</f>
        <v>Semestre</v>
      </c>
      <c r="G890" s="2" t="str">
        <f>IFERROR(__xludf.DUMMYFUNCTION("""COMPUTED_VALUE"""),"Bilbao")</f>
        <v>Bilbao</v>
      </c>
      <c r="H890" s="2" t="str">
        <f>IFERROR(__xludf.DUMMYFUNCTION("""COMPUTED_VALUE"""),"Ciencias Sociales y Humanas")</f>
        <v>Ciencias Sociales y Humanas</v>
      </c>
      <c r="I890" s="2" t="str">
        <f>IFERROR(__xludf.DUMMYFUNCTION("""COMPUTED_VALUE"""),"Turismo")</f>
        <v>Turismo</v>
      </c>
      <c r="J890" s="2" t="str">
        <f>IFERROR(__xludf.DUMMYFUNCTION("""COMPUTED_VALUE"""),"Grado")</f>
        <v>Grado</v>
      </c>
      <c r="K890" s="2" t="str">
        <f>IFERROR(__xludf.DUMMYFUNCTION("""COMPUTED_VALUE"""),"Inglés")</f>
        <v>Inglés</v>
      </c>
      <c r="L890" s="2" t="str">
        <f>IFERROR(__xludf.DUMMYFUNCTION("""COMPUTED_VALUE"""),"B2")</f>
        <v>B2</v>
      </c>
      <c r="M890" s="2" t="str">
        <f>IFERROR(__xludf.DUMMYFUNCTION("""COMPUTED_VALUE"""),"No")</f>
        <v>No</v>
      </c>
      <c r="N890" s="3" t="str">
        <f>IFERROR(__xludf.DUMMYFUNCTION("""COMPUTED_VALUE"""),"https://www.hslu.ch/en/lucerne-school-of-information-technology/international/incoming/program-for-visiting-students/")</f>
        <v>https://www.hslu.ch/en/lucerne-school-of-information-technology/international/incoming/program-for-visiting-students/</v>
      </c>
      <c r="O890" s="2" t="str">
        <f>IFERROR(__xludf.DUMMYFUNCTION("""COMPUTED_VALUE"""),"n/a")</f>
        <v>n/a</v>
      </c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30.0" customHeight="1">
      <c r="A891" s="2" t="str">
        <f>IFERROR(__xludf.DUMMYFUNCTION("""COMPUTED_VALUE"""),"Suiza")</f>
        <v>Suiza</v>
      </c>
      <c r="B891" s="2" t="str">
        <f>IFERROR(__xludf.DUMMYFUNCTION("""COMPUTED_VALUE"""),"CH ZURICH21")</f>
        <v>CH ZURICH21</v>
      </c>
      <c r="C891" s="3" t="str">
        <f>IFERROR(__xludf.DUMMYFUNCTION("""COMPUTED_VALUE"""),"PH Zürich")</f>
        <v>PH Zürich</v>
      </c>
      <c r="D891" s="2" t="str">
        <f>IFERROR(__xludf.DUMMYFUNCTION("""COMPUTED_VALUE"""),"Ac. Bilaterales (no Erasmus)")</f>
        <v>Ac. Bilaterales (no Erasmus)</v>
      </c>
      <c r="E891" s="2">
        <f>IFERROR(__xludf.DUMMYFUNCTION("""COMPUTED_VALUE"""),4.0)</f>
        <v>4</v>
      </c>
      <c r="F891" s="2" t="str">
        <f>IFERROR(__xludf.DUMMYFUNCTION("""COMPUTED_VALUE"""),"Semestre")</f>
        <v>Semestre</v>
      </c>
      <c r="G891" s="2" t="str">
        <f>IFERROR(__xludf.DUMMYFUNCTION("""COMPUTED_VALUE"""),"Bilbao")</f>
        <v>Bilbao</v>
      </c>
      <c r="H891" s="2" t="str">
        <f>IFERROR(__xludf.DUMMYFUNCTION("""COMPUTED_VALUE"""),"Begoñako Andramari, BAM")</f>
        <v>Begoñako Andramari, BAM</v>
      </c>
      <c r="I891" s="2" t="str">
        <f>IFERROR(__xludf.DUMMYFUNCTION("""COMPUTED_VALUE"""),"Educación Primaria, Educación Infantil")</f>
        <v>Educación Primaria, Educación Infantil</v>
      </c>
      <c r="J891" s="2" t="str">
        <f>IFERROR(__xludf.DUMMYFUNCTION("""COMPUTED_VALUE"""),"Grado")</f>
        <v>Grado</v>
      </c>
      <c r="K891" s="2" t="str">
        <f>IFERROR(__xludf.DUMMYFUNCTION("""COMPUTED_VALUE"""),"Alemán / Inglés")</f>
        <v>Alemán / Inglés</v>
      </c>
      <c r="L891" s="2" t="str">
        <f>IFERROR(__xludf.DUMMYFUNCTION("""COMPUTED_VALUE"""),"B2 Al / B2 En")</f>
        <v>B2 Al / B2 En</v>
      </c>
      <c r="M891" s="2" t="str">
        <f>IFERROR(__xludf.DUMMYFUNCTION("""COMPUTED_VALUE"""),"No")</f>
        <v>No</v>
      </c>
      <c r="N891" s="3" t="str">
        <f>IFERROR(__xludf.DUMMYFUNCTION("""COMPUTED_VALUE"""),"https://phzh.ch/en/studies/student-mobility/exchange-semester-at-ph-zurich/")</f>
        <v>https://phzh.ch/en/studies/student-mobility/exchange-semester-at-ph-zurich/</v>
      </c>
      <c r="O891" s="2" t="str">
        <f>IFERROR(__xludf.DUMMYFUNCTION("""COMPUTED_VALUE"""),"n/a")</f>
        <v>n/a</v>
      </c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30.0" customHeight="1">
      <c r="A892" s="2" t="str">
        <f>IFERROR(__xludf.DUMMYFUNCTION("""COMPUTED_VALUE"""),"Suiza")</f>
        <v>Suiza</v>
      </c>
      <c r="B892" s="2"/>
      <c r="C892" s="3" t="str">
        <f>IFERROR(__xludf.DUMMYFUNCTION("""COMPUTED_VALUE"""),"University of Geneva")</f>
        <v>University of Geneva</v>
      </c>
      <c r="D892" s="2" t="str">
        <f>IFERROR(__xludf.DUMMYFUNCTION("""COMPUTED_VALUE"""),"Ac. Bilaterales (no Erasmus)")</f>
        <v>Ac. Bilaterales (no Erasmus)</v>
      </c>
      <c r="E892" s="2">
        <f>IFERROR(__xludf.DUMMYFUNCTION("""COMPUTED_VALUE"""),1.0)</f>
        <v>1</v>
      </c>
      <c r="F892" s="2" t="str">
        <f>IFERROR(__xludf.DUMMYFUNCTION("""COMPUTED_VALUE"""),"Anual")</f>
        <v>Anual</v>
      </c>
      <c r="G892" s="2" t="str">
        <f>IFERROR(__xludf.DUMMYFUNCTION("""COMPUTED_VALUE"""),"Bilbao")</f>
        <v>Bilbao</v>
      </c>
      <c r="H892" s="2" t="str">
        <f>IFERROR(__xludf.DUMMYFUNCTION("""COMPUTED_VALUE"""),"Ciencias Sociales y Humanas")</f>
        <v>Ciencias Sociales y Humanas</v>
      </c>
      <c r="I892" s="2" t="str">
        <f>IFERROR(__xludf.DUMMYFUNCTION("""COMPUTED_VALUE"""),"Relaciones Internacionales, Relaciones Internacionales + Derecho")</f>
        <v>Relaciones Internacionales, Relaciones Internacionales + Derecho</v>
      </c>
      <c r="J892" s="2" t="str">
        <f>IFERROR(__xludf.DUMMYFUNCTION("""COMPUTED_VALUE"""),"Grado")</f>
        <v>Grado</v>
      </c>
      <c r="K892" s="2" t="str">
        <f>IFERROR(__xludf.DUMMYFUNCTION("""COMPUTED_VALUE"""),"Francés / Inglés")</f>
        <v>Francés / Inglés</v>
      </c>
      <c r="L892" s="2" t="str">
        <f>IFERROR(__xludf.DUMMYFUNCTION("""COMPUTED_VALUE"""),"B2")</f>
        <v>B2</v>
      </c>
      <c r="M892" s="2" t="str">
        <f>IFERROR(__xludf.DUMMYFUNCTION("""COMPUTED_VALUE"""),"No")</f>
        <v>No</v>
      </c>
      <c r="N892" s="3" t="str">
        <f>IFERROR(__xludf.DUMMYFUNCTION("""COMPUTED_VALUE"""),"https://www.unige.ch/exchange/files/2316/4103/6114/UNIGE_Info_sheet_22-23_EU.pdf")</f>
        <v>https://www.unige.ch/exchange/files/2316/4103/6114/UNIGE_Info_sheet_22-23_EU.pdf</v>
      </c>
      <c r="O892" s="2" t="str">
        <f>IFERROR(__xludf.DUMMYFUNCTION("""COMPUTED_VALUE"""),"n/a")</f>
        <v>n/a</v>
      </c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30.0" customHeight="1">
      <c r="A893" s="2" t="str">
        <f>IFERROR(__xludf.DUMMYFUNCTION("""COMPUTED_VALUE"""),"Suiza")</f>
        <v>Suiza</v>
      </c>
      <c r="B893" s="2" t="str">
        <f>IFERROR(__xludf.DUMMYFUNCTION("""COMPUTED_VALUE"""),"CH WINTERT03")</f>
        <v>CH WINTERT03</v>
      </c>
      <c r="C893" s="3" t="str">
        <f>IFERROR(__xludf.DUMMYFUNCTION("""COMPUTED_VALUE"""),"ZHAW  Zurich University of Applied Sciences")</f>
        <v>ZHAW  Zurich University of Applied Sciences</v>
      </c>
      <c r="D893" s="2" t="str">
        <f>IFERROR(__xludf.DUMMYFUNCTION("""COMPUTED_VALUE"""),"Ac. Bilaterales (no Erasmus)")</f>
        <v>Ac. Bilaterales (no Erasmus)</v>
      </c>
      <c r="E893" s="2">
        <f>IFERROR(__xludf.DUMMYFUNCTION("""COMPUTED_VALUE"""),4.0)</f>
        <v>4</v>
      </c>
      <c r="F893" s="2" t="str">
        <f>IFERROR(__xludf.DUMMYFUNCTION("""COMPUTED_VALUE"""),"Semestre")</f>
        <v>Semestre</v>
      </c>
      <c r="G893" s="2" t="str">
        <f>IFERROR(__xludf.DUMMYFUNCTION("""COMPUTED_VALUE"""),"Bilbao")</f>
        <v>Bilbao</v>
      </c>
      <c r="H893" s="2" t="str">
        <f>IFERROR(__xludf.DUMMYFUNCTION("""COMPUTED_VALUE"""),"Deusto Business School")</f>
        <v>Deusto Business School</v>
      </c>
      <c r="I893" s="2" t="str">
        <f>IFERROR(__xludf.DUMMYFUNCTION("""COMPUTED_VALUE"""),"Administración y Dirección de Empresas")</f>
        <v>Administración y Dirección de Empresas</v>
      </c>
      <c r="J893" s="2" t="str">
        <f>IFERROR(__xludf.DUMMYFUNCTION("""COMPUTED_VALUE"""),"Grado")</f>
        <v>Grado</v>
      </c>
      <c r="K893" s="2" t="str">
        <f>IFERROR(__xludf.DUMMYFUNCTION("""COMPUTED_VALUE"""),"Inglés")</f>
        <v>Inglés</v>
      </c>
      <c r="L893" s="2" t="str">
        <f>IFERROR(__xludf.DUMMYFUNCTION("""COMPUTED_VALUE"""),"B2+")</f>
        <v>B2+</v>
      </c>
      <c r="M893" s="2" t="str">
        <f>IFERROR(__xludf.DUMMYFUNCTION("""COMPUTED_VALUE"""),"No (Letter from Home Institution)")</f>
        <v>No (Letter from Home Institution)</v>
      </c>
      <c r="N893" s="2"/>
      <c r="O893" s="2" t="str">
        <f>IFERROR(__xludf.DUMMYFUNCTION("""COMPUTED_VALUE"""),"Más información / Informazio gehigarria")</f>
        <v>Más información / Informazio gehigarria</v>
      </c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30.0" customHeight="1">
      <c r="A894" s="2" t="str">
        <f>IFERROR(__xludf.DUMMYFUNCTION("""COMPUTED_VALUE"""),"Tailandia")</f>
        <v>Tailandia</v>
      </c>
      <c r="B894" s="2"/>
      <c r="C894" s="3" t="str">
        <f>IFERROR(__xludf.DUMMYFUNCTION("""COMPUTED_VALUE"""),"Thammasat University")</f>
        <v>Thammasat University</v>
      </c>
      <c r="D894" s="2" t="str">
        <f>IFERROR(__xludf.DUMMYFUNCTION("""COMPUTED_VALUE"""),"Ac. Bilaterales (no Erasmus)")</f>
        <v>Ac. Bilaterales (no Erasmus)</v>
      </c>
      <c r="E894" s="2">
        <f>IFERROR(__xludf.DUMMYFUNCTION("""COMPUTED_VALUE"""),1.0)</f>
        <v>1</v>
      </c>
      <c r="F894" s="2" t="str">
        <f>IFERROR(__xludf.DUMMYFUNCTION("""COMPUTED_VALUE"""),"Semestre")</f>
        <v>Semestre</v>
      </c>
      <c r="G894" s="2" t="str">
        <f>IFERROR(__xludf.DUMMYFUNCTION("""COMPUTED_VALUE"""),"Bilbao")</f>
        <v>Bilbao</v>
      </c>
      <c r="H894" s="2" t="str">
        <f>IFERROR(__xludf.DUMMYFUNCTION("""COMPUTED_VALUE"""),"Deusto Business School")</f>
        <v>Deusto Business School</v>
      </c>
      <c r="I894" s="2" t="str">
        <f>IFERROR(__xludf.DUMMYFUNCTION("""COMPUTED_VALUE"""),"Administración y Dirección de Empresas")</f>
        <v>Administración y Dirección de Empresas</v>
      </c>
      <c r="J894" s="2" t="str">
        <f>IFERROR(__xludf.DUMMYFUNCTION("""COMPUTED_VALUE"""),"Grado")</f>
        <v>Grado</v>
      </c>
      <c r="K894" s="2" t="str">
        <f>IFERROR(__xludf.DUMMYFUNCTION("""COMPUTED_VALUE"""),"Inglés")</f>
        <v>Inglés</v>
      </c>
      <c r="L894" s="2" t="str">
        <f>IFERROR(__xludf.DUMMYFUNCTION("""COMPUTED_VALUE"""),"C1")</f>
        <v>C1</v>
      </c>
      <c r="M894" s="2" t="str">
        <f>IFERROR(__xludf.DUMMYFUNCTION("""COMPUTED_VALUE"""),"No")</f>
        <v>No</v>
      </c>
      <c r="N894" s="3" t="str">
        <f>IFERROR(__xludf.DUMMYFUNCTION("""COMPUTED_VALUE"""),"https://oia.tu.ac.th/index.php?option=com_content&amp;view=article&amp;id=600&amp;Itemid=381")</f>
        <v>https://oia.tu.ac.th/index.php?option=com_content&amp;view=article&amp;id=600&amp;Itemid=381</v>
      </c>
      <c r="O894" s="3" t="str">
        <f>IFERROR(__xludf.DUMMYFUNCTION("""COMPUTED_VALUE"""),"Más información / Informazio gehigarria")</f>
        <v>Más información / Informazio gehigarria</v>
      </c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30.0" customHeight="1">
      <c r="A895" s="2" t="str">
        <f>IFERROR(__xludf.DUMMYFUNCTION("""COMPUTED_VALUE"""),"Tailandia")</f>
        <v>Tailandia</v>
      </c>
      <c r="B895" s="2"/>
      <c r="C895" s="3" t="str">
        <f>IFERROR(__xludf.DUMMYFUNCTION("""COMPUTED_VALUE"""),"Thammasat University")</f>
        <v>Thammasat University</v>
      </c>
      <c r="D895" s="2" t="str">
        <f>IFERROR(__xludf.DUMMYFUNCTION("""COMPUTED_VALUE"""),"Ac. Bilaterales (no Erasmus)")</f>
        <v>Ac. Bilaterales (no Erasmus)</v>
      </c>
      <c r="E895" s="2">
        <f>IFERROR(__xludf.DUMMYFUNCTION("""COMPUTED_VALUE"""),1.0)</f>
        <v>1</v>
      </c>
      <c r="F895" s="2" t="str">
        <f>IFERROR(__xludf.DUMMYFUNCTION("""COMPUTED_VALUE"""),"Semestre")</f>
        <v>Semestre</v>
      </c>
      <c r="G895" s="2" t="str">
        <f>IFERROR(__xludf.DUMMYFUNCTION("""COMPUTED_VALUE"""),"San Sebastián")</f>
        <v>San Sebastián</v>
      </c>
      <c r="H895" s="2" t="str">
        <f>IFERROR(__xludf.DUMMYFUNCTION("""COMPUTED_VALUE"""),"Deusto Business School")</f>
        <v>Deusto Business School</v>
      </c>
      <c r="I895" s="2" t="str">
        <f>IFERROR(__xludf.DUMMYFUNCTION("""COMPUTED_VALUE"""),"Administración y Dirección de Empresas")</f>
        <v>Administración y Dirección de Empresas</v>
      </c>
      <c r="J895" s="2" t="str">
        <f>IFERROR(__xludf.DUMMYFUNCTION("""COMPUTED_VALUE"""),"Grado")</f>
        <v>Grado</v>
      </c>
      <c r="K895" s="2" t="str">
        <f>IFERROR(__xludf.DUMMYFUNCTION("""COMPUTED_VALUE"""),"Inglés")</f>
        <v>Inglés</v>
      </c>
      <c r="L895" s="2" t="str">
        <f>IFERROR(__xludf.DUMMYFUNCTION("""COMPUTED_VALUE"""),"C1")</f>
        <v>C1</v>
      </c>
      <c r="M895" s="2" t="str">
        <f>IFERROR(__xludf.DUMMYFUNCTION("""COMPUTED_VALUE"""),"No")</f>
        <v>No</v>
      </c>
      <c r="N895" s="3" t="str">
        <f>IFERROR(__xludf.DUMMYFUNCTION("""COMPUTED_VALUE"""),"https://oia.tu.ac.th/index.php?option=com_content&amp;view=article&amp;id=600&amp;Itemid=381")</f>
        <v>https://oia.tu.ac.th/index.php?option=com_content&amp;view=article&amp;id=600&amp;Itemid=381</v>
      </c>
      <c r="O895" s="3" t="str">
        <f>IFERROR(__xludf.DUMMYFUNCTION("""COMPUTED_VALUE"""),"Más información / Informazio gehigarria")</f>
        <v>Más información / Informazio gehigarria</v>
      </c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30.0" customHeight="1">
      <c r="A896" s="2" t="str">
        <f>IFERROR(__xludf.DUMMYFUNCTION("""COMPUTED_VALUE"""),"Taiwan")</f>
        <v>Taiwan</v>
      </c>
      <c r="B896" s="2" t="str">
        <f>IFERROR(__xludf.DUMMYFUNCTION("""COMPUTED_VALUE"""),"RC ")</f>
        <v>RC </v>
      </c>
      <c r="C896" s="3" t="str">
        <f>IFERROR(__xludf.DUMMYFUNCTION("""COMPUTED_VALUE"""),"Fu Jen Catholic University")</f>
        <v>Fu Jen Catholic University</v>
      </c>
      <c r="D896" s="2" t="str">
        <f>IFERROR(__xludf.DUMMYFUNCTION("""COMPUTED_VALUE"""),"Ac. Bilaterales (no Erasmus)")</f>
        <v>Ac. Bilaterales (no Erasmus)</v>
      </c>
      <c r="E896" s="2">
        <f>IFERROR(__xludf.DUMMYFUNCTION("""COMPUTED_VALUE"""),2.0)</f>
        <v>2</v>
      </c>
      <c r="F896" s="2" t="str">
        <f>IFERROR(__xludf.DUMMYFUNCTION("""COMPUTED_VALUE"""),"Ambos semestres")</f>
        <v>Ambos semestres</v>
      </c>
      <c r="G896" s="2" t="str">
        <f>IFERROR(__xludf.DUMMYFUNCTION("""COMPUTED_VALUE"""),"Bilbao")</f>
        <v>Bilbao</v>
      </c>
      <c r="H896" s="2" t="str">
        <f>IFERROR(__xludf.DUMMYFUNCTION("""COMPUTED_VALUE"""),"Deusto Business School")</f>
        <v>Deusto Business School</v>
      </c>
      <c r="I896" s="2" t="str">
        <f>IFERROR(__xludf.DUMMYFUNCTION("""COMPUTED_VALUE"""),"Administración y Dirección de Empresas")</f>
        <v>Administración y Dirección de Empresas</v>
      </c>
      <c r="J896" s="2" t="str">
        <f>IFERROR(__xludf.DUMMYFUNCTION("""COMPUTED_VALUE"""),"Grado")</f>
        <v>Grado</v>
      </c>
      <c r="K896" s="2" t="str">
        <f>IFERROR(__xludf.DUMMYFUNCTION("""COMPUTED_VALUE"""),"Inglés")</f>
        <v>Inglés</v>
      </c>
      <c r="L896" s="2" t="str">
        <f>IFERROR(__xludf.DUMMYFUNCTION("""COMPUTED_VALUE"""),"C1")</f>
        <v>C1</v>
      </c>
      <c r="M896" s="2" t="str">
        <f>IFERROR(__xludf.DUMMYFUNCTION("""COMPUTED_VALUE"""),"Sí")</f>
        <v>Sí</v>
      </c>
      <c r="N896" s="3" t="str">
        <f>IFERROR(__xludf.DUMMYFUNCTION("""COMPUTED_VALUE"""),"http://isc.oie.fju.edu.tw/index.jsp")</f>
        <v>http://isc.oie.fju.edu.tw/index.jsp</v>
      </c>
      <c r="O896" s="3" t="str">
        <f>IFERROR(__xludf.DUMMYFUNCTION("""COMPUTED_VALUE"""),"Más información / Informazio gehigarria")</f>
        <v>Más información / Informazio gehigarria</v>
      </c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30.0" customHeight="1">
      <c r="A897" s="2" t="str">
        <f>IFERROR(__xludf.DUMMYFUNCTION("""COMPUTED_VALUE"""),"Taiwan")</f>
        <v>Taiwan</v>
      </c>
      <c r="B897" s="2" t="str">
        <f>IFERROR(__xludf.DUMMYFUNCTION("""COMPUTED_VALUE"""),"RC ")</f>
        <v>RC </v>
      </c>
      <c r="C897" s="3" t="str">
        <f>IFERROR(__xludf.DUMMYFUNCTION("""COMPUTED_VALUE"""),"Fu Jen Catholic University")</f>
        <v>Fu Jen Catholic University</v>
      </c>
      <c r="D897" s="2" t="str">
        <f>IFERROR(__xludf.DUMMYFUNCTION("""COMPUTED_VALUE"""),"Ac. Bilaterales (no Erasmus)")</f>
        <v>Ac. Bilaterales (no Erasmus)</v>
      </c>
      <c r="E897" s="2">
        <f>IFERROR(__xludf.DUMMYFUNCTION("""COMPUTED_VALUE"""),2.0)</f>
        <v>2</v>
      </c>
      <c r="F897" s="2" t="str">
        <f>IFERROR(__xludf.DUMMYFUNCTION("""COMPUTED_VALUE"""),"Anual")</f>
        <v>Anual</v>
      </c>
      <c r="G897" s="2" t="str">
        <f>IFERROR(__xludf.DUMMYFUNCTION("""COMPUTED_VALUE"""),"Bilbao")</f>
        <v>Bilbao</v>
      </c>
      <c r="H897" s="2" t="str">
        <f>IFERROR(__xludf.DUMMYFUNCTION("""COMPUTED_VALUE"""),"Ciencias Sociales y Humanas")</f>
        <v>Ciencias Sociales y Humanas</v>
      </c>
      <c r="I897" s="2" t="str">
        <f>IFERROR(__xludf.DUMMYFUNCTION("""COMPUTED_VALUE"""),"Relaciones Internacionales, Relaciones Internacionales + Derecho")</f>
        <v>Relaciones Internacionales, Relaciones Internacionales + Derecho</v>
      </c>
      <c r="J897" s="2" t="str">
        <f>IFERROR(__xludf.DUMMYFUNCTION("""COMPUTED_VALUE"""),"Grado")</f>
        <v>Grado</v>
      </c>
      <c r="K897" s="2" t="str">
        <f>IFERROR(__xludf.DUMMYFUNCTION("""COMPUTED_VALUE"""),"Inglés")</f>
        <v>Inglés</v>
      </c>
      <c r="L897" s="2" t="str">
        <f>IFERROR(__xludf.DUMMYFUNCTION("""COMPUTED_VALUE"""),"B2")</f>
        <v>B2</v>
      </c>
      <c r="M897" s="2" t="str">
        <f>IFERROR(__xludf.DUMMYFUNCTION("""COMPUTED_VALUE"""),"Si")</f>
        <v>Si</v>
      </c>
      <c r="N897" s="3" t="str">
        <f>IFERROR(__xludf.DUMMYFUNCTION("""COMPUTED_VALUE"""),"http://isc.oie.fju.edu.tw/index.jsp")</f>
        <v>http://isc.oie.fju.edu.tw/index.jsp</v>
      </c>
      <c r="O897" s="3" t="str">
        <f>IFERROR(__xludf.DUMMYFUNCTION("""COMPUTED_VALUE"""),"Más información / Informazio gehigarria")</f>
        <v>Más información / Informazio gehigarria</v>
      </c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30.0" customHeight="1">
      <c r="A898" s="2" t="str">
        <f>IFERROR(__xludf.DUMMYFUNCTION("""COMPUTED_VALUE"""),"Taiwan")</f>
        <v>Taiwan</v>
      </c>
      <c r="B898" s="2" t="str">
        <f>IFERROR(__xludf.DUMMYFUNCTION("""COMPUTED_VALUE"""),"RC ")</f>
        <v>RC </v>
      </c>
      <c r="C898" s="3" t="str">
        <f>IFERROR(__xludf.DUMMYFUNCTION("""COMPUTED_VALUE"""),"Fu Jen Catholic University")</f>
        <v>Fu Jen Catholic University</v>
      </c>
      <c r="D898" s="2" t="str">
        <f>IFERROR(__xludf.DUMMYFUNCTION("""COMPUTED_VALUE"""),"Ac. Bilaterales (no Erasmus)")</f>
        <v>Ac. Bilaterales (no Erasmus)</v>
      </c>
      <c r="E898" s="2">
        <f>IFERROR(__xludf.DUMMYFUNCTION("""COMPUTED_VALUE"""),2.0)</f>
        <v>2</v>
      </c>
      <c r="F898" s="2" t="str">
        <f>IFERROR(__xludf.DUMMYFUNCTION("""COMPUTED_VALUE"""),"Semestre")</f>
        <v>Semestre</v>
      </c>
      <c r="G898" s="2" t="str">
        <f>IFERROR(__xludf.DUMMYFUNCTION("""COMPUTED_VALUE"""),"San Sebastián")</f>
        <v>San Sebastián</v>
      </c>
      <c r="H898" s="2" t="str">
        <f>IFERROR(__xludf.DUMMYFUNCTION("""COMPUTED_VALUE"""),"Ciencias Sociales y Humanas")</f>
        <v>Ciencias Sociales y Humanas</v>
      </c>
      <c r="I898" s="2" t="str">
        <f>IFERROR(__xludf.DUMMYFUNCTION("""COMPUTED_VALUE"""),"Comunicación")</f>
        <v>Comunicación</v>
      </c>
      <c r="J898" s="2" t="str">
        <f>IFERROR(__xludf.DUMMYFUNCTION("""COMPUTED_VALUE"""),"Grado")</f>
        <v>Grado</v>
      </c>
      <c r="K898" s="2" t="str">
        <f>IFERROR(__xludf.DUMMYFUNCTION("""COMPUTED_VALUE"""),"Inglés")</f>
        <v>Inglés</v>
      </c>
      <c r="L898" s="2" t="str">
        <f>IFERROR(__xludf.DUMMYFUNCTION("""COMPUTED_VALUE"""),"B2")</f>
        <v>B2</v>
      </c>
      <c r="M898" s="2" t="str">
        <f>IFERROR(__xludf.DUMMYFUNCTION("""COMPUTED_VALUE"""),"Si")</f>
        <v>Si</v>
      </c>
      <c r="N898" s="3" t="str">
        <f>IFERROR(__xludf.DUMMYFUNCTION("""COMPUTED_VALUE"""),"http://isc.oie.fju.edu.tw/index.jsp")</f>
        <v>http://isc.oie.fju.edu.tw/index.jsp</v>
      </c>
      <c r="O898" s="3" t="str">
        <f>IFERROR(__xludf.DUMMYFUNCTION("""COMPUTED_VALUE"""),"Más información / Informazio gehigarria")</f>
        <v>Más información / Informazio gehigarria</v>
      </c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30.0" customHeight="1">
      <c r="A899" s="2" t="str">
        <f>IFERROR(__xludf.DUMMYFUNCTION("""COMPUTED_VALUE"""),"Taiwan")</f>
        <v>Taiwan</v>
      </c>
      <c r="B899" s="2" t="str">
        <f>IFERROR(__xludf.DUMMYFUNCTION("""COMPUTED_VALUE"""),"RC TAOYUAN01")</f>
        <v>RC TAOYUAN01</v>
      </c>
      <c r="C899" s="3" t="str">
        <f>IFERROR(__xludf.DUMMYFUNCTION("""COMPUTED_VALUE"""),"National Central University")</f>
        <v>National Central University</v>
      </c>
      <c r="D899" s="2" t="str">
        <f>IFERROR(__xludf.DUMMYFUNCTION("""COMPUTED_VALUE"""),"Ac. Bilaterales (no Erasmus)")</f>
        <v>Ac. Bilaterales (no Erasmus)</v>
      </c>
      <c r="E899" s="2">
        <f>IFERROR(__xludf.DUMMYFUNCTION("""COMPUTED_VALUE"""),2.0)</f>
        <v>2</v>
      </c>
      <c r="F899" s="2" t="str">
        <f>IFERROR(__xludf.DUMMYFUNCTION("""COMPUTED_VALUE"""),"Ambos semestres")</f>
        <v>Ambos semestres</v>
      </c>
      <c r="G899" s="2" t="str">
        <f>IFERROR(__xludf.DUMMYFUNCTION("""COMPUTED_VALUE"""),"Bilbao")</f>
        <v>Bilbao</v>
      </c>
      <c r="H899" s="2" t="str">
        <f>IFERROR(__xludf.DUMMYFUNCTION("""COMPUTED_VALUE"""),"Deusto Business School")</f>
        <v>Deusto Business School</v>
      </c>
      <c r="I899" s="2" t="str">
        <f>IFERROR(__xludf.DUMMYFUNCTION("""COMPUTED_VALUE"""),"Administración y Dirección de Empresas")</f>
        <v>Administración y Dirección de Empresas</v>
      </c>
      <c r="J899" s="2" t="str">
        <f>IFERROR(__xludf.DUMMYFUNCTION("""COMPUTED_VALUE"""),"Grado")</f>
        <v>Grado</v>
      </c>
      <c r="K899" s="2" t="str">
        <f>IFERROR(__xludf.DUMMYFUNCTION("""COMPUTED_VALUE"""),"Inglés")</f>
        <v>Inglés</v>
      </c>
      <c r="L899" s="2" t="str">
        <f>IFERROR(__xludf.DUMMYFUNCTION("""COMPUTED_VALUE"""),"C1")</f>
        <v>C1</v>
      </c>
      <c r="M899" s="2" t="str">
        <f>IFERROR(__xludf.DUMMYFUNCTION("""COMPUTED_VALUE"""),"Sí")</f>
        <v>Sí</v>
      </c>
      <c r="N899" s="3" t="str">
        <f>IFERROR(__xludf.DUMMYFUNCTION("""COMPUTED_VALUE"""),"https://www.u-fukui.ac.jp/wp/wp-content/uploads/National-Central-University-Exchange-Studens-Fact-Sheet-2021-2022.pdf")</f>
        <v>https://www.u-fukui.ac.jp/wp/wp-content/uploads/National-Central-University-Exchange-Studens-Fact-Sheet-2021-2022.pdf</v>
      </c>
      <c r="O899" s="3" t="str">
        <f>IFERROR(__xludf.DUMMYFUNCTION("""COMPUTED_VALUE"""),"Más información / Informazio gehigarria")</f>
        <v>Más información / Informazio gehigarria</v>
      </c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30.0" customHeight="1">
      <c r="A900" s="2" t="str">
        <f>IFERROR(__xludf.DUMMYFUNCTION("""COMPUTED_VALUE"""),"Túnez")</f>
        <v>Túnez</v>
      </c>
      <c r="B900" s="2" t="str">
        <f>IFERROR(__xludf.DUMMYFUNCTION("""COMPUTED_VALUE"""),"TN MONSTI01")</f>
        <v>TN MONSTI01</v>
      </c>
      <c r="C900" s="3" t="str">
        <f>IFERROR(__xludf.DUMMYFUNCTION("""COMPUTED_VALUE"""),"Universidad de Monastir")</f>
        <v>Universidad de Monastir</v>
      </c>
      <c r="D900" s="2" t="str">
        <f>IFERROR(__xludf.DUMMYFUNCTION("""COMPUTED_VALUE"""),"Erasmus+")</f>
        <v>Erasmus+</v>
      </c>
      <c r="E900" s="2">
        <f>IFERROR(__xludf.DUMMYFUNCTION("""COMPUTED_VALUE"""),2.0)</f>
        <v>2</v>
      </c>
      <c r="F900" s="2" t="str">
        <f>IFERROR(__xludf.DUMMYFUNCTION("""COMPUTED_VALUE"""),"Semestre")</f>
        <v>Semestre</v>
      </c>
      <c r="G900" s="2" t="str">
        <f>IFERROR(__xludf.DUMMYFUNCTION("""COMPUTED_VALUE"""),"Bilbao")</f>
        <v>Bilbao</v>
      </c>
      <c r="H900" s="2" t="str">
        <f>IFERROR(__xludf.DUMMYFUNCTION("""COMPUTED_VALUE"""),"Ciencias Sociales y Humanas")</f>
        <v>Ciencias Sociales y Humanas</v>
      </c>
      <c r="I900" s="2" t="str">
        <f>IFERROR(__xludf.DUMMYFUNCTION("""COMPUTED_VALUE"""),"Turismo")</f>
        <v>Turismo</v>
      </c>
      <c r="J900" s="2" t="str">
        <f>IFERROR(__xludf.DUMMYFUNCTION("""COMPUTED_VALUE"""),"Grado")</f>
        <v>Grado</v>
      </c>
      <c r="K900" s="2" t="str">
        <f>IFERROR(__xludf.DUMMYFUNCTION("""COMPUTED_VALUE"""),"Francés / Inglés")</f>
        <v>Francés / Inglés</v>
      </c>
      <c r="L900" s="2" t="str">
        <f>IFERROR(__xludf.DUMMYFUNCTION("""COMPUTED_VALUE"""),"B2")</f>
        <v>B2</v>
      </c>
      <c r="M900" s="2" t="str">
        <f>IFERROR(__xludf.DUMMYFUNCTION("""COMPUTED_VALUE"""),"No")</f>
        <v>No</v>
      </c>
      <c r="N900" s="2"/>
      <c r="O900" s="2" t="str">
        <f>IFERROR(__xludf.DUMMYFUNCTION("""COMPUTED_VALUE"""),"Más información / Informazio gehigarria")</f>
        <v>Más información / Informazio gehigarria</v>
      </c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30.0" customHeight="1">
      <c r="A901" s="2" t="str">
        <f>IFERROR(__xludf.DUMMYFUNCTION("""COMPUTED_VALUE"""),"Turquía")</f>
        <v>Turquía</v>
      </c>
      <c r="B901" s="2" t="str">
        <f>IFERROR(__xludf.DUMMYFUNCTION("""COMPUTED_VALUE"""),"TR ANTALYA01")</f>
        <v>TR ANTALYA01</v>
      </c>
      <c r="C901" s="3" t="str">
        <f>IFERROR(__xludf.DUMMYFUNCTION("""COMPUTED_VALUE"""),"Akdeniz University")</f>
        <v>Akdeniz University</v>
      </c>
      <c r="D901" s="2" t="str">
        <f>IFERROR(__xludf.DUMMYFUNCTION("""COMPUTED_VALUE"""),"Erasmus+")</f>
        <v>Erasmus+</v>
      </c>
      <c r="E901" s="2">
        <f>IFERROR(__xludf.DUMMYFUNCTION("""COMPUTED_VALUE"""),2.0)</f>
        <v>2</v>
      </c>
      <c r="F901" s="2" t="str">
        <f>IFERROR(__xludf.DUMMYFUNCTION("""COMPUTED_VALUE"""),"Semestre")</f>
        <v>Semestre</v>
      </c>
      <c r="G901" s="2" t="str">
        <f>IFERROR(__xludf.DUMMYFUNCTION("""COMPUTED_VALUE"""),"Bilbao")</f>
        <v>Bilbao</v>
      </c>
      <c r="H901" s="2" t="str">
        <f>IFERROR(__xludf.DUMMYFUNCTION("""COMPUTED_VALUE"""),"Ciencias Sociales y Humanas")</f>
        <v>Ciencias Sociales y Humanas</v>
      </c>
      <c r="I901" s="2" t="str">
        <f>IFERROR(__xludf.DUMMYFUNCTION("""COMPUTED_VALUE"""),"Turismo")</f>
        <v>Turismo</v>
      </c>
      <c r="J901" s="2" t="str">
        <f>IFERROR(__xludf.DUMMYFUNCTION("""COMPUTED_VALUE"""),"Grado")</f>
        <v>Grado</v>
      </c>
      <c r="K901" s="2" t="str">
        <f>IFERROR(__xludf.DUMMYFUNCTION("""COMPUTED_VALUE"""),"Inglés")</f>
        <v>Inglés</v>
      </c>
      <c r="L901" s="2" t="str">
        <f>IFERROR(__xludf.DUMMYFUNCTION("""COMPUTED_VALUE"""),"B2")</f>
        <v>B2</v>
      </c>
      <c r="M901" s="2" t="str">
        <f>IFERROR(__xludf.DUMMYFUNCTION("""COMPUTED_VALUE"""),"No")</f>
        <v>No</v>
      </c>
      <c r="N901" s="3" t="str">
        <f>IFERROR(__xludf.DUMMYFUNCTION("""COMPUTED_VALUE"""),"https://uio.akdeniz.edu.tr/en/accepted_language_proficiencies-4249")</f>
        <v>https://uio.akdeniz.edu.tr/en/accepted_language_proficiencies-4249</v>
      </c>
      <c r="O901" s="3" t="str">
        <f>IFERROR(__xludf.DUMMYFUNCTION("""COMPUTED_VALUE"""),"Más información / Informazio gehigarria")</f>
        <v>Más información / Informazio gehigarria</v>
      </c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30.0" customHeight="1">
      <c r="A902" s="2" t="str">
        <f>IFERROR(__xludf.DUMMYFUNCTION("""COMPUTED_VALUE"""),"Turquía")</f>
        <v>Turquía</v>
      </c>
      <c r="B902" s="2" t="str">
        <f>IFERROR(__xludf.DUMMYFUNCTION("""COMPUTED_VALUE"""),"TR ANKARA29")</f>
        <v>TR ANKARA29</v>
      </c>
      <c r="C902" s="3" t="str">
        <f>IFERROR(__xludf.DUMMYFUNCTION("""COMPUTED_VALUE"""),"Ankara Science University")</f>
        <v>Ankara Science University</v>
      </c>
      <c r="D902" s="2" t="str">
        <f>IFERROR(__xludf.DUMMYFUNCTION("""COMPUTED_VALUE"""),"Erasmus+")</f>
        <v>Erasmus+</v>
      </c>
      <c r="E902" s="2">
        <f>IFERROR(__xludf.DUMMYFUNCTION("""COMPUTED_VALUE"""),1.0)</f>
        <v>1</v>
      </c>
      <c r="F902" s="2" t="str">
        <f>IFERROR(__xludf.DUMMYFUNCTION("""COMPUTED_VALUE"""),"Anual")</f>
        <v>Anual</v>
      </c>
      <c r="G902" s="2" t="str">
        <f>IFERROR(__xludf.DUMMYFUNCTION("""COMPUTED_VALUE"""),"Bilbao")</f>
        <v>Bilbao</v>
      </c>
      <c r="H902" s="2" t="str">
        <f>IFERROR(__xludf.DUMMYFUNCTION("""COMPUTED_VALUE"""),"Ciencias Sociales y Humanas")</f>
        <v>Ciencias Sociales y Humanas</v>
      </c>
      <c r="I902" s="2" t="str">
        <f>IFERROR(__xludf.DUMMYFUNCTION("""COMPUTED_VALUE"""),"Relaciones Internacionales")</f>
        <v>Relaciones Internacionales</v>
      </c>
      <c r="J902" s="2" t="str">
        <f>IFERROR(__xludf.DUMMYFUNCTION("""COMPUTED_VALUE"""),"Grado")</f>
        <v>Grado</v>
      </c>
      <c r="K902" s="2" t="str">
        <f>IFERROR(__xludf.DUMMYFUNCTION("""COMPUTED_VALUE"""),"Inglés")</f>
        <v>Inglés</v>
      </c>
      <c r="L902" s="2" t="str">
        <f>IFERROR(__xludf.DUMMYFUNCTION("""COMPUTED_VALUE"""),"B2")</f>
        <v>B2</v>
      </c>
      <c r="M902" s="2"/>
      <c r="N902" s="3" t="str">
        <f>IFERROR(__xludf.DUMMYFUNCTION("""COMPUTED_VALUE"""),"https://ankarabilim.edu.tr/uluslararasi-iliskiler-koordinatorlugu/duyuru/erasmus-ka171-ogrenim-hareketliligi-basvurulari-1")</f>
        <v>https://ankarabilim.edu.tr/uluslararasi-iliskiler-koordinatorlugu/duyuru/erasmus-ka171-ogrenim-hareketliligi-basvurulari-1</v>
      </c>
      <c r="O902" s="3" t="str">
        <f>IFERROR(__xludf.DUMMYFUNCTION("""COMPUTED_VALUE"""),"Más información / Informazio gehigarria")</f>
        <v>Más información / Informazio gehigarria</v>
      </c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30.0" customHeight="1">
      <c r="A903" s="2" t="str">
        <f>IFERROR(__xludf.DUMMYFUNCTION("""COMPUTED_VALUE"""),"Turquía")</f>
        <v>Turquía</v>
      </c>
      <c r="B903" s="2" t="str">
        <f>IFERROR(__xludf.DUMMYFUNCTION("""COMPUTED_VALUE"""),"TR ANKARA29")</f>
        <v>TR ANKARA29</v>
      </c>
      <c r="C903" s="3" t="str">
        <f>IFERROR(__xludf.DUMMYFUNCTION("""COMPUTED_VALUE"""),"Ankara Science University")</f>
        <v>Ankara Science University</v>
      </c>
      <c r="D903" s="2" t="str">
        <f>IFERROR(__xludf.DUMMYFUNCTION("""COMPUTED_VALUE"""),"Erasmus+")</f>
        <v>Erasmus+</v>
      </c>
      <c r="E903" s="2">
        <f>IFERROR(__xludf.DUMMYFUNCTION("""COMPUTED_VALUE"""),2.0)</f>
        <v>2</v>
      </c>
      <c r="F903" s="2" t="str">
        <f>IFERROR(__xludf.DUMMYFUNCTION("""COMPUTED_VALUE"""),"Semestre")</f>
        <v>Semestre</v>
      </c>
      <c r="G903" s="2" t="str">
        <f>IFERROR(__xludf.DUMMYFUNCTION("""COMPUTED_VALUE"""),"Bilbao")</f>
        <v>Bilbao</v>
      </c>
      <c r="H903" s="2" t="str">
        <f>IFERROR(__xludf.DUMMYFUNCTION("""COMPUTED_VALUE"""),"Ciencias Sociales y Humanas")</f>
        <v>Ciencias Sociales y Humanas</v>
      </c>
      <c r="I903" s="2" t="str">
        <f>IFERROR(__xludf.DUMMYFUNCTION("""COMPUTED_VALUE"""),"Relaciones Internacionales + Derecho")</f>
        <v>Relaciones Internacionales + Derecho</v>
      </c>
      <c r="J903" s="2" t="str">
        <f>IFERROR(__xludf.DUMMYFUNCTION("""COMPUTED_VALUE"""),"Grado")</f>
        <v>Grado</v>
      </c>
      <c r="K903" s="2" t="str">
        <f>IFERROR(__xludf.DUMMYFUNCTION("""COMPUTED_VALUE"""),"Inglés")</f>
        <v>Inglés</v>
      </c>
      <c r="L903" s="2" t="str">
        <f>IFERROR(__xludf.DUMMYFUNCTION("""COMPUTED_VALUE"""),"B2")</f>
        <v>B2</v>
      </c>
      <c r="M903" s="2"/>
      <c r="N903" s="3" t="str">
        <f>IFERROR(__xludf.DUMMYFUNCTION("""COMPUTED_VALUE"""),"https://ankarabilim.edu.tr/uluslararasi-iliskiler-koordinatorlugu/duyuru/erasmus-ka171-ogrenim-hareketliligi-basvurulari-1")</f>
        <v>https://ankarabilim.edu.tr/uluslararasi-iliskiler-koordinatorlugu/duyuru/erasmus-ka171-ogrenim-hareketliligi-basvurulari-1</v>
      </c>
      <c r="O903" s="3" t="str">
        <f>IFERROR(__xludf.DUMMYFUNCTION("""COMPUTED_VALUE"""),"Más información / Informazio gehigarria")</f>
        <v>Más información / Informazio gehigarria</v>
      </c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30.0" customHeight="1">
      <c r="A904" s="2" t="str">
        <f>IFERROR(__xludf.DUMMYFUNCTION("""COMPUTED_VALUE"""),"Turquía")</f>
        <v>Turquía</v>
      </c>
      <c r="B904" s="2" t="str">
        <f>IFERROR(__xludf.DUMMYFUNCTION("""COMPUTED_VALUE"""),"TR ANKARA15")</f>
        <v>TR ANKARA15</v>
      </c>
      <c r="C904" s="2" t="str">
        <f>IFERROR(__xludf.DUMMYFUNCTION("""COMPUTED_VALUE"""),"Ankara Yıldırım Beyazıt University")</f>
        <v>Ankara Yıldırım Beyazıt University</v>
      </c>
      <c r="D904" s="2" t="str">
        <f>IFERROR(__xludf.DUMMYFUNCTION("""COMPUTED_VALUE"""),"Erasmus+")</f>
        <v>Erasmus+</v>
      </c>
      <c r="E904" s="2">
        <f>IFERROR(__xludf.DUMMYFUNCTION("""COMPUTED_VALUE"""),2.0)</f>
        <v>2</v>
      </c>
      <c r="F904" s="2" t="str">
        <f>IFERROR(__xludf.DUMMYFUNCTION("""COMPUTED_VALUE"""),"Semestre")</f>
        <v>Semestre</v>
      </c>
      <c r="G904" s="2" t="str">
        <f>IFERROR(__xludf.DUMMYFUNCTION("""COMPUTED_VALUE"""),"Bilbao")</f>
        <v>Bilbao</v>
      </c>
      <c r="H904" s="2" t="str">
        <f>IFERROR(__xludf.DUMMYFUNCTION("""COMPUTED_VALUE"""),"Derecho")</f>
        <v>Derecho</v>
      </c>
      <c r="I904" s="2" t="str">
        <f>IFERROR(__xludf.DUMMYFUNCTION("""COMPUTED_VALUE"""),"Derecho, Derecho + Relaciones Laborales")</f>
        <v>Derecho, Derecho + Relaciones Laborales</v>
      </c>
      <c r="J904" s="2" t="str">
        <f>IFERROR(__xludf.DUMMYFUNCTION("""COMPUTED_VALUE"""),"Grado")</f>
        <v>Grado</v>
      </c>
      <c r="K904" s="2" t="str">
        <f>IFERROR(__xludf.DUMMYFUNCTION("""COMPUTED_VALUE"""),"Turco / Inglés")</f>
        <v>Turco / Inglés</v>
      </c>
      <c r="L904" s="2" t="str">
        <f>IFERROR(__xludf.DUMMYFUNCTION("""COMPUTED_VALUE"""),"B1 Tu / B2 En")</f>
        <v>B1 Tu / B2 En</v>
      </c>
      <c r="M904" s="2" t="str">
        <f>IFERROR(__xludf.DUMMYFUNCTION("""COMPUTED_VALUE"""),"No")</f>
        <v>No</v>
      </c>
      <c r="N904" s="3" t="str">
        <f>IFERROR(__xludf.DUMMYFUNCTION("""COMPUTED_VALUE"""),"https://aybu.edu.tr/international/tr/sayfa/4803/-Erasmus-Incoming-Students")</f>
        <v>https://aybu.edu.tr/international/tr/sayfa/4803/-Erasmus-Incoming-Students</v>
      </c>
      <c r="O904" s="3" t="str">
        <f>IFERROR(__xludf.DUMMYFUNCTION("""COMPUTED_VALUE"""),"Más información / Informazio gehigarria")</f>
        <v>Más información / Informazio gehigarria</v>
      </c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30.0" customHeight="1">
      <c r="A905" s="2" t="str">
        <f>IFERROR(__xludf.DUMMYFUNCTION("""COMPUTED_VALUE"""),"Turquía")</f>
        <v>Turquía</v>
      </c>
      <c r="B905" s="2" t="str">
        <f>IFERROR(__xludf.DUMMYFUNCTION("""COMPUTED_VALUE"""),"TR ANKARA28")</f>
        <v>TR ANKARA28</v>
      </c>
      <c r="C905" s="3" t="str">
        <f>IFERROR(__xludf.DUMMYFUNCTION("""COMPUTED_VALUE"""),"Ankara Medipol University")</f>
        <v>Ankara Medipol University</v>
      </c>
      <c r="D905" s="2" t="str">
        <f>IFERROR(__xludf.DUMMYFUNCTION("""COMPUTED_VALUE"""),"Erasmus+")</f>
        <v>Erasmus+</v>
      </c>
      <c r="E905" s="2">
        <f>IFERROR(__xludf.DUMMYFUNCTION("""COMPUTED_VALUE"""),1.0)</f>
        <v>1</v>
      </c>
      <c r="F905" s="2" t="str">
        <f>IFERROR(__xludf.DUMMYFUNCTION("""COMPUTED_VALUE"""),"Anual")</f>
        <v>Anual</v>
      </c>
      <c r="G905" s="2" t="str">
        <f>IFERROR(__xludf.DUMMYFUNCTION("""COMPUTED_VALUE"""),"Bilbao")</f>
        <v>Bilbao</v>
      </c>
      <c r="H905" s="2" t="str">
        <f>IFERROR(__xludf.DUMMYFUNCTION("""COMPUTED_VALUE"""),"Ciencias Sociales y Humanas")</f>
        <v>Ciencias Sociales y Humanas</v>
      </c>
      <c r="I905" s="2" t="str">
        <f>IFERROR(__xludf.DUMMYFUNCTION("""COMPUTED_VALUE"""),"Relaciones Internacionales")</f>
        <v>Relaciones Internacionales</v>
      </c>
      <c r="J905" s="2" t="str">
        <f>IFERROR(__xludf.DUMMYFUNCTION("""COMPUTED_VALUE"""),"Grado")</f>
        <v>Grado</v>
      </c>
      <c r="K905" s="2" t="str">
        <f>IFERROR(__xludf.DUMMYFUNCTION("""COMPUTED_VALUE"""),"Inglés")</f>
        <v>Inglés</v>
      </c>
      <c r="L905" s="2" t="str">
        <f>IFERROR(__xludf.DUMMYFUNCTION("""COMPUTED_VALUE"""),"B2")</f>
        <v>B2</v>
      </c>
      <c r="M905" s="2"/>
      <c r="N905" s="2"/>
      <c r="O905" s="2" t="str">
        <f>IFERROR(__xludf.DUMMYFUNCTION("""COMPUTED_VALUE"""),"Más información / Informazio gehigarria")</f>
        <v>Más información / Informazio gehigarria</v>
      </c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30.0" customHeight="1">
      <c r="A906" s="2" t="str">
        <f>IFERROR(__xludf.DUMMYFUNCTION("""COMPUTED_VALUE"""),"Turquía")</f>
        <v>Turquía</v>
      </c>
      <c r="B906" s="2" t="str">
        <f>IFERROR(__xludf.DUMMYFUNCTION("""COMPUTED_VALUE"""),"TR ANKARA28")</f>
        <v>TR ANKARA28</v>
      </c>
      <c r="C906" s="3" t="str">
        <f>IFERROR(__xludf.DUMMYFUNCTION("""COMPUTED_VALUE"""),"Ankara Medipol University")</f>
        <v>Ankara Medipol University</v>
      </c>
      <c r="D906" s="2" t="str">
        <f>IFERROR(__xludf.DUMMYFUNCTION("""COMPUTED_VALUE"""),"Erasmus+")</f>
        <v>Erasmus+</v>
      </c>
      <c r="E906" s="2">
        <f>IFERROR(__xludf.DUMMYFUNCTION("""COMPUTED_VALUE"""),2.0)</f>
        <v>2</v>
      </c>
      <c r="F906" s="2" t="str">
        <f>IFERROR(__xludf.DUMMYFUNCTION("""COMPUTED_VALUE"""),"Semestre")</f>
        <v>Semestre</v>
      </c>
      <c r="G906" s="2" t="str">
        <f>IFERROR(__xludf.DUMMYFUNCTION("""COMPUTED_VALUE"""),"Bilbao")</f>
        <v>Bilbao</v>
      </c>
      <c r="H906" s="2" t="str">
        <f>IFERROR(__xludf.DUMMYFUNCTION("""COMPUTED_VALUE"""),"Ciencias Sociales y Humanas")</f>
        <v>Ciencias Sociales y Humanas</v>
      </c>
      <c r="I906" s="2" t="str">
        <f>IFERROR(__xludf.DUMMYFUNCTION("""COMPUTED_VALUE"""),"Relaciones Internacionales + Derecho")</f>
        <v>Relaciones Internacionales + Derecho</v>
      </c>
      <c r="J906" s="2" t="str">
        <f>IFERROR(__xludf.DUMMYFUNCTION("""COMPUTED_VALUE"""),"Grado")</f>
        <v>Grado</v>
      </c>
      <c r="K906" s="2" t="str">
        <f>IFERROR(__xludf.DUMMYFUNCTION("""COMPUTED_VALUE"""),"Inglés")</f>
        <v>Inglés</v>
      </c>
      <c r="L906" s="2" t="str">
        <f>IFERROR(__xludf.DUMMYFUNCTION("""COMPUTED_VALUE"""),"B2")</f>
        <v>B2</v>
      </c>
      <c r="M906" s="2"/>
      <c r="N906" s="2"/>
      <c r="O906" s="2" t="str">
        <f>IFERROR(__xludf.DUMMYFUNCTION("""COMPUTED_VALUE"""),"Más información / Informazio gehigarria")</f>
        <v>Más información / Informazio gehigarria</v>
      </c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30.0" customHeight="1">
      <c r="A907" s="2" t="str">
        <f>IFERROR(__xludf.DUMMYFUNCTION("""COMPUTED_VALUE"""),"Turquía")</f>
        <v>Turquía</v>
      </c>
      <c r="B907" s="2" t="str">
        <f>IFERROR(__xludf.DUMMYFUNCTION("""COMPUTED_VALUE"""),"TR ISTANBU29")</f>
        <v>TR ISTANBU29</v>
      </c>
      <c r="C907" s="3" t="str">
        <f>IFERROR(__xludf.DUMMYFUNCTION("""COMPUTED_VALUE"""),"Arel University")</f>
        <v>Arel University</v>
      </c>
      <c r="D907" s="2" t="str">
        <f>IFERROR(__xludf.DUMMYFUNCTION("""COMPUTED_VALUE"""),"Erasmus+")</f>
        <v>Erasmus+</v>
      </c>
      <c r="E907" s="2">
        <f>IFERROR(__xludf.DUMMYFUNCTION("""COMPUTED_VALUE"""),1.0)</f>
        <v>1</v>
      </c>
      <c r="F907" s="2" t="str">
        <f>IFERROR(__xludf.DUMMYFUNCTION("""COMPUTED_VALUE"""),"Semestre")</f>
        <v>Semestre</v>
      </c>
      <c r="G907" s="2" t="str">
        <f>IFERROR(__xludf.DUMMYFUNCTION("""COMPUTED_VALUE"""),"Ambos")</f>
        <v>Ambos</v>
      </c>
      <c r="H907" s="2" t="str">
        <f>IFERROR(__xludf.DUMMYFUNCTION("""COMPUTED_VALUE"""),"Ingeniería")</f>
        <v>Ingeniería</v>
      </c>
      <c r="I907" s="2" t="str">
        <f>IFERROR(__xludf.DUMMYFUNCTION("""COMPUTED_VALUE"""),"Ingeniería Informática, Organización Industrial, Ciencia de Datos e IA + Ingeniería Informática, Ingeniería Informática + Videojuegos")</f>
        <v>Ingeniería Informática, Organización Industrial, Ciencia de Datos e IA + Ingeniería Informática, Ingeniería Informática + Videojuegos</v>
      </c>
      <c r="J907" s="2" t="str">
        <f>IFERROR(__xludf.DUMMYFUNCTION("""COMPUTED_VALUE"""),"Grado")</f>
        <v>Grado</v>
      </c>
      <c r="K907" s="2" t="str">
        <f>IFERROR(__xludf.DUMMYFUNCTION("""COMPUTED_VALUE"""),"Inglés")</f>
        <v>Inglés</v>
      </c>
      <c r="L907" s="2" t="str">
        <f>IFERROR(__xludf.DUMMYFUNCTION("""COMPUTED_VALUE"""),"B2")</f>
        <v>B2</v>
      </c>
      <c r="M907" s="2" t="str">
        <f>IFERROR(__xludf.DUMMYFUNCTION("""COMPUTED_VALUE"""),"No")</f>
        <v>No</v>
      </c>
      <c r="N907" s="3" t="str">
        <f>IFERROR(__xludf.DUMMYFUNCTION("""COMPUTED_VALUE"""),"https://international.arel.edu.tr/international-office/")</f>
        <v>https://international.arel.edu.tr/international-office/</v>
      </c>
      <c r="O907" s="3" t="str">
        <f>IFERROR(__xludf.DUMMYFUNCTION("""COMPUTED_VALUE"""),"Más información / Informazio gehigarria")</f>
        <v>Más información / Informazio gehigarria</v>
      </c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30.0" customHeight="1">
      <c r="A908" s="2" t="str">
        <f>IFERROR(__xludf.DUMMYFUNCTION("""COMPUTED_VALUE"""),"Turquía")</f>
        <v>Turquía</v>
      </c>
      <c r="B908" s="2" t="str">
        <f>IFERROR(__xludf.DUMMYFUNCTION("""COMPUTED_VALUE"""),"TR ISTANBU29")</f>
        <v>TR ISTANBU29</v>
      </c>
      <c r="C908" s="3" t="str">
        <f>IFERROR(__xludf.DUMMYFUNCTION("""COMPUTED_VALUE"""),"Arel University")</f>
        <v>Arel University</v>
      </c>
      <c r="D908" s="2" t="str">
        <f>IFERROR(__xludf.DUMMYFUNCTION("""COMPUTED_VALUE"""),"Erasmus+")</f>
        <v>Erasmus+</v>
      </c>
      <c r="E908" s="2">
        <f>IFERROR(__xludf.DUMMYFUNCTION("""COMPUTED_VALUE"""),1.0)</f>
        <v>1</v>
      </c>
      <c r="F908" s="2" t="str">
        <f>IFERROR(__xludf.DUMMYFUNCTION("""COMPUTED_VALUE"""),"Anual")</f>
        <v>Anual</v>
      </c>
      <c r="G908" s="2" t="str">
        <f>IFERROR(__xludf.DUMMYFUNCTION("""COMPUTED_VALUE"""),"Bilbao")</f>
        <v>Bilbao</v>
      </c>
      <c r="H908" s="2" t="str">
        <f>IFERROR(__xludf.DUMMYFUNCTION("""COMPUTED_VALUE"""),"Ciencias Sociales y Humanas")</f>
        <v>Ciencias Sociales y Humanas</v>
      </c>
      <c r="I908" s="2" t="str">
        <f>IFERROR(__xludf.DUMMYFUNCTION("""COMPUTED_VALUE"""),"Relaciones Internacionales, Relaciones Internacionales + Derecho")</f>
        <v>Relaciones Internacionales, Relaciones Internacionales + Derecho</v>
      </c>
      <c r="J908" s="2" t="str">
        <f>IFERROR(__xludf.DUMMYFUNCTION("""COMPUTED_VALUE"""),"Grado")</f>
        <v>Grado</v>
      </c>
      <c r="K908" s="2" t="str">
        <f>IFERROR(__xludf.DUMMYFUNCTION("""COMPUTED_VALUE"""),"Inglés")</f>
        <v>Inglés</v>
      </c>
      <c r="L908" s="2" t="str">
        <f>IFERROR(__xludf.DUMMYFUNCTION("""COMPUTED_VALUE"""),"B2")</f>
        <v>B2</v>
      </c>
      <c r="M908" s="2" t="str">
        <f>IFERROR(__xludf.DUMMYFUNCTION("""COMPUTED_VALUE"""),"No")</f>
        <v>No</v>
      </c>
      <c r="N908" s="3" t="str">
        <f>IFERROR(__xludf.DUMMYFUNCTION("""COMPUTED_VALUE"""),"https://international.arel.edu.tr/international-office/")</f>
        <v>https://international.arel.edu.tr/international-office/</v>
      </c>
      <c r="O908" s="3" t="str">
        <f>IFERROR(__xludf.DUMMYFUNCTION("""COMPUTED_VALUE"""),"Más información / Informazio gehigarria")</f>
        <v>Más información / Informazio gehigarria</v>
      </c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30.0" customHeight="1">
      <c r="A909" s="2" t="str">
        <f>IFERROR(__xludf.DUMMYFUNCTION("""COMPUTED_VALUE"""),"Turquía")</f>
        <v>Turquía</v>
      </c>
      <c r="B909" s="2" t="str">
        <f>IFERROR(__xludf.DUMMYFUNCTION("""COMPUTED_VALUE"""),"TR AYDIN01")</f>
        <v>TR AYDIN01</v>
      </c>
      <c r="C909" s="3" t="str">
        <f>IFERROR(__xludf.DUMMYFUNCTION("""COMPUTED_VALUE"""),"Aydin Adnan Menderes University")</f>
        <v>Aydin Adnan Menderes University</v>
      </c>
      <c r="D909" s="2" t="str">
        <f>IFERROR(__xludf.DUMMYFUNCTION("""COMPUTED_VALUE"""),"Erasmus+")</f>
        <v>Erasmus+</v>
      </c>
      <c r="E909" s="2">
        <f>IFERROR(__xludf.DUMMYFUNCTION("""COMPUTED_VALUE"""),2.0)</f>
        <v>2</v>
      </c>
      <c r="F909" s="2" t="str">
        <f>IFERROR(__xludf.DUMMYFUNCTION("""COMPUTED_VALUE"""),"Semestre")</f>
        <v>Semestre</v>
      </c>
      <c r="G909" s="2" t="str">
        <f>IFERROR(__xludf.DUMMYFUNCTION("""COMPUTED_VALUE"""),"Ambos")</f>
        <v>Ambos</v>
      </c>
      <c r="H909" s="2" t="str">
        <f>IFERROR(__xludf.DUMMYFUNCTION("""COMPUTED_VALUE"""),"Ciencias Sociales y Humanas")</f>
        <v>Ciencias Sociales y Humanas</v>
      </c>
      <c r="I909" s="2" t="str">
        <f>IFERROR(__xludf.DUMMYFUNCTION("""COMPUTED_VALUE"""),"Trabajo Social")</f>
        <v>Trabajo Social</v>
      </c>
      <c r="J909" s="2" t="str">
        <f>IFERROR(__xludf.DUMMYFUNCTION("""COMPUTED_VALUE"""),"Grado")</f>
        <v>Grado</v>
      </c>
      <c r="K909" s="2" t="str">
        <f>IFERROR(__xludf.DUMMYFUNCTION("""COMPUTED_VALUE"""),"Inglés")</f>
        <v>Inglés</v>
      </c>
      <c r="L909" s="2" t="str">
        <f>IFERROR(__xludf.DUMMYFUNCTION("""COMPUTED_VALUE"""),"B2")</f>
        <v>B2</v>
      </c>
      <c r="M909" s="2" t="str">
        <f>IFERROR(__xludf.DUMMYFUNCTION("""COMPUTED_VALUE"""),"No")</f>
        <v>No</v>
      </c>
      <c r="N909" s="3" t="str">
        <f>IFERROR(__xludf.DUMMYFUNCTION("""COMPUTED_VALUE"""),"https://idari.adu.edu.tr/uik/webfolders/files/20220418132208-Z8UF3Q9O2Y4L0315SVWG-ERASMUS-687814993.pdf")</f>
        <v>https://idari.adu.edu.tr/uik/webfolders/files/20220418132208-Z8UF3Q9O2Y4L0315SVWG-ERASMUS-687814993.pdf</v>
      </c>
      <c r="O909" s="3" t="str">
        <f>IFERROR(__xludf.DUMMYFUNCTION("""COMPUTED_VALUE"""),"Más información / Informazio gehigarria")</f>
        <v>Más información / Informazio gehigarria</v>
      </c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30.0" customHeight="1">
      <c r="A910" s="2" t="str">
        <f>IFERROR(__xludf.DUMMYFUNCTION("""COMPUTED_VALUE"""),"Turquía")</f>
        <v>Turquía</v>
      </c>
      <c r="B910" s="2" t="str">
        <f>IFERROR(__xludf.DUMMYFUNCTION("""COMPUTED_VALUE"""),"TR AYDIN01")</f>
        <v>TR AYDIN01</v>
      </c>
      <c r="C910" s="3" t="str">
        <f>IFERROR(__xludf.DUMMYFUNCTION("""COMPUTED_VALUE"""),"Aydin Adnan Menderes University")</f>
        <v>Aydin Adnan Menderes University</v>
      </c>
      <c r="D910" s="2" t="str">
        <f>IFERROR(__xludf.DUMMYFUNCTION("""COMPUTED_VALUE"""),"Erasmus+")</f>
        <v>Erasmus+</v>
      </c>
      <c r="E910" s="2">
        <f>IFERROR(__xludf.DUMMYFUNCTION("""COMPUTED_VALUE"""),2.0)</f>
        <v>2</v>
      </c>
      <c r="F910" s="2" t="str">
        <f>IFERROR(__xludf.DUMMYFUNCTION("""COMPUTED_VALUE"""),"Semestre")</f>
        <v>Semestre</v>
      </c>
      <c r="G910" s="2" t="str">
        <f>IFERROR(__xludf.DUMMYFUNCTION("""COMPUTED_VALUE"""),"Bilbao")</f>
        <v>Bilbao</v>
      </c>
      <c r="H910" s="2" t="str">
        <f>IFERROR(__xludf.DUMMYFUNCTION("""COMPUTED_VALUE"""),"Ciencias Sociales y Humanas")</f>
        <v>Ciencias Sociales y Humanas</v>
      </c>
      <c r="I910" s="2" t="str">
        <f>IFERROR(__xludf.DUMMYFUNCTION("""COMPUTED_VALUE"""),"Turismo")</f>
        <v>Turismo</v>
      </c>
      <c r="J910" s="2" t="str">
        <f>IFERROR(__xludf.DUMMYFUNCTION("""COMPUTED_VALUE"""),"Grado")</f>
        <v>Grado</v>
      </c>
      <c r="K910" s="2" t="str">
        <f>IFERROR(__xludf.DUMMYFUNCTION("""COMPUTED_VALUE"""),"Inglés")</f>
        <v>Inglés</v>
      </c>
      <c r="L910" s="2" t="str">
        <f>IFERROR(__xludf.DUMMYFUNCTION("""COMPUTED_VALUE"""),"B2")</f>
        <v>B2</v>
      </c>
      <c r="M910" s="2" t="str">
        <f>IFERROR(__xludf.DUMMYFUNCTION("""COMPUTED_VALUE"""),"Si")</f>
        <v>Si</v>
      </c>
      <c r="N910" s="3" t="str">
        <f>IFERROR(__xludf.DUMMYFUNCTION("""COMPUTED_VALUE"""),"https://idari.adu.edu.tr/uik/webfolders/files/20220418132208-Z8UF3Q9O2Y4L0315SVWG-ERASMUS-687814993.pdf")</f>
        <v>https://idari.adu.edu.tr/uik/webfolders/files/20220418132208-Z8UF3Q9O2Y4L0315SVWG-ERASMUS-687814993.pdf</v>
      </c>
      <c r="O910" s="3" t="str">
        <f>IFERROR(__xludf.DUMMYFUNCTION("""COMPUTED_VALUE"""),"Más información / Informazio gehigarria")</f>
        <v>Más información / Informazio gehigarria</v>
      </c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30.0" customHeight="1">
      <c r="A911" s="2" t="str">
        <f>IFERROR(__xludf.DUMMYFUNCTION("""COMPUTED_VALUE"""),"Turquía")</f>
        <v>Turquía</v>
      </c>
      <c r="B911" s="2" t="str">
        <f>IFERROR(__xludf.DUMMYFUNCTION("""COMPUTED_VALUE"""),"TR AYDIN01")</f>
        <v>TR AYDIN01</v>
      </c>
      <c r="C911" s="3" t="str">
        <f>IFERROR(__xludf.DUMMYFUNCTION("""COMPUTED_VALUE"""),"Aydin Adnan Menderes University")</f>
        <v>Aydin Adnan Menderes University</v>
      </c>
      <c r="D911" s="2" t="str">
        <f>IFERROR(__xludf.DUMMYFUNCTION("""COMPUTED_VALUE"""),"Erasmus+")</f>
        <v>Erasmus+</v>
      </c>
      <c r="E911" s="2">
        <f>IFERROR(__xludf.DUMMYFUNCTION("""COMPUTED_VALUE"""),2.0)</f>
        <v>2</v>
      </c>
      <c r="F911" s="2" t="str">
        <f>IFERROR(__xludf.DUMMYFUNCTION("""COMPUTED_VALUE"""),"Semestre")</f>
        <v>Semestre</v>
      </c>
      <c r="G911" s="2" t="str">
        <f>IFERROR(__xludf.DUMMYFUNCTION("""COMPUTED_VALUE"""),"Bilbao")</f>
        <v>Bilbao</v>
      </c>
      <c r="H911" s="2" t="str">
        <f>IFERROR(__xludf.DUMMYFUNCTION("""COMPUTED_VALUE"""),"Educación y Deporte")</f>
        <v>Educación y Deporte</v>
      </c>
      <c r="I911" s="2" t="str">
        <f>IFERROR(__xludf.DUMMYFUNCTION("""COMPUTED_VALUE"""),"CAFyD")</f>
        <v>CAFyD</v>
      </c>
      <c r="J911" s="2" t="str">
        <f>IFERROR(__xludf.DUMMYFUNCTION("""COMPUTED_VALUE"""),"Grado")</f>
        <v>Grado</v>
      </c>
      <c r="K911" s="2" t="str">
        <f>IFERROR(__xludf.DUMMYFUNCTION("""COMPUTED_VALUE"""),"Inglés")</f>
        <v>Inglés</v>
      </c>
      <c r="L911" s="2" t="str">
        <f>IFERROR(__xludf.DUMMYFUNCTION("""COMPUTED_VALUE"""),"B2")</f>
        <v>B2</v>
      </c>
      <c r="M911" s="2" t="str">
        <f>IFERROR(__xludf.DUMMYFUNCTION("""COMPUTED_VALUE"""),"Si")</f>
        <v>Si</v>
      </c>
      <c r="N911" s="3" t="str">
        <f>IFERROR(__xludf.DUMMYFUNCTION("""COMPUTED_VALUE"""),"https://idari.adu.edu.tr/uik/webfolders/files/20220418132208-Z8UF3Q9O2Y4L0315SVWG-ERASMUS-687814993.pdf")</f>
        <v>https://idari.adu.edu.tr/uik/webfolders/files/20220418132208-Z8UF3Q9O2Y4L0315SVWG-ERASMUS-687814993.pdf</v>
      </c>
      <c r="O911" s="3" t="str">
        <f>IFERROR(__xludf.DUMMYFUNCTION("""COMPUTED_VALUE"""),"Más información / Informazio gehigarria")</f>
        <v>Más información / Informazio gehigarria</v>
      </c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30.0" customHeight="1">
      <c r="A912" s="2" t="str">
        <f>IFERROR(__xludf.DUMMYFUNCTION("""COMPUTED_VALUE"""),"Turquía")</f>
        <v>Turquía</v>
      </c>
      <c r="B912" s="2" t="str">
        <f>IFERROR(__xludf.DUMMYFUNCTION("""COMPUTED_VALUE"""),"TR BALIKE01")</f>
        <v>TR BALIKE01</v>
      </c>
      <c r="C912" s="3" t="str">
        <f>IFERROR(__xludf.DUMMYFUNCTION("""COMPUTED_VALUE"""),"Balikesir University")</f>
        <v>Balikesir University</v>
      </c>
      <c r="D912" s="2" t="str">
        <f>IFERROR(__xludf.DUMMYFUNCTION("""COMPUTED_VALUE"""),"Erasmus+")</f>
        <v>Erasmus+</v>
      </c>
      <c r="E912" s="2">
        <f>IFERROR(__xludf.DUMMYFUNCTION("""COMPUTED_VALUE"""),1.0)</f>
        <v>1</v>
      </c>
      <c r="F912" s="2" t="str">
        <f>IFERROR(__xludf.DUMMYFUNCTION("""COMPUTED_VALUE"""),"Semestre")</f>
        <v>Semestre</v>
      </c>
      <c r="G912" s="2" t="str">
        <f>IFERROR(__xludf.DUMMYFUNCTION("""COMPUTED_VALUE"""),"Bilbao")</f>
        <v>Bilbao</v>
      </c>
      <c r="H912" s="2" t="str">
        <f>IFERROR(__xludf.DUMMYFUNCTION("""COMPUTED_VALUE"""),"Ingeniería")</f>
        <v>Ingeniería</v>
      </c>
      <c r="I912" s="2" t="str">
        <f>IFERROR(__xludf.DUMMYFUNCTION("""COMPUTED_VALUE"""),"Ingeniería")</f>
        <v>Ingeniería</v>
      </c>
      <c r="J912" s="2" t="str">
        <f>IFERROR(__xludf.DUMMYFUNCTION("""COMPUTED_VALUE"""),"Grado")</f>
        <v>Grado</v>
      </c>
      <c r="K912" s="2" t="str">
        <f>IFERROR(__xludf.DUMMYFUNCTION("""COMPUTED_VALUE"""),"Inglés")</f>
        <v>Inglés</v>
      </c>
      <c r="L912" s="2" t="str">
        <f>IFERROR(__xludf.DUMMYFUNCTION("""COMPUTED_VALUE"""),"B2")</f>
        <v>B2</v>
      </c>
      <c r="M912" s="2"/>
      <c r="N912" s="2"/>
      <c r="O912" s="2" t="str">
        <f>IFERROR(__xludf.DUMMYFUNCTION("""COMPUTED_VALUE"""),"Más información / Informazio gehigarria")</f>
        <v>Más información / Informazio gehigarria</v>
      </c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30.0" customHeight="1">
      <c r="A913" s="2" t="str">
        <f>IFERROR(__xludf.DUMMYFUNCTION("""COMPUTED_VALUE"""),"Turquía")</f>
        <v>Turquía</v>
      </c>
      <c r="B913" s="2" t="str">
        <f>IFERROR(__xludf.DUMMYFUNCTION("""COMPUTED_VALUE"""),"TR ANKARA06")</f>
        <v>TR ANKARA06</v>
      </c>
      <c r="C913" s="3" t="str">
        <f>IFERROR(__xludf.DUMMYFUNCTION("""COMPUTED_VALUE"""),"Baskent University Ankara")</f>
        <v>Baskent University Ankara</v>
      </c>
      <c r="D913" s="2" t="str">
        <f>IFERROR(__xludf.DUMMYFUNCTION("""COMPUTED_VALUE"""),"Erasmus+")</f>
        <v>Erasmus+</v>
      </c>
      <c r="E913" s="2">
        <f>IFERROR(__xludf.DUMMYFUNCTION("""COMPUTED_VALUE"""),2.0)</f>
        <v>2</v>
      </c>
      <c r="F913" s="2" t="str">
        <f>IFERROR(__xludf.DUMMYFUNCTION("""COMPUTED_VALUE"""),"Semestre")</f>
        <v>Semestre</v>
      </c>
      <c r="G913" s="2" t="str">
        <f>IFERROR(__xludf.DUMMYFUNCTION("""COMPUTED_VALUE"""),"Bilbao")</f>
        <v>Bilbao</v>
      </c>
      <c r="H913" s="2" t="str">
        <f>IFERROR(__xludf.DUMMYFUNCTION("""COMPUTED_VALUE"""),"Ciencias Sociales y Humanas")</f>
        <v>Ciencias Sociales y Humanas</v>
      </c>
      <c r="I913" s="2" t="str">
        <f>IFERROR(__xludf.DUMMYFUNCTION("""COMPUTED_VALUE"""),"Turismo")</f>
        <v>Turismo</v>
      </c>
      <c r="J913" s="2" t="str">
        <f>IFERROR(__xludf.DUMMYFUNCTION("""COMPUTED_VALUE"""),"Grado")</f>
        <v>Grado</v>
      </c>
      <c r="K913" s="2" t="str">
        <f>IFERROR(__xludf.DUMMYFUNCTION("""COMPUTED_VALUE"""),"Turco / Inglés")</f>
        <v>Turco / Inglés</v>
      </c>
      <c r="L913" s="2" t="str">
        <f>IFERROR(__xludf.DUMMYFUNCTION("""COMPUTED_VALUE"""),"B1 Tu / B2 En")</f>
        <v>B1 Tu / B2 En</v>
      </c>
      <c r="M913" s="2" t="str">
        <f>IFERROR(__xludf.DUMMYFUNCTION("""COMPUTED_VALUE"""),"No")</f>
        <v>No</v>
      </c>
      <c r="N913" s="3" t="str">
        <f>IFERROR(__xludf.DUMMYFUNCTION("""COMPUTED_VALUE"""),"https://uik.baskent.edu.tr/kw/menu_icerik.php?dil=EN&amp;birim=161&amp;menu_id=49")</f>
        <v>https://uik.baskent.edu.tr/kw/menu_icerik.php?dil=EN&amp;birim=161&amp;menu_id=49</v>
      </c>
      <c r="O913" s="3" t="str">
        <f>IFERROR(__xludf.DUMMYFUNCTION("""COMPUTED_VALUE"""),"Más información / Informazio gehigarria")</f>
        <v>Más información / Informazio gehigarria</v>
      </c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30.0" customHeight="1">
      <c r="A914" s="2" t="str">
        <f>IFERROR(__xludf.DUMMYFUNCTION("""COMPUTED_VALUE"""),"Turquía")</f>
        <v>Turquía</v>
      </c>
      <c r="B914" s="2" t="str">
        <f>IFERROR(__xludf.DUMMYFUNCTION("""COMPUTED_VALUE"""),"TR ANKARA06")</f>
        <v>TR ANKARA06</v>
      </c>
      <c r="C914" s="3" t="str">
        <f>IFERROR(__xludf.DUMMYFUNCTION("""COMPUTED_VALUE"""),"Baskent University Ankara")</f>
        <v>Baskent University Ankara</v>
      </c>
      <c r="D914" s="2" t="str">
        <f>IFERROR(__xludf.DUMMYFUNCTION("""COMPUTED_VALUE"""),"Erasmus+")</f>
        <v>Erasmus+</v>
      </c>
      <c r="E914" s="2">
        <f>IFERROR(__xludf.DUMMYFUNCTION("""COMPUTED_VALUE"""),2.0)</f>
        <v>2</v>
      </c>
      <c r="F914" s="2" t="str">
        <f>IFERROR(__xludf.DUMMYFUNCTION("""COMPUTED_VALUE"""),"Semestre")</f>
        <v>Semestre</v>
      </c>
      <c r="G914" s="2" t="str">
        <f>IFERROR(__xludf.DUMMYFUNCTION("""COMPUTED_VALUE"""),"San Sebastián")</f>
        <v>San Sebastián</v>
      </c>
      <c r="H914" s="2" t="str">
        <f>IFERROR(__xludf.DUMMYFUNCTION("""COMPUTED_VALUE"""),"Ciencias Sociales y Humanas")</f>
        <v>Ciencias Sociales y Humanas</v>
      </c>
      <c r="I914" s="2" t="str">
        <f>IFERROR(__xludf.DUMMYFUNCTION("""COMPUTED_VALUE"""),"Comunicación")</f>
        <v>Comunicación</v>
      </c>
      <c r="J914" s="2" t="str">
        <f>IFERROR(__xludf.DUMMYFUNCTION("""COMPUTED_VALUE"""),"Grado")</f>
        <v>Grado</v>
      </c>
      <c r="K914" s="2" t="str">
        <f>IFERROR(__xludf.DUMMYFUNCTION("""COMPUTED_VALUE"""),"Inglés")</f>
        <v>Inglés</v>
      </c>
      <c r="L914" s="2" t="str">
        <f>IFERROR(__xludf.DUMMYFUNCTION("""COMPUTED_VALUE"""),"B2")</f>
        <v>B2</v>
      </c>
      <c r="M914" s="2" t="str">
        <f>IFERROR(__xludf.DUMMYFUNCTION("""COMPUTED_VALUE"""),"No")</f>
        <v>No</v>
      </c>
      <c r="N914" s="3" t="str">
        <f>IFERROR(__xludf.DUMMYFUNCTION("""COMPUTED_VALUE"""),"https://uik.baskent.edu.tr/kw/menu_icerik.php?dil=EN&amp;birim=161&amp;menu_id=49")</f>
        <v>https://uik.baskent.edu.tr/kw/menu_icerik.php?dil=EN&amp;birim=161&amp;menu_id=49</v>
      </c>
      <c r="O914" s="3" t="str">
        <f>IFERROR(__xludf.DUMMYFUNCTION("""COMPUTED_VALUE"""),"Más información / Informazio gehigarria")</f>
        <v>Más información / Informazio gehigarria</v>
      </c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30.0" customHeight="1">
      <c r="A915" s="2" t="str">
        <f>IFERROR(__xludf.DUMMYFUNCTION("""COMPUTED_VALUE"""),"Turquía")</f>
        <v>Turquía</v>
      </c>
      <c r="B915" s="2" t="str">
        <f>IFERROR(__xludf.DUMMYFUNCTION("""COMPUTED_VALUE"""),"TR ANKARA07")</f>
        <v>TR ANKARA07</v>
      </c>
      <c r="C915" s="3" t="str">
        <f>IFERROR(__xludf.DUMMYFUNCTION("""COMPUTED_VALUE"""),"Bilkent University")</f>
        <v>Bilkent University</v>
      </c>
      <c r="D915" s="2" t="str">
        <f>IFERROR(__xludf.DUMMYFUNCTION("""COMPUTED_VALUE"""),"Erasmus+")</f>
        <v>Erasmus+</v>
      </c>
      <c r="E915" s="2">
        <f>IFERROR(__xludf.DUMMYFUNCTION("""COMPUTED_VALUE"""),2.0)</f>
        <v>2</v>
      </c>
      <c r="F915" s="2" t="str">
        <f>IFERROR(__xludf.DUMMYFUNCTION("""COMPUTED_VALUE"""),"Anual")</f>
        <v>Anual</v>
      </c>
      <c r="G915" s="2" t="str">
        <f>IFERROR(__xludf.DUMMYFUNCTION("""COMPUTED_VALUE"""),"Bilbao")</f>
        <v>Bilbao</v>
      </c>
      <c r="H915" s="2" t="str">
        <f>IFERROR(__xludf.DUMMYFUNCTION("""COMPUTED_VALUE"""),"Ciencias de la Salud")</f>
        <v>Ciencias de la Salud</v>
      </c>
      <c r="I915" s="2" t="str">
        <f>IFERROR(__xludf.DUMMYFUNCTION("""COMPUTED_VALUE"""),"Psicología")</f>
        <v>Psicología</v>
      </c>
      <c r="J915" s="2" t="str">
        <f>IFERROR(__xludf.DUMMYFUNCTION("""COMPUTED_VALUE"""),"Grado")</f>
        <v>Grado</v>
      </c>
      <c r="K915" s="2" t="str">
        <f>IFERROR(__xludf.DUMMYFUNCTION("""COMPUTED_VALUE"""),"Inglés")</f>
        <v>Inglés</v>
      </c>
      <c r="L915" s="2" t="str">
        <f>IFERROR(__xludf.DUMMYFUNCTION("""COMPUTED_VALUE"""),"B2")</f>
        <v>B2</v>
      </c>
      <c r="M915" s="2" t="str">
        <f>IFERROR(__xludf.DUMMYFUNCTION("""COMPUTED_VALUE"""),"Sí")</f>
        <v>Sí</v>
      </c>
      <c r="N915" s="3" t="str">
        <f>IFERROR(__xludf.DUMMYFUNCTION("""COMPUTED_VALUE"""),"https://www.bilkent.edu.tr/bilkent/academic/exchange/faq.html")</f>
        <v>https://www.bilkent.edu.tr/bilkent/academic/exchange/faq.html</v>
      </c>
      <c r="O915" s="3" t="str">
        <f>IFERROR(__xludf.DUMMYFUNCTION("""COMPUTED_VALUE"""),"Más información / Informazio gehigarria")</f>
        <v>Más información / Informazio gehigarria</v>
      </c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30.0" customHeight="1">
      <c r="A916" s="2" t="str">
        <f>IFERROR(__xludf.DUMMYFUNCTION("""COMPUTED_VALUE"""),"Turquía")</f>
        <v>Turquía</v>
      </c>
      <c r="B916" s="2" t="str">
        <f>IFERROR(__xludf.DUMMYFUNCTION("""COMPUTED_VALUE"""),"TR CANAKKA01")</f>
        <v>TR CANAKKA01</v>
      </c>
      <c r="C916" s="3" t="str">
        <f>IFERROR(__xludf.DUMMYFUNCTION("""COMPUTED_VALUE"""),"Canakkale Onsekiz Mart University")</f>
        <v>Canakkale Onsekiz Mart University</v>
      </c>
      <c r="D916" s="2" t="str">
        <f>IFERROR(__xludf.DUMMYFUNCTION("""COMPUTED_VALUE"""),"Erasmus+")</f>
        <v>Erasmus+</v>
      </c>
      <c r="E916" s="2">
        <f>IFERROR(__xludf.DUMMYFUNCTION("""COMPUTED_VALUE"""),3.0)</f>
        <v>3</v>
      </c>
      <c r="F916" s="2" t="str">
        <f>IFERROR(__xludf.DUMMYFUNCTION("""COMPUTED_VALUE"""),"Semestre")</f>
        <v>Semestre</v>
      </c>
      <c r="G916" s="2" t="str">
        <f>IFERROR(__xludf.DUMMYFUNCTION("""COMPUTED_VALUE"""),"Ambos")</f>
        <v>Ambos</v>
      </c>
      <c r="H916" s="2" t="str">
        <f>IFERROR(__xludf.DUMMYFUNCTION("""COMPUTED_VALUE"""),"Educación y Deporte")</f>
        <v>Educación y Deporte</v>
      </c>
      <c r="I916" s="2" t="str">
        <f>IFERROR(__xludf.DUMMYFUNCTION("""COMPUTED_VALUE"""),"Educación Primaria")</f>
        <v>Educación Primaria</v>
      </c>
      <c r="J916" s="2" t="str">
        <f>IFERROR(__xludf.DUMMYFUNCTION("""COMPUTED_VALUE"""),"Grado")</f>
        <v>Grado</v>
      </c>
      <c r="K916" s="2" t="str">
        <f>IFERROR(__xludf.DUMMYFUNCTION("""COMPUTED_VALUE"""),"Inglés")</f>
        <v>Inglés</v>
      </c>
      <c r="L916" s="2" t="str">
        <f>IFERROR(__xludf.DUMMYFUNCTION("""COMPUTED_VALUE"""),"B2")</f>
        <v>B2</v>
      </c>
      <c r="M916" s="2" t="str">
        <f>IFERROR(__xludf.DUMMYFUNCTION("""COMPUTED_VALUE"""),"No")</f>
        <v>No</v>
      </c>
      <c r="N916" s="3" t="str">
        <f>IFERROR(__xludf.DUMMYFUNCTION("""COMPUTED_VALUE"""),"https://courses.comu.edu.tr/")</f>
        <v>https://courses.comu.edu.tr/</v>
      </c>
      <c r="O916" s="3" t="str">
        <f>IFERROR(__xludf.DUMMYFUNCTION("""COMPUTED_VALUE"""),"Más información / Informazio gehigarria")</f>
        <v>Más información / Informazio gehigarria</v>
      </c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30.0" customHeight="1">
      <c r="A917" s="2" t="str">
        <f>IFERROR(__xludf.DUMMYFUNCTION("""COMPUTED_VALUE"""),"Turquía")</f>
        <v>Turquía</v>
      </c>
      <c r="B917" s="2" t="str">
        <f>IFERROR(__xludf.DUMMYFUNCTION("""COMPUTED_VALUE"""),"TR ISTANBU18")</f>
        <v>TR ISTANBU18</v>
      </c>
      <c r="C917" s="3" t="str">
        <f>IFERROR(__xludf.DUMMYFUNCTION("""COMPUTED_VALUE"""),"Fenerbahçe University")</f>
        <v>Fenerbahçe University</v>
      </c>
      <c r="D917" s="2" t="str">
        <f>IFERROR(__xludf.DUMMYFUNCTION("""COMPUTED_VALUE"""),"Erasmus+")</f>
        <v>Erasmus+</v>
      </c>
      <c r="E917" s="2">
        <f>IFERROR(__xludf.DUMMYFUNCTION("""COMPUTED_VALUE"""),4.0)</f>
        <v>4</v>
      </c>
      <c r="F917" s="2" t="str">
        <f>IFERROR(__xludf.DUMMYFUNCTION("""COMPUTED_VALUE"""),"Anual")</f>
        <v>Anual</v>
      </c>
      <c r="G917" s="2" t="str">
        <f>IFERROR(__xludf.DUMMYFUNCTION("""COMPUTED_VALUE"""),"Bilbao")</f>
        <v>Bilbao</v>
      </c>
      <c r="H917" s="2" t="str">
        <f>IFERROR(__xludf.DUMMYFUNCTION("""COMPUTED_VALUE"""),"Ciencias Sociales y Humanas")</f>
        <v>Ciencias Sociales y Humanas</v>
      </c>
      <c r="I917" s="2" t="str">
        <f>IFERROR(__xludf.DUMMYFUNCTION("""COMPUTED_VALUE"""),"Relaciones Internacionales, Relaciones Internacionales + Derecho")</f>
        <v>Relaciones Internacionales, Relaciones Internacionales + Derecho</v>
      </c>
      <c r="J917" s="2" t="str">
        <f>IFERROR(__xludf.DUMMYFUNCTION("""COMPUTED_VALUE"""),"Grado")</f>
        <v>Grado</v>
      </c>
      <c r="K917" s="2" t="str">
        <f>IFERROR(__xludf.DUMMYFUNCTION("""COMPUTED_VALUE"""),"Turco / Inglés")</f>
        <v>Turco / Inglés</v>
      </c>
      <c r="L917" s="2" t="str">
        <f>IFERROR(__xludf.DUMMYFUNCTION("""COMPUTED_VALUE"""),"B1 Tu / B2 En")</f>
        <v>B1 Tu / B2 En</v>
      </c>
      <c r="M917" s="2" t="str">
        <f>IFERROR(__xludf.DUMMYFUNCTION("""COMPUTED_VALUE"""),"Sí")</f>
        <v>Sí</v>
      </c>
      <c r="N917" s="3" t="str">
        <f>IFERROR(__xludf.DUMMYFUNCTION("""COMPUTED_VALUE"""),"https://aday.fbu.edu.tr/bilgi/3/uluslararasi-imkanlar")</f>
        <v>https://aday.fbu.edu.tr/bilgi/3/uluslararasi-imkanlar</v>
      </c>
      <c r="O917" s="3" t="str">
        <f>IFERROR(__xludf.DUMMYFUNCTION("""COMPUTED_VALUE"""),"Más información / Informazio gehigarria")</f>
        <v>Más información / Informazio gehigarria</v>
      </c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30.0" customHeight="1">
      <c r="A918" s="2" t="str">
        <f>IFERROR(__xludf.DUMMYFUNCTION("""COMPUTED_VALUE"""),"Turquía")</f>
        <v>Turquía</v>
      </c>
      <c r="B918" s="2" t="str">
        <f>IFERROR(__xludf.DUMMYFUNCTION("""COMPUTED_VALUE"""),"TR ISTANBU15")</f>
        <v>TR ISTANBU15</v>
      </c>
      <c r="C918" s="3" t="str">
        <f>IFERROR(__xludf.DUMMYFUNCTION("""COMPUTED_VALUE"""),"Halic University")</f>
        <v>Halic University</v>
      </c>
      <c r="D918" s="2" t="str">
        <f>IFERROR(__xludf.DUMMYFUNCTION("""COMPUTED_VALUE"""),"Erasmus+")</f>
        <v>Erasmus+</v>
      </c>
      <c r="E918" s="2">
        <f>IFERROR(__xludf.DUMMYFUNCTION("""COMPUTED_VALUE"""),3.0)</f>
        <v>3</v>
      </c>
      <c r="F918" s="2" t="str">
        <f>IFERROR(__xludf.DUMMYFUNCTION("""COMPUTED_VALUE"""),"Anual")</f>
        <v>Anual</v>
      </c>
      <c r="G918" s="2" t="str">
        <f>IFERROR(__xludf.DUMMYFUNCTION("""COMPUTED_VALUE"""),"Bilbao")</f>
        <v>Bilbao</v>
      </c>
      <c r="H918" s="2" t="str">
        <f>IFERROR(__xludf.DUMMYFUNCTION("""COMPUTED_VALUE"""),"Ciencias Sociales y Humanas")</f>
        <v>Ciencias Sociales y Humanas</v>
      </c>
      <c r="I918" s="2" t="str">
        <f>IFERROR(__xludf.DUMMYFUNCTION("""COMPUTED_VALUE"""),"Lenguas Modernas, Lengua y Cultura Vasca + Lenguas Modernas, Lenguas Modernas y Gestión, Euskal Hizkuntza eta Kultura")</f>
        <v>Lenguas Modernas, Lengua y Cultura Vasca + Lenguas Modernas, Lenguas Modernas y Gestión, Euskal Hizkuntza eta Kultura</v>
      </c>
      <c r="J918" s="2" t="str">
        <f>IFERROR(__xludf.DUMMYFUNCTION("""COMPUTED_VALUE"""),"Grado")</f>
        <v>Grado</v>
      </c>
      <c r="K918" s="2" t="str">
        <f>IFERROR(__xludf.DUMMYFUNCTION("""COMPUTED_VALUE"""),"Inglés")</f>
        <v>Inglés</v>
      </c>
      <c r="L918" s="2" t="str">
        <f>IFERROR(__xludf.DUMMYFUNCTION("""COMPUTED_VALUE"""),"B2")</f>
        <v>B2</v>
      </c>
      <c r="M918" s="2" t="str">
        <f>IFERROR(__xludf.DUMMYFUNCTION("""COMPUTED_VALUE"""),"Sí")</f>
        <v>Sí</v>
      </c>
      <c r="N918" s="3" t="str">
        <f>IFERROR(__xludf.DUMMYFUNCTION("""COMPUTED_VALUE"""),"http://exchange.halic.edu.tr/student-mobility-for-traineeship/")</f>
        <v>http://exchange.halic.edu.tr/student-mobility-for-traineeship/</v>
      </c>
      <c r="O918" s="3" t="str">
        <f>IFERROR(__xludf.DUMMYFUNCTION("""COMPUTED_VALUE"""),"Más información / Informazio gehigarria")</f>
        <v>Más información / Informazio gehigarria</v>
      </c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30.0" customHeight="1">
      <c r="A919" s="2" t="str">
        <f>IFERROR(__xludf.DUMMYFUNCTION("""COMPUTED_VALUE"""),"Turquía")</f>
        <v>Turquía</v>
      </c>
      <c r="B919" s="2" t="str">
        <f>IFERROR(__xludf.DUMMYFUNCTION("""COMPUTED_VALUE"""),"TR ISTANBU66")</f>
        <v>TR ISTANBU66</v>
      </c>
      <c r="C919" s="3" t="str">
        <f>IFERROR(__xludf.DUMMYFUNCTION("""COMPUTED_VALUE"""),"IBN Haldun University")</f>
        <v>IBN Haldun University</v>
      </c>
      <c r="D919" s="2" t="str">
        <f>IFERROR(__xludf.DUMMYFUNCTION("""COMPUTED_VALUE"""),"Erasmus+")</f>
        <v>Erasmus+</v>
      </c>
      <c r="E919" s="2">
        <f>IFERROR(__xludf.DUMMYFUNCTION("""COMPUTED_VALUE"""),2.0)</f>
        <v>2</v>
      </c>
      <c r="F919" s="2" t="str">
        <f>IFERROR(__xludf.DUMMYFUNCTION("""COMPUTED_VALUE"""),"Anual")</f>
        <v>Anual</v>
      </c>
      <c r="G919" s="2" t="str">
        <f>IFERROR(__xludf.DUMMYFUNCTION("""COMPUTED_VALUE"""),"Bilbao")</f>
        <v>Bilbao</v>
      </c>
      <c r="H919" s="2" t="str">
        <f>IFERROR(__xludf.DUMMYFUNCTION("""COMPUTED_VALUE"""),"Ciencias Sociales y Humanas")</f>
        <v>Ciencias Sociales y Humanas</v>
      </c>
      <c r="I919" s="2" t="str">
        <f>IFERROR(__xludf.DUMMYFUNCTION("""COMPUTED_VALUE"""),"Relaciones Internacionales, Relaciones Internacionales + Derecho")</f>
        <v>Relaciones Internacionales, Relaciones Internacionales + Derecho</v>
      </c>
      <c r="J919" s="2" t="str">
        <f>IFERROR(__xludf.DUMMYFUNCTION("""COMPUTED_VALUE"""),"Grado")</f>
        <v>Grado</v>
      </c>
      <c r="K919" s="2" t="str">
        <f>IFERROR(__xludf.DUMMYFUNCTION("""COMPUTED_VALUE"""),"Inglés")</f>
        <v>Inglés</v>
      </c>
      <c r="L919" s="2" t="str">
        <f>IFERROR(__xludf.DUMMYFUNCTION("""COMPUTED_VALUE"""),"B2")</f>
        <v>B2</v>
      </c>
      <c r="M919" s="2" t="str">
        <f>IFERROR(__xludf.DUMMYFUNCTION("""COMPUTED_VALUE"""),"No")</f>
        <v>No</v>
      </c>
      <c r="N919" s="3" t="str">
        <f>IFERROR(__xludf.DUMMYFUNCTION("""COMPUTED_VALUE"""),"https://sl.ihu.edu.tr/tr/sik-sorulan-sorular")</f>
        <v>https://sl.ihu.edu.tr/tr/sik-sorulan-sorular</v>
      </c>
      <c r="O919" s="3" t="str">
        <f>IFERROR(__xludf.DUMMYFUNCTION("""COMPUTED_VALUE"""),"Más información / Informazio gehigarria")</f>
        <v>Más información / Informazio gehigarria</v>
      </c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30.0" customHeight="1">
      <c r="A920" s="2" t="str">
        <f>IFERROR(__xludf.DUMMYFUNCTION("""COMPUTED_VALUE"""),"Turquía")</f>
        <v>Turquía</v>
      </c>
      <c r="B920" s="2" t="str">
        <f>IFERROR(__xludf.DUMMYFUNCTION("""COMPUTED_VALUE"""),"TR ISTANBU32")</f>
        <v>TR ISTANBU32</v>
      </c>
      <c r="C920" s="3" t="str">
        <f>IFERROR(__xludf.DUMMYFUNCTION("""COMPUTED_VALUE"""),"Istambul Geliçim University")</f>
        <v>Istambul Geliçim University</v>
      </c>
      <c r="D920" s="2" t="str">
        <f>IFERROR(__xludf.DUMMYFUNCTION("""COMPUTED_VALUE"""),"Erasmus+")</f>
        <v>Erasmus+</v>
      </c>
      <c r="E920" s="2">
        <f>IFERROR(__xludf.DUMMYFUNCTION("""COMPUTED_VALUE"""),2.0)</f>
        <v>2</v>
      </c>
      <c r="F920" s="2" t="str">
        <f>IFERROR(__xludf.DUMMYFUNCTION("""COMPUTED_VALUE"""),"Semestre")</f>
        <v>Semestre</v>
      </c>
      <c r="G920" s="2" t="str">
        <f>IFERROR(__xludf.DUMMYFUNCTION("""COMPUTED_VALUE"""),"Bilbao")</f>
        <v>Bilbao</v>
      </c>
      <c r="H920" s="2" t="str">
        <f>IFERROR(__xludf.DUMMYFUNCTION("""COMPUTED_VALUE"""),"Ciencias Sociales y Humanas")</f>
        <v>Ciencias Sociales y Humanas</v>
      </c>
      <c r="I920" s="2" t="str">
        <f>IFERROR(__xludf.DUMMYFUNCTION("""COMPUTED_VALUE"""),"Turismo")</f>
        <v>Turismo</v>
      </c>
      <c r="J920" s="2" t="str">
        <f>IFERROR(__xludf.DUMMYFUNCTION("""COMPUTED_VALUE"""),"Grado")</f>
        <v>Grado</v>
      </c>
      <c r="K920" s="2" t="str">
        <f>IFERROR(__xludf.DUMMYFUNCTION("""COMPUTED_VALUE"""),"Inglés")</f>
        <v>Inglés</v>
      </c>
      <c r="L920" s="2" t="str">
        <f>IFERROR(__xludf.DUMMYFUNCTION("""COMPUTED_VALUE"""),"B2")</f>
        <v>B2</v>
      </c>
      <c r="M920" s="2" t="str">
        <f>IFERROR(__xludf.DUMMYFUNCTION("""COMPUTED_VALUE"""),"No")</f>
        <v>No</v>
      </c>
      <c r="N920" s="3" t="str">
        <f>IFERROR(__xludf.DUMMYFUNCTION("""COMPUTED_VALUE"""),"https://ubyo.gelisim.edu.tr/en/akademik-department-public-relations-and-advertising-content-erasmus--students-exchange")</f>
        <v>https://ubyo.gelisim.edu.tr/en/akademik-department-public-relations-and-advertising-content-erasmus--students-exchange</v>
      </c>
      <c r="O920" s="3" t="str">
        <f>IFERROR(__xludf.DUMMYFUNCTION("""COMPUTED_VALUE"""),"Más información / Informazio gehigarria")</f>
        <v>Más información / Informazio gehigarria</v>
      </c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30.0" customHeight="1">
      <c r="A921" s="2" t="str">
        <f>IFERROR(__xludf.DUMMYFUNCTION("""COMPUTED_VALUE"""),"Turquía")</f>
        <v>Turquía</v>
      </c>
      <c r="B921" s="2" t="str">
        <f>IFERROR(__xludf.DUMMYFUNCTION("""COMPUTED_VALUE"""),"TR ISTANBU43")</f>
        <v>TR ISTANBU43</v>
      </c>
      <c r="C921" s="3" t="str">
        <f>IFERROR(__xludf.DUMMYFUNCTION("""COMPUTED_VALUE"""),"Istanbul 29 Mayis University")</f>
        <v>Istanbul 29 Mayis University</v>
      </c>
      <c r="D921" s="2" t="str">
        <f>IFERROR(__xludf.DUMMYFUNCTION("""COMPUTED_VALUE"""),"Erasmus+")</f>
        <v>Erasmus+</v>
      </c>
      <c r="E921" s="2">
        <f>IFERROR(__xludf.DUMMYFUNCTION("""COMPUTED_VALUE"""),2.0)</f>
        <v>2</v>
      </c>
      <c r="F921" s="2" t="str">
        <f>IFERROR(__xludf.DUMMYFUNCTION("""COMPUTED_VALUE"""),"Semestre")</f>
        <v>Semestre</v>
      </c>
      <c r="G921" s="2" t="str">
        <f>IFERROR(__xludf.DUMMYFUNCTION("""COMPUTED_VALUE"""),"Bilbao")</f>
        <v>Bilbao</v>
      </c>
      <c r="H921" s="2" t="str">
        <f>IFERROR(__xludf.DUMMYFUNCTION("""COMPUTED_VALUE"""),"Derecho")</f>
        <v>Derecho</v>
      </c>
      <c r="I921" s="2" t="str">
        <f>IFERROR(__xludf.DUMMYFUNCTION("""COMPUTED_VALUE"""),"Derecho, Derecho + Relaciones Laborales")</f>
        <v>Derecho, Derecho + Relaciones Laborales</v>
      </c>
      <c r="J921" s="2" t="str">
        <f>IFERROR(__xludf.DUMMYFUNCTION("""COMPUTED_VALUE"""),"Grado")</f>
        <v>Grado</v>
      </c>
      <c r="K921" s="2" t="str">
        <f>IFERROR(__xludf.DUMMYFUNCTION("""COMPUTED_VALUE"""),"Inglés")</f>
        <v>Inglés</v>
      </c>
      <c r="L921" s="2"/>
      <c r="M921" s="2" t="str">
        <f>IFERROR(__xludf.DUMMYFUNCTION("""COMPUTED_VALUE"""),"No")</f>
        <v>No</v>
      </c>
      <c r="N921" s="3" t="str">
        <f>IFERROR(__xludf.DUMMYFUNCTION("""COMPUTED_VALUE"""),"http://ebs.29mayis.edu.tr/Pages/UnitContentViewer.aspx?lang=en-US&amp;academicYear=2022&amp;facultyId=23&amp;programId=3&amp;menuType=unit&amp;contentId=c912dda3-b584-4d56-b226-072ea8dc5073")</f>
        <v>http://ebs.29mayis.edu.tr/Pages/UnitContentViewer.aspx?lang=en-US&amp;academicYear=2022&amp;facultyId=23&amp;programId=3&amp;menuType=unit&amp;contentId=c912dda3-b584-4d56-b226-072ea8dc5073</v>
      </c>
      <c r="O921" s="3" t="str">
        <f>IFERROR(__xludf.DUMMYFUNCTION("""COMPUTED_VALUE"""),"Más información / Informazio gehigarria")</f>
        <v>Más información / Informazio gehigarria</v>
      </c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30.0" customHeight="1">
      <c r="A922" s="2" t="str">
        <f>IFERROR(__xludf.DUMMYFUNCTION("""COMPUTED_VALUE"""),"Turquía")</f>
        <v>Turquía</v>
      </c>
      <c r="B922" s="2" t="str">
        <f>IFERROR(__xludf.DUMMYFUNCTION("""COMPUTED_VALUE"""),"TR ISTANBU43")</f>
        <v>TR ISTANBU43</v>
      </c>
      <c r="C922" s="3" t="str">
        <f>IFERROR(__xludf.DUMMYFUNCTION("""COMPUTED_VALUE"""),"Istanbul 29 Mayis University")</f>
        <v>Istanbul 29 Mayis University</v>
      </c>
      <c r="D922" s="2" t="str">
        <f>IFERROR(__xludf.DUMMYFUNCTION("""COMPUTED_VALUE"""),"Erasmus+")</f>
        <v>Erasmus+</v>
      </c>
      <c r="E922" s="2">
        <f>IFERROR(__xludf.DUMMYFUNCTION("""COMPUTED_VALUE"""),4.0)</f>
        <v>4</v>
      </c>
      <c r="F922" s="2" t="str">
        <f>IFERROR(__xludf.DUMMYFUNCTION("""COMPUTED_VALUE"""),"Semestre")</f>
        <v>Semestre</v>
      </c>
      <c r="G922" s="2" t="str">
        <f>IFERROR(__xludf.DUMMYFUNCTION("""COMPUTED_VALUE"""),"Ambos")</f>
        <v>Ambos</v>
      </c>
      <c r="H922" s="2" t="str">
        <f>IFERROR(__xludf.DUMMYFUNCTION("""COMPUTED_VALUE"""),"Ciencias Sociales y Humanas")</f>
        <v>Ciencias Sociales y Humanas</v>
      </c>
      <c r="I922" s="2" t="str">
        <f>IFERROR(__xludf.DUMMYFUNCTION("""COMPUTED_VALUE"""),"Trabajo Social")</f>
        <v>Trabajo Social</v>
      </c>
      <c r="J922" s="2" t="str">
        <f>IFERROR(__xludf.DUMMYFUNCTION("""COMPUTED_VALUE"""),"Grado")</f>
        <v>Grado</v>
      </c>
      <c r="K922" s="2" t="str">
        <f>IFERROR(__xludf.DUMMYFUNCTION("""COMPUTED_VALUE"""),"Inglés")</f>
        <v>Inglés</v>
      </c>
      <c r="L922" s="2" t="str">
        <f>IFERROR(__xludf.DUMMYFUNCTION("""COMPUTED_VALUE"""),"B2")</f>
        <v>B2</v>
      </c>
      <c r="M922" s="2" t="str">
        <f>IFERROR(__xludf.DUMMYFUNCTION("""COMPUTED_VALUE"""),"Sí")</f>
        <v>Sí</v>
      </c>
      <c r="N922" s="3" t="str">
        <f>IFERROR(__xludf.DUMMYFUNCTION("""COMPUTED_VALUE"""),"http://ebs.29mayis.edu.tr/Pages/UnitContentViewer.aspx?lang=en-US&amp;academicYear=2022&amp;facultyId=23&amp;programId=3&amp;menuType=unit&amp;contentId=c912dda3-b584-4d56-b226-072ea8dc5073")</f>
        <v>http://ebs.29mayis.edu.tr/Pages/UnitContentViewer.aspx?lang=en-US&amp;academicYear=2022&amp;facultyId=23&amp;programId=3&amp;menuType=unit&amp;contentId=c912dda3-b584-4d56-b226-072ea8dc5073</v>
      </c>
      <c r="O922" s="3" t="str">
        <f>IFERROR(__xludf.DUMMYFUNCTION("""COMPUTED_VALUE"""),"Más información / Informazio gehigarria")</f>
        <v>Más información / Informazio gehigarria</v>
      </c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30.0" customHeight="1">
      <c r="A923" s="2" t="str">
        <f>IFERROR(__xludf.DUMMYFUNCTION("""COMPUTED_VALUE"""),"Turquía")</f>
        <v>Turquía</v>
      </c>
      <c r="B923" s="2" t="str">
        <f>IFERROR(__xludf.DUMMYFUNCTION("""COMPUTED_VALUE"""),"TR ISTANBU36")</f>
        <v>TR ISTANBU36</v>
      </c>
      <c r="C923" s="3" t="str">
        <f>IFERROR(__xludf.DUMMYFUNCTION("""COMPUTED_VALUE"""),"Istanbul Medipol University")</f>
        <v>Istanbul Medipol University</v>
      </c>
      <c r="D923" s="2" t="str">
        <f>IFERROR(__xludf.DUMMYFUNCTION("""COMPUTED_VALUE"""),"Erasmus+")</f>
        <v>Erasmus+</v>
      </c>
      <c r="E923" s="2">
        <f>IFERROR(__xludf.DUMMYFUNCTION("""COMPUTED_VALUE"""),2.0)</f>
        <v>2</v>
      </c>
      <c r="F923" s="2" t="str">
        <f>IFERROR(__xludf.DUMMYFUNCTION("""COMPUTED_VALUE"""),"Semestre")</f>
        <v>Semestre</v>
      </c>
      <c r="G923" s="2" t="str">
        <f>IFERROR(__xludf.DUMMYFUNCTION("""COMPUTED_VALUE"""),"San Sebastián")</f>
        <v>San Sebastián</v>
      </c>
      <c r="H923" s="2" t="str">
        <f>IFERROR(__xludf.DUMMYFUNCTION("""COMPUTED_VALUE"""),"Ciencias de la Salud")</f>
        <v>Ciencias de la Salud</v>
      </c>
      <c r="I923" s="2" t="str">
        <f>IFERROR(__xludf.DUMMYFUNCTION("""COMPUTED_VALUE"""),"Fisioterapia")</f>
        <v>Fisioterapia</v>
      </c>
      <c r="J923" s="2" t="str">
        <f>IFERROR(__xludf.DUMMYFUNCTION("""COMPUTED_VALUE"""),"Grado")</f>
        <v>Grado</v>
      </c>
      <c r="K923" s="2" t="str">
        <f>IFERROR(__xludf.DUMMYFUNCTION("""COMPUTED_VALUE"""),"Inglés")</f>
        <v>Inglés</v>
      </c>
      <c r="L923" s="2" t="str">
        <f>IFERROR(__xludf.DUMMYFUNCTION("""COMPUTED_VALUE"""),"B2")</f>
        <v>B2</v>
      </c>
      <c r="M923" s="2" t="str">
        <f>IFERROR(__xludf.DUMMYFUNCTION("""COMPUTED_VALUE"""),"No")</f>
        <v>No</v>
      </c>
      <c r="N923" s="3" t="str">
        <f>IFERROR(__xludf.DUMMYFUNCTION("""COMPUTED_VALUE"""),"https://www.medipol.edu.tr/sites/default/files/document/erasmus_sheet.pdf")</f>
        <v>https://www.medipol.edu.tr/sites/default/files/document/erasmus_sheet.pdf</v>
      </c>
      <c r="O923" s="3" t="str">
        <f>IFERROR(__xludf.DUMMYFUNCTION("""COMPUTED_VALUE"""),"Más información / Informazio gehigarria")</f>
        <v>Más información / Informazio gehigarria</v>
      </c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30.0" customHeight="1">
      <c r="A924" s="2" t="str">
        <f>IFERROR(__xludf.DUMMYFUNCTION("""COMPUTED_VALUE"""),"Turquía")</f>
        <v>Turquía</v>
      </c>
      <c r="B924" s="2" t="str">
        <f>IFERROR(__xludf.DUMMYFUNCTION("""COMPUTED_VALUE"""),"TR IZMIR04")</f>
        <v>TR IZMIR04</v>
      </c>
      <c r="C924" s="3" t="str">
        <f>IFERROR(__xludf.DUMMYFUNCTION("""COMPUTED_VALUE"""),"Izmir University of Economics")</f>
        <v>Izmir University of Economics</v>
      </c>
      <c r="D924" s="2" t="str">
        <f>IFERROR(__xludf.DUMMYFUNCTION("""COMPUTED_VALUE"""),"Erasmus+")</f>
        <v>Erasmus+</v>
      </c>
      <c r="E924" s="2">
        <f>IFERROR(__xludf.DUMMYFUNCTION("""COMPUTED_VALUE"""),2.0)</f>
        <v>2</v>
      </c>
      <c r="F924" s="2" t="str">
        <f>IFERROR(__xludf.DUMMYFUNCTION("""COMPUTED_VALUE"""),"Semestre")</f>
        <v>Semestre</v>
      </c>
      <c r="G924" s="2" t="str">
        <f>IFERROR(__xludf.DUMMYFUNCTION("""COMPUTED_VALUE"""),"San Sebastián")</f>
        <v>San Sebastián</v>
      </c>
      <c r="H924" s="2" t="str">
        <f>IFERROR(__xludf.DUMMYFUNCTION("""COMPUTED_VALUE"""),"Ciencias Sociales y Humanas")</f>
        <v>Ciencias Sociales y Humanas</v>
      </c>
      <c r="I924" s="2" t="str">
        <f>IFERROR(__xludf.DUMMYFUNCTION("""COMPUTED_VALUE"""),"Comunicación")</f>
        <v>Comunicación</v>
      </c>
      <c r="J924" s="2" t="str">
        <f>IFERROR(__xludf.DUMMYFUNCTION("""COMPUTED_VALUE"""),"Grado")</f>
        <v>Grado</v>
      </c>
      <c r="K924" s="2" t="str">
        <f>IFERROR(__xludf.DUMMYFUNCTION("""COMPUTED_VALUE"""),"Inglés")</f>
        <v>Inglés</v>
      </c>
      <c r="L924" s="2" t="str">
        <f>IFERROR(__xludf.DUMMYFUNCTION("""COMPUTED_VALUE"""),"B2")</f>
        <v>B2</v>
      </c>
      <c r="M924" s="2" t="str">
        <f>IFERROR(__xludf.DUMMYFUNCTION("""COMPUTED_VALUE"""),"No")</f>
        <v>No</v>
      </c>
      <c r="N924" s="3" t="str">
        <f>IFERROR(__xludf.DUMMYFUNCTION("""COMPUTED_VALUE"""),"https://www.ieu.edu.tr/international/en/erasmus-hareketliligi")</f>
        <v>https://www.ieu.edu.tr/international/en/erasmus-hareketliligi</v>
      </c>
      <c r="O924" s="3" t="str">
        <f>IFERROR(__xludf.DUMMYFUNCTION("""COMPUTED_VALUE"""),"Más información / Informazio gehigarria")</f>
        <v>Más información / Informazio gehigarria</v>
      </c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30.0" customHeight="1">
      <c r="A925" s="2" t="str">
        <f>IFERROR(__xludf.DUMMYFUNCTION("""COMPUTED_VALUE"""),"Turquía")</f>
        <v>Turquía</v>
      </c>
      <c r="B925" s="2" t="str">
        <f>IFERROR(__xludf.DUMMYFUNCTION("""COMPUTED_VALUE"""),"TR ISTANBU18")</f>
        <v>TR ISTANBU18</v>
      </c>
      <c r="C925" s="3" t="str">
        <f>IFERROR(__xludf.DUMMYFUNCTION("""COMPUTED_VALUE"""),"KOÇ University")</f>
        <v>KOÇ University</v>
      </c>
      <c r="D925" s="2" t="str">
        <f>IFERROR(__xludf.DUMMYFUNCTION("""COMPUTED_VALUE"""),"Erasmus+")</f>
        <v>Erasmus+</v>
      </c>
      <c r="E925" s="2">
        <f>IFERROR(__xludf.DUMMYFUNCTION("""COMPUTED_VALUE"""),4.0)</f>
        <v>4</v>
      </c>
      <c r="F925" s="2" t="str">
        <f>IFERROR(__xludf.DUMMYFUNCTION("""COMPUTED_VALUE"""),"Semestre")</f>
        <v>Semestre</v>
      </c>
      <c r="G925" s="2" t="str">
        <f>IFERROR(__xludf.DUMMYFUNCTION("""COMPUTED_VALUE"""),"Bilbao")</f>
        <v>Bilbao</v>
      </c>
      <c r="H925" s="2" t="str">
        <f>IFERROR(__xludf.DUMMYFUNCTION("""COMPUTED_VALUE"""),"Derecho")</f>
        <v>Derecho</v>
      </c>
      <c r="I925" s="2" t="str">
        <f>IFERROR(__xludf.DUMMYFUNCTION("""COMPUTED_VALUE"""),"Derecho, Derecho + Relaciones Laborales")</f>
        <v>Derecho, Derecho + Relaciones Laborales</v>
      </c>
      <c r="J925" s="2" t="str">
        <f>IFERROR(__xludf.DUMMYFUNCTION("""COMPUTED_VALUE"""),"Grado")</f>
        <v>Grado</v>
      </c>
      <c r="K925" s="2" t="str">
        <f>IFERROR(__xludf.DUMMYFUNCTION("""COMPUTED_VALUE"""),"Inglés")</f>
        <v>Inglés</v>
      </c>
      <c r="L925" s="2" t="str">
        <f>IFERROR(__xludf.DUMMYFUNCTION("""COMPUTED_VALUE"""),"B2")</f>
        <v>B2</v>
      </c>
      <c r="M925" s="2" t="str">
        <f>IFERROR(__xludf.DUMMYFUNCTION("""COMPUTED_VALUE"""),"Sí")</f>
        <v>Sí</v>
      </c>
      <c r="N925" s="3" t="str">
        <f>IFERROR(__xludf.DUMMYFUNCTION("""COMPUTED_VALUE"""),"https://oip.ku.edu.tr/mobility-programs/incoming/students/erasmus-study/#tab_html_9265938e53ddf84f37da6128635688f0")</f>
        <v>https://oip.ku.edu.tr/mobility-programs/incoming/students/erasmus-study/#tab_html_9265938e53ddf84f37da6128635688f0</v>
      </c>
      <c r="O925" s="3" t="str">
        <f>IFERROR(__xludf.DUMMYFUNCTION("""COMPUTED_VALUE"""),"Más información / Informazio gehigarria")</f>
        <v>Más información / Informazio gehigarria</v>
      </c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30.0" customHeight="1">
      <c r="A926" s="2" t="str">
        <f>IFERROR(__xludf.DUMMYFUNCTION("""COMPUTED_VALUE"""),"Turquía")</f>
        <v>Turquía</v>
      </c>
      <c r="B926" s="2" t="str">
        <f>IFERROR(__xludf.DUMMYFUNCTION("""COMPUTED_VALUE"""),"TR ISTANBU18")</f>
        <v>TR ISTANBU18</v>
      </c>
      <c r="C926" s="3" t="str">
        <f>IFERROR(__xludf.DUMMYFUNCTION("""COMPUTED_VALUE"""),"KOÇ University")</f>
        <v>KOÇ University</v>
      </c>
      <c r="D926" s="2" t="str">
        <f>IFERROR(__xludf.DUMMYFUNCTION("""COMPUTED_VALUE"""),"Erasmus+")</f>
        <v>Erasmus+</v>
      </c>
      <c r="E926" s="2">
        <f>IFERROR(__xludf.DUMMYFUNCTION("""COMPUTED_VALUE"""),2.0)</f>
        <v>2</v>
      </c>
      <c r="F926" s="2" t="str">
        <f>IFERROR(__xludf.DUMMYFUNCTION("""COMPUTED_VALUE"""),"Semestre")</f>
        <v>Semestre</v>
      </c>
      <c r="G926" s="2" t="str">
        <f>IFERROR(__xludf.DUMMYFUNCTION("""COMPUTED_VALUE"""),"San Sebastián")</f>
        <v>San Sebastián</v>
      </c>
      <c r="H926" s="2" t="str">
        <f>IFERROR(__xludf.DUMMYFUNCTION("""COMPUTED_VALUE"""),"Deusto Business School")</f>
        <v>Deusto Business School</v>
      </c>
      <c r="I926" s="2" t="str">
        <f>IFERROR(__xludf.DUMMYFUNCTION("""COMPUTED_VALUE"""),"Administración y Dirección de Empresas")</f>
        <v>Administración y Dirección de Empresas</v>
      </c>
      <c r="J926" s="2" t="str">
        <f>IFERROR(__xludf.DUMMYFUNCTION("""COMPUTED_VALUE"""),"Grado")</f>
        <v>Grado</v>
      </c>
      <c r="K926" s="2" t="str">
        <f>IFERROR(__xludf.DUMMYFUNCTION("""COMPUTED_VALUE"""),"Inglés")</f>
        <v>Inglés</v>
      </c>
      <c r="L926" s="2" t="str">
        <f>IFERROR(__xludf.DUMMYFUNCTION("""COMPUTED_VALUE"""),"B2")</f>
        <v>B2</v>
      </c>
      <c r="M926" s="2" t="str">
        <f>IFERROR(__xludf.DUMMYFUNCTION("""COMPUTED_VALUE"""),"Sí")</f>
        <v>Sí</v>
      </c>
      <c r="N926" s="3" t="str">
        <f>IFERROR(__xludf.DUMMYFUNCTION("""COMPUTED_VALUE"""),"https://oip.ku.edu.tr/mobility-programs/incoming/students/erasmus-study/#tab_html_9265938e53ddf84f37da6128635688f0")</f>
        <v>https://oip.ku.edu.tr/mobility-programs/incoming/students/erasmus-study/#tab_html_9265938e53ddf84f37da6128635688f0</v>
      </c>
      <c r="O926" s="3" t="str">
        <f>IFERROR(__xludf.DUMMYFUNCTION("""COMPUTED_VALUE"""),"Más información / Informazio gehigarria")</f>
        <v>Más información / Informazio gehigarria</v>
      </c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30.0" customHeight="1">
      <c r="A927" s="2" t="str">
        <f>IFERROR(__xludf.DUMMYFUNCTION("""COMPUTED_VALUE"""),"Turquía")</f>
        <v>Turquía</v>
      </c>
      <c r="B927" s="2" t="str">
        <f>IFERROR(__xludf.DUMMYFUNCTION("""COMPUTED_VALUE"""),"TR ISTANBU18")</f>
        <v>TR ISTANBU18</v>
      </c>
      <c r="C927" s="3" t="str">
        <f>IFERROR(__xludf.DUMMYFUNCTION("""COMPUTED_VALUE"""),"KOÇ University")</f>
        <v>KOÇ University</v>
      </c>
      <c r="D927" s="2" t="str">
        <f>IFERROR(__xludf.DUMMYFUNCTION("""COMPUTED_VALUE"""),"Erasmus+")</f>
        <v>Erasmus+</v>
      </c>
      <c r="E927" s="2">
        <f>IFERROR(__xludf.DUMMYFUNCTION("""COMPUTED_VALUE"""),2.0)</f>
        <v>2</v>
      </c>
      <c r="F927" s="2" t="str">
        <f>IFERROR(__xludf.DUMMYFUNCTION("""COMPUTED_VALUE"""),"Anual")</f>
        <v>Anual</v>
      </c>
      <c r="G927" s="2" t="str">
        <f>IFERROR(__xludf.DUMMYFUNCTION("""COMPUTED_VALUE"""),"Bilbao")</f>
        <v>Bilbao</v>
      </c>
      <c r="H927" s="2" t="str">
        <f>IFERROR(__xludf.DUMMYFUNCTION("""COMPUTED_VALUE"""),"Ciencias Sociales y Humanas")</f>
        <v>Ciencias Sociales y Humanas</v>
      </c>
      <c r="I927" s="2" t="str">
        <f>IFERROR(__xludf.DUMMYFUNCTION("""COMPUTED_VALUE"""),"Relaciones Internacionales, Relaciones Internacionales + Derecho")</f>
        <v>Relaciones Internacionales, Relaciones Internacionales + Derecho</v>
      </c>
      <c r="J927" s="2" t="str">
        <f>IFERROR(__xludf.DUMMYFUNCTION("""COMPUTED_VALUE"""),"Grado")</f>
        <v>Grado</v>
      </c>
      <c r="K927" s="2" t="str">
        <f>IFERROR(__xludf.DUMMYFUNCTION("""COMPUTED_VALUE"""),"Inglés")</f>
        <v>Inglés</v>
      </c>
      <c r="L927" s="2" t="str">
        <f>IFERROR(__xludf.DUMMYFUNCTION("""COMPUTED_VALUE"""),"B2")</f>
        <v>B2</v>
      </c>
      <c r="M927" s="2" t="str">
        <f>IFERROR(__xludf.DUMMYFUNCTION("""COMPUTED_VALUE"""),"Sí")</f>
        <v>Sí</v>
      </c>
      <c r="N927" s="3" t="str">
        <f>IFERROR(__xludf.DUMMYFUNCTION("""COMPUTED_VALUE"""),"https://oip.ku.edu.tr/mobility-programs/incoming/students/erasmus-study/#tab_html_9265938e53ddf84f37da6128635688f0")</f>
        <v>https://oip.ku.edu.tr/mobility-programs/incoming/students/erasmus-study/#tab_html_9265938e53ddf84f37da6128635688f0</v>
      </c>
      <c r="O927" s="3" t="str">
        <f>IFERROR(__xludf.DUMMYFUNCTION("""COMPUTED_VALUE"""),"Más información / Informazio gehigarria")</f>
        <v>Más información / Informazio gehigarria</v>
      </c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30.0" customHeight="1">
      <c r="A928" s="2" t="str">
        <f>IFERROR(__xludf.DUMMYFUNCTION("""COMPUTED_VALUE"""),"Turquía")</f>
        <v>Turquía</v>
      </c>
      <c r="B928" s="2" t="str">
        <f>IFERROR(__xludf.DUMMYFUNCTION("""COMPUTED_VALUE"""),"TR ISTANBU18")</f>
        <v>TR ISTANBU18</v>
      </c>
      <c r="C928" s="3" t="str">
        <f>IFERROR(__xludf.DUMMYFUNCTION("""COMPUTED_VALUE"""),"KOÇ University")</f>
        <v>KOÇ University</v>
      </c>
      <c r="D928" s="2" t="str">
        <f>IFERROR(__xludf.DUMMYFUNCTION("""COMPUTED_VALUE"""),"Erasmus+")</f>
        <v>Erasmus+</v>
      </c>
      <c r="E928" s="2">
        <f>IFERROR(__xludf.DUMMYFUNCTION("""COMPUTED_VALUE"""),2.0)</f>
        <v>2</v>
      </c>
      <c r="F928" s="2" t="str">
        <f>IFERROR(__xludf.DUMMYFUNCTION("""COMPUTED_VALUE"""),"Semestre")</f>
        <v>Semestre</v>
      </c>
      <c r="G928" s="2" t="str">
        <f>IFERROR(__xludf.DUMMYFUNCTION("""COMPUTED_VALUE"""),"Bilbao")</f>
        <v>Bilbao</v>
      </c>
      <c r="H928" s="2" t="str">
        <f>IFERROR(__xludf.DUMMYFUNCTION("""COMPUTED_VALUE"""),"Ingeniería")</f>
        <v>Ingeniería</v>
      </c>
      <c r="I928" s="2" t="str">
        <f>IFERROR(__xludf.DUMMYFUNCTION("""COMPUTED_VALUE"""),"Ingeniería Biomédica")</f>
        <v>Ingeniería Biomédica</v>
      </c>
      <c r="J928" s="2" t="str">
        <f>IFERROR(__xludf.DUMMYFUNCTION("""COMPUTED_VALUE"""),"Grado")</f>
        <v>Grado</v>
      </c>
      <c r="K928" s="2" t="str">
        <f>IFERROR(__xludf.DUMMYFUNCTION("""COMPUTED_VALUE"""),"Inglés")</f>
        <v>Inglés</v>
      </c>
      <c r="L928" s="2" t="str">
        <f>IFERROR(__xludf.DUMMYFUNCTION("""COMPUTED_VALUE"""),"B2")</f>
        <v>B2</v>
      </c>
      <c r="M928" s="2" t="str">
        <f>IFERROR(__xludf.DUMMYFUNCTION("""COMPUTED_VALUE"""),"Sí")</f>
        <v>Sí</v>
      </c>
      <c r="N928" s="3" t="str">
        <f>IFERROR(__xludf.DUMMYFUNCTION("""COMPUTED_VALUE"""),"https://oip.ku.edu.tr/mobility-programs/incoming/students/erasmus-study/#tab_html_9265938e53ddf84f37da6128635688f0")</f>
        <v>https://oip.ku.edu.tr/mobility-programs/incoming/students/erasmus-study/#tab_html_9265938e53ddf84f37da6128635688f0</v>
      </c>
      <c r="O928" s="3" t="str">
        <f>IFERROR(__xludf.DUMMYFUNCTION("""COMPUTED_VALUE"""),"Más información / Informazio gehigarria")</f>
        <v>Más información / Informazio gehigarria</v>
      </c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30.0" customHeight="1">
      <c r="A929" s="2" t="str">
        <f>IFERROR(__xludf.DUMMYFUNCTION("""COMPUTED_VALUE"""),"Turquía")</f>
        <v>Turquía</v>
      </c>
      <c r="B929" s="2" t="str">
        <f>IFERROR(__xludf.DUMMYFUNCTION("""COMPUTED_VALUE"""),"TR ANKARA04")</f>
        <v>TR ANKARA04</v>
      </c>
      <c r="C929" s="3" t="str">
        <f>IFERROR(__xludf.DUMMYFUNCTION("""COMPUTED_VALUE"""),"METU Middle East Tech. University")</f>
        <v>METU Middle East Tech. University</v>
      </c>
      <c r="D929" s="2" t="str">
        <f>IFERROR(__xludf.DUMMYFUNCTION("""COMPUTED_VALUE"""),"Erasmus+")</f>
        <v>Erasmus+</v>
      </c>
      <c r="E929" s="2">
        <f>IFERROR(__xludf.DUMMYFUNCTION("""COMPUTED_VALUE"""),4.0)</f>
        <v>4</v>
      </c>
      <c r="F929" s="2" t="str">
        <f>IFERROR(__xludf.DUMMYFUNCTION("""COMPUTED_VALUE"""),"Semestre")</f>
        <v>Semestre</v>
      </c>
      <c r="G929" s="2" t="str">
        <f>IFERROR(__xludf.DUMMYFUNCTION("""COMPUTED_VALUE"""),"Bilbao")</f>
        <v>Bilbao</v>
      </c>
      <c r="H929" s="2" t="str">
        <f>IFERROR(__xludf.DUMMYFUNCTION("""COMPUTED_VALUE"""),"Ingeniería")</f>
        <v>Ingeniería</v>
      </c>
      <c r="I929" s="2" t="str">
        <f>IFERROR(__xludf.DUMMYFUNCTION("""COMPUTED_VALUE"""),"Diseño Industrial, Organización Industrial, Electrónica y Automática, Ingeniería Mecánica, Diseño Industrial + Ingeniería Mecánica")</f>
        <v>Diseño Industrial, Organización Industrial, Electrónica y Automática, Ingeniería Mecánica, Diseño Industrial + Ingeniería Mecánica</v>
      </c>
      <c r="J929" s="2" t="str">
        <f>IFERROR(__xludf.DUMMYFUNCTION("""COMPUTED_VALUE"""),"Grado")</f>
        <v>Grado</v>
      </c>
      <c r="K929" s="2" t="str">
        <f>IFERROR(__xludf.DUMMYFUNCTION("""COMPUTED_VALUE"""),"Inglés")</f>
        <v>Inglés</v>
      </c>
      <c r="L929" s="2" t="str">
        <f>IFERROR(__xludf.DUMMYFUNCTION("""COMPUTED_VALUE"""),"B2")</f>
        <v>B2</v>
      </c>
      <c r="M929" s="2" t="str">
        <f>IFERROR(__xludf.DUMMYFUNCTION("""COMPUTED_VALUE"""),"No")</f>
        <v>No</v>
      </c>
      <c r="N929" s="3" t="str">
        <f>IFERROR(__xludf.DUMMYFUNCTION("""COMPUTED_VALUE"""),"https://iso.metu.edu.tr/en/english-proficiency")</f>
        <v>https://iso.metu.edu.tr/en/english-proficiency</v>
      </c>
      <c r="O929" s="3" t="str">
        <f>IFERROR(__xludf.DUMMYFUNCTION("""COMPUTED_VALUE"""),"Más información / Informazio gehigarria")</f>
        <v>Más información / Informazio gehigarria</v>
      </c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30.0" customHeight="1">
      <c r="A930" s="2" t="str">
        <f>IFERROR(__xludf.DUMMYFUNCTION("""COMPUTED_VALUE"""),"Turquía")</f>
        <v>Turquía</v>
      </c>
      <c r="B930" s="2" t="str">
        <f>IFERROR(__xludf.DUMMYFUNCTION("""COMPUTED_VALUE"""),"TR ANKARA04")</f>
        <v>TR ANKARA04</v>
      </c>
      <c r="C930" s="3" t="str">
        <f>IFERROR(__xludf.DUMMYFUNCTION("""COMPUTED_VALUE"""),"METU Middle East Tech. University")</f>
        <v>METU Middle East Tech. University</v>
      </c>
      <c r="D930" s="2" t="str">
        <f>IFERROR(__xludf.DUMMYFUNCTION("""COMPUTED_VALUE"""),"Erasmus+")</f>
        <v>Erasmus+</v>
      </c>
      <c r="E930" s="2">
        <f>IFERROR(__xludf.DUMMYFUNCTION("""COMPUTED_VALUE"""),4.0)</f>
        <v>4</v>
      </c>
      <c r="F930" s="2" t="str">
        <f>IFERROR(__xludf.DUMMYFUNCTION("""COMPUTED_VALUE"""),"Semestre")</f>
        <v>Semestre</v>
      </c>
      <c r="G930" s="2" t="str">
        <f>IFERROR(__xludf.DUMMYFUNCTION("""COMPUTED_VALUE"""),"Bilbao")</f>
        <v>Bilbao</v>
      </c>
      <c r="H930" s="2" t="str">
        <f>IFERROR(__xludf.DUMMYFUNCTION("""COMPUTED_VALUE"""),"Ingeniería")</f>
        <v>Ingeniería</v>
      </c>
      <c r="I930" s="2" t="str">
        <f>IFERROR(__xludf.DUMMYFUNCTION("""COMPUTED_VALUE"""),"Ingeniería Biomédica")</f>
        <v>Ingeniería Biomédica</v>
      </c>
      <c r="J930" s="2" t="str">
        <f>IFERROR(__xludf.DUMMYFUNCTION("""COMPUTED_VALUE"""),"Grado")</f>
        <v>Grado</v>
      </c>
      <c r="K930" s="2" t="str">
        <f>IFERROR(__xludf.DUMMYFUNCTION("""COMPUTED_VALUE"""),"Inglés")</f>
        <v>Inglés</v>
      </c>
      <c r="L930" s="2" t="str">
        <f>IFERROR(__xludf.DUMMYFUNCTION("""COMPUTED_VALUE"""),"B2")</f>
        <v>B2</v>
      </c>
      <c r="M930" s="2" t="str">
        <f>IFERROR(__xludf.DUMMYFUNCTION("""COMPUTED_VALUE"""),"No")</f>
        <v>No</v>
      </c>
      <c r="N930" s="3" t="str">
        <f>IFERROR(__xludf.DUMMYFUNCTION("""COMPUTED_VALUE"""),"https://iso.metu.edu.tr/en/english-proficiency")</f>
        <v>https://iso.metu.edu.tr/en/english-proficiency</v>
      </c>
      <c r="O930" s="3" t="str">
        <f>IFERROR(__xludf.DUMMYFUNCTION("""COMPUTED_VALUE"""),"Más información / Informazio gehigarria")</f>
        <v>Más información / Informazio gehigarria</v>
      </c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30.0" customHeight="1">
      <c r="A931" s="2" t="str">
        <f>IFERROR(__xludf.DUMMYFUNCTION("""COMPUTED_VALUE"""),"Turquía")</f>
        <v>Turquía</v>
      </c>
      <c r="B931" s="2" t="str">
        <f>IFERROR(__xludf.DUMMYFUNCTION("""COMPUTED_VALUE"""),"TR ANKARA04")</f>
        <v>TR ANKARA04</v>
      </c>
      <c r="C931" s="3" t="str">
        <f>IFERROR(__xludf.DUMMYFUNCTION("""COMPUTED_VALUE"""),"METU Middle East Tech. University")</f>
        <v>METU Middle East Tech. University</v>
      </c>
      <c r="D931" s="2" t="str">
        <f>IFERROR(__xludf.DUMMYFUNCTION("""COMPUTED_VALUE"""),"Erasmus+")</f>
        <v>Erasmus+</v>
      </c>
      <c r="E931" s="2">
        <f>IFERROR(__xludf.DUMMYFUNCTION("""COMPUTED_VALUE"""),4.0)</f>
        <v>4</v>
      </c>
      <c r="F931" s="2" t="str">
        <f>IFERROR(__xludf.DUMMYFUNCTION("""COMPUTED_VALUE"""),"Anual")</f>
        <v>Anual</v>
      </c>
      <c r="G931" s="2" t="str">
        <f>IFERROR(__xludf.DUMMYFUNCTION("""COMPUTED_VALUE"""),"Bilbao")</f>
        <v>Bilbao</v>
      </c>
      <c r="H931" s="2" t="str">
        <f>IFERROR(__xludf.DUMMYFUNCTION("""COMPUTED_VALUE"""),"Ciencias Sociales y Humanas")</f>
        <v>Ciencias Sociales y Humanas</v>
      </c>
      <c r="I931" s="2" t="str">
        <f>IFERROR(__xludf.DUMMYFUNCTION("""COMPUTED_VALUE"""),"Lenguas Modernas, Lengua y Cultura Vasca + Lenguas Modernas, Lenguas Modernas y Gestión, Euskal Hizkuntza eta Kultura")</f>
        <v>Lenguas Modernas, Lengua y Cultura Vasca + Lenguas Modernas, Lenguas Modernas y Gestión, Euskal Hizkuntza eta Kultura</v>
      </c>
      <c r="J931" s="2" t="str">
        <f>IFERROR(__xludf.DUMMYFUNCTION("""COMPUTED_VALUE"""),"Grado")</f>
        <v>Grado</v>
      </c>
      <c r="K931" s="2" t="str">
        <f>IFERROR(__xludf.DUMMYFUNCTION("""COMPUTED_VALUE"""),"Inglés")</f>
        <v>Inglés</v>
      </c>
      <c r="L931" s="2" t="str">
        <f>IFERROR(__xludf.DUMMYFUNCTION("""COMPUTED_VALUE"""),"B2")</f>
        <v>B2</v>
      </c>
      <c r="M931" s="2" t="str">
        <f>IFERROR(__xludf.DUMMYFUNCTION("""COMPUTED_VALUE"""),"No")</f>
        <v>No</v>
      </c>
      <c r="N931" s="3" t="str">
        <f>IFERROR(__xludf.DUMMYFUNCTION("""COMPUTED_VALUE"""),"https://iso.metu.edu.tr/en/english-proficiency")</f>
        <v>https://iso.metu.edu.tr/en/english-proficiency</v>
      </c>
      <c r="O931" s="3" t="str">
        <f>IFERROR(__xludf.DUMMYFUNCTION("""COMPUTED_VALUE"""),"Más información / Informazio gehigarria")</f>
        <v>Más información / Informazio gehigarria</v>
      </c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30.0" customHeight="1">
      <c r="A932" s="2" t="str">
        <f>IFERROR(__xludf.DUMMYFUNCTION("""COMPUTED_VALUE"""),"Turquía")</f>
        <v>Turquía</v>
      </c>
      <c r="B932" s="2" t="str">
        <f>IFERROR(__xludf.DUMMYFUNCTION("""COMPUTED_VALUE"""),"TR ANKARA04")</f>
        <v>TR ANKARA04</v>
      </c>
      <c r="C932" s="3" t="str">
        <f>IFERROR(__xludf.DUMMYFUNCTION("""COMPUTED_VALUE"""),"METU Middle East Tech. University")</f>
        <v>METU Middle East Tech. University</v>
      </c>
      <c r="D932" s="2" t="str">
        <f>IFERROR(__xludf.DUMMYFUNCTION("""COMPUTED_VALUE"""),"Erasmus+")</f>
        <v>Erasmus+</v>
      </c>
      <c r="E932" s="2">
        <f>IFERROR(__xludf.DUMMYFUNCTION("""COMPUTED_VALUE"""),5.0)</f>
        <v>5</v>
      </c>
      <c r="F932" s="2" t="str">
        <f>IFERROR(__xludf.DUMMYFUNCTION("""COMPUTED_VALUE"""),"Semestre")</f>
        <v>Semestre</v>
      </c>
      <c r="G932" s="2" t="str">
        <f>IFERROR(__xludf.DUMMYFUNCTION("""COMPUTED_VALUE"""),"Bilbao")</f>
        <v>Bilbao</v>
      </c>
      <c r="H932" s="2" t="str">
        <f>IFERROR(__xludf.DUMMYFUNCTION("""COMPUTED_VALUE"""),"Ciencias Sociales y Humanas")</f>
        <v>Ciencias Sociales y Humanas</v>
      </c>
      <c r="I932" s="2" t="str">
        <f>IFERROR(__xludf.DUMMYFUNCTION("""COMPUTED_VALUE"""),"Relaciones Internacionales, Relaciones Internacionales + Derecho")</f>
        <v>Relaciones Internacionales, Relaciones Internacionales + Derecho</v>
      </c>
      <c r="J932" s="2" t="str">
        <f>IFERROR(__xludf.DUMMYFUNCTION("""COMPUTED_VALUE"""),"Grado")</f>
        <v>Grado</v>
      </c>
      <c r="K932" s="2" t="str">
        <f>IFERROR(__xludf.DUMMYFUNCTION("""COMPUTED_VALUE"""),"Inglés")</f>
        <v>Inglés</v>
      </c>
      <c r="L932" s="2" t="str">
        <f>IFERROR(__xludf.DUMMYFUNCTION("""COMPUTED_VALUE"""),"B2")</f>
        <v>B2</v>
      </c>
      <c r="M932" s="2" t="str">
        <f>IFERROR(__xludf.DUMMYFUNCTION("""COMPUTED_VALUE"""),"No")</f>
        <v>No</v>
      </c>
      <c r="N932" s="3" t="str">
        <f>IFERROR(__xludf.DUMMYFUNCTION("""COMPUTED_VALUE"""),"https://iso.metu.edu.tr/en/english-proficiency")</f>
        <v>https://iso.metu.edu.tr/en/english-proficiency</v>
      </c>
      <c r="O932" s="2" t="str">
        <f>IFERROR(__xludf.DUMMYFUNCTION("""COMPUTED_VALUE"""),"n/a")</f>
        <v>n/a</v>
      </c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30.0" customHeight="1">
      <c r="A933" s="2" t="str">
        <f>IFERROR(__xludf.DUMMYFUNCTION("""COMPUTED_VALUE"""),"Turquía")</f>
        <v>Turquía</v>
      </c>
      <c r="B933" s="2" t="str">
        <f>IFERROR(__xludf.DUMMYFUNCTION("""COMPUTED_VALUE"""),"TR ISTANBU45")</f>
        <v>TR ISTANBU45</v>
      </c>
      <c r="C933" s="3" t="str">
        <f>IFERROR(__xludf.DUMMYFUNCTION("""COMPUTED_VALUE"""),"Nisantasi University")</f>
        <v>Nisantasi University</v>
      </c>
      <c r="D933" s="2" t="str">
        <f>IFERROR(__xludf.DUMMYFUNCTION("""COMPUTED_VALUE"""),"Erasmus+")</f>
        <v>Erasmus+</v>
      </c>
      <c r="E933" s="2">
        <f>IFERROR(__xludf.DUMMYFUNCTION("""COMPUTED_VALUE"""),2.0)</f>
        <v>2</v>
      </c>
      <c r="F933" s="2" t="str">
        <f>IFERROR(__xludf.DUMMYFUNCTION("""COMPUTED_VALUE"""),"Anual")</f>
        <v>Anual</v>
      </c>
      <c r="G933" s="2" t="str">
        <f>IFERROR(__xludf.DUMMYFUNCTION("""COMPUTED_VALUE"""),"Bilbao")</f>
        <v>Bilbao</v>
      </c>
      <c r="H933" s="2" t="str">
        <f>IFERROR(__xludf.DUMMYFUNCTION("""COMPUTED_VALUE"""),"Ciencias Sociales y Humanas")</f>
        <v>Ciencias Sociales y Humanas</v>
      </c>
      <c r="I933" s="2" t="str">
        <f>IFERROR(__xludf.DUMMYFUNCTION("""COMPUTED_VALUE"""),"Relaciones Internacionales")</f>
        <v>Relaciones Internacionales</v>
      </c>
      <c r="J933" s="2" t="str">
        <f>IFERROR(__xludf.DUMMYFUNCTION("""COMPUTED_VALUE"""),"Grado")</f>
        <v>Grado</v>
      </c>
      <c r="K933" s="2" t="str">
        <f>IFERROR(__xludf.DUMMYFUNCTION("""COMPUTED_VALUE"""),"Inglés")</f>
        <v>Inglés</v>
      </c>
      <c r="L933" s="2" t="str">
        <f>IFERROR(__xludf.DUMMYFUNCTION("""COMPUTED_VALUE"""),"B2")</f>
        <v>B2</v>
      </c>
      <c r="M933" s="2" t="str">
        <f>IFERROR(__xludf.DUMMYFUNCTION("""COMPUTED_VALUE"""),"No")</f>
        <v>No</v>
      </c>
      <c r="N933" s="3" t="str">
        <f>IFERROR(__xludf.DUMMYFUNCTION("""COMPUTED_VALUE"""),"https://www.nisantasi.edu.tr/dosyalar/international-file/information_guide_for_exchange_students_nisantasi_university-compressed.pdf")</f>
        <v>https://www.nisantasi.edu.tr/dosyalar/international-file/information_guide_for_exchange_students_nisantasi_university-compressed.pdf</v>
      </c>
      <c r="O933" s="2" t="str">
        <f>IFERROR(__xludf.DUMMYFUNCTION("""COMPUTED_VALUE"""),"n/a")</f>
        <v>n/a</v>
      </c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30.0" customHeight="1">
      <c r="A934" s="2" t="str">
        <f>IFERROR(__xludf.DUMMYFUNCTION("""COMPUTED_VALUE"""),"Turquía")</f>
        <v>Turquía</v>
      </c>
      <c r="B934" s="2" t="str">
        <f>IFERROR(__xludf.DUMMYFUNCTION("""COMPUTED_VALUE"""),"TR DENIZLI01")</f>
        <v>TR DENIZLI01</v>
      </c>
      <c r="C934" s="3" t="str">
        <f>IFERROR(__xludf.DUMMYFUNCTION("""COMPUTED_VALUE"""),"Pamukkale University")</f>
        <v>Pamukkale University</v>
      </c>
      <c r="D934" s="2" t="str">
        <f>IFERROR(__xludf.DUMMYFUNCTION("""COMPUTED_VALUE"""),"Erasmus+")</f>
        <v>Erasmus+</v>
      </c>
      <c r="E934" s="2">
        <f>IFERROR(__xludf.DUMMYFUNCTION("""COMPUTED_VALUE"""),2.0)</f>
        <v>2</v>
      </c>
      <c r="F934" s="2" t="str">
        <f>IFERROR(__xludf.DUMMYFUNCTION("""COMPUTED_VALUE"""),"Semestre")</f>
        <v>Semestre</v>
      </c>
      <c r="G934" s="2" t="str">
        <f>IFERROR(__xludf.DUMMYFUNCTION("""COMPUTED_VALUE"""),"Bilbao")</f>
        <v>Bilbao</v>
      </c>
      <c r="H934" s="2" t="str">
        <f>IFERROR(__xludf.DUMMYFUNCTION("""COMPUTED_VALUE"""),"Educación y Deporte")</f>
        <v>Educación y Deporte</v>
      </c>
      <c r="I934" s="2" t="str">
        <f>IFERROR(__xludf.DUMMYFUNCTION("""COMPUTED_VALUE"""),"CAFyD")</f>
        <v>CAFyD</v>
      </c>
      <c r="J934" s="2" t="str">
        <f>IFERROR(__xludf.DUMMYFUNCTION("""COMPUTED_VALUE"""),"Grado")</f>
        <v>Grado</v>
      </c>
      <c r="K934" s="2" t="str">
        <f>IFERROR(__xludf.DUMMYFUNCTION("""COMPUTED_VALUE"""),"Inglés")</f>
        <v>Inglés</v>
      </c>
      <c r="L934" s="2" t="str">
        <f>IFERROR(__xludf.DUMMYFUNCTION("""COMPUTED_VALUE"""),"B2")</f>
        <v>B2</v>
      </c>
      <c r="M934" s="2" t="str">
        <f>IFERROR(__xludf.DUMMYFUNCTION("""COMPUTED_VALUE"""),"Si")</f>
        <v>Si</v>
      </c>
      <c r="N934" s="3" t="str">
        <f>IFERROR(__xludf.DUMMYFUNCTION("""COMPUTED_VALUE"""),"https://www.pau.edu.tr/ulikeskisite/en/sayfa/incoming-students-2")</f>
        <v>https://www.pau.edu.tr/ulikeskisite/en/sayfa/incoming-students-2</v>
      </c>
      <c r="O934" s="2" t="str">
        <f>IFERROR(__xludf.DUMMYFUNCTION("""COMPUTED_VALUE"""),"n/a")</f>
        <v>n/a</v>
      </c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30.0" customHeight="1">
      <c r="A935" s="2" t="str">
        <f>IFERROR(__xludf.DUMMYFUNCTION("""COMPUTED_VALUE"""),"Turquía")</f>
        <v>Turquía</v>
      </c>
      <c r="B935" s="2" t="str">
        <f>IFERROR(__xludf.DUMMYFUNCTION("""COMPUTED_VALUE"""),"TR IZMIR05")</f>
        <v>TR IZMIR05</v>
      </c>
      <c r="C935" s="3" t="str">
        <f>IFERROR(__xludf.DUMMYFUNCTION("""COMPUTED_VALUE"""),"Yasar University")</f>
        <v>Yasar University</v>
      </c>
      <c r="D935" s="2" t="str">
        <f>IFERROR(__xludf.DUMMYFUNCTION("""COMPUTED_VALUE"""),"Erasmus+")</f>
        <v>Erasmus+</v>
      </c>
      <c r="E935" s="2">
        <f>IFERROR(__xludf.DUMMYFUNCTION("""COMPUTED_VALUE"""),1.0)</f>
        <v>1</v>
      </c>
      <c r="F935" s="2" t="str">
        <f>IFERROR(__xludf.DUMMYFUNCTION("""COMPUTED_VALUE"""),"Anual")</f>
        <v>Anual</v>
      </c>
      <c r="G935" s="2" t="str">
        <f>IFERROR(__xludf.DUMMYFUNCTION("""COMPUTED_VALUE"""),"Bilbao")</f>
        <v>Bilbao</v>
      </c>
      <c r="H935" s="2" t="str">
        <f>IFERROR(__xludf.DUMMYFUNCTION("""COMPUTED_VALUE"""),"Ciencias Sociales y Humanas")</f>
        <v>Ciencias Sociales y Humanas</v>
      </c>
      <c r="I935" s="2" t="str">
        <f>IFERROR(__xludf.DUMMYFUNCTION("""COMPUTED_VALUE"""),"Relaciones Internacionales, Relaciones Internacionales + Derecho")</f>
        <v>Relaciones Internacionales, Relaciones Internacionales + Derecho</v>
      </c>
      <c r="J935" s="2" t="str">
        <f>IFERROR(__xludf.DUMMYFUNCTION("""COMPUTED_VALUE"""),"Grado")</f>
        <v>Grado</v>
      </c>
      <c r="K935" s="2" t="str">
        <f>IFERROR(__xludf.DUMMYFUNCTION("""COMPUTED_VALUE"""),"Inglés")</f>
        <v>Inglés</v>
      </c>
      <c r="L935" s="2" t="str">
        <f>IFERROR(__xludf.DUMMYFUNCTION("""COMPUTED_VALUE"""),"B2")</f>
        <v>B2</v>
      </c>
      <c r="M935" s="2" t="str">
        <f>IFERROR(__xludf.DUMMYFUNCTION("""COMPUTED_VALUE"""),"No")</f>
        <v>No</v>
      </c>
      <c r="N935" s="3" t="str">
        <f>IFERROR(__xludf.DUMMYFUNCTION("""COMPUTED_VALUE"""),"https://erasmus.yasar.edu.tr/wp-content/uploads/2023/09/Yasar-University-Incoming-Students-Fact-Sheet.pdf")</f>
        <v>https://erasmus.yasar.edu.tr/wp-content/uploads/2023/09/Yasar-University-Incoming-Students-Fact-Sheet.pdf</v>
      </c>
      <c r="O935" s="2" t="str">
        <f>IFERROR(__xludf.DUMMYFUNCTION("""COMPUTED_VALUE"""),"n/a")</f>
        <v>n/a</v>
      </c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30.0" customHeight="1">
      <c r="A936" s="2" t="str">
        <f>IFERROR(__xludf.DUMMYFUNCTION("""COMPUTED_VALUE"""),"Turquía")</f>
        <v>Turquía</v>
      </c>
      <c r="B936" s="2" t="str">
        <f>IFERROR(__xludf.DUMMYFUNCTION("""COMPUTED_VALUE"""),"TR ISTANBU21")</f>
        <v>TR ISTANBU21</v>
      </c>
      <c r="C936" s="3" t="str">
        <f>IFERROR(__xludf.DUMMYFUNCTION("""COMPUTED_VALUE"""),"Yeditepe University")</f>
        <v>Yeditepe University</v>
      </c>
      <c r="D936" s="2" t="str">
        <f>IFERROR(__xludf.DUMMYFUNCTION("""COMPUTED_VALUE"""),"Erasmus+")</f>
        <v>Erasmus+</v>
      </c>
      <c r="E936" s="2">
        <f>IFERROR(__xludf.DUMMYFUNCTION("""COMPUTED_VALUE"""),2.0)</f>
        <v>2</v>
      </c>
      <c r="F936" s="2" t="str">
        <f>IFERROR(__xludf.DUMMYFUNCTION("""COMPUTED_VALUE"""),"Semestre")</f>
        <v>Semestre</v>
      </c>
      <c r="G936" s="2" t="str">
        <f>IFERROR(__xludf.DUMMYFUNCTION("""COMPUTED_VALUE"""),"Ambos")</f>
        <v>Ambos</v>
      </c>
      <c r="H936" s="2" t="str">
        <f>IFERROR(__xludf.DUMMYFUNCTION("""COMPUTED_VALUE"""),"Derecho")</f>
        <v>Derecho</v>
      </c>
      <c r="I936" s="2" t="str">
        <f>IFERROR(__xludf.DUMMYFUNCTION("""COMPUTED_VALUE"""),"Derecho, Derecho + Relaciones Laborales")</f>
        <v>Derecho, Derecho + Relaciones Laborales</v>
      </c>
      <c r="J936" s="2" t="str">
        <f>IFERROR(__xludf.DUMMYFUNCTION("""COMPUTED_VALUE"""),"Grado")</f>
        <v>Grado</v>
      </c>
      <c r="K936" s="2" t="str">
        <f>IFERROR(__xludf.DUMMYFUNCTION("""COMPUTED_VALUE"""),"Inglés")</f>
        <v>Inglés</v>
      </c>
      <c r="L936" s="2" t="str">
        <f>IFERROR(__xludf.DUMMYFUNCTION("""COMPUTED_VALUE"""),"B2")</f>
        <v>B2</v>
      </c>
      <c r="M936" s="2" t="str">
        <f>IFERROR(__xludf.DUMMYFUNCTION("""COMPUTED_VALUE"""),"Sí")</f>
        <v>Sí</v>
      </c>
      <c r="N936" s="3" t="str">
        <f>IFERROR(__xludf.DUMMYFUNCTION("""COMPUTED_VALUE"""),"https://international.yeditepe.edu.tr/en/international/duyuru/2023-2024-erasmus-foreign-language-exam-results#:~:text=The%20minimum%20successful%20score%20for,to%20benefit%20from%20the%20program.")</f>
        <v>https://international.yeditepe.edu.tr/en/international/duyuru/2023-2024-erasmus-foreign-language-exam-results#:~:text=The%20minimum%20successful%20score%20for,to%20benefit%20from%20the%20program.</v>
      </c>
      <c r="O936" s="2" t="str">
        <f>IFERROR(__xludf.DUMMYFUNCTION("""COMPUTED_VALUE"""),"n/a")</f>
        <v>n/a</v>
      </c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30.0" customHeight="1">
      <c r="A937" s="2" t="str">
        <f>IFERROR(__xludf.DUMMYFUNCTION("""COMPUTED_VALUE"""),"Turquía")</f>
        <v>Turquía</v>
      </c>
      <c r="B937" s="2" t="str">
        <f>IFERROR(__xludf.DUMMYFUNCTION("""COMPUTED_VALUE"""),"TR ISTANBU21")</f>
        <v>TR ISTANBU21</v>
      </c>
      <c r="C937" s="3" t="str">
        <f>IFERROR(__xludf.DUMMYFUNCTION("""COMPUTED_VALUE"""),"Yeditepe University")</f>
        <v>Yeditepe University</v>
      </c>
      <c r="D937" s="2" t="str">
        <f>IFERROR(__xludf.DUMMYFUNCTION("""COMPUTED_VALUE"""),"Erasmus+")</f>
        <v>Erasmus+</v>
      </c>
      <c r="E937" s="2">
        <f>IFERROR(__xludf.DUMMYFUNCTION("""COMPUTED_VALUE"""),1.0)</f>
        <v>1</v>
      </c>
      <c r="F937" s="2" t="str">
        <f>IFERROR(__xludf.DUMMYFUNCTION("""COMPUTED_VALUE"""),"Anual")</f>
        <v>Anual</v>
      </c>
      <c r="G937" s="2" t="str">
        <f>IFERROR(__xludf.DUMMYFUNCTION("""COMPUTED_VALUE"""),"Bilbao")</f>
        <v>Bilbao</v>
      </c>
      <c r="H937" s="2" t="str">
        <f>IFERROR(__xludf.DUMMYFUNCTION("""COMPUTED_VALUE"""),"Ciencias Sociales y Humanas")</f>
        <v>Ciencias Sociales y Humanas</v>
      </c>
      <c r="I937" s="2" t="str">
        <f>IFERROR(__xludf.DUMMYFUNCTION("""COMPUTED_VALUE"""),"Relaciones Internacionales, Relaciones Internacionales + Derecho")</f>
        <v>Relaciones Internacionales, Relaciones Internacionales + Derecho</v>
      </c>
      <c r="J937" s="2" t="str">
        <f>IFERROR(__xludf.DUMMYFUNCTION("""COMPUTED_VALUE"""),"Grado")</f>
        <v>Grado</v>
      </c>
      <c r="K937" s="2" t="str">
        <f>IFERROR(__xludf.DUMMYFUNCTION("""COMPUTED_VALUE"""),"Inglés")</f>
        <v>Inglés</v>
      </c>
      <c r="L937" s="2" t="str">
        <f>IFERROR(__xludf.DUMMYFUNCTION("""COMPUTED_VALUE"""),"B2")</f>
        <v>B2</v>
      </c>
      <c r="M937" s="2" t="str">
        <f>IFERROR(__xludf.DUMMYFUNCTION("""COMPUTED_VALUE"""),"Sí")</f>
        <v>Sí</v>
      </c>
      <c r="N937" s="3" t="str">
        <f>IFERROR(__xludf.DUMMYFUNCTION("""COMPUTED_VALUE"""),"https://international.yeditepe.edu.tr/en/international/duyuru/2023-2024-erasmus-foreign-language-exam-results#:~:text=The%20minimum%20successful%20score%20for,to%20benefit%20from%20the%20program.")</f>
        <v>https://international.yeditepe.edu.tr/en/international/duyuru/2023-2024-erasmus-foreign-language-exam-results#:~:text=The%20minimum%20successful%20score%20for,to%20benefit%20from%20the%20program.</v>
      </c>
      <c r="O937" s="2" t="str">
        <f>IFERROR(__xludf.DUMMYFUNCTION("""COMPUTED_VALUE"""),"n/a")</f>
        <v>n/a</v>
      </c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30.0" customHeight="1">
      <c r="A938" s="2" t="str">
        <f>IFERROR(__xludf.DUMMYFUNCTION("""COMPUTED_VALUE"""),"Turquía")</f>
        <v>Turquía</v>
      </c>
      <c r="B938" s="2" t="str">
        <f>IFERROR(__xludf.DUMMYFUNCTION("""COMPUTED_VALUE"""),"TR ISTANBU21")</f>
        <v>TR ISTANBU21</v>
      </c>
      <c r="C938" s="3" t="str">
        <f>IFERROR(__xludf.DUMMYFUNCTION("""COMPUTED_VALUE"""),"Yeditepe University")</f>
        <v>Yeditepe University</v>
      </c>
      <c r="D938" s="2" t="str">
        <f>IFERROR(__xludf.DUMMYFUNCTION("""COMPUTED_VALUE"""),"Erasmus+")</f>
        <v>Erasmus+</v>
      </c>
      <c r="E938" s="2">
        <f>IFERROR(__xludf.DUMMYFUNCTION("""COMPUTED_VALUE"""),3.0)</f>
        <v>3</v>
      </c>
      <c r="F938" s="2" t="str">
        <f>IFERROR(__xludf.DUMMYFUNCTION("""COMPUTED_VALUE"""),"Semestre")</f>
        <v>Semestre</v>
      </c>
      <c r="G938" s="2" t="str">
        <f>IFERROR(__xludf.DUMMYFUNCTION("""COMPUTED_VALUE"""),"Bilbao")</f>
        <v>Bilbao</v>
      </c>
      <c r="H938" s="2" t="str">
        <f>IFERROR(__xludf.DUMMYFUNCTION("""COMPUTED_VALUE"""),"Deusto Business School")</f>
        <v>Deusto Business School</v>
      </c>
      <c r="I938" s="2" t="str">
        <f>IFERROR(__xludf.DUMMYFUNCTION("""COMPUTED_VALUE"""),"Administración y Dirección de Empresas")</f>
        <v>Administración y Dirección de Empresas</v>
      </c>
      <c r="J938" s="2" t="str">
        <f>IFERROR(__xludf.DUMMYFUNCTION("""COMPUTED_VALUE"""),"Grado")</f>
        <v>Grado</v>
      </c>
      <c r="K938" s="2" t="str">
        <f>IFERROR(__xludf.DUMMYFUNCTION("""COMPUTED_VALUE"""),"Inglés")</f>
        <v>Inglés</v>
      </c>
      <c r="L938" s="2" t="str">
        <f>IFERROR(__xludf.DUMMYFUNCTION("""COMPUTED_VALUE"""),"B2")</f>
        <v>B2</v>
      </c>
      <c r="M938" s="2" t="str">
        <f>IFERROR(__xludf.DUMMYFUNCTION("""COMPUTED_VALUE"""),"Sí")</f>
        <v>Sí</v>
      </c>
      <c r="N938" s="3" t="str">
        <f>IFERROR(__xludf.DUMMYFUNCTION("""COMPUTED_VALUE"""),"https://international.yeditepe.edu.tr/en/international/duyuru/2023-2024-erasmus-foreign-language-exam-results#:~:text=The%20minimum%20successful%20score%20for,to%20benefit%20from%20the%20program.")</f>
        <v>https://international.yeditepe.edu.tr/en/international/duyuru/2023-2024-erasmus-foreign-language-exam-results#:~:text=The%20minimum%20successful%20score%20for,to%20benefit%20from%20the%20program.</v>
      </c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30.0" customHeight="1">
      <c r="A939" s="2" t="str">
        <f>IFERROR(__xludf.DUMMYFUNCTION("""COMPUTED_VALUE"""),"Turquía")</f>
        <v>Turquía</v>
      </c>
      <c r="B939" s="2" t="str">
        <f>IFERROR(__xludf.DUMMYFUNCTION("""COMPUTED_VALUE"""),"TR ISTANBU07")</f>
        <v>TR ISTANBU07</v>
      </c>
      <c r="C939" s="3" t="str">
        <f>IFERROR(__xludf.DUMMYFUNCTION("""COMPUTED_VALUE"""),"Yildiz Technical University")</f>
        <v>Yildiz Technical University</v>
      </c>
      <c r="D939" s="2" t="str">
        <f>IFERROR(__xludf.DUMMYFUNCTION("""COMPUTED_VALUE"""),"Erasmus+")</f>
        <v>Erasmus+</v>
      </c>
      <c r="E939" s="2">
        <f>IFERROR(__xludf.DUMMYFUNCTION("""COMPUTED_VALUE"""),2.0)</f>
        <v>2</v>
      </c>
      <c r="F939" s="2" t="str">
        <f>IFERROR(__xludf.DUMMYFUNCTION("""COMPUTED_VALUE"""),"Semestre")</f>
        <v>Semestre</v>
      </c>
      <c r="G939" s="2" t="str">
        <f>IFERROR(__xludf.DUMMYFUNCTION("""COMPUTED_VALUE"""),"Bilbao")</f>
        <v>Bilbao</v>
      </c>
      <c r="H939" s="2" t="str">
        <f>IFERROR(__xludf.DUMMYFUNCTION("""COMPUTED_VALUE"""),"Ingeniería")</f>
        <v>Ingeniería</v>
      </c>
      <c r="I939" s="2" t="str">
        <f>IFERROR(__xludf.DUMMYFUNCTION("""COMPUTED_VALUE"""),"Organización Industrial")</f>
        <v>Organización Industrial</v>
      </c>
      <c r="J939" s="2" t="str">
        <f>IFERROR(__xludf.DUMMYFUNCTION("""COMPUTED_VALUE"""),"Grado")</f>
        <v>Grado</v>
      </c>
      <c r="K939" s="2" t="str">
        <f>IFERROR(__xludf.DUMMYFUNCTION("""COMPUTED_VALUE"""),"Inglés")</f>
        <v>Inglés</v>
      </c>
      <c r="L939" s="2" t="str">
        <f>IFERROR(__xludf.DUMMYFUNCTION("""COMPUTED_VALUE"""),"B2")</f>
        <v>B2</v>
      </c>
      <c r="M939" s="2" t="str">
        <f>IFERROR(__xludf.DUMMYFUNCTION("""COMPUTED_VALUE"""),"No")</f>
        <v>No</v>
      </c>
      <c r="N939" s="3" t="str">
        <f>IFERROR(__xludf.DUMMYFUNCTION("""COMPUTED_VALUE"""),"https://erasmus.yildiz.edu.tr/page/Erasmus--Studies-Europe/Requirements/462")</f>
        <v>https://erasmus.yildiz.edu.tr/page/Erasmus--Studies-Europe/Requirements/462</v>
      </c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30.0" customHeight="1">
      <c r="A940" s="2" t="str">
        <f>IFERROR(__xludf.DUMMYFUNCTION("""COMPUTED_VALUE"""),"Turquía")</f>
        <v>Turquía</v>
      </c>
      <c r="B940" s="2" t="str">
        <f>IFERROR(__xludf.DUMMYFUNCTION("""COMPUTED_VALUE"""),"TR ISTANBU22")</f>
        <v>TR ISTANBU22</v>
      </c>
      <c r="C940" s="3" t="str">
        <f>IFERROR(__xludf.DUMMYFUNCTION("""COMPUTED_VALUE"""),"Istanbul Okan University")</f>
        <v>Istanbul Okan University</v>
      </c>
      <c r="D940" s="2" t="str">
        <f>IFERROR(__xludf.DUMMYFUNCTION("""COMPUTED_VALUE"""),"Erasmus+")</f>
        <v>Erasmus+</v>
      </c>
      <c r="E940" s="2">
        <f>IFERROR(__xludf.DUMMYFUNCTION("""COMPUTED_VALUE"""),3.0)</f>
        <v>3</v>
      </c>
      <c r="F940" s="2" t="str">
        <f>IFERROR(__xludf.DUMMYFUNCTION("""COMPUTED_VALUE"""),"Semestre")</f>
        <v>Semestre</v>
      </c>
      <c r="G940" s="2" t="str">
        <f>IFERROR(__xludf.DUMMYFUNCTION("""COMPUTED_VALUE"""),"Bilbao")</f>
        <v>Bilbao</v>
      </c>
      <c r="H940" s="2" t="str">
        <f>IFERROR(__xludf.DUMMYFUNCTION("""COMPUTED_VALUE"""),"Ciencias Sociales y Humanas")</f>
        <v>Ciencias Sociales y Humanas</v>
      </c>
      <c r="I940" s="2" t="str">
        <f>IFERROR(__xludf.DUMMYFUNCTION("""COMPUTED_VALUE"""),"Relaciones Internacionales, Relaciones Internacionales + Derecho")</f>
        <v>Relaciones Internacionales, Relaciones Internacionales + Derecho</v>
      </c>
      <c r="J940" s="2" t="str">
        <f>IFERROR(__xludf.DUMMYFUNCTION("""COMPUTED_VALUE"""),"Grado")</f>
        <v>Grado</v>
      </c>
      <c r="K940" s="2" t="str">
        <f>IFERROR(__xludf.DUMMYFUNCTION("""COMPUTED_VALUE"""),"Inglés")</f>
        <v>Inglés</v>
      </c>
      <c r="L940" s="2" t="str">
        <f>IFERROR(__xludf.DUMMYFUNCTION("""COMPUTED_VALUE"""),"B2")</f>
        <v>B2</v>
      </c>
      <c r="M940" s="2" t="str">
        <f>IFERROR(__xludf.DUMMYFUNCTION("""COMPUTED_VALUE"""),"No")</f>
        <v>No</v>
      </c>
      <c r="N940" s="3" t="str">
        <f>IFERROR(__xludf.DUMMYFUNCTION("""COMPUTED_VALUE"""),"https://www.okan.edu.tr/en/")</f>
        <v>https://www.okan.edu.tr/en/</v>
      </c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30.0" customHeight="1">
      <c r="A941" s="2" t="str">
        <f>IFERROR(__xludf.DUMMYFUNCTION("""COMPUTED_VALUE"""),"Uruguay")</f>
        <v>Uruguay</v>
      </c>
      <c r="B941" s="2" t="str">
        <f>IFERROR(__xludf.DUMMYFUNCTION("""COMPUTED_VALUE"""),"U MONTEVID01")</f>
        <v>U MONTEVID01</v>
      </c>
      <c r="C941" s="3" t="str">
        <f>IFERROR(__xludf.DUMMYFUNCTION("""COMPUTED_VALUE"""),"Universidad Católica del Uruguay Dámaso Larrañaga")</f>
        <v>Universidad Católica del Uruguay Dámaso Larrañaga</v>
      </c>
      <c r="D941" s="2" t="str">
        <f>IFERROR(__xludf.DUMMYFUNCTION("""COMPUTED_VALUE"""),"Ac. Bilaterales (no Erasmus)")</f>
        <v>Ac. Bilaterales (no Erasmus)</v>
      </c>
      <c r="E941" s="2">
        <f>IFERROR(__xludf.DUMMYFUNCTION("""COMPUTED_VALUE"""),6.0)</f>
        <v>6</v>
      </c>
      <c r="F941" s="2" t="str">
        <f>IFERROR(__xludf.DUMMYFUNCTION("""COMPUTED_VALUE"""),"Semestre")</f>
        <v>Semestre</v>
      </c>
      <c r="G941" s="2" t="str">
        <f>IFERROR(__xludf.DUMMYFUNCTION("""COMPUTED_VALUE"""),"San Sebastián")</f>
        <v>San Sebastián</v>
      </c>
      <c r="H941" s="2" t="str">
        <f>IFERROR(__xludf.DUMMYFUNCTION("""COMPUTED_VALUE"""),"Deusto Business School")</f>
        <v>Deusto Business School</v>
      </c>
      <c r="I941" s="2" t="str">
        <f>IFERROR(__xludf.DUMMYFUNCTION("""COMPUTED_VALUE"""),"Administración y Dirección de Empresas")</f>
        <v>Administración y Dirección de Empresas</v>
      </c>
      <c r="J941" s="2" t="str">
        <f>IFERROR(__xludf.DUMMYFUNCTION("""COMPUTED_VALUE"""),"Grado")</f>
        <v>Grado</v>
      </c>
      <c r="K941" s="2" t="str">
        <f>IFERROR(__xludf.DUMMYFUNCTION("""COMPUTED_VALUE"""),"Español")</f>
        <v>Español</v>
      </c>
      <c r="L941" s="2" t="str">
        <f>IFERROR(__xludf.DUMMYFUNCTION("""COMPUTED_VALUE"""),"n/a")</f>
        <v>n/a</v>
      </c>
      <c r="M941" s="2" t="str">
        <f>IFERROR(__xludf.DUMMYFUNCTION("""COMPUTED_VALUE"""),"No")</f>
        <v>No</v>
      </c>
      <c r="N941" s="3" t="str">
        <f>IFERROR(__xludf.DUMMYFUNCTION("""COMPUTED_VALUE"""),"https://www.ucu.edu.uy/categoria/Internacionales-321")</f>
        <v>https://www.ucu.edu.uy/categoria/Internacionales-321</v>
      </c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30.0" customHeight="1">
      <c r="A942" s="2" t="str">
        <f>IFERROR(__xludf.DUMMYFUNCTION("""COMPUTED_VALUE"""),"Uruguay")</f>
        <v>Uruguay</v>
      </c>
      <c r="B942" s="2" t="str">
        <f>IFERROR(__xludf.DUMMYFUNCTION("""COMPUTED_VALUE"""),"U MONTEVID01")</f>
        <v>U MONTEVID01</v>
      </c>
      <c r="C942" s="3" t="str">
        <f>IFERROR(__xludf.DUMMYFUNCTION("""COMPUTED_VALUE"""),"Universidad Católica del Uruguay Dámaso Larrañaga")</f>
        <v>Universidad Católica del Uruguay Dámaso Larrañaga</v>
      </c>
      <c r="D942" s="2" t="str">
        <f>IFERROR(__xludf.DUMMYFUNCTION("""COMPUTED_VALUE"""),"Ac. Bilaterales (no Erasmus)")</f>
        <v>Ac. Bilaterales (no Erasmus)</v>
      </c>
      <c r="E942" s="2">
        <f>IFERROR(__xludf.DUMMYFUNCTION("""COMPUTED_VALUE"""),2.0)</f>
        <v>2</v>
      </c>
      <c r="F942" s="2" t="str">
        <f>IFERROR(__xludf.DUMMYFUNCTION("""COMPUTED_VALUE"""),"Semestre")</f>
        <v>Semestre</v>
      </c>
      <c r="G942" s="2" t="str">
        <f>IFERROR(__xludf.DUMMYFUNCTION("""COMPUTED_VALUE"""),"San Sebastián")</f>
        <v>San Sebastián</v>
      </c>
      <c r="H942" s="2" t="str">
        <f>IFERROR(__xludf.DUMMYFUNCTION("""COMPUTED_VALUE"""),"Ciencias de la Salud")</f>
        <v>Ciencias de la Salud</v>
      </c>
      <c r="I942" s="2" t="str">
        <f>IFERROR(__xludf.DUMMYFUNCTION("""COMPUTED_VALUE"""),"Fisioterapia")</f>
        <v>Fisioterapia</v>
      </c>
      <c r="J942" s="2" t="str">
        <f>IFERROR(__xludf.DUMMYFUNCTION("""COMPUTED_VALUE"""),"Grado")</f>
        <v>Grado</v>
      </c>
      <c r="K942" s="2" t="str">
        <f>IFERROR(__xludf.DUMMYFUNCTION("""COMPUTED_VALUE"""),"Español")</f>
        <v>Español</v>
      </c>
      <c r="L942" s="2" t="str">
        <f>IFERROR(__xludf.DUMMYFUNCTION("""COMPUTED_VALUE"""),"n/a")</f>
        <v>n/a</v>
      </c>
      <c r="M942" s="2" t="str">
        <f>IFERROR(__xludf.DUMMYFUNCTION("""COMPUTED_VALUE"""),"No")</f>
        <v>No</v>
      </c>
      <c r="N942" s="3" t="str">
        <f>IFERROR(__xludf.DUMMYFUNCTION("""COMPUTED_VALUE"""),"https://www.ucu.edu.uy/categoria/Internacionales-321")</f>
        <v>https://www.ucu.edu.uy/categoria/Internacionales-321</v>
      </c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30.0" customHeight="1">
      <c r="A943" s="2" t="str">
        <f>IFERROR(__xludf.DUMMYFUNCTION("""COMPUTED_VALUE"""),"Uruguay")</f>
        <v>Uruguay</v>
      </c>
      <c r="B943" s="2" t="str">
        <f>IFERROR(__xludf.DUMMYFUNCTION("""COMPUTED_VALUE"""),"U MONTEVID01")</f>
        <v>U MONTEVID01</v>
      </c>
      <c r="C943" s="3" t="str">
        <f>IFERROR(__xludf.DUMMYFUNCTION("""COMPUTED_VALUE"""),"Universidad Católica del Uruguay Dámaso Larrañaga")</f>
        <v>Universidad Católica del Uruguay Dámaso Larrañaga</v>
      </c>
      <c r="D943" s="2" t="str">
        <f>IFERROR(__xludf.DUMMYFUNCTION("""COMPUTED_VALUE"""),"Ac. Bilaterales (no Erasmus)")</f>
        <v>Ac. Bilaterales (no Erasmus)</v>
      </c>
      <c r="E943" s="2">
        <f>IFERROR(__xludf.DUMMYFUNCTION("""COMPUTED_VALUE"""),4.0)</f>
        <v>4</v>
      </c>
      <c r="F943" s="2" t="str">
        <f>IFERROR(__xludf.DUMMYFUNCTION("""COMPUTED_VALUE"""),"Semestre")</f>
        <v>Semestre</v>
      </c>
      <c r="G943" s="2" t="str">
        <f>IFERROR(__xludf.DUMMYFUNCTION("""COMPUTED_VALUE"""),"Bilbao")</f>
        <v>Bilbao</v>
      </c>
      <c r="H943" s="2" t="str">
        <f>IFERROR(__xludf.DUMMYFUNCTION("""COMPUTED_VALUE"""),"Educación y Deporte")</f>
        <v>Educación y Deporte</v>
      </c>
      <c r="I943" s="2" t="str">
        <f>IFERROR(__xludf.DUMMYFUNCTION("""COMPUTED_VALUE"""),"Educación Social")</f>
        <v>Educación Social</v>
      </c>
      <c r="J943" s="2" t="str">
        <f>IFERROR(__xludf.DUMMYFUNCTION("""COMPUTED_VALUE"""),"Grado")</f>
        <v>Grado</v>
      </c>
      <c r="K943" s="2" t="str">
        <f>IFERROR(__xludf.DUMMYFUNCTION("""COMPUTED_VALUE"""),"Español")</f>
        <v>Español</v>
      </c>
      <c r="L943" s="2" t="str">
        <f>IFERROR(__xludf.DUMMYFUNCTION("""COMPUTED_VALUE"""),"n/a")</f>
        <v>n/a</v>
      </c>
      <c r="M943" s="2" t="str">
        <f>IFERROR(__xludf.DUMMYFUNCTION("""COMPUTED_VALUE"""),"No")</f>
        <v>No</v>
      </c>
      <c r="N943" s="2" t="str">
        <f>IFERROR(__xludf.DUMMYFUNCTION("""COMPUTED_VALUE"""),"n/a")</f>
        <v>n/a</v>
      </c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30.0" customHeight="1">
      <c r="A944" s="2" t="str">
        <f>IFERROR(__xludf.DUMMYFUNCTION("""COMPUTED_VALUE"""),"Uruguay")</f>
        <v>Uruguay</v>
      </c>
      <c r="B944" s="2" t="str">
        <f>IFERROR(__xludf.DUMMYFUNCTION("""COMPUTED_VALUE"""),"U MONTEVID01")</f>
        <v>U MONTEVID01</v>
      </c>
      <c r="C944" s="3" t="str">
        <f>IFERROR(__xludf.DUMMYFUNCTION("""COMPUTED_VALUE"""),"Universidad Católica del Uruguay Dámaso Larrañaga")</f>
        <v>Universidad Católica del Uruguay Dámaso Larrañaga</v>
      </c>
      <c r="D944" s="2" t="str">
        <f>IFERROR(__xludf.DUMMYFUNCTION("""COMPUTED_VALUE"""),"Ac. Bilaterales (no Erasmus)")</f>
        <v>Ac. Bilaterales (no Erasmus)</v>
      </c>
      <c r="E944" s="2">
        <f>IFERROR(__xludf.DUMMYFUNCTION("""COMPUTED_VALUE"""),4.0)</f>
        <v>4</v>
      </c>
      <c r="F944" s="2" t="str">
        <f>IFERROR(__xludf.DUMMYFUNCTION("""COMPUTED_VALUE"""),"Semestre")</f>
        <v>Semestre</v>
      </c>
      <c r="G944" s="2" t="str">
        <f>IFERROR(__xludf.DUMMYFUNCTION("""COMPUTED_VALUE"""),"Ambos")</f>
        <v>Ambos</v>
      </c>
      <c r="H944" s="2" t="str">
        <f>IFERROR(__xludf.DUMMYFUNCTION("""COMPUTED_VALUE"""),"Ingeniería")</f>
        <v>Ingeniería</v>
      </c>
      <c r="I944" s="2" t="str">
        <f>IFERROR(__xludf.DUMMYFUNCTION("""COMPUTED_VALUE"""),"Ingeniería Informática, Organización Industrial, Ingeniería Informática + Videojuegos")</f>
        <v>Ingeniería Informática, Organización Industrial, Ingeniería Informática + Videojuegos</v>
      </c>
      <c r="J944" s="2" t="str">
        <f>IFERROR(__xludf.DUMMYFUNCTION("""COMPUTED_VALUE"""),"Grado")</f>
        <v>Grado</v>
      </c>
      <c r="K944" s="2" t="str">
        <f>IFERROR(__xludf.DUMMYFUNCTION("""COMPUTED_VALUE"""),"Español")</f>
        <v>Español</v>
      </c>
      <c r="L944" s="2" t="str">
        <f>IFERROR(__xludf.DUMMYFUNCTION("""COMPUTED_VALUE"""),"n/a")</f>
        <v>n/a</v>
      </c>
      <c r="M944" s="2" t="str">
        <f>IFERROR(__xludf.DUMMYFUNCTION("""COMPUTED_VALUE"""),"No")</f>
        <v>No</v>
      </c>
      <c r="N944" s="2" t="str">
        <f>IFERROR(__xludf.DUMMYFUNCTION("""COMPUTED_VALUE"""),"n/a")</f>
        <v>n/a</v>
      </c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30.0" customHeight="1">
      <c r="A945" s="2" t="str">
        <f>IFERROR(__xludf.DUMMYFUNCTION("""COMPUTED_VALUE"""),"Uruguay")</f>
        <v>Uruguay</v>
      </c>
      <c r="B945" s="2" t="str">
        <f>IFERROR(__xludf.DUMMYFUNCTION("""COMPUTED_VALUE"""),"U MONTEVID01")</f>
        <v>U MONTEVID01</v>
      </c>
      <c r="C945" s="3" t="str">
        <f>IFERROR(__xludf.DUMMYFUNCTION("""COMPUTED_VALUE"""),"Universidad Católica del Uruguay Dámaso Larrañaga")</f>
        <v>Universidad Católica del Uruguay Dámaso Larrañaga</v>
      </c>
      <c r="D945" s="2" t="str">
        <f>IFERROR(__xludf.DUMMYFUNCTION("""COMPUTED_VALUE"""),"Ac. Bilaterales (no Erasmus)")</f>
        <v>Ac. Bilaterales (no Erasmus)</v>
      </c>
      <c r="E945" s="2">
        <f>IFERROR(__xludf.DUMMYFUNCTION("""COMPUTED_VALUE"""),4.0)</f>
        <v>4</v>
      </c>
      <c r="F945" s="2" t="str">
        <f>IFERROR(__xludf.DUMMYFUNCTION("""COMPUTED_VALUE"""),"Semestre")</f>
        <v>Semestre</v>
      </c>
      <c r="G945" s="2" t="str">
        <f>IFERROR(__xludf.DUMMYFUNCTION("""COMPUTED_VALUE"""),"Ambos")</f>
        <v>Ambos</v>
      </c>
      <c r="H945" s="2" t="str">
        <f>IFERROR(__xludf.DUMMYFUNCTION("""COMPUTED_VALUE"""),"Ciencias Sociales y Humanas")</f>
        <v>Ciencias Sociales y Humanas</v>
      </c>
      <c r="I945" s="2" t="str">
        <f>IFERROR(__xludf.DUMMYFUNCTION("""COMPUTED_VALUE"""),"Trabajo Social")</f>
        <v>Trabajo Social</v>
      </c>
      <c r="J945" s="2" t="str">
        <f>IFERROR(__xludf.DUMMYFUNCTION("""COMPUTED_VALUE"""),"Grado")</f>
        <v>Grado</v>
      </c>
      <c r="K945" s="2" t="str">
        <f>IFERROR(__xludf.DUMMYFUNCTION("""COMPUTED_VALUE"""),"Español")</f>
        <v>Español</v>
      </c>
      <c r="L945" s="2" t="str">
        <f>IFERROR(__xludf.DUMMYFUNCTION("""COMPUTED_VALUE"""),"n/a")</f>
        <v>n/a</v>
      </c>
      <c r="M945" s="2" t="str">
        <f>IFERROR(__xludf.DUMMYFUNCTION("""COMPUTED_VALUE"""),"No")</f>
        <v>No</v>
      </c>
      <c r="N945" s="3" t="str">
        <f>IFERROR(__xludf.DUMMYFUNCTION("""COMPUTED_VALUE"""),"https://www.ucu.edu.uy/categoria/Internacionales-321")</f>
        <v>https://www.ucu.edu.uy/categoria/Internacionales-321</v>
      </c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30.0" customHeight="1">
      <c r="A946" s="2" t="str">
        <f>IFERROR(__xludf.DUMMYFUNCTION("""COMPUTED_VALUE"""),"Uruguay")</f>
        <v>Uruguay</v>
      </c>
      <c r="B946" s="2" t="str">
        <f>IFERROR(__xludf.DUMMYFUNCTION("""COMPUTED_VALUE"""),"U MONTEVID01")</f>
        <v>U MONTEVID01</v>
      </c>
      <c r="C946" s="3" t="str">
        <f>IFERROR(__xludf.DUMMYFUNCTION("""COMPUTED_VALUE"""),"Universidad Católica del Uruguay Dámaso Larrañaga")</f>
        <v>Universidad Católica del Uruguay Dámaso Larrañaga</v>
      </c>
      <c r="D946" s="2" t="str">
        <f>IFERROR(__xludf.DUMMYFUNCTION("""COMPUTED_VALUE"""),"Ac. Bilaterales (no Erasmus)")</f>
        <v>Ac. Bilaterales (no Erasmus)</v>
      </c>
      <c r="E946" s="2">
        <f>IFERROR(__xludf.DUMMYFUNCTION("""COMPUTED_VALUE"""),4.0)</f>
        <v>4</v>
      </c>
      <c r="F946" s="2" t="str">
        <f>IFERROR(__xludf.DUMMYFUNCTION("""COMPUTED_VALUE"""),"Semestre")</f>
        <v>Semestre</v>
      </c>
      <c r="G946" s="2" t="str">
        <f>IFERROR(__xludf.DUMMYFUNCTION("""COMPUTED_VALUE"""),"Bilbao")</f>
        <v>Bilbao</v>
      </c>
      <c r="H946" s="2" t="str">
        <f>IFERROR(__xludf.DUMMYFUNCTION("""COMPUTED_VALUE"""),"Ciencias Sociales y Humanas")</f>
        <v>Ciencias Sociales y Humanas</v>
      </c>
      <c r="I946" s="2" t="str">
        <f>IFERROR(__xludf.DUMMYFUNCTION("""COMPUTED_VALUE"""),"Turismo")</f>
        <v>Turismo</v>
      </c>
      <c r="J946" s="2" t="str">
        <f>IFERROR(__xludf.DUMMYFUNCTION("""COMPUTED_VALUE"""),"Grado")</f>
        <v>Grado</v>
      </c>
      <c r="K946" s="2" t="str">
        <f>IFERROR(__xludf.DUMMYFUNCTION("""COMPUTED_VALUE"""),"Español")</f>
        <v>Español</v>
      </c>
      <c r="L946" s="2" t="str">
        <f>IFERROR(__xludf.DUMMYFUNCTION("""COMPUTED_VALUE"""),"n/a")</f>
        <v>n/a</v>
      </c>
      <c r="M946" s="2" t="str">
        <f>IFERROR(__xludf.DUMMYFUNCTION("""COMPUTED_VALUE"""),"No")</f>
        <v>No</v>
      </c>
      <c r="N946" s="2" t="str">
        <f>IFERROR(__xludf.DUMMYFUNCTION("""COMPUTED_VALUE"""),"n/a")</f>
        <v>n/a</v>
      </c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30.0" customHeight="1">
      <c r="A947" s="2"/>
      <c r="B947" s="2" t="str">
        <f>IFERROR(__xludf.DUMMYFUNCTION("""COMPUTED_VALUE""")," ")</f>
        <v> </v>
      </c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30.0" customHeight="1">
      <c r="A948" s="2"/>
      <c r="B948" s="2"/>
      <c r="C948" s="2" t="str">
        <f>IFERROR(__xludf.DUMMYFUNCTION("""COMPUTED_VALUE"""),"  ")</f>
        <v>  </v>
      </c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30.0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30.0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30.0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30.0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30.0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30.0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30.0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30.0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30.0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30.0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30.0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30.0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30.0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30.0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30.0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30.0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30.0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30.0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30.0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30.0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30.0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30.0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30.0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30.0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30.0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30.0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30.0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30.0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30.0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30.0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30.0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30.0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30.0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30.0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30.0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30.0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30.0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30.0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30.0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30.0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30.0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30.0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30.0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30.0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30.0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30.0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30.0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30.0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30.0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30.0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30.0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30.0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ht="30.0" customHeight="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 ht="30.0" customHeight="1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  <row r="1003" ht="30.0" customHeight="1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</row>
    <row r="1004" ht="30.0" customHeight="1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</row>
    <row r="1005" ht="30.0" customHeight="1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</row>
    <row r="1006" ht="30.0" customHeight="1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</row>
    <row r="1007" ht="30.0" customHeight="1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</row>
    <row r="1008" ht="30.0" customHeight="1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</row>
    <row r="1009" ht="30.0" customHeight="1">
      <c r="A1009" s="2"/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</row>
    <row r="1010" ht="30.0" customHeight="1">
      <c r="A1010" s="2"/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</row>
    <row r="1011" ht="30.0" customHeight="1">
      <c r="A1011" s="2"/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</row>
    <row r="1012" ht="30.0" customHeight="1">
      <c r="A1012" s="2"/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</row>
    <row r="1013" ht="30.0" customHeight="1">
      <c r="A1013" s="2"/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</row>
    <row r="1014" ht="30.0" customHeight="1">
      <c r="A1014" s="2"/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</row>
    <row r="1015" ht="30.0" customHeight="1">
      <c r="A1015" s="2"/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</row>
    <row r="1016" ht="30.0" customHeight="1">
      <c r="A1016" s="2"/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</row>
    <row r="1017" ht="30.0" customHeight="1">
      <c r="A1017" s="2"/>
      <c r="B1017" s="2"/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</row>
    <row r="1018" ht="30.0" customHeight="1">
      <c r="A1018" s="2"/>
      <c r="B1018" s="2"/>
      <c r="C1018" s="2"/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</row>
    <row r="1019" ht="30.0" customHeight="1">
      <c r="A1019" s="2"/>
      <c r="B1019" s="2"/>
      <c r="C1019" s="2"/>
      <c r="D1019" s="2"/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</row>
    <row r="1020" ht="30.0" customHeight="1">
      <c r="A1020" s="2"/>
      <c r="B1020" s="2"/>
      <c r="C1020" s="2"/>
      <c r="D1020" s="2"/>
      <c r="E1020" s="2"/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  <c r="Z1020" s="2"/>
    </row>
    <row r="1021" ht="30.0" customHeight="1">
      <c r="A1021" s="2"/>
      <c r="B1021" s="2"/>
      <c r="C1021" s="2"/>
      <c r="D1021" s="2"/>
      <c r="E1021" s="2"/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  <c r="Z1021" s="2"/>
    </row>
    <row r="1022" ht="30.0" customHeight="1">
      <c r="A1022" s="2"/>
      <c r="B1022" s="2"/>
      <c r="C1022" s="2"/>
      <c r="D1022" s="2"/>
      <c r="E1022" s="2"/>
      <c r="F1022" s="2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  <c r="Z1022" s="2"/>
    </row>
    <row r="1023" ht="30.0" customHeight="1">
      <c r="A1023" s="2"/>
      <c r="B1023" s="2"/>
      <c r="C1023" s="2"/>
      <c r="D1023" s="2"/>
      <c r="E1023" s="2"/>
      <c r="F1023" s="2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  <c r="Z1023" s="2"/>
    </row>
    <row r="1024" ht="30.0" customHeight="1">
      <c r="A1024" s="2"/>
      <c r="B1024" s="2"/>
      <c r="C1024" s="2"/>
      <c r="D1024" s="2"/>
      <c r="E1024" s="2"/>
      <c r="F1024" s="2"/>
      <c r="G1024" s="2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  <c r="Z1024" s="2"/>
    </row>
    <row r="1025" ht="30.0" customHeight="1">
      <c r="A1025" s="2"/>
      <c r="B1025" s="2"/>
      <c r="C1025" s="2"/>
      <c r="D1025" s="2"/>
      <c r="E1025" s="2"/>
      <c r="F1025" s="2"/>
      <c r="G1025" s="2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  <c r="Z1025" s="2"/>
    </row>
    <row r="1026" ht="30.0" customHeight="1">
      <c r="A1026" s="2"/>
      <c r="B1026" s="2"/>
      <c r="C1026" s="2"/>
      <c r="D1026" s="2"/>
      <c r="E1026" s="2"/>
      <c r="F1026" s="2"/>
      <c r="G1026" s="2"/>
      <c r="H1026" s="2"/>
      <c r="I1026" s="2"/>
      <c r="J1026" s="2"/>
      <c r="K1026" s="2"/>
      <c r="L1026" s="2"/>
      <c r="M1026" s="2"/>
      <c r="N1026" s="2"/>
      <c r="O1026" s="2"/>
      <c r="P1026" s="2"/>
      <c r="Q1026" s="2"/>
      <c r="R1026" s="2"/>
      <c r="S1026" s="2"/>
      <c r="T1026" s="2"/>
      <c r="U1026" s="2"/>
      <c r="V1026" s="2"/>
      <c r="W1026" s="2"/>
      <c r="X1026" s="2"/>
      <c r="Y1026" s="2"/>
      <c r="Z1026" s="2"/>
    </row>
    <row r="1027" ht="30.0" customHeight="1">
      <c r="A1027" s="2"/>
      <c r="B1027" s="2"/>
      <c r="C1027" s="2"/>
      <c r="D1027" s="2"/>
      <c r="E1027" s="2"/>
      <c r="F1027" s="2"/>
      <c r="G1027" s="2"/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R1027" s="2"/>
      <c r="S1027" s="2"/>
      <c r="T1027" s="2"/>
      <c r="U1027" s="2"/>
      <c r="V1027" s="2"/>
      <c r="W1027" s="2"/>
      <c r="X1027" s="2"/>
      <c r="Y1027" s="2"/>
      <c r="Z1027" s="2"/>
    </row>
    <row r="1028" ht="30.0" customHeight="1">
      <c r="A1028" s="2"/>
      <c r="B1028" s="2"/>
      <c r="C1028" s="2"/>
      <c r="D1028" s="2"/>
      <c r="E1028" s="2"/>
      <c r="F1028" s="2"/>
      <c r="G1028" s="2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  <c r="Z1028" s="2"/>
    </row>
    <row r="1029" ht="30.0" customHeight="1">
      <c r="A1029" s="2"/>
      <c r="B1029" s="2"/>
      <c r="C1029" s="2"/>
      <c r="D1029" s="2"/>
      <c r="E1029" s="2"/>
      <c r="F1029" s="2"/>
      <c r="G1029" s="2"/>
      <c r="H1029" s="2"/>
      <c r="I1029" s="2"/>
      <c r="J1029" s="2"/>
      <c r="K1029" s="2"/>
      <c r="L1029" s="2"/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  <c r="Z1029" s="2"/>
    </row>
    <row r="1030" ht="30.0" customHeight="1">
      <c r="A1030" s="2"/>
      <c r="B1030" s="2"/>
      <c r="C1030" s="2"/>
      <c r="D1030" s="2"/>
      <c r="E1030" s="2"/>
      <c r="F1030" s="2"/>
      <c r="G1030" s="2"/>
      <c r="H1030" s="2"/>
      <c r="I1030" s="2"/>
      <c r="J1030" s="2"/>
      <c r="K1030" s="2"/>
      <c r="L1030" s="2"/>
      <c r="M1030" s="2"/>
      <c r="N1030" s="2"/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  <c r="Z1030" s="2"/>
    </row>
    <row r="1031" ht="30.0" customHeight="1">
      <c r="A1031" s="2"/>
      <c r="B1031" s="2"/>
      <c r="C1031" s="2"/>
      <c r="D1031" s="2"/>
      <c r="E1031" s="2"/>
      <c r="F1031" s="2"/>
      <c r="G1031" s="2"/>
      <c r="H1031" s="2"/>
      <c r="I1031" s="2"/>
      <c r="J1031" s="2"/>
      <c r="K1031" s="2"/>
      <c r="L1031" s="2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2"/>
      <c r="Z1031" s="2"/>
    </row>
    <row r="1032" ht="30.0" customHeight="1">
      <c r="A1032" s="2"/>
      <c r="B1032" s="2"/>
      <c r="C1032" s="2"/>
      <c r="D1032" s="2"/>
      <c r="E1032" s="2"/>
      <c r="F1032" s="2"/>
      <c r="G1032" s="2"/>
      <c r="H1032" s="2"/>
      <c r="I1032" s="2"/>
      <c r="J1032" s="2"/>
      <c r="K1032" s="2"/>
      <c r="L1032" s="2"/>
      <c r="M1032" s="2"/>
      <c r="N1032" s="2"/>
      <c r="O1032" s="2"/>
      <c r="P1032" s="2"/>
      <c r="Q1032" s="2"/>
      <c r="R1032" s="2"/>
      <c r="S1032" s="2"/>
      <c r="T1032" s="2"/>
      <c r="U1032" s="2"/>
      <c r="V1032" s="2"/>
      <c r="W1032" s="2"/>
      <c r="X1032" s="2"/>
      <c r="Y1032" s="2"/>
      <c r="Z1032" s="2"/>
    </row>
    <row r="1033" ht="30.0" customHeight="1">
      <c r="A1033" s="2"/>
      <c r="B1033" s="2"/>
      <c r="C1033" s="2"/>
      <c r="D1033" s="2"/>
      <c r="E1033" s="2"/>
      <c r="F1033" s="2"/>
      <c r="G1033" s="2"/>
      <c r="H1033" s="2"/>
      <c r="I1033" s="2"/>
      <c r="J1033" s="2"/>
      <c r="K1033" s="2"/>
      <c r="L1033" s="2"/>
      <c r="M1033" s="2"/>
      <c r="N1033" s="2"/>
      <c r="O1033" s="2"/>
      <c r="P1033" s="2"/>
      <c r="Q1033" s="2"/>
      <c r="R1033" s="2"/>
      <c r="S1033" s="2"/>
      <c r="T1033" s="2"/>
      <c r="U1033" s="2"/>
      <c r="V1033" s="2"/>
      <c r="W1033" s="2"/>
      <c r="X1033" s="2"/>
      <c r="Y1033" s="2"/>
      <c r="Z1033" s="2"/>
    </row>
    <row r="1034" ht="30.0" customHeight="1">
      <c r="A1034" s="2"/>
      <c r="B1034" s="2"/>
      <c r="C1034" s="2"/>
      <c r="D1034" s="2"/>
      <c r="E1034" s="2"/>
      <c r="F1034" s="2"/>
      <c r="G1034" s="2"/>
      <c r="H1034" s="2"/>
      <c r="I1034" s="2"/>
      <c r="J1034" s="2"/>
      <c r="K1034" s="2"/>
      <c r="L1034" s="2"/>
      <c r="M1034" s="2"/>
      <c r="N1034" s="2"/>
      <c r="O1034" s="2"/>
      <c r="P1034" s="2"/>
      <c r="Q1034" s="2"/>
      <c r="R1034" s="2"/>
      <c r="S1034" s="2"/>
      <c r="T1034" s="2"/>
      <c r="U1034" s="2"/>
      <c r="V1034" s="2"/>
      <c r="W1034" s="2"/>
      <c r="X1034" s="2"/>
      <c r="Y1034" s="2"/>
      <c r="Z1034" s="2"/>
    </row>
    <row r="1035" ht="30.0" customHeight="1">
      <c r="A1035" s="2"/>
      <c r="B1035" s="2"/>
      <c r="C1035" s="2"/>
      <c r="D1035" s="2"/>
      <c r="E1035" s="2"/>
      <c r="F1035" s="2"/>
      <c r="G1035" s="2"/>
      <c r="H1035" s="2"/>
      <c r="I1035" s="2"/>
      <c r="J1035" s="2"/>
      <c r="K1035" s="2"/>
      <c r="L1035" s="2"/>
      <c r="M1035" s="2"/>
      <c r="N1035" s="2"/>
      <c r="O1035" s="2"/>
      <c r="P1035" s="2"/>
      <c r="Q1035" s="2"/>
      <c r="R1035" s="2"/>
      <c r="S1035" s="2"/>
      <c r="T1035" s="2"/>
      <c r="U1035" s="2"/>
      <c r="V1035" s="2"/>
      <c r="W1035" s="2"/>
      <c r="X1035" s="2"/>
      <c r="Y1035" s="2"/>
      <c r="Z1035" s="2"/>
    </row>
    <row r="1036" ht="30.0" customHeight="1">
      <c r="A1036" s="2"/>
      <c r="B1036" s="2"/>
      <c r="C1036" s="2"/>
      <c r="D1036" s="2"/>
      <c r="E1036" s="2"/>
      <c r="F1036" s="2"/>
      <c r="G1036" s="2"/>
      <c r="H1036" s="2"/>
      <c r="I1036" s="2"/>
      <c r="J1036" s="2"/>
      <c r="K1036" s="2"/>
      <c r="L1036" s="2"/>
      <c r="M1036" s="2"/>
      <c r="N1036" s="2"/>
      <c r="O1036" s="2"/>
      <c r="P1036" s="2"/>
      <c r="Q1036" s="2"/>
      <c r="R1036" s="2"/>
      <c r="S1036" s="2"/>
      <c r="T1036" s="2"/>
      <c r="U1036" s="2"/>
      <c r="V1036" s="2"/>
      <c r="W1036" s="2"/>
      <c r="X1036" s="2"/>
      <c r="Y1036" s="2"/>
      <c r="Z1036" s="2"/>
    </row>
    <row r="1037" ht="30.0" customHeight="1">
      <c r="A1037" s="2"/>
      <c r="B1037" s="2"/>
      <c r="C1037" s="2"/>
      <c r="D1037" s="2"/>
      <c r="E1037" s="2"/>
      <c r="F1037" s="2"/>
      <c r="G1037" s="2"/>
      <c r="H1037" s="2"/>
      <c r="I1037" s="2"/>
      <c r="J1037" s="2"/>
      <c r="K1037" s="2"/>
      <c r="L1037" s="2"/>
      <c r="M1037" s="2"/>
      <c r="N1037" s="2"/>
      <c r="O1037" s="2"/>
      <c r="P1037" s="2"/>
      <c r="Q1037" s="2"/>
      <c r="R1037" s="2"/>
      <c r="S1037" s="2"/>
      <c r="T1037" s="2"/>
      <c r="U1037" s="2"/>
      <c r="V1037" s="2"/>
      <c r="W1037" s="2"/>
      <c r="X1037" s="2"/>
      <c r="Y1037" s="2"/>
      <c r="Z1037" s="2"/>
    </row>
    <row r="1038" ht="30.0" customHeight="1">
      <c r="A1038" s="2"/>
      <c r="B1038" s="2"/>
      <c r="C1038" s="2"/>
      <c r="D1038" s="2"/>
      <c r="E1038" s="2"/>
      <c r="F1038" s="2"/>
      <c r="G1038" s="2"/>
      <c r="H1038" s="2"/>
      <c r="I1038" s="2"/>
      <c r="J1038" s="2"/>
      <c r="K1038" s="2"/>
      <c r="L1038" s="2"/>
      <c r="M1038" s="2"/>
      <c r="N1038" s="2"/>
      <c r="O1038" s="2"/>
      <c r="P1038" s="2"/>
      <c r="Q1038" s="2"/>
      <c r="R1038" s="2"/>
      <c r="S1038" s="2"/>
      <c r="T1038" s="2"/>
      <c r="U1038" s="2"/>
      <c r="V1038" s="2"/>
      <c r="W1038" s="2"/>
      <c r="X1038" s="2"/>
      <c r="Y1038" s="2"/>
      <c r="Z1038" s="2"/>
    </row>
    <row r="1039" ht="30.0" customHeight="1">
      <c r="A1039" s="2"/>
      <c r="B1039" s="2"/>
      <c r="C1039" s="2"/>
      <c r="D1039" s="2"/>
      <c r="E1039" s="2"/>
      <c r="F1039" s="2"/>
      <c r="G1039" s="2"/>
      <c r="H1039" s="2"/>
      <c r="I1039" s="2"/>
      <c r="J1039" s="2"/>
      <c r="K1039" s="2"/>
      <c r="L1039" s="2"/>
      <c r="M1039" s="2"/>
      <c r="N1039" s="2"/>
      <c r="O1039" s="2"/>
      <c r="P1039" s="2"/>
      <c r="Q1039" s="2"/>
      <c r="R1039" s="2"/>
      <c r="S1039" s="2"/>
      <c r="T1039" s="2"/>
      <c r="U1039" s="2"/>
      <c r="V1039" s="2"/>
      <c r="W1039" s="2"/>
      <c r="X1039" s="2"/>
      <c r="Y1039" s="2"/>
      <c r="Z1039" s="2"/>
    </row>
    <row r="1040" ht="30.0" customHeight="1">
      <c r="A1040" s="2"/>
      <c r="B1040" s="2"/>
      <c r="C1040" s="2"/>
      <c r="D1040" s="2"/>
      <c r="E1040" s="2"/>
      <c r="F1040" s="2"/>
      <c r="G1040" s="2"/>
      <c r="H1040" s="2"/>
      <c r="I1040" s="2"/>
      <c r="J1040" s="2"/>
      <c r="K1040" s="2"/>
      <c r="L1040" s="2"/>
      <c r="M1040" s="2"/>
      <c r="N1040" s="2"/>
      <c r="O1040" s="2"/>
      <c r="P1040" s="2"/>
      <c r="Q1040" s="2"/>
      <c r="R1040" s="2"/>
      <c r="S1040" s="2"/>
      <c r="T1040" s="2"/>
      <c r="U1040" s="2"/>
      <c r="V1040" s="2"/>
      <c r="W1040" s="2"/>
      <c r="X1040" s="2"/>
      <c r="Y1040" s="2"/>
      <c r="Z1040" s="2"/>
    </row>
    <row r="1041" ht="30.0" customHeight="1">
      <c r="A1041" s="2"/>
      <c r="B1041" s="2"/>
      <c r="C1041" s="2"/>
      <c r="D1041" s="2"/>
      <c r="E1041" s="2"/>
      <c r="F1041" s="2"/>
      <c r="G1041" s="2"/>
      <c r="H1041" s="2"/>
      <c r="I1041" s="2"/>
      <c r="J1041" s="2"/>
      <c r="K1041" s="2"/>
      <c r="L1041" s="2"/>
      <c r="M1041" s="2"/>
      <c r="N1041" s="2"/>
      <c r="O1041" s="2"/>
      <c r="P1041" s="2"/>
      <c r="Q1041" s="2"/>
      <c r="R1041" s="2"/>
      <c r="S1041" s="2"/>
      <c r="T1041" s="2"/>
      <c r="U1041" s="2"/>
      <c r="V1041" s="2"/>
      <c r="W1041" s="2"/>
      <c r="X1041" s="2"/>
      <c r="Y1041" s="2"/>
      <c r="Z1041" s="2"/>
    </row>
    <row r="1042" ht="30.0" customHeight="1">
      <c r="A1042" s="2"/>
      <c r="B1042" s="2"/>
      <c r="C1042" s="2"/>
      <c r="D1042" s="2"/>
      <c r="E1042" s="2"/>
      <c r="F1042" s="2"/>
      <c r="G1042" s="2"/>
      <c r="H1042" s="2"/>
      <c r="I1042" s="2"/>
      <c r="J1042" s="2"/>
      <c r="K1042" s="2"/>
      <c r="L1042" s="2"/>
      <c r="M1042" s="2"/>
      <c r="N1042" s="2"/>
      <c r="O1042" s="2"/>
      <c r="P1042" s="2"/>
      <c r="Q1042" s="2"/>
      <c r="R1042" s="2"/>
      <c r="S1042" s="2"/>
      <c r="T1042" s="2"/>
      <c r="U1042" s="2"/>
      <c r="V1042" s="2"/>
      <c r="W1042" s="2"/>
      <c r="X1042" s="2"/>
      <c r="Y1042" s="2"/>
      <c r="Z1042" s="2"/>
    </row>
    <row r="1043" ht="30.0" customHeight="1">
      <c r="A1043" s="2"/>
      <c r="B1043" s="2"/>
      <c r="C1043" s="2"/>
      <c r="D1043" s="2"/>
      <c r="E1043" s="2"/>
      <c r="F1043" s="2"/>
      <c r="G1043" s="2"/>
      <c r="H1043" s="2"/>
      <c r="I1043" s="2"/>
      <c r="J1043" s="2"/>
      <c r="K1043" s="2"/>
      <c r="L1043" s="2"/>
      <c r="M1043" s="2"/>
      <c r="N1043" s="2"/>
      <c r="O1043" s="2"/>
      <c r="P1043" s="2"/>
      <c r="Q1043" s="2"/>
      <c r="R1043" s="2"/>
      <c r="S1043" s="2"/>
      <c r="T1043" s="2"/>
      <c r="U1043" s="2"/>
      <c r="V1043" s="2"/>
      <c r="W1043" s="2"/>
      <c r="X1043" s="2"/>
      <c r="Y1043" s="2"/>
      <c r="Z1043" s="2"/>
    </row>
    <row r="1044" ht="30.0" customHeight="1">
      <c r="A1044" s="2"/>
      <c r="B1044" s="2"/>
      <c r="C1044" s="2"/>
      <c r="D1044" s="2"/>
      <c r="E1044" s="2"/>
      <c r="F1044" s="2"/>
      <c r="G1044" s="2"/>
      <c r="H1044" s="2"/>
      <c r="I1044" s="2"/>
      <c r="J1044" s="2"/>
      <c r="K1044" s="2"/>
      <c r="L1044" s="2"/>
      <c r="M1044" s="2"/>
      <c r="N1044" s="2"/>
      <c r="O1044" s="2"/>
      <c r="P1044" s="2"/>
      <c r="Q1044" s="2"/>
      <c r="R1044" s="2"/>
      <c r="S1044" s="2"/>
      <c r="T1044" s="2"/>
      <c r="U1044" s="2"/>
      <c r="V1044" s="2"/>
      <c r="W1044" s="2"/>
      <c r="X1044" s="2"/>
      <c r="Y1044" s="2"/>
      <c r="Z1044" s="2"/>
    </row>
    <row r="1045" ht="30.0" customHeight="1">
      <c r="A1045" s="2"/>
      <c r="B1045" s="2"/>
      <c r="C1045" s="2"/>
      <c r="D1045" s="2"/>
      <c r="E1045" s="2"/>
      <c r="F1045" s="2"/>
      <c r="G1045" s="2"/>
      <c r="H1045" s="2"/>
      <c r="I1045" s="2"/>
      <c r="J1045" s="2"/>
      <c r="K1045" s="2"/>
      <c r="L1045" s="2"/>
      <c r="M1045" s="2"/>
      <c r="N1045" s="2"/>
      <c r="O1045" s="2"/>
      <c r="P1045" s="2"/>
      <c r="Q1045" s="2"/>
      <c r="R1045" s="2"/>
      <c r="S1045" s="2"/>
      <c r="T1045" s="2"/>
      <c r="U1045" s="2"/>
      <c r="V1045" s="2"/>
      <c r="W1045" s="2"/>
      <c r="X1045" s="2"/>
      <c r="Y1045" s="2"/>
      <c r="Z1045" s="2"/>
    </row>
    <row r="1046" ht="30.0" customHeight="1">
      <c r="A1046" s="2"/>
      <c r="B1046" s="2"/>
      <c r="C1046" s="2"/>
      <c r="D1046" s="2"/>
      <c r="E1046" s="2"/>
      <c r="F1046" s="2"/>
      <c r="G1046" s="2"/>
      <c r="H1046" s="2"/>
      <c r="I1046" s="2"/>
      <c r="J1046" s="2"/>
      <c r="K1046" s="2"/>
      <c r="L1046" s="2"/>
      <c r="M1046" s="2"/>
      <c r="N1046" s="2"/>
      <c r="O1046" s="2"/>
      <c r="P1046" s="2"/>
      <c r="Q1046" s="2"/>
      <c r="R1046" s="2"/>
      <c r="S1046" s="2"/>
      <c r="T1046" s="2"/>
      <c r="U1046" s="2"/>
      <c r="V1046" s="2"/>
      <c r="W1046" s="2"/>
      <c r="X1046" s="2"/>
      <c r="Y1046" s="2"/>
      <c r="Z1046" s="2"/>
    </row>
    <row r="1047" ht="30.0" customHeight="1">
      <c r="A1047" s="2"/>
      <c r="B1047" s="2"/>
      <c r="C1047" s="2"/>
      <c r="D1047" s="2"/>
      <c r="E1047" s="2"/>
      <c r="F1047" s="2"/>
      <c r="G1047" s="2"/>
      <c r="H1047" s="2"/>
      <c r="I1047" s="2"/>
      <c r="J1047" s="2"/>
      <c r="K1047" s="2"/>
      <c r="L1047" s="2"/>
      <c r="M1047" s="2"/>
      <c r="N1047" s="2"/>
      <c r="O1047" s="2"/>
      <c r="P1047" s="2"/>
      <c r="Q1047" s="2"/>
      <c r="R1047" s="2"/>
      <c r="S1047" s="2"/>
      <c r="T1047" s="2"/>
      <c r="U1047" s="2"/>
      <c r="V1047" s="2"/>
      <c r="W1047" s="2"/>
      <c r="X1047" s="2"/>
      <c r="Y1047" s="2"/>
      <c r="Z1047" s="2"/>
    </row>
    <row r="1048" ht="30.0" customHeight="1">
      <c r="A1048" s="2"/>
      <c r="B1048" s="2"/>
      <c r="C1048" s="2"/>
      <c r="D1048" s="2"/>
      <c r="E1048" s="2"/>
      <c r="F1048" s="2"/>
      <c r="G1048" s="2"/>
      <c r="H1048" s="2"/>
      <c r="I1048" s="2"/>
      <c r="J1048" s="2"/>
      <c r="K1048" s="2"/>
      <c r="L1048" s="2"/>
      <c r="M1048" s="2"/>
      <c r="N1048" s="2"/>
      <c r="O1048" s="2"/>
      <c r="P1048" s="2"/>
      <c r="Q1048" s="2"/>
      <c r="R1048" s="2"/>
      <c r="S1048" s="2"/>
      <c r="T1048" s="2"/>
      <c r="U1048" s="2"/>
      <c r="V1048" s="2"/>
      <c r="W1048" s="2"/>
      <c r="X1048" s="2"/>
      <c r="Y1048" s="2"/>
      <c r="Z1048" s="2"/>
    </row>
    <row r="1049" ht="30.0" customHeight="1">
      <c r="A1049" s="2"/>
      <c r="B1049" s="2"/>
      <c r="C1049" s="2"/>
      <c r="D1049" s="2"/>
      <c r="E1049" s="2"/>
      <c r="F1049" s="2"/>
      <c r="G1049" s="2"/>
      <c r="H1049" s="2"/>
      <c r="I1049" s="2"/>
      <c r="J1049" s="2"/>
      <c r="K1049" s="2"/>
      <c r="L1049" s="2"/>
      <c r="M1049" s="2"/>
      <c r="N1049" s="2"/>
      <c r="O1049" s="2"/>
      <c r="P1049" s="2"/>
      <c r="Q1049" s="2"/>
      <c r="R1049" s="2"/>
      <c r="S1049" s="2"/>
      <c r="T1049" s="2"/>
      <c r="U1049" s="2"/>
      <c r="V1049" s="2"/>
      <c r="W1049" s="2"/>
      <c r="X1049" s="2"/>
      <c r="Y1049" s="2"/>
      <c r="Z1049" s="2"/>
    </row>
    <row r="1050" ht="30.0" customHeight="1">
      <c r="A1050" s="2"/>
      <c r="B1050" s="2"/>
      <c r="C1050" s="2"/>
      <c r="D1050" s="2"/>
      <c r="E1050" s="2"/>
      <c r="F1050" s="2"/>
      <c r="G1050" s="2"/>
      <c r="H1050" s="2"/>
      <c r="I1050" s="2"/>
      <c r="J1050" s="2"/>
      <c r="K1050" s="2"/>
      <c r="L1050" s="2"/>
      <c r="M1050" s="2"/>
      <c r="N1050" s="2"/>
      <c r="O1050" s="2"/>
      <c r="P1050" s="2"/>
      <c r="Q1050" s="2"/>
      <c r="R1050" s="2"/>
      <c r="S1050" s="2"/>
      <c r="T1050" s="2"/>
      <c r="U1050" s="2"/>
      <c r="V1050" s="2"/>
      <c r="W1050" s="2"/>
      <c r="X1050" s="2"/>
      <c r="Y1050" s="2"/>
      <c r="Z1050" s="2"/>
    </row>
    <row r="1051" ht="30.0" customHeight="1">
      <c r="A1051" s="2"/>
      <c r="B1051" s="2"/>
      <c r="C1051" s="2"/>
      <c r="D1051" s="2"/>
      <c r="E1051" s="2"/>
      <c r="F1051" s="2"/>
      <c r="G1051" s="2"/>
      <c r="H1051" s="2"/>
      <c r="I1051" s="2"/>
      <c r="J1051" s="2"/>
      <c r="K1051" s="2"/>
      <c r="L1051" s="2"/>
      <c r="M1051" s="2"/>
      <c r="N1051" s="2"/>
      <c r="O1051" s="2"/>
      <c r="P1051" s="2"/>
      <c r="Q1051" s="2"/>
      <c r="R1051" s="2"/>
      <c r="S1051" s="2"/>
      <c r="T1051" s="2"/>
      <c r="U1051" s="2"/>
      <c r="V1051" s="2"/>
      <c r="W1051" s="2"/>
      <c r="X1051" s="2"/>
      <c r="Y1051" s="2"/>
      <c r="Z1051" s="2"/>
    </row>
    <row r="1052" ht="30.0" customHeight="1">
      <c r="A1052" s="2"/>
      <c r="B1052" s="2"/>
      <c r="C1052" s="2"/>
      <c r="D1052" s="2"/>
      <c r="E1052" s="2"/>
      <c r="F1052" s="2"/>
      <c r="G1052" s="2"/>
      <c r="H1052" s="2"/>
      <c r="I1052" s="2"/>
      <c r="J1052" s="2"/>
      <c r="K1052" s="2"/>
      <c r="L1052" s="2"/>
      <c r="M1052" s="2"/>
      <c r="N1052" s="2"/>
      <c r="O1052" s="2"/>
      <c r="P1052" s="2"/>
      <c r="Q1052" s="2"/>
      <c r="R1052" s="2"/>
      <c r="S1052" s="2"/>
      <c r="T1052" s="2"/>
      <c r="U1052" s="2"/>
      <c r="V1052" s="2"/>
      <c r="W1052" s="2"/>
      <c r="X1052" s="2"/>
      <c r="Y1052" s="2"/>
      <c r="Z1052" s="2"/>
    </row>
    <row r="1053" ht="30.0" customHeight="1">
      <c r="A1053" s="2"/>
      <c r="B1053" s="2"/>
      <c r="C1053" s="2"/>
      <c r="D1053" s="2"/>
      <c r="E1053" s="2"/>
      <c r="F1053" s="2"/>
      <c r="G1053" s="2"/>
      <c r="H1053" s="2"/>
      <c r="I1053" s="2"/>
      <c r="J1053" s="2"/>
      <c r="K1053" s="2"/>
      <c r="L1053" s="2"/>
      <c r="M1053" s="2"/>
      <c r="N1053" s="2"/>
      <c r="O1053" s="2"/>
      <c r="P1053" s="2"/>
      <c r="Q1053" s="2"/>
      <c r="R1053" s="2"/>
      <c r="S1053" s="2"/>
      <c r="T1053" s="2"/>
      <c r="U1053" s="2"/>
      <c r="V1053" s="2"/>
      <c r="W1053" s="2"/>
      <c r="X1053" s="2"/>
      <c r="Y1053" s="2"/>
      <c r="Z1053" s="2"/>
    </row>
    <row r="1054" ht="30.0" customHeight="1">
      <c r="A1054" s="2"/>
      <c r="B1054" s="2"/>
      <c r="C1054" s="2"/>
      <c r="D1054" s="2"/>
      <c r="E1054" s="2"/>
      <c r="F1054" s="2"/>
      <c r="G1054" s="2"/>
      <c r="H1054" s="2"/>
      <c r="I1054" s="2"/>
      <c r="J1054" s="2"/>
      <c r="K1054" s="2"/>
      <c r="L1054" s="2"/>
      <c r="M1054" s="2"/>
      <c r="N1054" s="2"/>
      <c r="O1054" s="2"/>
      <c r="P1054" s="2"/>
      <c r="Q1054" s="2"/>
      <c r="R1054" s="2"/>
      <c r="S1054" s="2"/>
      <c r="T1054" s="2"/>
      <c r="U1054" s="2"/>
      <c r="V1054" s="2"/>
      <c r="W1054" s="2"/>
      <c r="X1054" s="2"/>
      <c r="Y1054" s="2"/>
      <c r="Z1054" s="2"/>
    </row>
    <row r="1055" ht="30.0" customHeight="1">
      <c r="A1055" s="2"/>
      <c r="B1055" s="2"/>
      <c r="C1055" s="2"/>
      <c r="D1055" s="2"/>
      <c r="E1055" s="2"/>
      <c r="F1055" s="2"/>
      <c r="G1055" s="2"/>
      <c r="H1055" s="2"/>
      <c r="I1055" s="2"/>
      <c r="J1055" s="2"/>
      <c r="K1055" s="2"/>
      <c r="L1055" s="2"/>
      <c r="M1055" s="2"/>
      <c r="N1055" s="2"/>
      <c r="O1055" s="2"/>
      <c r="P1055" s="2"/>
      <c r="Q1055" s="2"/>
      <c r="R1055" s="2"/>
      <c r="S1055" s="2"/>
      <c r="T1055" s="2"/>
      <c r="U1055" s="2"/>
      <c r="V1055" s="2"/>
      <c r="W1055" s="2"/>
      <c r="X1055" s="2"/>
      <c r="Y1055" s="2"/>
      <c r="Z1055" s="2"/>
    </row>
    <row r="1056" ht="30.0" customHeight="1">
      <c r="A1056" s="2"/>
      <c r="B1056" s="2"/>
      <c r="C1056" s="2"/>
      <c r="D1056" s="2"/>
      <c r="E1056" s="2"/>
      <c r="F1056" s="2"/>
      <c r="G1056" s="2"/>
      <c r="H1056" s="2"/>
      <c r="I1056" s="2"/>
      <c r="J1056" s="2"/>
      <c r="K1056" s="2"/>
      <c r="L1056" s="2"/>
      <c r="M1056" s="2"/>
      <c r="N1056" s="2"/>
      <c r="O1056" s="2"/>
      <c r="P1056" s="2"/>
      <c r="Q1056" s="2"/>
      <c r="R1056" s="2"/>
      <c r="S1056" s="2"/>
      <c r="T1056" s="2"/>
      <c r="U1056" s="2"/>
      <c r="V1056" s="2"/>
      <c r="W1056" s="2"/>
      <c r="X1056" s="2"/>
      <c r="Y1056" s="2"/>
      <c r="Z1056" s="2"/>
    </row>
    <row r="1057" ht="30.0" customHeight="1">
      <c r="A1057" s="2"/>
      <c r="B1057" s="2"/>
      <c r="C1057" s="2"/>
      <c r="D1057" s="2"/>
      <c r="E1057" s="2"/>
      <c r="F1057" s="2"/>
      <c r="G1057" s="2"/>
      <c r="H1057" s="2"/>
      <c r="I1057" s="2"/>
      <c r="J1057" s="2"/>
      <c r="K1057" s="2"/>
      <c r="L1057" s="2"/>
      <c r="M1057" s="2"/>
      <c r="N1057" s="2"/>
      <c r="O1057" s="2"/>
      <c r="P1057" s="2"/>
      <c r="Q1057" s="2"/>
      <c r="R1057" s="2"/>
      <c r="S1057" s="2"/>
      <c r="T1057" s="2"/>
      <c r="U1057" s="2"/>
      <c r="V1057" s="2"/>
      <c r="W1057" s="2"/>
      <c r="X1057" s="2"/>
      <c r="Y1057" s="2"/>
      <c r="Z1057" s="2"/>
    </row>
    <row r="1058" ht="30.0" customHeight="1">
      <c r="A1058" s="2"/>
      <c r="B1058" s="2"/>
      <c r="C1058" s="2"/>
      <c r="D1058" s="2"/>
      <c r="E1058" s="2"/>
      <c r="F1058" s="2"/>
      <c r="G1058" s="2"/>
      <c r="H1058" s="2"/>
      <c r="I1058" s="2"/>
      <c r="J1058" s="2"/>
      <c r="K1058" s="2"/>
      <c r="L1058" s="2"/>
      <c r="M1058" s="2"/>
      <c r="N1058" s="2"/>
      <c r="O1058" s="2"/>
      <c r="P1058" s="2"/>
      <c r="Q1058" s="2"/>
      <c r="R1058" s="2"/>
      <c r="S1058" s="2"/>
      <c r="T1058" s="2"/>
      <c r="U1058" s="2"/>
      <c r="V1058" s="2"/>
      <c r="W1058" s="2"/>
      <c r="X1058" s="2"/>
      <c r="Y1058" s="2"/>
      <c r="Z1058" s="2"/>
    </row>
    <row r="1059" ht="30.0" customHeight="1">
      <c r="A1059" s="2"/>
      <c r="B1059" s="2"/>
      <c r="C1059" s="2"/>
      <c r="D1059" s="2"/>
      <c r="E1059" s="2"/>
      <c r="F1059" s="2"/>
      <c r="G1059" s="2"/>
      <c r="H1059" s="2"/>
      <c r="I1059" s="2"/>
      <c r="J1059" s="2"/>
      <c r="K1059" s="2"/>
      <c r="L1059" s="2"/>
      <c r="M1059" s="2"/>
      <c r="N1059" s="2"/>
      <c r="O1059" s="2"/>
      <c r="P1059" s="2"/>
      <c r="Q1059" s="2"/>
      <c r="R1059" s="2"/>
      <c r="S1059" s="2"/>
      <c r="T1059" s="2"/>
      <c r="U1059" s="2"/>
      <c r="V1059" s="2"/>
      <c r="W1059" s="2"/>
      <c r="X1059" s="2"/>
      <c r="Y1059" s="2"/>
      <c r="Z1059" s="2"/>
    </row>
    <row r="1060" ht="30.0" customHeight="1">
      <c r="A1060" s="2"/>
      <c r="B1060" s="2"/>
      <c r="C1060" s="2"/>
      <c r="D1060" s="2"/>
      <c r="E1060" s="2"/>
      <c r="F1060" s="2"/>
      <c r="G1060" s="2"/>
      <c r="H1060" s="2"/>
      <c r="I1060" s="2"/>
      <c r="J1060" s="2"/>
      <c r="K1060" s="2"/>
      <c r="L1060" s="2"/>
      <c r="M1060" s="2"/>
      <c r="N1060" s="2"/>
      <c r="O1060" s="2"/>
      <c r="P1060" s="2"/>
      <c r="Q1060" s="2"/>
      <c r="R1060" s="2"/>
      <c r="S1060" s="2"/>
      <c r="T1060" s="2"/>
      <c r="U1060" s="2"/>
      <c r="V1060" s="2"/>
      <c r="W1060" s="2"/>
      <c r="X1060" s="2"/>
      <c r="Y1060" s="2"/>
      <c r="Z1060" s="2"/>
    </row>
    <row r="1061" ht="30.0" customHeight="1">
      <c r="A1061" s="2"/>
      <c r="B1061" s="2"/>
      <c r="C1061" s="2"/>
      <c r="D1061" s="2"/>
      <c r="E1061" s="2"/>
      <c r="F1061" s="2"/>
      <c r="G1061" s="2"/>
      <c r="H1061" s="2"/>
      <c r="I1061" s="2"/>
      <c r="J1061" s="2"/>
      <c r="K1061" s="2"/>
      <c r="L1061" s="2"/>
      <c r="M1061" s="2"/>
      <c r="N1061" s="2"/>
      <c r="O1061" s="2"/>
      <c r="P1061" s="2"/>
      <c r="Q1061" s="2"/>
      <c r="R1061" s="2"/>
      <c r="S1061" s="2"/>
      <c r="T1061" s="2"/>
      <c r="U1061" s="2"/>
      <c r="V1061" s="2"/>
      <c r="W1061" s="2"/>
      <c r="X1061" s="2"/>
      <c r="Y1061" s="2"/>
      <c r="Z1061" s="2"/>
    </row>
    <row r="1062" ht="30.0" customHeight="1">
      <c r="A1062" s="2"/>
      <c r="B1062" s="2"/>
      <c r="C1062" s="2"/>
      <c r="D1062" s="2"/>
      <c r="E1062" s="2"/>
      <c r="F1062" s="2"/>
      <c r="G1062" s="2"/>
      <c r="H1062" s="2"/>
      <c r="I1062" s="2"/>
      <c r="J1062" s="2"/>
      <c r="K1062" s="2"/>
      <c r="L1062" s="2"/>
      <c r="M1062" s="2"/>
      <c r="N1062" s="2"/>
      <c r="O1062" s="2"/>
      <c r="P1062" s="2"/>
      <c r="Q1062" s="2"/>
      <c r="R1062" s="2"/>
      <c r="S1062" s="2"/>
      <c r="T1062" s="2"/>
      <c r="U1062" s="2"/>
      <c r="V1062" s="2"/>
      <c r="W1062" s="2"/>
      <c r="X1062" s="2"/>
      <c r="Y1062" s="2"/>
      <c r="Z1062" s="2"/>
    </row>
    <row r="1063" ht="30.0" customHeight="1">
      <c r="A1063" s="2"/>
      <c r="B1063" s="2"/>
      <c r="C1063" s="2"/>
      <c r="D1063" s="2"/>
      <c r="E1063" s="2"/>
      <c r="F1063" s="2"/>
      <c r="G1063" s="2"/>
      <c r="H1063" s="2"/>
      <c r="I1063" s="2"/>
      <c r="J1063" s="2"/>
      <c r="K1063" s="2"/>
      <c r="L1063" s="2"/>
      <c r="M1063" s="2"/>
      <c r="N1063" s="2"/>
      <c r="O1063" s="2"/>
      <c r="P1063" s="2"/>
      <c r="Q1063" s="2"/>
      <c r="R1063" s="2"/>
      <c r="S1063" s="2"/>
      <c r="T1063" s="2"/>
      <c r="U1063" s="2"/>
      <c r="V1063" s="2"/>
      <c r="W1063" s="2"/>
      <c r="X1063" s="2"/>
      <c r="Y1063" s="2"/>
      <c r="Z1063" s="2"/>
    </row>
    <row r="1064" ht="30.0" customHeight="1">
      <c r="A1064" s="2"/>
      <c r="B1064" s="2"/>
      <c r="C1064" s="2"/>
      <c r="D1064" s="2"/>
      <c r="E1064" s="2"/>
      <c r="F1064" s="2"/>
      <c r="G1064" s="2"/>
      <c r="H1064" s="2"/>
      <c r="I1064" s="2"/>
      <c r="J1064" s="2"/>
      <c r="K1064" s="2"/>
      <c r="L1064" s="2"/>
      <c r="M1064" s="2"/>
      <c r="N1064" s="2"/>
      <c r="O1064" s="2"/>
      <c r="P1064" s="2"/>
      <c r="Q1064" s="2"/>
      <c r="R1064" s="2"/>
      <c r="S1064" s="2"/>
      <c r="T1064" s="2"/>
      <c r="U1064" s="2"/>
      <c r="V1064" s="2"/>
      <c r="W1064" s="2"/>
      <c r="X1064" s="2"/>
      <c r="Y1064" s="2"/>
      <c r="Z1064" s="2"/>
    </row>
    <row r="1065" ht="30.0" customHeight="1">
      <c r="A1065" s="2"/>
      <c r="B1065" s="2"/>
      <c r="C1065" s="2"/>
      <c r="D1065" s="2"/>
      <c r="E1065" s="2"/>
      <c r="F1065" s="2"/>
      <c r="G1065" s="2"/>
      <c r="H1065" s="2"/>
      <c r="I1065" s="2"/>
      <c r="J1065" s="2"/>
      <c r="K1065" s="2"/>
      <c r="L1065" s="2"/>
      <c r="M1065" s="2"/>
      <c r="N1065" s="2"/>
      <c r="O1065" s="2"/>
      <c r="P1065" s="2"/>
      <c r="Q1065" s="2"/>
      <c r="R1065" s="2"/>
      <c r="S1065" s="2"/>
      <c r="T1065" s="2"/>
      <c r="U1065" s="2"/>
      <c r="V1065" s="2"/>
      <c r="W1065" s="2"/>
      <c r="X1065" s="2"/>
      <c r="Y1065" s="2"/>
      <c r="Z1065" s="2"/>
    </row>
    <row r="1066" ht="30.0" customHeight="1">
      <c r="A1066" s="2"/>
      <c r="B1066" s="2"/>
      <c r="C1066" s="2"/>
      <c r="D1066" s="2"/>
      <c r="E1066" s="2"/>
      <c r="F1066" s="2"/>
      <c r="G1066" s="2"/>
      <c r="H1066" s="2"/>
      <c r="I1066" s="2"/>
      <c r="J1066" s="2"/>
      <c r="K1066" s="2"/>
      <c r="L1066" s="2"/>
      <c r="M1066" s="2"/>
      <c r="N1066" s="2"/>
      <c r="O1066" s="2"/>
      <c r="P1066" s="2"/>
      <c r="Q1066" s="2"/>
      <c r="R1066" s="2"/>
      <c r="S1066" s="2"/>
      <c r="T1066" s="2"/>
      <c r="U1066" s="2"/>
      <c r="V1066" s="2"/>
      <c r="W1066" s="2"/>
      <c r="X1066" s="2"/>
      <c r="Y1066" s="2"/>
      <c r="Z1066" s="2"/>
    </row>
    <row r="1067" ht="30.0" customHeight="1">
      <c r="A1067" s="2"/>
      <c r="B1067" s="2"/>
      <c r="C1067" s="2"/>
      <c r="D1067" s="2"/>
      <c r="E1067" s="2"/>
      <c r="F1067" s="2"/>
      <c r="G1067" s="2"/>
      <c r="H1067" s="2"/>
      <c r="I1067" s="2"/>
      <c r="J1067" s="2"/>
      <c r="K1067" s="2"/>
      <c r="L1067" s="2"/>
      <c r="M1067" s="2"/>
      <c r="N1067" s="2"/>
      <c r="O1067" s="2"/>
      <c r="P1067" s="2"/>
      <c r="Q1067" s="2"/>
      <c r="R1067" s="2"/>
      <c r="S1067" s="2"/>
      <c r="T1067" s="2"/>
      <c r="U1067" s="2"/>
      <c r="V1067" s="2"/>
      <c r="W1067" s="2"/>
      <c r="X1067" s="2"/>
      <c r="Y1067" s="2"/>
      <c r="Z1067" s="2"/>
    </row>
    <row r="1068" ht="30.0" customHeight="1">
      <c r="A1068" s="2"/>
      <c r="B1068" s="2"/>
      <c r="C1068" s="2"/>
      <c r="D1068" s="2"/>
      <c r="E1068" s="2"/>
      <c r="F1068" s="2"/>
      <c r="G1068" s="2"/>
      <c r="H1068" s="2"/>
      <c r="I1068" s="2"/>
      <c r="J1068" s="2"/>
      <c r="K1068" s="2"/>
      <c r="L1068" s="2"/>
      <c r="M1068" s="2"/>
      <c r="N1068" s="2"/>
      <c r="O1068" s="2"/>
      <c r="P1068" s="2"/>
      <c r="Q1068" s="2"/>
      <c r="R1068" s="2"/>
      <c r="S1068" s="2"/>
      <c r="T1068" s="2"/>
      <c r="U1068" s="2"/>
      <c r="V1068" s="2"/>
      <c r="W1068" s="2"/>
      <c r="X1068" s="2"/>
      <c r="Y1068" s="2"/>
      <c r="Z1068" s="2"/>
    </row>
    <row r="1069" ht="30.0" customHeight="1">
      <c r="A1069" s="2"/>
      <c r="B1069" s="2"/>
      <c r="C1069" s="2"/>
      <c r="D1069" s="2"/>
      <c r="E1069" s="2"/>
      <c r="F1069" s="2"/>
      <c r="G1069" s="2"/>
      <c r="H1069" s="2"/>
      <c r="I1069" s="2"/>
      <c r="J1069" s="2"/>
      <c r="K1069" s="2"/>
      <c r="L1069" s="2"/>
      <c r="M1069" s="2"/>
      <c r="N1069" s="2"/>
      <c r="O1069" s="2"/>
      <c r="P1069" s="2"/>
      <c r="Q1069" s="2"/>
      <c r="R1069" s="2"/>
      <c r="S1069" s="2"/>
      <c r="T1069" s="2"/>
      <c r="U1069" s="2"/>
      <c r="V1069" s="2"/>
      <c r="W1069" s="2"/>
      <c r="X1069" s="2"/>
      <c r="Y1069" s="2"/>
      <c r="Z1069" s="2"/>
    </row>
    <row r="1070" ht="30.0" customHeight="1">
      <c r="A1070" s="2"/>
      <c r="B1070" s="2"/>
      <c r="C1070" s="2"/>
      <c r="D1070" s="2"/>
      <c r="E1070" s="2"/>
      <c r="F1070" s="2"/>
      <c r="G1070" s="2"/>
      <c r="H1070" s="2"/>
      <c r="I1070" s="2"/>
      <c r="J1070" s="2"/>
      <c r="K1070" s="2"/>
      <c r="L1070" s="2"/>
      <c r="M1070" s="2"/>
      <c r="N1070" s="2"/>
      <c r="O1070" s="2"/>
      <c r="P1070" s="2"/>
      <c r="Q1070" s="2"/>
      <c r="R1070" s="2"/>
      <c r="S1070" s="2"/>
      <c r="T1070" s="2"/>
      <c r="U1070" s="2"/>
      <c r="V1070" s="2"/>
      <c r="W1070" s="2"/>
      <c r="X1070" s="2"/>
      <c r="Y1070" s="2"/>
      <c r="Z1070" s="2"/>
    </row>
    <row r="1071" ht="30.0" customHeight="1">
      <c r="A1071" s="2"/>
      <c r="B1071" s="2"/>
      <c r="C1071" s="2"/>
      <c r="D1071" s="2"/>
      <c r="E1071" s="2"/>
      <c r="F1071" s="2"/>
      <c r="G1071" s="2"/>
      <c r="H1071" s="2"/>
      <c r="I1071" s="2"/>
      <c r="J1071" s="2"/>
      <c r="K1071" s="2"/>
      <c r="L1071" s="2"/>
      <c r="M1071" s="2"/>
      <c r="N1071" s="2"/>
      <c r="O1071" s="2"/>
      <c r="P1071" s="2"/>
      <c r="Q1071" s="2"/>
      <c r="R1071" s="2"/>
      <c r="S1071" s="2"/>
      <c r="T1071" s="2"/>
      <c r="U1071" s="2"/>
      <c r="V1071" s="2"/>
      <c r="W1071" s="2"/>
      <c r="X1071" s="2"/>
      <c r="Y1071" s="2"/>
      <c r="Z1071" s="2"/>
    </row>
    <row r="1072" ht="30.0" customHeight="1">
      <c r="A1072" s="2"/>
      <c r="B1072" s="2"/>
      <c r="C1072" s="2"/>
      <c r="D1072" s="2"/>
      <c r="E1072" s="2"/>
      <c r="F1072" s="2"/>
      <c r="G1072" s="2"/>
      <c r="H1072" s="2"/>
      <c r="I1072" s="2"/>
      <c r="J1072" s="2"/>
      <c r="K1072" s="2"/>
      <c r="L1072" s="2"/>
      <c r="M1072" s="2"/>
      <c r="N1072" s="2"/>
      <c r="O1072" s="2"/>
      <c r="P1072" s="2"/>
      <c r="Q1072" s="2"/>
      <c r="R1072" s="2"/>
      <c r="S1072" s="2"/>
      <c r="T1072" s="2"/>
      <c r="U1072" s="2"/>
      <c r="V1072" s="2"/>
      <c r="W1072" s="2"/>
      <c r="X1072" s="2"/>
      <c r="Y1072" s="2"/>
      <c r="Z1072" s="2"/>
    </row>
    <row r="1073" ht="30.0" customHeight="1">
      <c r="A1073" s="2"/>
      <c r="B1073" s="2"/>
      <c r="C1073" s="2"/>
      <c r="D1073" s="2"/>
      <c r="E1073" s="2"/>
      <c r="F1073" s="2"/>
      <c r="G1073" s="2"/>
      <c r="H1073" s="2"/>
      <c r="I1073" s="2"/>
      <c r="J1073" s="2"/>
      <c r="K1073" s="2"/>
      <c r="L1073" s="2"/>
      <c r="M1073" s="2"/>
      <c r="N1073" s="2"/>
      <c r="O1073" s="2"/>
      <c r="P1073" s="2"/>
      <c r="Q1073" s="2"/>
      <c r="R1073" s="2"/>
      <c r="S1073" s="2"/>
      <c r="T1073" s="2"/>
      <c r="U1073" s="2"/>
      <c r="V1073" s="2"/>
      <c r="W1073" s="2"/>
      <c r="X1073" s="2"/>
      <c r="Y1073" s="2"/>
      <c r="Z1073" s="2"/>
    </row>
    <row r="1074" ht="30.0" customHeight="1">
      <c r="A1074" s="2"/>
      <c r="B1074" s="2"/>
      <c r="C1074" s="2"/>
      <c r="D1074" s="2"/>
      <c r="E1074" s="2"/>
      <c r="F1074" s="2"/>
      <c r="G1074" s="2"/>
      <c r="H1074" s="2"/>
      <c r="I1074" s="2"/>
      <c r="J1074" s="2"/>
      <c r="K1074" s="2"/>
      <c r="L1074" s="2"/>
      <c r="M1074" s="2"/>
      <c r="N1074" s="2"/>
      <c r="O1074" s="2"/>
      <c r="P1074" s="2"/>
      <c r="Q1074" s="2"/>
      <c r="R1074" s="2"/>
      <c r="S1074" s="2"/>
      <c r="T1074" s="2"/>
      <c r="U1074" s="2"/>
      <c r="V1074" s="2"/>
      <c r="W1074" s="2"/>
      <c r="X1074" s="2"/>
      <c r="Y1074" s="2"/>
      <c r="Z1074" s="2"/>
    </row>
    <row r="1075" ht="30.0" customHeight="1">
      <c r="A1075" s="2"/>
      <c r="B1075" s="2"/>
      <c r="C1075" s="2"/>
      <c r="D1075" s="2"/>
      <c r="E1075" s="2"/>
      <c r="F1075" s="2"/>
      <c r="G1075" s="2"/>
      <c r="H1075" s="2"/>
      <c r="I1075" s="2"/>
      <c r="J1075" s="2"/>
      <c r="K1075" s="2"/>
      <c r="L1075" s="2"/>
      <c r="M1075" s="2"/>
      <c r="N1075" s="2"/>
      <c r="O1075" s="2"/>
      <c r="P1075" s="2"/>
      <c r="Q1075" s="2"/>
      <c r="R1075" s="2"/>
      <c r="S1075" s="2"/>
      <c r="T1075" s="2"/>
      <c r="U1075" s="2"/>
      <c r="V1075" s="2"/>
      <c r="W1075" s="2"/>
      <c r="X1075" s="2"/>
      <c r="Y1075" s="2"/>
      <c r="Z1075" s="2"/>
    </row>
    <row r="1076" ht="30.0" customHeight="1">
      <c r="A1076" s="2"/>
      <c r="B1076" s="2"/>
      <c r="C1076" s="2"/>
      <c r="D1076" s="2"/>
      <c r="E1076" s="2"/>
      <c r="F1076" s="2"/>
      <c r="G1076" s="2"/>
      <c r="H1076" s="2"/>
      <c r="I1076" s="2"/>
      <c r="J1076" s="2"/>
      <c r="K1076" s="2"/>
      <c r="L1076" s="2"/>
      <c r="M1076" s="2"/>
      <c r="N1076" s="2"/>
      <c r="O1076" s="2"/>
      <c r="P1076" s="2"/>
      <c r="Q1076" s="2"/>
      <c r="R1076" s="2"/>
      <c r="S1076" s="2"/>
      <c r="T1076" s="2"/>
      <c r="U1076" s="2"/>
      <c r="V1076" s="2"/>
      <c r="W1076" s="2"/>
      <c r="X1076" s="2"/>
      <c r="Y1076" s="2"/>
      <c r="Z1076" s="2"/>
    </row>
    <row r="1077" ht="30.0" customHeight="1">
      <c r="A1077" s="2"/>
      <c r="B1077" s="2"/>
      <c r="C1077" s="2"/>
      <c r="D1077" s="2"/>
      <c r="E1077" s="2"/>
      <c r="F1077" s="2"/>
      <c r="G1077" s="2"/>
      <c r="H1077" s="2"/>
      <c r="I1077" s="2"/>
      <c r="J1077" s="2"/>
      <c r="K1077" s="2"/>
      <c r="L1077" s="2"/>
      <c r="M1077" s="2"/>
      <c r="N1077" s="2"/>
      <c r="O1077" s="2"/>
      <c r="P1077" s="2"/>
      <c r="Q1077" s="2"/>
      <c r="R1077" s="2"/>
      <c r="S1077" s="2"/>
      <c r="T1077" s="2"/>
      <c r="U1077" s="2"/>
      <c r="V1077" s="2"/>
      <c r="W1077" s="2"/>
      <c r="X1077" s="2"/>
      <c r="Y1077" s="2"/>
      <c r="Z1077" s="2"/>
    </row>
    <row r="1078" ht="30.0" customHeight="1">
      <c r="A1078" s="2"/>
      <c r="B1078" s="2"/>
      <c r="C1078" s="2"/>
      <c r="D1078" s="2"/>
      <c r="E1078" s="2"/>
      <c r="F1078" s="2"/>
      <c r="G1078" s="2"/>
      <c r="H1078" s="2"/>
      <c r="I1078" s="2"/>
      <c r="J1078" s="2"/>
      <c r="K1078" s="2"/>
      <c r="L1078" s="2"/>
      <c r="M1078" s="2"/>
      <c r="N1078" s="2"/>
      <c r="O1078" s="2"/>
      <c r="P1078" s="2"/>
      <c r="Q1078" s="2"/>
      <c r="R1078" s="2"/>
      <c r="S1078" s="2"/>
      <c r="T1078" s="2"/>
      <c r="U1078" s="2"/>
      <c r="V1078" s="2"/>
      <c r="W1078" s="2"/>
      <c r="X1078" s="2"/>
      <c r="Y1078" s="2"/>
      <c r="Z1078" s="2"/>
    </row>
    <row r="1079" ht="30.0" customHeight="1">
      <c r="A1079" s="2"/>
      <c r="B1079" s="2"/>
      <c r="C1079" s="2"/>
      <c r="D1079" s="2"/>
      <c r="E1079" s="2"/>
      <c r="F1079" s="2"/>
      <c r="G1079" s="2"/>
      <c r="H1079" s="2"/>
      <c r="I1079" s="2"/>
      <c r="J1079" s="2"/>
      <c r="K1079" s="2"/>
      <c r="L1079" s="2"/>
      <c r="M1079" s="2"/>
      <c r="N1079" s="2"/>
      <c r="O1079" s="2"/>
      <c r="P1079" s="2"/>
      <c r="Q1079" s="2"/>
      <c r="R1079" s="2"/>
      <c r="S1079" s="2"/>
      <c r="T1079" s="2"/>
      <c r="U1079" s="2"/>
      <c r="V1079" s="2"/>
      <c r="W1079" s="2"/>
      <c r="X1079" s="2"/>
      <c r="Y1079" s="2"/>
      <c r="Z1079" s="2"/>
    </row>
    <row r="1080" ht="30.0" customHeight="1">
      <c r="A1080" s="2"/>
      <c r="B1080" s="2"/>
      <c r="C1080" s="2"/>
      <c r="D1080" s="2"/>
      <c r="E1080" s="2"/>
      <c r="F1080" s="2"/>
      <c r="G1080" s="2"/>
      <c r="H1080" s="2"/>
      <c r="I1080" s="2"/>
      <c r="J1080" s="2"/>
      <c r="K1080" s="2"/>
      <c r="L1080" s="2"/>
      <c r="M1080" s="2"/>
      <c r="N1080" s="2"/>
      <c r="O1080" s="2"/>
      <c r="P1080" s="2"/>
      <c r="Q1080" s="2"/>
      <c r="R1080" s="2"/>
      <c r="S1080" s="2"/>
      <c r="T1080" s="2"/>
      <c r="U1080" s="2"/>
      <c r="V1080" s="2"/>
      <c r="W1080" s="2"/>
      <c r="X1080" s="2"/>
      <c r="Y1080" s="2"/>
      <c r="Z1080" s="2"/>
    </row>
    <row r="1081" ht="30.0" customHeight="1">
      <c r="A1081" s="2"/>
      <c r="B1081" s="2"/>
      <c r="C1081" s="2"/>
      <c r="D1081" s="2"/>
      <c r="E1081" s="2"/>
      <c r="F1081" s="2"/>
      <c r="G1081" s="2"/>
      <c r="H1081" s="2"/>
      <c r="I1081" s="2"/>
      <c r="J1081" s="2"/>
      <c r="K1081" s="2"/>
      <c r="L1081" s="2"/>
      <c r="M1081" s="2"/>
      <c r="N1081" s="2"/>
      <c r="O1081" s="2"/>
      <c r="P1081" s="2"/>
      <c r="Q1081" s="2"/>
      <c r="R1081" s="2"/>
      <c r="S1081" s="2"/>
      <c r="T1081" s="2"/>
      <c r="U1081" s="2"/>
      <c r="V1081" s="2"/>
      <c r="W1081" s="2"/>
      <c r="X1081" s="2"/>
      <c r="Y1081" s="2"/>
      <c r="Z1081" s="2"/>
    </row>
    <row r="1082" ht="30.0" customHeight="1">
      <c r="A1082" s="2"/>
      <c r="B1082" s="2"/>
      <c r="C1082" s="2"/>
      <c r="D1082" s="2"/>
      <c r="E1082" s="2"/>
      <c r="F1082" s="2"/>
      <c r="G1082" s="2"/>
      <c r="H1082" s="2"/>
      <c r="I1082" s="2"/>
      <c r="J1082" s="2"/>
      <c r="K1082" s="2"/>
      <c r="L1082" s="2"/>
      <c r="M1082" s="2"/>
      <c r="N1082" s="2"/>
      <c r="O1082" s="2"/>
      <c r="P1082" s="2"/>
      <c r="Q1082" s="2"/>
      <c r="R1082" s="2"/>
      <c r="S1082" s="2"/>
      <c r="T1082" s="2"/>
      <c r="U1082" s="2"/>
      <c r="V1082" s="2"/>
      <c r="W1082" s="2"/>
      <c r="X1082" s="2"/>
      <c r="Y1082" s="2"/>
      <c r="Z1082" s="2"/>
    </row>
    <row r="1083" ht="30.0" customHeight="1">
      <c r="A1083" s="2"/>
      <c r="B1083" s="2"/>
      <c r="C1083" s="2"/>
      <c r="D1083" s="2"/>
      <c r="E1083" s="2"/>
      <c r="F1083" s="2"/>
      <c r="G1083" s="2"/>
      <c r="H1083" s="2"/>
      <c r="I1083" s="2"/>
      <c r="J1083" s="2"/>
      <c r="K1083" s="2"/>
      <c r="L1083" s="2"/>
      <c r="M1083" s="2"/>
      <c r="N1083" s="2"/>
      <c r="O1083" s="2"/>
      <c r="P1083" s="2"/>
      <c r="Q1083" s="2"/>
      <c r="R1083" s="2"/>
      <c r="S1083" s="2"/>
      <c r="T1083" s="2"/>
      <c r="U1083" s="2"/>
      <c r="V1083" s="2"/>
      <c r="W1083" s="2"/>
      <c r="X1083" s="2"/>
      <c r="Y1083" s="2"/>
      <c r="Z1083" s="2"/>
    </row>
    <row r="1084" ht="30.0" customHeight="1">
      <c r="A1084" s="2"/>
      <c r="B1084" s="2"/>
      <c r="C1084" s="2"/>
      <c r="D1084" s="2"/>
      <c r="E1084" s="2"/>
      <c r="F1084" s="2"/>
      <c r="G1084" s="2"/>
      <c r="H1084" s="2"/>
      <c r="I1084" s="2"/>
      <c r="J1084" s="2"/>
      <c r="K1084" s="2"/>
      <c r="L1084" s="2"/>
      <c r="M1084" s="2"/>
      <c r="N1084" s="2"/>
      <c r="O1084" s="2"/>
      <c r="P1084" s="2"/>
      <c r="Q1084" s="2"/>
      <c r="R1084" s="2"/>
      <c r="S1084" s="2"/>
      <c r="T1084" s="2"/>
      <c r="U1084" s="2"/>
      <c r="V1084" s="2"/>
      <c r="W1084" s="2"/>
      <c r="X1084" s="2"/>
      <c r="Y1084" s="2"/>
      <c r="Z1084" s="2"/>
    </row>
    <row r="1085" ht="30.0" customHeight="1">
      <c r="A1085" s="2"/>
      <c r="B1085" s="2"/>
      <c r="C1085" s="2"/>
      <c r="D1085" s="2"/>
      <c r="E1085" s="2"/>
      <c r="F1085" s="2"/>
      <c r="G1085" s="2"/>
      <c r="H1085" s="2"/>
      <c r="I1085" s="2"/>
      <c r="J1085" s="2"/>
      <c r="K1085" s="2"/>
      <c r="L1085" s="2"/>
      <c r="M1085" s="2"/>
      <c r="N1085" s="2"/>
      <c r="O1085" s="2"/>
      <c r="P1085" s="2"/>
      <c r="Q1085" s="2"/>
      <c r="R1085" s="2"/>
      <c r="S1085" s="2"/>
      <c r="T1085" s="2"/>
      <c r="U1085" s="2"/>
      <c r="V1085" s="2"/>
      <c r="W1085" s="2"/>
      <c r="X1085" s="2"/>
      <c r="Y1085" s="2"/>
      <c r="Z1085" s="2"/>
    </row>
    <row r="1086" ht="30.0" customHeight="1">
      <c r="A1086" s="2"/>
      <c r="B1086" s="2"/>
      <c r="C1086" s="2"/>
      <c r="D1086" s="2"/>
      <c r="E1086" s="2"/>
      <c r="F1086" s="2"/>
      <c r="G1086" s="2"/>
      <c r="H1086" s="2"/>
      <c r="I1086" s="2"/>
      <c r="J1086" s="2"/>
      <c r="K1086" s="2"/>
      <c r="L1086" s="2"/>
      <c r="M1086" s="2"/>
      <c r="N1086" s="2"/>
      <c r="O1086" s="2"/>
      <c r="P1086" s="2"/>
      <c r="Q1086" s="2"/>
      <c r="R1086" s="2"/>
      <c r="S1086" s="2"/>
      <c r="T1086" s="2"/>
      <c r="U1086" s="2"/>
      <c r="V1086" s="2"/>
      <c r="W1086" s="2"/>
      <c r="X1086" s="2"/>
      <c r="Y1086" s="2"/>
      <c r="Z1086" s="2"/>
    </row>
    <row r="1087" ht="30.0" customHeight="1">
      <c r="A1087" s="2"/>
      <c r="B1087" s="2"/>
      <c r="C1087" s="2"/>
      <c r="D1087" s="2"/>
      <c r="E1087" s="2"/>
      <c r="F1087" s="2"/>
      <c r="G1087" s="2"/>
      <c r="H1087" s="2"/>
      <c r="I1087" s="2"/>
      <c r="J1087" s="2"/>
      <c r="K1087" s="2"/>
      <c r="L1087" s="2"/>
      <c r="M1087" s="2"/>
      <c r="N1087" s="2"/>
      <c r="O1087" s="2"/>
      <c r="P1087" s="2"/>
      <c r="Q1087" s="2"/>
      <c r="R1087" s="2"/>
      <c r="S1087" s="2"/>
      <c r="T1087" s="2"/>
      <c r="U1087" s="2"/>
      <c r="V1087" s="2"/>
      <c r="W1087" s="2"/>
      <c r="X1087" s="2"/>
      <c r="Y1087" s="2"/>
      <c r="Z1087" s="2"/>
    </row>
    <row r="1088" ht="30.0" customHeight="1">
      <c r="A1088" s="2"/>
      <c r="B1088" s="2"/>
      <c r="C1088" s="2"/>
      <c r="D1088" s="2"/>
      <c r="E1088" s="2"/>
      <c r="F1088" s="2"/>
      <c r="G1088" s="2"/>
      <c r="H1088" s="2"/>
      <c r="I1088" s="2"/>
      <c r="J1088" s="2"/>
      <c r="K1088" s="2"/>
      <c r="L1088" s="2"/>
      <c r="M1088" s="2"/>
      <c r="N1088" s="2"/>
      <c r="O1088" s="2"/>
      <c r="P1088" s="2"/>
      <c r="Q1088" s="2"/>
      <c r="R1088" s="2"/>
      <c r="S1088" s="2"/>
      <c r="T1088" s="2"/>
      <c r="U1088" s="2"/>
      <c r="V1088" s="2"/>
      <c r="W1088" s="2"/>
      <c r="X1088" s="2"/>
      <c r="Y1088" s="2"/>
      <c r="Z1088" s="2"/>
    </row>
    <row r="1089" ht="30.0" customHeight="1">
      <c r="A1089" s="2"/>
      <c r="B1089" s="2"/>
      <c r="C1089" s="2"/>
      <c r="D1089" s="2"/>
      <c r="E1089" s="2"/>
      <c r="F1089" s="2"/>
      <c r="G1089" s="2"/>
      <c r="H1089" s="2"/>
      <c r="I1089" s="2"/>
      <c r="J1089" s="2"/>
      <c r="K1089" s="2"/>
      <c r="L1089" s="2"/>
      <c r="M1089" s="2"/>
      <c r="N1089" s="2"/>
      <c r="O1089" s="2"/>
      <c r="P1089" s="2"/>
      <c r="Q1089" s="2"/>
      <c r="R1089" s="2"/>
      <c r="S1089" s="2"/>
      <c r="T1089" s="2"/>
      <c r="U1089" s="2"/>
      <c r="V1089" s="2"/>
      <c r="W1089" s="2"/>
      <c r="X1089" s="2"/>
      <c r="Y1089" s="2"/>
      <c r="Z1089" s="2"/>
    </row>
    <row r="1090" ht="30.0" customHeight="1">
      <c r="A1090" s="2"/>
      <c r="B1090" s="2"/>
      <c r="C1090" s="2"/>
      <c r="D1090" s="2"/>
      <c r="E1090" s="2"/>
      <c r="F1090" s="2"/>
      <c r="G1090" s="2"/>
      <c r="H1090" s="2"/>
      <c r="I1090" s="2"/>
      <c r="J1090" s="2"/>
      <c r="K1090" s="2"/>
      <c r="L1090" s="2"/>
      <c r="M1090" s="2"/>
      <c r="N1090" s="2"/>
      <c r="O1090" s="2"/>
      <c r="P1090" s="2"/>
      <c r="Q1090" s="2"/>
      <c r="R1090" s="2"/>
      <c r="S1090" s="2"/>
      <c r="T1090" s="2"/>
      <c r="U1090" s="2"/>
      <c r="V1090" s="2"/>
      <c r="W1090" s="2"/>
      <c r="X1090" s="2"/>
      <c r="Y1090" s="2"/>
      <c r="Z1090" s="2"/>
    </row>
    <row r="1091" ht="30.0" customHeight="1">
      <c r="A1091" s="2"/>
      <c r="B1091" s="2"/>
      <c r="C1091" s="2"/>
      <c r="D1091" s="2"/>
      <c r="E1091" s="2"/>
      <c r="F1091" s="2"/>
      <c r="G1091" s="2"/>
      <c r="H1091" s="2"/>
      <c r="I1091" s="2"/>
      <c r="J1091" s="2"/>
      <c r="K1091" s="2"/>
      <c r="L1091" s="2"/>
      <c r="M1091" s="2"/>
      <c r="N1091" s="2"/>
      <c r="O1091" s="2"/>
      <c r="P1091" s="2"/>
      <c r="Q1091" s="2"/>
      <c r="R1091" s="2"/>
      <c r="S1091" s="2"/>
      <c r="T1091" s="2"/>
      <c r="U1091" s="2"/>
      <c r="V1091" s="2"/>
      <c r="W1091" s="2"/>
      <c r="X1091" s="2"/>
      <c r="Y1091" s="2"/>
      <c r="Z1091" s="2"/>
    </row>
    <row r="1092" ht="30.0" customHeight="1">
      <c r="A1092" s="2"/>
      <c r="B1092" s="2"/>
      <c r="C1092" s="2"/>
      <c r="D1092" s="2"/>
      <c r="E1092" s="2"/>
      <c r="F1092" s="2"/>
      <c r="G1092" s="2"/>
      <c r="H1092" s="2"/>
      <c r="I1092" s="2"/>
      <c r="J1092" s="2"/>
      <c r="K1092" s="2"/>
      <c r="L1092" s="2"/>
      <c r="M1092" s="2"/>
      <c r="N1092" s="2"/>
      <c r="O1092" s="2"/>
      <c r="P1092" s="2"/>
      <c r="Q1092" s="2"/>
      <c r="R1092" s="2"/>
      <c r="S1092" s="2"/>
      <c r="T1092" s="2"/>
      <c r="U1092" s="2"/>
      <c r="V1092" s="2"/>
      <c r="W1092" s="2"/>
      <c r="X1092" s="2"/>
      <c r="Y1092" s="2"/>
      <c r="Z1092" s="2"/>
    </row>
    <row r="1093" ht="30.0" customHeight="1">
      <c r="A1093" s="2"/>
      <c r="B1093" s="2"/>
      <c r="C1093" s="2"/>
      <c r="D1093" s="2"/>
      <c r="E1093" s="2"/>
      <c r="F1093" s="2"/>
      <c r="G1093" s="2"/>
      <c r="H1093" s="2"/>
      <c r="I1093" s="2"/>
      <c r="J1093" s="2"/>
      <c r="K1093" s="2"/>
      <c r="L1093" s="2"/>
      <c r="M1093" s="2"/>
      <c r="N1093" s="2"/>
      <c r="O1093" s="2"/>
      <c r="P1093" s="2"/>
      <c r="Q1093" s="2"/>
      <c r="R1093" s="2"/>
      <c r="S1093" s="2"/>
      <c r="T1093" s="2"/>
      <c r="U1093" s="2"/>
      <c r="V1093" s="2"/>
      <c r="W1093" s="2"/>
      <c r="X1093" s="2"/>
      <c r="Y1093" s="2"/>
      <c r="Z1093" s="2"/>
    </row>
    <row r="1094" ht="30.0" customHeight="1">
      <c r="A1094" s="2"/>
      <c r="B1094" s="2"/>
      <c r="C1094" s="2"/>
      <c r="D1094" s="2"/>
      <c r="E1094" s="2"/>
      <c r="F1094" s="2"/>
      <c r="G1094" s="2"/>
      <c r="H1094" s="2"/>
      <c r="I1094" s="2"/>
      <c r="J1094" s="2"/>
      <c r="K1094" s="2"/>
      <c r="L1094" s="2"/>
      <c r="M1094" s="2"/>
      <c r="N1094" s="2"/>
      <c r="O1094" s="2"/>
      <c r="P1094" s="2"/>
      <c r="Q1094" s="2"/>
      <c r="R1094" s="2"/>
      <c r="S1094" s="2"/>
      <c r="T1094" s="2"/>
      <c r="U1094" s="2"/>
      <c r="V1094" s="2"/>
      <c r="W1094" s="2"/>
      <c r="X1094" s="2"/>
      <c r="Y1094" s="2"/>
      <c r="Z1094" s="2"/>
    </row>
    <row r="1095" ht="30.0" customHeight="1">
      <c r="A1095" s="2"/>
      <c r="B1095" s="2"/>
      <c r="C1095" s="2"/>
      <c r="D1095" s="2"/>
      <c r="E1095" s="2"/>
      <c r="F1095" s="2"/>
      <c r="G1095" s="2"/>
      <c r="H1095" s="2"/>
      <c r="I1095" s="2"/>
      <c r="J1095" s="2"/>
      <c r="K1095" s="2"/>
      <c r="L1095" s="2"/>
      <c r="M1095" s="2"/>
      <c r="N1095" s="2"/>
      <c r="O1095" s="2"/>
      <c r="P1095" s="2"/>
      <c r="Q1095" s="2"/>
      <c r="R1095" s="2"/>
      <c r="S1095" s="2"/>
      <c r="T1095" s="2"/>
      <c r="U1095" s="2"/>
      <c r="V1095" s="2"/>
      <c r="W1095" s="2"/>
      <c r="X1095" s="2"/>
      <c r="Y1095" s="2"/>
      <c r="Z1095" s="2"/>
    </row>
    <row r="1096" ht="30.0" customHeight="1">
      <c r="A1096" s="2"/>
      <c r="B1096" s="2"/>
      <c r="C1096" s="2"/>
      <c r="D1096" s="2"/>
      <c r="E1096" s="2"/>
      <c r="F1096" s="2"/>
      <c r="G1096" s="2"/>
      <c r="H1096" s="2"/>
      <c r="I1096" s="2"/>
      <c r="J1096" s="2"/>
      <c r="K1096" s="2"/>
      <c r="L1096" s="2"/>
      <c r="M1096" s="2"/>
      <c r="N1096" s="2"/>
      <c r="O1096" s="2"/>
      <c r="P1096" s="2"/>
      <c r="Q1096" s="2"/>
      <c r="R1096" s="2"/>
      <c r="S1096" s="2"/>
      <c r="T1096" s="2"/>
      <c r="U1096" s="2"/>
      <c r="V1096" s="2"/>
      <c r="W1096" s="2"/>
      <c r="X1096" s="2"/>
      <c r="Y1096" s="2"/>
      <c r="Z1096" s="2"/>
    </row>
    <row r="1097" ht="30.0" customHeight="1">
      <c r="A1097" s="2"/>
      <c r="B1097" s="2"/>
      <c r="C1097" s="2"/>
      <c r="D1097" s="2"/>
      <c r="E1097" s="2"/>
      <c r="F1097" s="2"/>
      <c r="G1097" s="2"/>
      <c r="H1097" s="2"/>
      <c r="I1097" s="2"/>
      <c r="J1097" s="2"/>
      <c r="K1097" s="2"/>
      <c r="L1097" s="2"/>
      <c r="M1097" s="2"/>
      <c r="N1097" s="2"/>
      <c r="O1097" s="2"/>
      <c r="P1097" s="2"/>
      <c r="Q1097" s="2"/>
      <c r="R1097" s="2"/>
      <c r="S1097" s="2"/>
      <c r="T1097" s="2"/>
      <c r="U1097" s="2"/>
      <c r="V1097" s="2"/>
      <c r="W1097" s="2"/>
      <c r="X1097" s="2"/>
      <c r="Y1097" s="2"/>
      <c r="Z1097" s="2"/>
    </row>
    <row r="1098" ht="30.0" customHeight="1">
      <c r="A1098" s="2"/>
      <c r="B1098" s="2"/>
      <c r="C1098" s="2"/>
      <c r="D1098" s="2"/>
      <c r="E1098" s="2"/>
      <c r="F1098" s="2"/>
      <c r="G1098" s="2"/>
      <c r="H1098" s="2"/>
      <c r="I1098" s="2"/>
      <c r="J1098" s="2"/>
      <c r="K1098" s="2"/>
      <c r="L1098" s="2"/>
      <c r="M1098" s="2"/>
      <c r="N1098" s="2"/>
      <c r="O1098" s="2"/>
      <c r="P1098" s="2"/>
      <c r="Q1098" s="2"/>
      <c r="R1098" s="2"/>
      <c r="S1098" s="2"/>
      <c r="T1098" s="2"/>
      <c r="U1098" s="2"/>
      <c r="V1098" s="2"/>
      <c r="W1098" s="2"/>
      <c r="X1098" s="2"/>
      <c r="Y1098" s="2"/>
      <c r="Z1098" s="2"/>
    </row>
    <row r="1099" ht="30.0" customHeight="1">
      <c r="A1099" s="2"/>
      <c r="B1099" s="2"/>
      <c r="C1099" s="2"/>
      <c r="D1099" s="2"/>
      <c r="E1099" s="2"/>
      <c r="F1099" s="2"/>
      <c r="G1099" s="2"/>
      <c r="H1099" s="2"/>
      <c r="I1099" s="2"/>
      <c r="J1099" s="2"/>
      <c r="K1099" s="2"/>
      <c r="L1099" s="2"/>
      <c r="M1099" s="2"/>
      <c r="N1099" s="2"/>
      <c r="O1099" s="2"/>
      <c r="P1099" s="2"/>
      <c r="Q1099" s="2"/>
      <c r="R1099" s="2"/>
      <c r="S1099" s="2"/>
      <c r="T1099" s="2"/>
      <c r="U1099" s="2"/>
      <c r="V1099" s="2"/>
      <c r="W1099" s="2"/>
      <c r="X1099" s="2"/>
      <c r="Y1099" s="2"/>
      <c r="Z1099" s="2"/>
    </row>
    <row r="1100" ht="30.0" customHeight="1">
      <c r="A1100" s="2"/>
      <c r="B1100" s="2"/>
      <c r="C1100" s="2"/>
      <c r="D1100" s="2"/>
      <c r="E1100" s="2"/>
      <c r="F1100" s="2"/>
      <c r="G1100" s="2"/>
      <c r="H1100" s="2"/>
      <c r="I1100" s="2"/>
      <c r="J1100" s="2"/>
      <c r="K1100" s="2"/>
      <c r="L1100" s="2"/>
      <c r="M1100" s="2"/>
      <c r="N1100" s="2"/>
      <c r="O1100" s="2"/>
      <c r="P1100" s="2"/>
      <c r="Q1100" s="2"/>
      <c r="R1100" s="2"/>
      <c r="S1100" s="2"/>
      <c r="T1100" s="2"/>
      <c r="U1100" s="2"/>
      <c r="V1100" s="2"/>
      <c r="W1100" s="2"/>
      <c r="X1100" s="2"/>
      <c r="Y1100" s="2"/>
      <c r="Z1100" s="2"/>
    </row>
    <row r="1101" ht="30.0" customHeight="1">
      <c r="A1101" s="2"/>
      <c r="B1101" s="2"/>
      <c r="C1101" s="2"/>
      <c r="D1101" s="2"/>
      <c r="E1101" s="2"/>
      <c r="F1101" s="2"/>
      <c r="G1101" s="2"/>
      <c r="H1101" s="2"/>
      <c r="I1101" s="2"/>
      <c r="J1101" s="2"/>
      <c r="K1101" s="2"/>
      <c r="L1101" s="2"/>
      <c r="M1101" s="2"/>
      <c r="N1101" s="2"/>
      <c r="O1101" s="2"/>
      <c r="P1101" s="2"/>
      <c r="Q1101" s="2"/>
      <c r="R1101" s="2"/>
      <c r="S1101" s="2"/>
      <c r="T1101" s="2"/>
      <c r="U1101" s="2"/>
      <c r="V1101" s="2"/>
      <c r="W1101" s="2"/>
      <c r="X1101" s="2"/>
      <c r="Y1101" s="2"/>
      <c r="Z1101" s="2"/>
    </row>
    <row r="1102" ht="30.0" customHeight="1">
      <c r="A1102" s="2"/>
      <c r="B1102" s="2"/>
      <c r="C1102" s="2"/>
      <c r="D1102" s="2"/>
      <c r="E1102" s="2"/>
      <c r="F1102" s="2"/>
      <c r="G1102" s="2"/>
      <c r="H1102" s="2"/>
      <c r="I1102" s="2"/>
      <c r="J1102" s="2"/>
      <c r="K1102" s="2"/>
      <c r="L1102" s="2"/>
      <c r="M1102" s="2"/>
      <c r="N1102" s="2"/>
      <c r="O1102" s="2"/>
      <c r="P1102" s="2"/>
      <c r="Q1102" s="2"/>
      <c r="R1102" s="2"/>
      <c r="S1102" s="2"/>
      <c r="T1102" s="2"/>
      <c r="U1102" s="2"/>
      <c r="V1102" s="2"/>
      <c r="W1102" s="2"/>
      <c r="X1102" s="2"/>
      <c r="Y1102" s="2"/>
      <c r="Z1102" s="2"/>
    </row>
    <row r="1103" ht="30.0" customHeight="1">
      <c r="A1103" s="2"/>
      <c r="B1103" s="2"/>
      <c r="C1103" s="2"/>
      <c r="D1103" s="2"/>
      <c r="E1103" s="2"/>
      <c r="F1103" s="2"/>
      <c r="G1103" s="2"/>
      <c r="H1103" s="2"/>
      <c r="I1103" s="2"/>
      <c r="J1103" s="2"/>
      <c r="K1103" s="2"/>
      <c r="L1103" s="2"/>
      <c r="M1103" s="2"/>
      <c r="N1103" s="2"/>
      <c r="O1103" s="2"/>
      <c r="P1103" s="2"/>
      <c r="Q1103" s="2"/>
      <c r="R1103" s="2"/>
      <c r="S1103" s="2"/>
      <c r="T1103" s="2"/>
      <c r="U1103" s="2"/>
      <c r="V1103" s="2"/>
      <c r="W1103" s="2"/>
      <c r="X1103" s="2"/>
      <c r="Y1103" s="2"/>
      <c r="Z1103" s="2"/>
    </row>
    <row r="1104" ht="30.0" customHeight="1">
      <c r="A1104" s="2"/>
      <c r="B1104" s="2"/>
      <c r="C1104" s="2"/>
      <c r="D1104" s="2"/>
      <c r="E1104" s="2"/>
      <c r="F1104" s="2"/>
      <c r="G1104" s="2"/>
      <c r="H1104" s="2"/>
      <c r="I1104" s="2"/>
      <c r="J1104" s="2"/>
      <c r="K1104" s="2"/>
      <c r="L1104" s="2"/>
      <c r="M1104" s="2"/>
      <c r="N1104" s="2"/>
      <c r="O1104" s="2"/>
      <c r="P1104" s="2"/>
      <c r="Q1104" s="2"/>
      <c r="R1104" s="2"/>
      <c r="S1104" s="2"/>
      <c r="T1104" s="2"/>
      <c r="U1104" s="2"/>
      <c r="V1104" s="2"/>
      <c r="W1104" s="2"/>
      <c r="X1104" s="2"/>
      <c r="Y1104" s="2"/>
      <c r="Z1104" s="2"/>
    </row>
    <row r="1105" ht="30.0" customHeight="1">
      <c r="A1105" s="2"/>
      <c r="B1105" s="2"/>
      <c r="C1105" s="2"/>
      <c r="D1105" s="2"/>
      <c r="E1105" s="2"/>
      <c r="F1105" s="2"/>
      <c r="G1105" s="2"/>
      <c r="H1105" s="2"/>
      <c r="I1105" s="2"/>
      <c r="J1105" s="2"/>
      <c r="K1105" s="2"/>
      <c r="L1105" s="2"/>
      <c r="M1105" s="2"/>
      <c r="N1105" s="2"/>
      <c r="O1105" s="2"/>
      <c r="P1105" s="2"/>
      <c r="Q1105" s="2"/>
      <c r="R1105" s="2"/>
      <c r="S1105" s="2"/>
      <c r="T1105" s="2"/>
      <c r="U1105" s="2"/>
      <c r="V1105" s="2"/>
      <c r="W1105" s="2"/>
      <c r="X1105" s="2"/>
      <c r="Y1105" s="2"/>
      <c r="Z1105" s="2"/>
    </row>
    <row r="1106" ht="30.0" customHeight="1">
      <c r="A1106" s="2"/>
      <c r="B1106" s="2"/>
      <c r="C1106" s="2"/>
      <c r="D1106" s="2"/>
      <c r="E1106" s="2"/>
      <c r="F1106" s="2"/>
      <c r="G1106" s="2"/>
      <c r="H1106" s="2"/>
      <c r="I1106" s="2"/>
      <c r="J1106" s="2"/>
      <c r="K1106" s="2"/>
      <c r="L1106" s="2"/>
      <c r="M1106" s="2"/>
      <c r="N1106" s="2"/>
      <c r="O1106" s="2"/>
      <c r="P1106" s="2"/>
      <c r="Q1106" s="2"/>
      <c r="R1106" s="2"/>
      <c r="S1106" s="2"/>
      <c r="T1106" s="2"/>
      <c r="U1106" s="2"/>
      <c r="V1106" s="2"/>
      <c r="W1106" s="2"/>
      <c r="X1106" s="2"/>
      <c r="Y1106" s="2"/>
      <c r="Z1106" s="2"/>
    </row>
    <row r="1107" ht="30.0" customHeight="1">
      <c r="A1107" s="2"/>
      <c r="B1107" s="2"/>
      <c r="C1107" s="2"/>
      <c r="D1107" s="2"/>
      <c r="E1107" s="2"/>
      <c r="F1107" s="2"/>
      <c r="G1107" s="2"/>
      <c r="H1107" s="2"/>
      <c r="I1107" s="2"/>
      <c r="J1107" s="2"/>
      <c r="K1107" s="2"/>
      <c r="L1107" s="2"/>
      <c r="M1107" s="2"/>
      <c r="N1107" s="2"/>
      <c r="O1107" s="2"/>
      <c r="P1107" s="2"/>
      <c r="Q1107" s="2"/>
      <c r="R1107" s="2"/>
      <c r="S1107" s="2"/>
      <c r="T1107" s="2"/>
      <c r="U1107" s="2"/>
      <c r="V1107" s="2"/>
      <c r="W1107" s="2"/>
      <c r="X1107" s="2"/>
      <c r="Y1107" s="2"/>
      <c r="Z1107" s="2"/>
    </row>
    <row r="1108" ht="30.0" customHeight="1">
      <c r="A1108" s="2"/>
      <c r="B1108" s="2"/>
      <c r="C1108" s="2"/>
      <c r="D1108" s="2"/>
      <c r="E1108" s="2"/>
      <c r="F1108" s="2"/>
      <c r="G1108" s="2"/>
      <c r="H1108" s="2"/>
      <c r="I1108" s="2"/>
      <c r="J1108" s="2"/>
      <c r="K1108" s="2"/>
      <c r="L1108" s="2"/>
      <c r="M1108" s="2"/>
      <c r="N1108" s="2"/>
      <c r="O1108" s="2"/>
      <c r="P1108" s="2"/>
      <c r="Q1108" s="2"/>
      <c r="R1108" s="2"/>
      <c r="S1108" s="2"/>
      <c r="T1108" s="2"/>
      <c r="U1108" s="2"/>
      <c r="V1108" s="2"/>
      <c r="W1108" s="2"/>
      <c r="X1108" s="2"/>
      <c r="Y1108" s="2"/>
      <c r="Z1108" s="2"/>
    </row>
    <row r="1109" ht="30.0" customHeight="1">
      <c r="A1109" s="2"/>
      <c r="B1109" s="2"/>
      <c r="C1109" s="2"/>
      <c r="D1109" s="2"/>
      <c r="E1109" s="2"/>
      <c r="F1109" s="2"/>
      <c r="G1109" s="2"/>
      <c r="H1109" s="2"/>
      <c r="I1109" s="2"/>
      <c r="J1109" s="2"/>
      <c r="K1109" s="2"/>
      <c r="L1109" s="2"/>
      <c r="M1109" s="2"/>
      <c r="N1109" s="2"/>
      <c r="O1109" s="2"/>
      <c r="P1109" s="2"/>
      <c r="Q1109" s="2"/>
      <c r="R1109" s="2"/>
      <c r="S1109" s="2"/>
      <c r="T1109" s="2"/>
      <c r="U1109" s="2"/>
      <c r="V1109" s="2"/>
      <c r="W1109" s="2"/>
      <c r="X1109" s="2"/>
      <c r="Y1109" s="2"/>
      <c r="Z1109" s="2"/>
    </row>
    <row r="1110" ht="30.0" customHeight="1">
      <c r="A1110" s="2"/>
      <c r="B1110" s="2"/>
      <c r="C1110" s="2"/>
      <c r="D1110" s="2"/>
      <c r="E1110" s="2"/>
      <c r="F1110" s="2"/>
      <c r="G1110" s="2"/>
      <c r="H1110" s="2"/>
      <c r="I1110" s="2"/>
      <c r="J1110" s="2"/>
      <c r="K1110" s="2"/>
      <c r="L1110" s="2"/>
      <c r="M1110" s="2"/>
      <c r="N1110" s="2"/>
      <c r="O1110" s="2"/>
      <c r="P1110" s="2"/>
      <c r="Q1110" s="2"/>
      <c r="R1110" s="2"/>
      <c r="S1110" s="2"/>
      <c r="T1110" s="2"/>
      <c r="U1110" s="2"/>
      <c r="V1110" s="2"/>
      <c r="W1110" s="2"/>
      <c r="X1110" s="2"/>
      <c r="Y1110" s="2"/>
      <c r="Z1110" s="2"/>
    </row>
    <row r="1111" ht="30.0" customHeight="1">
      <c r="A1111" s="2"/>
      <c r="B1111" s="2"/>
      <c r="C1111" s="2"/>
      <c r="D1111" s="2"/>
      <c r="E1111" s="2"/>
      <c r="F1111" s="2"/>
      <c r="G1111" s="2"/>
      <c r="H1111" s="2"/>
      <c r="I1111" s="2"/>
      <c r="J1111" s="2"/>
      <c r="K1111" s="2"/>
      <c r="L1111" s="2"/>
      <c r="M1111" s="2"/>
      <c r="N1111" s="2"/>
      <c r="O1111" s="2"/>
      <c r="P1111" s="2"/>
      <c r="Q1111" s="2"/>
      <c r="R1111" s="2"/>
      <c r="S1111" s="2"/>
      <c r="T1111" s="2"/>
      <c r="U1111" s="2"/>
      <c r="V1111" s="2"/>
      <c r="W1111" s="2"/>
      <c r="X1111" s="2"/>
      <c r="Y1111" s="2"/>
      <c r="Z1111" s="2"/>
    </row>
    <row r="1112" ht="30.0" customHeight="1">
      <c r="A1112" s="2"/>
      <c r="B1112" s="2"/>
      <c r="C1112" s="2"/>
      <c r="D1112" s="2"/>
      <c r="E1112" s="2"/>
      <c r="F1112" s="2"/>
      <c r="G1112" s="2"/>
      <c r="H1112" s="2"/>
      <c r="I1112" s="2"/>
      <c r="J1112" s="2"/>
      <c r="K1112" s="2"/>
      <c r="L1112" s="2"/>
      <c r="M1112" s="2"/>
      <c r="N1112" s="2"/>
      <c r="O1112" s="2"/>
      <c r="P1112" s="2"/>
      <c r="Q1112" s="2"/>
      <c r="R1112" s="2"/>
      <c r="S1112" s="2"/>
      <c r="T1112" s="2"/>
      <c r="U1112" s="2"/>
      <c r="V1112" s="2"/>
      <c r="W1112" s="2"/>
      <c r="X1112" s="2"/>
      <c r="Y1112" s="2"/>
      <c r="Z1112" s="2"/>
    </row>
    <row r="1113" ht="30.0" customHeight="1">
      <c r="A1113" s="2"/>
      <c r="B1113" s="2"/>
      <c r="C1113" s="2"/>
      <c r="D1113" s="2"/>
      <c r="E1113" s="2"/>
      <c r="F1113" s="2"/>
      <c r="G1113" s="2"/>
      <c r="H1113" s="2"/>
      <c r="I1113" s="2"/>
      <c r="J1113" s="2"/>
      <c r="K1113" s="2"/>
      <c r="L1113" s="2"/>
      <c r="M1113" s="2"/>
      <c r="N1113" s="2"/>
      <c r="O1113" s="2"/>
      <c r="P1113" s="2"/>
      <c r="Q1113" s="2"/>
      <c r="R1113" s="2"/>
      <c r="S1113" s="2"/>
      <c r="T1113" s="2"/>
      <c r="U1113" s="2"/>
      <c r="V1113" s="2"/>
      <c r="W1113" s="2"/>
      <c r="X1113" s="2"/>
      <c r="Y1113" s="2"/>
      <c r="Z1113" s="2"/>
    </row>
    <row r="1114" ht="30.0" customHeight="1">
      <c r="A1114" s="2"/>
      <c r="B1114" s="2"/>
      <c r="C1114" s="2"/>
      <c r="D1114" s="2"/>
      <c r="E1114" s="2"/>
      <c r="F1114" s="2"/>
      <c r="G1114" s="2"/>
      <c r="H1114" s="2"/>
      <c r="I1114" s="2"/>
      <c r="J1114" s="2"/>
      <c r="K1114" s="2"/>
      <c r="L1114" s="2"/>
      <c r="M1114" s="2"/>
      <c r="N1114" s="2"/>
      <c r="O1114" s="2"/>
      <c r="P1114" s="2"/>
      <c r="Q1114" s="2"/>
      <c r="R1114" s="2"/>
      <c r="S1114" s="2"/>
      <c r="T1114" s="2"/>
      <c r="U1114" s="2"/>
      <c r="V1114" s="2"/>
      <c r="W1114" s="2"/>
      <c r="X1114" s="2"/>
      <c r="Y1114" s="2"/>
      <c r="Z1114" s="2"/>
    </row>
    <row r="1115" ht="30.0" customHeight="1">
      <c r="A1115" s="2"/>
      <c r="B1115" s="2"/>
      <c r="C1115" s="2"/>
      <c r="D1115" s="2"/>
      <c r="E1115" s="2"/>
      <c r="F1115" s="2"/>
      <c r="G1115" s="2"/>
      <c r="H1115" s="2"/>
      <c r="I1115" s="2"/>
      <c r="J1115" s="2"/>
      <c r="K1115" s="2"/>
      <c r="L1115" s="2"/>
      <c r="M1115" s="2"/>
      <c r="N1115" s="2"/>
      <c r="O1115" s="2"/>
      <c r="P1115" s="2"/>
      <c r="Q1115" s="2"/>
      <c r="R1115" s="2"/>
      <c r="S1115" s="2"/>
      <c r="T1115" s="2"/>
      <c r="U1115" s="2"/>
      <c r="V1115" s="2"/>
      <c r="W1115" s="2"/>
      <c r="X1115" s="2"/>
      <c r="Y1115" s="2"/>
      <c r="Z1115" s="2"/>
    </row>
    <row r="1116" ht="30.0" customHeight="1">
      <c r="A1116" s="2"/>
      <c r="B1116" s="2"/>
      <c r="C1116" s="2"/>
      <c r="D1116" s="2"/>
      <c r="E1116" s="2"/>
      <c r="F1116" s="2"/>
      <c r="G1116" s="2"/>
      <c r="H1116" s="2"/>
      <c r="I1116" s="2"/>
      <c r="J1116" s="2"/>
      <c r="K1116" s="2"/>
      <c r="L1116" s="2"/>
      <c r="M1116" s="2"/>
      <c r="N1116" s="2"/>
      <c r="O1116" s="2"/>
      <c r="P1116" s="2"/>
      <c r="Q1116" s="2"/>
      <c r="R1116" s="2"/>
      <c r="S1116" s="2"/>
      <c r="T1116" s="2"/>
      <c r="U1116" s="2"/>
      <c r="V1116" s="2"/>
      <c r="W1116" s="2"/>
      <c r="X1116" s="2"/>
      <c r="Y1116" s="2"/>
      <c r="Z1116" s="2"/>
    </row>
    <row r="1117" ht="30.0" customHeight="1">
      <c r="A1117" s="2"/>
      <c r="B1117" s="2"/>
      <c r="C1117" s="2"/>
      <c r="D1117" s="2"/>
      <c r="E1117" s="2"/>
      <c r="F1117" s="2"/>
      <c r="G1117" s="2"/>
      <c r="H1117" s="2"/>
      <c r="I1117" s="2"/>
      <c r="J1117" s="2"/>
      <c r="K1117" s="2"/>
      <c r="L1117" s="2"/>
      <c r="M1117" s="2"/>
      <c r="N1117" s="2"/>
      <c r="O1117" s="2"/>
      <c r="P1117" s="2"/>
      <c r="Q1117" s="2"/>
      <c r="R1117" s="2"/>
      <c r="S1117" s="2"/>
      <c r="T1117" s="2"/>
      <c r="U1117" s="2"/>
      <c r="V1117" s="2"/>
      <c r="W1117" s="2"/>
      <c r="X1117" s="2"/>
      <c r="Y1117" s="2"/>
      <c r="Z1117" s="2"/>
    </row>
    <row r="1118" ht="30.0" customHeight="1">
      <c r="A1118" s="2"/>
      <c r="B1118" s="2"/>
      <c r="C1118" s="2"/>
      <c r="D1118" s="2"/>
      <c r="E1118" s="2"/>
      <c r="F1118" s="2"/>
      <c r="G1118" s="2"/>
      <c r="H1118" s="2"/>
      <c r="I1118" s="2"/>
      <c r="J1118" s="2"/>
      <c r="K1118" s="2"/>
      <c r="L1118" s="2"/>
      <c r="M1118" s="2"/>
      <c r="N1118" s="2"/>
      <c r="O1118" s="2"/>
      <c r="P1118" s="2"/>
      <c r="Q1118" s="2"/>
      <c r="R1118" s="2"/>
      <c r="S1118" s="2"/>
      <c r="T1118" s="2"/>
      <c r="U1118" s="2"/>
      <c r="V1118" s="2"/>
      <c r="W1118" s="2"/>
      <c r="X1118" s="2"/>
      <c r="Y1118" s="2"/>
      <c r="Z1118" s="2"/>
    </row>
    <row r="1119" ht="30.0" customHeight="1">
      <c r="A1119" s="2"/>
      <c r="B1119" s="2"/>
      <c r="C1119" s="2"/>
      <c r="D1119" s="2"/>
      <c r="E1119" s="2"/>
      <c r="F1119" s="2"/>
      <c r="G1119" s="2"/>
      <c r="H1119" s="2"/>
      <c r="I1119" s="2"/>
      <c r="J1119" s="2"/>
      <c r="K1119" s="2"/>
      <c r="L1119" s="2"/>
      <c r="M1119" s="2"/>
      <c r="N1119" s="2"/>
      <c r="O1119" s="2"/>
      <c r="P1119" s="2"/>
      <c r="Q1119" s="2"/>
      <c r="R1119" s="2"/>
      <c r="S1119" s="2"/>
      <c r="T1119" s="2"/>
      <c r="U1119" s="2"/>
      <c r="V1119" s="2"/>
      <c r="W1119" s="2"/>
      <c r="X1119" s="2"/>
      <c r="Y1119" s="2"/>
      <c r="Z1119" s="2"/>
    </row>
    <row r="1120" ht="30.0" customHeight="1">
      <c r="A1120" s="2"/>
      <c r="B1120" s="2"/>
      <c r="C1120" s="2"/>
      <c r="D1120" s="2"/>
      <c r="E1120" s="2"/>
      <c r="F1120" s="2"/>
      <c r="G1120" s="2"/>
      <c r="H1120" s="2"/>
      <c r="I1120" s="2"/>
      <c r="J1120" s="2"/>
      <c r="K1120" s="2"/>
      <c r="L1120" s="2"/>
      <c r="M1120" s="2"/>
      <c r="N1120" s="2"/>
      <c r="O1120" s="2"/>
      <c r="P1120" s="2"/>
      <c r="Q1120" s="2"/>
      <c r="R1120" s="2"/>
      <c r="S1120" s="2"/>
      <c r="T1120" s="2"/>
      <c r="U1120" s="2"/>
      <c r="V1120" s="2"/>
      <c r="W1120" s="2"/>
      <c r="X1120" s="2"/>
      <c r="Y1120" s="2"/>
      <c r="Z1120" s="2"/>
    </row>
    <row r="1121" ht="30.0" customHeight="1">
      <c r="A1121" s="2"/>
      <c r="B1121" s="2"/>
      <c r="C1121" s="2"/>
      <c r="D1121" s="2"/>
      <c r="E1121" s="2"/>
      <c r="F1121" s="2"/>
      <c r="G1121" s="2"/>
      <c r="H1121" s="2"/>
      <c r="I1121" s="2"/>
      <c r="J1121" s="2"/>
      <c r="K1121" s="2"/>
      <c r="L1121" s="2"/>
      <c r="M1121" s="2"/>
      <c r="N1121" s="2"/>
      <c r="O1121" s="2"/>
      <c r="P1121" s="2"/>
      <c r="Q1121" s="2"/>
      <c r="R1121" s="2"/>
      <c r="S1121" s="2"/>
      <c r="T1121" s="2"/>
      <c r="U1121" s="2"/>
      <c r="V1121" s="2"/>
      <c r="W1121" s="2"/>
      <c r="X1121" s="2"/>
      <c r="Y1121" s="2"/>
      <c r="Z1121" s="2"/>
    </row>
    <row r="1122" ht="30.0" customHeight="1">
      <c r="A1122" s="2"/>
      <c r="B1122" s="2"/>
      <c r="C1122" s="2"/>
      <c r="D1122" s="2"/>
      <c r="E1122" s="2"/>
      <c r="F1122" s="2"/>
      <c r="G1122" s="2"/>
      <c r="H1122" s="2"/>
      <c r="I1122" s="2"/>
      <c r="J1122" s="2"/>
      <c r="K1122" s="2"/>
      <c r="L1122" s="2"/>
      <c r="M1122" s="2"/>
      <c r="N1122" s="2"/>
      <c r="O1122" s="2"/>
      <c r="P1122" s="2"/>
      <c r="Q1122" s="2"/>
      <c r="R1122" s="2"/>
      <c r="S1122" s="2"/>
      <c r="T1122" s="2"/>
      <c r="U1122" s="2"/>
      <c r="V1122" s="2"/>
      <c r="W1122" s="2"/>
      <c r="X1122" s="2"/>
      <c r="Y1122" s="2"/>
      <c r="Z1122" s="2"/>
    </row>
    <row r="1123" ht="30.0" customHeight="1">
      <c r="A1123" s="2"/>
      <c r="B1123" s="2"/>
      <c r="C1123" s="2"/>
      <c r="D1123" s="2"/>
      <c r="E1123" s="2"/>
      <c r="F1123" s="2"/>
      <c r="G1123" s="2"/>
      <c r="H1123" s="2"/>
      <c r="I1123" s="2"/>
      <c r="J1123" s="2"/>
      <c r="K1123" s="2"/>
      <c r="L1123" s="2"/>
      <c r="M1123" s="2"/>
      <c r="N1123" s="2"/>
      <c r="O1123" s="2"/>
      <c r="P1123" s="2"/>
      <c r="Q1123" s="2"/>
      <c r="R1123" s="2"/>
      <c r="S1123" s="2"/>
      <c r="T1123" s="2"/>
      <c r="U1123" s="2"/>
      <c r="V1123" s="2"/>
      <c r="W1123" s="2"/>
      <c r="X1123" s="2"/>
      <c r="Y1123" s="2"/>
      <c r="Z1123" s="2"/>
    </row>
    <row r="1124" ht="30.0" customHeight="1">
      <c r="A1124" s="2"/>
      <c r="B1124" s="2"/>
      <c r="C1124" s="2"/>
      <c r="D1124" s="2"/>
      <c r="E1124" s="2"/>
      <c r="F1124" s="2"/>
      <c r="G1124" s="2"/>
      <c r="H1124" s="2"/>
      <c r="I1124" s="2"/>
      <c r="J1124" s="2"/>
      <c r="K1124" s="2"/>
      <c r="L1124" s="2"/>
      <c r="M1124" s="2"/>
      <c r="N1124" s="2"/>
      <c r="O1124" s="2"/>
      <c r="P1124" s="2"/>
      <c r="Q1124" s="2"/>
      <c r="R1124" s="2"/>
      <c r="S1124" s="2"/>
      <c r="T1124" s="2"/>
      <c r="U1124" s="2"/>
      <c r="V1124" s="2"/>
      <c r="W1124" s="2"/>
      <c r="X1124" s="2"/>
      <c r="Y1124" s="2"/>
      <c r="Z1124" s="2"/>
    </row>
    <row r="1125" ht="30.0" customHeight="1">
      <c r="A1125" s="2"/>
      <c r="B1125" s="2"/>
      <c r="C1125" s="2"/>
      <c r="D1125" s="2"/>
      <c r="E1125" s="2"/>
      <c r="F1125" s="2"/>
      <c r="G1125" s="2"/>
      <c r="H1125" s="2"/>
      <c r="I1125" s="2"/>
      <c r="J1125" s="2"/>
      <c r="K1125" s="2"/>
      <c r="L1125" s="2"/>
      <c r="M1125" s="2"/>
      <c r="N1125" s="2"/>
      <c r="O1125" s="2"/>
      <c r="P1125" s="2"/>
      <c r="Q1125" s="2"/>
      <c r="R1125" s="2"/>
      <c r="S1125" s="2"/>
      <c r="T1125" s="2"/>
      <c r="U1125" s="2"/>
      <c r="V1125" s="2"/>
      <c r="W1125" s="2"/>
      <c r="X1125" s="2"/>
      <c r="Y1125" s="2"/>
      <c r="Z1125" s="2"/>
    </row>
    <row r="1126" ht="30.0" customHeight="1">
      <c r="A1126" s="2"/>
      <c r="B1126" s="2"/>
      <c r="C1126" s="2"/>
      <c r="D1126" s="2"/>
      <c r="E1126" s="2"/>
      <c r="F1126" s="2"/>
      <c r="G1126" s="2"/>
      <c r="H1126" s="2"/>
      <c r="I1126" s="2"/>
      <c r="J1126" s="2"/>
      <c r="K1126" s="2"/>
      <c r="L1126" s="2"/>
      <c r="M1126" s="2"/>
      <c r="N1126" s="2"/>
      <c r="O1126" s="2"/>
      <c r="P1126" s="2"/>
      <c r="Q1126" s="2"/>
      <c r="R1126" s="2"/>
      <c r="S1126" s="2"/>
      <c r="T1126" s="2"/>
      <c r="U1126" s="2"/>
      <c r="V1126" s="2"/>
      <c r="W1126" s="2"/>
      <c r="X1126" s="2"/>
      <c r="Y1126" s="2"/>
      <c r="Z1126" s="2"/>
    </row>
    <row r="1127" ht="30.0" customHeight="1">
      <c r="A1127" s="2"/>
      <c r="B1127" s="2"/>
      <c r="C1127" s="2"/>
      <c r="D1127" s="2"/>
      <c r="E1127" s="2"/>
      <c r="F1127" s="2"/>
      <c r="G1127" s="2"/>
      <c r="H1127" s="2"/>
      <c r="I1127" s="2"/>
      <c r="J1127" s="2"/>
      <c r="K1127" s="2"/>
      <c r="L1127" s="2"/>
      <c r="M1127" s="2"/>
      <c r="N1127" s="2"/>
      <c r="O1127" s="2"/>
      <c r="P1127" s="2"/>
      <c r="Q1127" s="2"/>
      <c r="R1127" s="2"/>
      <c r="S1127" s="2"/>
      <c r="T1127" s="2"/>
      <c r="U1127" s="2"/>
      <c r="V1127" s="2"/>
      <c r="W1127" s="2"/>
      <c r="X1127" s="2"/>
      <c r="Y1127" s="2"/>
      <c r="Z1127" s="2"/>
    </row>
    <row r="1128" ht="30.0" customHeight="1">
      <c r="A1128" s="2"/>
      <c r="B1128" s="2"/>
      <c r="C1128" s="2"/>
      <c r="D1128" s="2"/>
      <c r="E1128" s="2"/>
      <c r="F1128" s="2"/>
      <c r="G1128" s="2"/>
      <c r="H1128" s="2"/>
      <c r="I1128" s="2"/>
      <c r="J1128" s="2"/>
      <c r="K1128" s="2"/>
      <c r="L1128" s="2"/>
      <c r="M1128" s="2"/>
      <c r="N1128" s="2"/>
      <c r="O1128" s="2"/>
      <c r="P1128" s="2"/>
      <c r="Q1128" s="2"/>
      <c r="R1128" s="2"/>
      <c r="S1128" s="2"/>
      <c r="T1128" s="2"/>
      <c r="U1128" s="2"/>
      <c r="V1128" s="2"/>
      <c r="W1128" s="2"/>
      <c r="X1128" s="2"/>
      <c r="Y1128" s="2"/>
      <c r="Z1128" s="2"/>
    </row>
    <row r="1129" ht="30.0" customHeight="1">
      <c r="A1129" s="2"/>
      <c r="B1129" s="2"/>
      <c r="C1129" s="2"/>
      <c r="D1129" s="2"/>
      <c r="E1129" s="2"/>
      <c r="F1129" s="2"/>
      <c r="G1129" s="2"/>
      <c r="H1129" s="2"/>
      <c r="I1129" s="2"/>
      <c r="J1129" s="2"/>
      <c r="K1129" s="2"/>
      <c r="L1129" s="2"/>
      <c r="M1129" s="2"/>
      <c r="N1129" s="2"/>
      <c r="O1129" s="2"/>
      <c r="P1129" s="2"/>
      <c r="Q1129" s="2"/>
      <c r="R1129" s="2"/>
      <c r="S1129" s="2"/>
      <c r="T1129" s="2"/>
      <c r="U1129" s="2"/>
      <c r="V1129" s="2"/>
      <c r="W1129" s="2"/>
      <c r="X1129" s="2"/>
      <c r="Y1129" s="2"/>
      <c r="Z1129" s="2"/>
    </row>
    <row r="1130" ht="30.0" customHeight="1">
      <c r="A1130" s="2"/>
      <c r="B1130" s="2"/>
      <c r="C1130" s="2"/>
      <c r="D1130" s="2"/>
      <c r="E1130" s="2"/>
      <c r="F1130" s="2"/>
      <c r="G1130" s="2"/>
      <c r="H1130" s="2"/>
      <c r="I1130" s="2"/>
      <c r="J1130" s="2"/>
      <c r="K1130" s="2"/>
      <c r="L1130" s="2"/>
      <c r="M1130" s="2"/>
      <c r="N1130" s="2"/>
      <c r="O1130" s="2"/>
      <c r="P1130" s="2"/>
      <c r="Q1130" s="2"/>
      <c r="R1130" s="2"/>
      <c r="S1130" s="2"/>
      <c r="T1130" s="2"/>
      <c r="U1130" s="2"/>
      <c r="V1130" s="2"/>
      <c r="W1130" s="2"/>
      <c r="X1130" s="2"/>
      <c r="Y1130" s="2"/>
      <c r="Z1130" s="2"/>
    </row>
    <row r="1131" ht="30.0" customHeight="1">
      <c r="A1131" s="2"/>
      <c r="B1131" s="2"/>
      <c r="C1131" s="2"/>
      <c r="D1131" s="2"/>
      <c r="E1131" s="2"/>
      <c r="F1131" s="2"/>
      <c r="G1131" s="2"/>
      <c r="H1131" s="2"/>
      <c r="I1131" s="2"/>
      <c r="J1131" s="2"/>
      <c r="K1131" s="2"/>
      <c r="L1131" s="2"/>
      <c r="M1131" s="2"/>
      <c r="N1131" s="2"/>
      <c r="O1131" s="2"/>
      <c r="P1131" s="2"/>
      <c r="Q1131" s="2"/>
      <c r="R1131" s="2"/>
      <c r="S1131" s="2"/>
      <c r="T1131" s="2"/>
      <c r="U1131" s="2"/>
      <c r="V1131" s="2"/>
      <c r="W1131" s="2"/>
      <c r="X1131" s="2"/>
      <c r="Y1131" s="2"/>
      <c r="Z1131" s="2"/>
    </row>
    <row r="1132" ht="30.0" customHeight="1">
      <c r="A1132" s="2"/>
      <c r="B1132" s="2"/>
      <c r="C1132" s="2"/>
      <c r="D1132" s="2"/>
      <c r="E1132" s="2"/>
      <c r="F1132" s="2"/>
      <c r="G1132" s="2"/>
      <c r="H1132" s="2"/>
      <c r="I1132" s="2"/>
      <c r="J1132" s="2"/>
      <c r="K1132" s="2"/>
      <c r="L1132" s="2"/>
      <c r="M1132" s="2"/>
      <c r="N1132" s="2"/>
      <c r="O1132" s="2"/>
      <c r="P1132" s="2"/>
      <c r="Q1132" s="2"/>
      <c r="R1132" s="2"/>
      <c r="S1132" s="2"/>
      <c r="T1132" s="2"/>
      <c r="U1132" s="2"/>
      <c r="V1132" s="2"/>
      <c r="W1132" s="2"/>
      <c r="X1132" s="2"/>
      <c r="Y1132" s="2"/>
      <c r="Z1132" s="2"/>
    </row>
    <row r="1133" ht="30.0" customHeight="1">
      <c r="A1133" s="2"/>
      <c r="B1133" s="2"/>
      <c r="C1133" s="2"/>
      <c r="D1133" s="2"/>
      <c r="E1133" s="2"/>
      <c r="F1133" s="2"/>
      <c r="G1133" s="2"/>
      <c r="H1133" s="2"/>
      <c r="I1133" s="2"/>
      <c r="J1133" s="2"/>
      <c r="K1133" s="2"/>
      <c r="L1133" s="2"/>
      <c r="M1133" s="2"/>
      <c r="N1133" s="2"/>
      <c r="O1133" s="2"/>
      <c r="P1133" s="2"/>
      <c r="Q1133" s="2"/>
      <c r="R1133" s="2"/>
      <c r="S1133" s="2"/>
      <c r="T1133" s="2"/>
      <c r="U1133" s="2"/>
      <c r="V1133" s="2"/>
      <c r="W1133" s="2"/>
      <c r="X1133" s="2"/>
      <c r="Y1133" s="2"/>
      <c r="Z1133" s="2"/>
    </row>
    <row r="1134" ht="30.0" customHeight="1">
      <c r="A1134" s="2"/>
      <c r="B1134" s="2"/>
      <c r="C1134" s="2"/>
      <c r="D1134" s="2"/>
      <c r="E1134" s="2"/>
      <c r="F1134" s="2"/>
      <c r="G1134" s="2"/>
      <c r="H1134" s="2"/>
      <c r="I1134" s="2"/>
      <c r="J1134" s="2"/>
      <c r="K1134" s="2"/>
      <c r="L1134" s="2"/>
      <c r="M1134" s="2"/>
      <c r="N1134" s="2"/>
      <c r="O1134" s="2"/>
      <c r="P1134" s="2"/>
      <c r="Q1134" s="2"/>
      <c r="R1134" s="2"/>
      <c r="S1134" s="2"/>
      <c r="T1134" s="2"/>
      <c r="U1134" s="2"/>
      <c r="V1134" s="2"/>
      <c r="W1134" s="2"/>
      <c r="X1134" s="2"/>
      <c r="Y1134" s="2"/>
      <c r="Z1134" s="2"/>
    </row>
    <row r="1135" ht="30.0" customHeight="1">
      <c r="A1135" s="2"/>
      <c r="B1135" s="2"/>
      <c r="C1135" s="2"/>
      <c r="D1135" s="2"/>
      <c r="E1135" s="2"/>
      <c r="F1135" s="2"/>
      <c r="G1135" s="2"/>
      <c r="H1135" s="2"/>
      <c r="I1135" s="2"/>
      <c r="J1135" s="2"/>
      <c r="K1135" s="2"/>
      <c r="L1135" s="2"/>
      <c r="M1135" s="2"/>
      <c r="N1135" s="2"/>
      <c r="O1135" s="2"/>
      <c r="P1135" s="2"/>
      <c r="Q1135" s="2"/>
      <c r="R1135" s="2"/>
      <c r="S1135" s="2"/>
      <c r="T1135" s="2"/>
      <c r="U1135" s="2"/>
      <c r="V1135" s="2"/>
      <c r="W1135" s="2"/>
      <c r="X1135" s="2"/>
      <c r="Y1135" s="2"/>
      <c r="Z1135" s="2"/>
    </row>
    <row r="1136" ht="30.0" customHeight="1">
      <c r="A1136" s="2"/>
      <c r="B1136" s="2"/>
      <c r="C1136" s="2"/>
      <c r="D1136" s="2"/>
      <c r="E1136" s="2"/>
      <c r="F1136" s="2"/>
      <c r="G1136" s="2"/>
      <c r="H1136" s="2"/>
      <c r="I1136" s="2"/>
      <c r="J1136" s="2"/>
      <c r="K1136" s="2"/>
      <c r="L1136" s="2"/>
      <c r="M1136" s="2"/>
      <c r="N1136" s="2"/>
      <c r="O1136" s="2"/>
      <c r="P1136" s="2"/>
      <c r="Q1136" s="2"/>
      <c r="R1136" s="2"/>
      <c r="S1136" s="2"/>
      <c r="T1136" s="2"/>
      <c r="U1136" s="2"/>
      <c r="V1136" s="2"/>
      <c r="W1136" s="2"/>
      <c r="X1136" s="2"/>
      <c r="Y1136" s="2"/>
      <c r="Z1136" s="2"/>
    </row>
    <row r="1137" ht="30.0" customHeight="1">
      <c r="A1137" s="2"/>
      <c r="B1137" s="2"/>
      <c r="C1137" s="2"/>
      <c r="D1137" s="2"/>
      <c r="E1137" s="2"/>
      <c r="F1137" s="2"/>
      <c r="G1137" s="2"/>
      <c r="H1137" s="2"/>
      <c r="I1137" s="2"/>
      <c r="J1137" s="2"/>
      <c r="K1137" s="2"/>
      <c r="L1137" s="2"/>
      <c r="M1137" s="2"/>
      <c r="N1137" s="2"/>
      <c r="O1137" s="2"/>
      <c r="P1137" s="2"/>
      <c r="Q1137" s="2"/>
      <c r="R1137" s="2"/>
      <c r="S1137" s="2"/>
      <c r="T1137" s="2"/>
      <c r="U1137" s="2"/>
      <c r="V1137" s="2"/>
      <c r="W1137" s="2"/>
      <c r="X1137" s="2"/>
      <c r="Y1137" s="2"/>
      <c r="Z1137" s="2"/>
    </row>
    <row r="1138" ht="30.0" customHeight="1">
      <c r="A1138" s="2"/>
      <c r="B1138" s="2"/>
      <c r="C1138" s="2"/>
      <c r="D1138" s="2"/>
      <c r="E1138" s="2"/>
      <c r="F1138" s="2"/>
      <c r="G1138" s="2"/>
      <c r="H1138" s="2"/>
      <c r="I1138" s="2"/>
      <c r="J1138" s="2"/>
      <c r="K1138" s="2"/>
      <c r="L1138" s="2"/>
      <c r="M1138" s="2"/>
      <c r="N1138" s="2"/>
      <c r="O1138" s="2"/>
      <c r="P1138" s="2"/>
      <c r="Q1138" s="2"/>
      <c r="R1138" s="2"/>
      <c r="S1138" s="2"/>
      <c r="T1138" s="2"/>
      <c r="U1138" s="2"/>
      <c r="V1138" s="2"/>
      <c r="W1138" s="2"/>
      <c r="X1138" s="2"/>
      <c r="Y1138" s="2"/>
      <c r="Z1138" s="2"/>
    </row>
    <row r="1139" ht="30.0" customHeight="1">
      <c r="A1139" s="2"/>
      <c r="B1139" s="2"/>
      <c r="C1139" s="2"/>
      <c r="D1139" s="2"/>
      <c r="E1139" s="2"/>
      <c r="F1139" s="2"/>
      <c r="G1139" s="2"/>
      <c r="H1139" s="2"/>
      <c r="I1139" s="2"/>
      <c r="J1139" s="2"/>
      <c r="K1139" s="2"/>
      <c r="L1139" s="2"/>
      <c r="M1139" s="2"/>
      <c r="N1139" s="2"/>
      <c r="O1139" s="2"/>
      <c r="P1139" s="2"/>
      <c r="Q1139" s="2"/>
      <c r="R1139" s="2"/>
      <c r="S1139" s="2"/>
      <c r="T1139" s="2"/>
      <c r="U1139" s="2"/>
      <c r="V1139" s="2"/>
      <c r="W1139" s="2"/>
      <c r="X1139" s="2"/>
      <c r="Y1139" s="2"/>
      <c r="Z1139" s="2"/>
    </row>
    <row r="1140" ht="30.0" customHeight="1">
      <c r="A1140" s="2"/>
      <c r="B1140" s="2"/>
      <c r="C1140" s="2"/>
      <c r="D1140" s="2"/>
      <c r="E1140" s="2"/>
      <c r="F1140" s="2"/>
      <c r="G1140" s="2"/>
      <c r="H1140" s="2"/>
      <c r="I1140" s="2"/>
      <c r="J1140" s="2"/>
      <c r="K1140" s="2"/>
      <c r="L1140" s="2"/>
      <c r="M1140" s="2"/>
      <c r="N1140" s="2"/>
      <c r="O1140" s="2"/>
      <c r="P1140" s="2"/>
      <c r="Q1140" s="2"/>
      <c r="R1140" s="2"/>
      <c r="S1140" s="2"/>
      <c r="T1140" s="2"/>
      <c r="U1140" s="2"/>
      <c r="V1140" s="2"/>
      <c r="W1140" s="2"/>
      <c r="X1140" s="2"/>
      <c r="Y1140" s="2"/>
      <c r="Z1140" s="2"/>
    </row>
    <row r="1141" ht="30.0" customHeight="1">
      <c r="A1141" s="2"/>
      <c r="B1141" s="2"/>
      <c r="C1141" s="2"/>
      <c r="D1141" s="2"/>
      <c r="E1141" s="2"/>
      <c r="F1141" s="2"/>
      <c r="G1141" s="2"/>
      <c r="H1141" s="2"/>
      <c r="I1141" s="2"/>
      <c r="J1141" s="2"/>
      <c r="K1141" s="2"/>
      <c r="L1141" s="2"/>
      <c r="M1141" s="2"/>
      <c r="N1141" s="2"/>
      <c r="O1141" s="2"/>
      <c r="P1141" s="2"/>
      <c r="Q1141" s="2"/>
      <c r="R1141" s="2"/>
      <c r="S1141" s="2"/>
      <c r="T1141" s="2"/>
      <c r="U1141" s="2"/>
      <c r="V1141" s="2"/>
      <c r="W1141" s="2"/>
      <c r="X1141" s="2"/>
      <c r="Y1141" s="2"/>
      <c r="Z1141" s="2"/>
    </row>
    <row r="1142" ht="30.0" customHeight="1">
      <c r="A1142" s="2"/>
      <c r="B1142" s="2"/>
      <c r="C1142" s="2"/>
      <c r="D1142" s="2"/>
      <c r="E1142" s="2"/>
      <c r="F1142" s="2"/>
      <c r="G1142" s="2"/>
      <c r="H1142" s="2"/>
      <c r="I1142" s="2"/>
      <c r="J1142" s="2"/>
      <c r="K1142" s="2"/>
      <c r="L1142" s="2"/>
      <c r="M1142" s="2"/>
      <c r="N1142" s="2"/>
      <c r="O1142" s="2"/>
      <c r="P1142" s="2"/>
      <c r="Q1142" s="2"/>
      <c r="R1142" s="2"/>
      <c r="S1142" s="2"/>
      <c r="T1142" s="2"/>
      <c r="U1142" s="2"/>
      <c r="V1142" s="2"/>
      <c r="W1142" s="2"/>
      <c r="X1142" s="2"/>
      <c r="Y1142" s="2"/>
      <c r="Z1142" s="2"/>
    </row>
    <row r="1143" ht="30.0" customHeight="1">
      <c r="A1143" s="2"/>
      <c r="B1143" s="2"/>
      <c r="C1143" s="2"/>
      <c r="D1143" s="2"/>
      <c r="E1143" s="2"/>
      <c r="F1143" s="2"/>
      <c r="G1143" s="2"/>
      <c r="H1143" s="2"/>
      <c r="I1143" s="2"/>
      <c r="J1143" s="2"/>
      <c r="K1143" s="2"/>
      <c r="L1143" s="2"/>
      <c r="M1143" s="2"/>
      <c r="N1143" s="2"/>
      <c r="O1143" s="2"/>
      <c r="P1143" s="2"/>
      <c r="Q1143" s="2"/>
      <c r="R1143" s="2"/>
      <c r="S1143" s="2"/>
      <c r="T1143" s="2"/>
      <c r="U1143" s="2"/>
      <c r="V1143" s="2"/>
      <c r="W1143" s="2"/>
      <c r="X1143" s="2"/>
      <c r="Y1143" s="2"/>
      <c r="Z1143" s="2"/>
    </row>
    <row r="1144" ht="30.0" customHeight="1">
      <c r="A1144" s="2"/>
      <c r="B1144" s="2"/>
      <c r="C1144" s="2"/>
      <c r="D1144" s="2"/>
      <c r="E1144" s="2"/>
      <c r="F1144" s="2"/>
      <c r="G1144" s="2"/>
      <c r="H1144" s="2"/>
      <c r="I1144" s="2"/>
      <c r="J1144" s="2"/>
      <c r="K1144" s="2"/>
      <c r="L1144" s="2"/>
      <c r="M1144" s="2"/>
      <c r="N1144" s="2"/>
      <c r="O1144" s="2"/>
      <c r="P1144" s="2"/>
      <c r="Q1144" s="2"/>
      <c r="R1144" s="2"/>
      <c r="S1144" s="2"/>
      <c r="T1144" s="2"/>
      <c r="U1144" s="2"/>
      <c r="V1144" s="2"/>
      <c r="W1144" s="2"/>
      <c r="X1144" s="2"/>
      <c r="Y1144" s="2"/>
      <c r="Z1144" s="2"/>
    </row>
    <row r="1145" ht="30.0" customHeight="1">
      <c r="A1145" s="2"/>
      <c r="B1145" s="2"/>
      <c r="C1145" s="2"/>
      <c r="D1145" s="2"/>
      <c r="E1145" s="2"/>
      <c r="F1145" s="2"/>
      <c r="G1145" s="2"/>
      <c r="H1145" s="2"/>
      <c r="I1145" s="2"/>
      <c r="J1145" s="2"/>
      <c r="K1145" s="2"/>
      <c r="L1145" s="2"/>
      <c r="M1145" s="2"/>
      <c r="N1145" s="2"/>
      <c r="O1145" s="2"/>
      <c r="P1145" s="2"/>
      <c r="Q1145" s="2"/>
      <c r="R1145" s="2"/>
      <c r="S1145" s="2"/>
      <c r="T1145" s="2"/>
      <c r="U1145" s="2"/>
      <c r="V1145" s="2"/>
      <c r="W1145" s="2"/>
      <c r="X1145" s="2"/>
      <c r="Y1145" s="2"/>
      <c r="Z1145" s="2"/>
    </row>
    <row r="1146" ht="30.0" customHeight="1">
      <c r="A1146" s="2"/>
      <c r="B1146" s="2"/>
      <c r="C1146" s="2"/>
      <c r="D1146" s="2"/>
      <c r="E1146" s="2"/>
      <c r="F1146" s="2"/>
      <c r="G1146" s="2"/>
      <c r="H1146" s="2"/>
      <c r="I1146" s="2"/>
      <c r="J1146" s="2"/>
      <c r="K1146" s="2"/>
      <c r="L1146" s="2"/>
      <c r="M1146" s="2"/>
      <c r="N1146" s="2"/>
      <c r="O1146" s="2"/>
      <c r="P1146" s="2"/>
      <c r="Q1146" s="2"/>
      <c r="R1146" s="2"/>
      <c r="S1146" s="2"/>
      <c r="T1146" s="2"/>
      <c r="U1146" s="2"/>
      <c r="V1146" s="2"/>
      <c r="W1146" s="2"/>
      <c r="X1146" s="2"/>
      <c r="Y1146" s="2"/>
      <c r="Z1146" s="2"/>
    </row>
    <row r="1147" ht="30.0" customHeight="1">
      <c r="A1147" s="2"/>
      <c r="B1147" s="2"/>
      <c r="C1147" s="2"/>
      <c r="D1147" s="2"/>
      <c r="E1147" s="2"/>
      <c r="F1147" s="2"/>
      <c r="G1147" s="2"/>
      <c r="H1147" s="2"/>
      <c r="I1147" s="2"/>
      <c r="J1147" s="2"/>
      <c r="K1147" s="2"/>
      <c r="L1147" s="2"/>
      <c r="M1147" s="2"/>
      <c r="N1147" s="2"/>
      <c r="O1147" s="2"/>
      <c r="P1147" s="2"/>
      <c r="Q1147" s="2"/>
      <c r="R1147" s="2"/>
      <c r="S1147" s="2"/>
      <c r="T1147" s="2"/>
      <c r="U1147" s="2"/>
      <c r="V1147" s="2"/>
      <c r="W1147" s="2"/>
      <c r="X1147" s="2"/>
      <c r="Y1147" s="2"/>
      <c r="Z1147" s="2"/>
    </row>
    <row r="1148" ht="30.0" customHeight="1">
      <c r="A1148" s="2"/>
      <c r="B1148" s="2"/>
      <c r="C1148" s="2"/>
      <c r="D1148" s="2"/>
      <c r="E1148" s="2"/>
      <c r="F1148" s="2"/>
      <c r="G1148" s="2"/>
      <c r="H1148" s="2"/>
      <c r="I1148" s="2"/>
      <c r="J1148" s="2"/>
      <c r="K1148" s="2"/>
      <c r="L1148" s="2"/>
      <c r="M1148" s="2"/>
      <c r="N1148" s="2"/>
      <c r="O1148" s="2"/>
      <c r="P1148" s="2"/>
      <c r="Q1148" s="2"/>
      <c r="R1148" s="2"/>
      <c r="S1148" s="2"/>
      <c r="T1148" s="2"/>
      <c r="U1148" s="2"/>
      <c r="V1148" s="2"/>
      <c r="W1148" s="2"/>
      <c r="X1148" s="2"/>
      <c r="Y1148" s="2"/>
      <c r="Z1148" s="2"/>
    </row>
    <row r="1149" ht="30.0" customHeight="1">
      <c r="A1149" s="2"/>
      <c r="B1149" s="2"/>
      <c r="C1149" s="2"/>
      <c r="D1149" s="2"/>
      <c r="E1149" s="2"/>
      <c r="F1149" s="2"/>
      <c r="G1149" s="2"/>
      <c r="H1149" s="2"/>
      <c r="I1149" s="2"/>
      <c r="J1149" s="2"/>
      <c r="K1149" s="2"/>
      <c r="L1149" s="2"/>
      <c r="M1149" s="2"/>
      <c r="N1149" s="2"/>
      <c r="O1149" s="2"/>
      <c r="P1149" s="2"/>
      <c r="Q1149" s="2"/>
      <c r="R1149" s="2"/>
      <c r="S1149" s="2"/>
      <c r="T1149" s="2"/>
      <c r="U1149" s="2"/>
      <c r="V1149" s="2"/>
      <c r="W1149" s="2"/>
      <c r="X1149" s="2"/>
      <c r="Y1149" s="2"/>
      <c r="Z1149" s="2"/>
    </row>
    <row r="1150" ht="30.0" customHeight="1">
      <c r="A1150" s="2"/>
      <c r="B1150" s="2"/>
      <c r="C1150" s="2"/>
      <c r="D1150" s="2"/>
      <c r="E1150" s="2"/>
      <c r="F1150" s="2"/>
      <c r="G1150" s="2"/>
      <c r="H1150" s="2"/>
      <c r="I1150" s="2"/>
      <c r="J1150" s="2"/>
      <c r="K1150" s="2"/>
      <c r="L1150" s="2"/>
      <c r="M1150" s="2"/>
      <c r="N1150" s="2"/>
      <c r="O1150" s="2"/>
      <c r="P1150" s="2"/>
      <c r="Q1150" s="2"/>
      <c r="R1150" s="2"/>
      <c r="S1150" s="2"/>
      <c r="T1150" s="2"/>
      <c r="U1150" s="2"/>
      <c r="V1150" s="2"/>
      <c r="W1150" s="2"/>
      <c r="X1150" s="2"/>
      <c r="Y1150" s="2"/>
      <c r="Z1150" s="2"/>
    </row>
    <row r="1151" ht="30.0" customHeight="1">
      <c r="A1151" s="2"/>
      <c r="B1151" s="2"/>
      <c r="C1151" s="2"/>
      <c r="D1151" s="2"/>
      <c r="E1151" s="2"/>
      <c r="F1151" s="2"/>
      <c r="G1151" s="2"/>
      <c r="H1151" s="2"/>
      <c r="I1151" s="2"/>
      <c r="J1151" s="2"/>
      <c r="K1151" s="2"/>
      <c r="L1151" s="2"/>
      <c r="M1151" s="2"/>
      <c r="N1151" s="2"/>
      <c r="O1151" s="2"/>
      <c r="P1151" s="2"/>
      <c r="Q1151" s="2"/>
      <c r="R1151" s="2"/>
      <c r="S1151" s="2"/>
      <c r="T1151" s="2"/>
      <c r="U1151" s="2"/>
      <c r="V1151" s="2"/>
      <c r="W1151" s="2"/>
      <c r="X1151" s="2"/>
      <c r="Y1151" s="2"/>
      <c r="Z1151" s="2"/>
    </row>
    <row r="1152" ht="30.0" customHeight="1">
      <c r="A1152" s="2"/>
      <c r="B1152" s="2"/>
      <c r="C1152" s="2"/>
      <c r="D1152" s="2"/>
      <c r="E1152" s="2"/>
      <c r="F1152" s="2"/>
      <c r="G1152" s="2"/>
      <c r="H1152" s="2"/>
      <c r="I1152" s="2"/>
      <c r="J1152" s="2"/>
      <c r="K1152" s="2"/>
      <c r="L1152" s="2"/>
      <c r="M1152" s="2"/>
      <c r="N1152" s="2"/>
      <c r="O1152" s="2"/>
      <c r="P1152" s="2"/>
      <c r="Q1152" s="2"/>
      <c r="R1152" s="2"/>
      <c r="S1152" s="2"/>
      <c r="T1152" s="2"/>
      <c r="U1152" s="2"/>
      <c r="V1152" s="2"/>
      <c r="W1152" s="2"/>
      <c r="X1152" s="2"/>
      <c r="Y1152" s="2"/>
      <c r="Z1152" s="2"/>
    </row>
    <row r="1153" ht="30.0" customHeight="1">
      <c r="A1153" s="2"/>
      <c r="B1153" s="2"/>
      <c r="C1153" s="2"/>
      <c r="D1153" s="2"/>
      <c r="E1153" s="2"/>
      <c r="F1153" s="2"/>
      <c r="G1153" s="2"/>
      <c r="H1153" s="2"/>
      <c r="I1153" s="2"/>
      <c r="J1153" s="2"/>
      <c r="K1153" s="2"/>
      <c r="L1153" s="2"/>
      <c r="M1153" s="2"/>
      <c r="N1153" s="2"/>
      <c r="O1153" s="2"/>
      <c r="P1153" s="2"/>
      <c r="Q1153" s="2"/>
      <c r="R1153" s="2"/>
      <c r="S1153" s="2"/>
      <c r="T1153" s="2"/>
      <c r="U1153" s="2"/>
      <c r="V1153" s="2"/>
      <c r="W1153" s="2"/>
      <c r="X1153" s="2"/>
      <c r="Y1153" s="2"/>
      <c r="Z1153" s="2"/>
    </row>
    <row r="1154" ht="30.0" customHeight="1">
      <c r="A1154" s="2"/>
      <c r="B1154" s="2"/>
      <c r="C1154" s="2"/>
      <c r="D1154" s="2"/>
      <c r="E1154" s="2"/>
      <c r="F1154" s="2"/>
      <c r="G1154" s="2"/>
      <c r="H1154" s="2"/>
      <c r="I1154" s="2"/>
      <c r="J1154" s="2"/>
      <c r="K1154" s="2"/>
      <c r="L1154" s="2"/>
      <c r="M1154" s="2"/>
      <c r="N1154" s="2"/>
      <c r="O1154" s="2"/>
      <c r="P1154" s="2"/>
      <c r="Q1154" s="2"/>
      <c r="R1154" s="2"/>
      <c r="S1154" s="2"/>
      <c r="T1154" s="2"/>
      <c r="U1154" s="2"/>
      <c r="V1154" s="2"/>
      <c r="W1154" s="2"/>
      <c r="X1154" s="2"/>
      <c r="Y1154" s="2"/>
      <c r="Z1154" s="2"/>
    </row>
    <row r="1155" ht="30.0" customHeight="1">
      <c r="A1155" s="2"/>
      <c r="B1155" s="2"/>
      <c r="C1155" s="2"/>
      <c r="D1155" s="2"/>
      <c r="E1155" s="2"/>
      <c r="F1155" s="2"/>
      <c r="G1155" s="2"/>
      <c r="H1155" s="2"/>
      <c r="I1155" s="2"/>
      <c r="J1155" s="2"/>
      <c r="K1155" s="2"/>
      <c r="L1155" s="2"/>
      <c r="M1155" s="2"/>
      <c r="N1155" s="2"/>
      <c r="O1155" s="2"/>
      <c r="P1155" s="2"/>
      <c r="Q1155" s="2"/>
      <c r="R1155" s="2"/>
      <c r="S1155" s="2"/>
      <c r="T1155" s="2"/>
      <c r="U1155" s="2"/>
      <c r="V1155" s="2"/>
      <c r="W1155" s="2"/>
      <c r="X1155" s="2"/>
      <c r="Y1155" s="2"/>
      <c r="Z1155" s="2"/>
    </row>
    <row r="1156" ht="30.0" customHeight="1">
      <c r="A1156" s="2"/>
      <c r="B1156" s="2"/>
      <c r="C1156" s="2"/>
      <c r="D1156" s="2"/>
      <c r="E1156" s="2"/>
      <c r="F1156" s="2"/>
      <c r="G1156" s="2"/>
      <c r="H1156" s="2"/>
      <c r="I1156" s="2"/>
      <c r="J1156" s="2"/>
      <c r="K1156" s="2"/>
      <c r="L1156" s="2"/>
      <c r="M1156" s="2"/>
      <c r="N1156" s="2"/>
      <c r="O1156" s="2"/>
      <c r="P1156" s="2"/>
      <c r="Q1156" s="2"/>
      <c r="R1156" s="2"/>
      <c r="S1156" s="2"/>
      <c r="T1156" s="2"/>
      <c r="U1156" s="2"/>
      <c r="V1156" s="2"/>
      <c r="W1156" s="2"/>
      <c r="X1156" s="2"/>
      <c r="Y1156" s="2"/>
      <c r="Z1156" s="2"/>
    </row>
    <row r="1157" ht="30.0" customHeight="1">
      <c r="A1157" s="2"/>
      <c r="B1157" s="2"/>
      <c r="C1157" s="2"/>
      <c r="D1157" s="2"/>
      <c r="E1157" s="2"/>
      <c r="F1157" s="2"/>
      <c r="G1157" s="2"/>
      <c r="H1157" s="2"/>
      <c r="I1157" s="2"/>
      <c r="J1157" s="2"/>
      <c r="K1157" s="2"/>
      <c r="L1157" s="2"/>
      <c r="M1157" s="2"/>
      <c r="N1157" s="2"/>
      <c r="O1157" s="2"/>
      <c r="P1157" s="2"/>
      <c r="Q1157" s="2"/>
      <c r="R1157" s="2"/>
      <c r="S1157" s="2"/>
      <c r="T1157" s="2"/>
      <c r="U1157" s="2"/>
      <c r="V1157" s="2"/>
      <c r="W1157" s="2"/>
      <c r="X1157" s="2"/>
      <c r="Y1157" s="2"/>
      <c r="Z1157" s="2"/>
    </row>
    <row r="1158" ht="30.0" customHeight="1">
      <c r="A1158" s="2"/>
      <c r="B1158" s="2"/>
      <c r="C1158" s="2"/>
      <c r="D1158" s="2"/>
      <c r="E1158" s="2"/>
      <c r="F1158" s="2"/>
      <c r="G1158" s="2"/>
      <c r="H1158" s="2"/>
      <c r="I1158" s="2"/>
      <c r="J1158" s="2"/>
      <c r="K1158" s="2"/>
      <c r="L1158" s="2"/>
      <c r="M1158" s="2"/>
      <c r="N1158" s="2"/>
      <c r="O1158" s="2"/>
      <c r="P1158" s="2"/>
      <c r="Q1158" s="2"/>
      <c r="R1158" s="2"/>
      <c r="S1158" s="2"/>
      <c r="T1158" s="2"/>
      <c r="U1158" s="2"/>
      <c r="V1158" s="2"/>
      <c r="W1158" s="2"/>
      <c r="X1158" s="2"/>
      <c r="Y1158" s="2"/>
      <c r="Z1158" s="2"/>
    </row>
    <row r="1159" ht="30.0" customHeight="1">
      <c r="A1159" s="2"/>
      <c r="B1159" s="2"/>
      <c r="C1159" s="2"/>
      <c r="D1159" s="2"/>
      <c r="E1159" s="2"/>
      <c r="F1159" s="2"/>
      <c r="G1159" s="2"/>
      <c r="H1159" s="2"/>
      <c r="I1159" s="2"/>
      <c r="J1159" s="2"/>
      <c r="K1159" s="2"/>
      <c r="L1159" s="2"/>
      <c r="M1159" s="2"/>
      <c r="N1159" s="2"/>
      <c r="O1159" s="2"/>
      <c r="P1159" s="2"/>
      <c r="Q1159" s="2"/>
      <c r="R1159" s="2"/>
      <c r="S1159" s="2"/>
      <c r="T1159" s="2"/>
      <c r="U1159" s="2"/>
      <c r="V1159" s="2"/>
      <c r="W1159" s="2"/>
      <c r="X1159" s="2"/>
      <c r="Y1159" s="2"/>
      <c r="Z1159" s="2"/>
    </row>
    <row r="1160" ht="30.0" customHeight="1">
      <c r="A1160" s="2"/>
      <c r="B1160" s="2"/>
      <c r="C1160" s="2"/>
      <c r="D1160" s="2"/>
      <c r="E1160" s="2"/>
      <c r="F1160" s="2"/>
      <c r="G1160" s="2"/>
      <c r="H1160" s="2"/>
      <c r="I1160" s="2"/>
      <c r="J1160" s="2"/>
      <c r="K1160" s="2"/>
      <c r="L1160" s="2"/>
      <c r="M1160" s="2"/>
      <c r="N1160" s="2"/>
      <c r="O1160" s="2"/>
      <c r="P1160" s="2"/>
      <c r="Q1160" s="2"/>
      <c r="R1160" s="2"/>
      <c r="S1160" s="2"/>
      <c r="T1160" s="2"/>
      <c r="U1160" s="2"/>
      <c r="V1160" s="2"/>
      <c r="W1160" s="2"/>
      <c r="X1160" s="2"/>
      <c r="Y1160" s="2"/>
      <c r="Z1160" s="2"/>
    </row>
    <row r="1161" ht="30.0" customHeight="1">
      <c r="A1161" s="2"/>
      <c r="B1161" s="2"/>
      <c r="C1161" s="2"/>
      <c r="D1161" s="2"/>
      <c r="E1161" s="2"/>
      <c r="F1161" s="2"/>
      <c r="G1161" s="2"/>
      <c r="H1161" s="2"/>
      <c r="I1161" s="2"/>
      <c r="J1161" s="2"/>
      <c r="K1161" s="2"/>
      <c r="L1161" s="2"/>
      <c r="M1161" s="2"/>
      <c r="N1161" s="2"/>
      <c r="O1161" s="2"/>
      <c r="P1161" s="2"/>
      <c r="Q1161" s="2"/>
      <c r="R1161" s="2"/>
      <c r="S1161" s="2"/>
      <c r="T1161" s="2"/>
      <c r="U1161" s="2"/>
      <c r="V1161" s="2"/>
      <c r="W1161" s="2"/>
      <c r="X1161" s="2"/>
      <c r="Y1161" s="2"/>
      <c r="Z1161" s="2"/>
    </row>
    <row r="1162" ht="30.0" customHeight="1">
      <c r="A1162" s="2"/>
      <c r="B1162" s="2"/>
      <c r="C1162" s="2"/>
      <c r="D1162" s="2"/>
      <c r="E1162" s="2"/>
      <c r="F1162" s="2"/>
      <c r="G1162" s="2"/>
      <c r="H1162" s="2"/>
      <c r="I1162" s="2"/>
      <c r="J1162" s="2"/>
      <c r="K1162" s="2"/>
      <c r="L1162" s="2"/>
      <c r="M1162" s="2"/>
      <c r="N1162" s="2"/>
      <c r="O1162" s="2"/>
      <c r="P1162" s="2"/>
      <c r="Q1162" s="2"/>
      <c r="R1162" s="2"/>
      <c r="S1162" s="2"/>
      <c r="T1162" s="2"/>
      <c r="U1162" s="2"/>
      <c r="V1162" s="2"/>
      <c r="W1162" s="2"/>
      <c r="X1162" s="2"/>
      <c r="Y1162" s="2"/>
      <c r="Z1162" s="2"/>
    </row>
    <row r="1163" ht="30.0" customHeight="1">
      <c r="A1163" s="2"/>
      <c r="B1163" s="2"/>
      <c r="C1163" s="2"/>
      <c r="D1163" s="2"/>
      <c r="E1163" s="2"/>
      <c r="F1163" s="2"/>
      <c r="G1163" s="2"/>
      <c r="H1163" s="2"/>
      <c r="I1163" s="2"/>
      <c r="J1163" s="2"/>
      <c r="K1163" s="2"/>
      <c r="L1163" s="2"/>
      <c r="M1163" s="2"/>
      <c r="N1163" s="2"/>
      <c r="O1163" s="2"/>
      <c r="P1163" s="2"/>
      <c r="Q1163" s="2"/>
      <c r="R1163" s="2"/>
      <c r="S1163" s="2"/>
      <c r="T1163" s="2"/>
      <c r="U1163" s="2"/>
      <c r="V1163" s="2"/>
      <c r="W1163" s="2"/>
      <c r="X1163" s="2"/>
      <c r="Y1163" s="2"/>
      <c r="Z1163" s="2"/>
    </row>
    <row r="1164" ht="30.0" customHeight="1">
      <c r="A1164" s="2"/>
      <c r="B1164" s="2"/>
      <c r="C1164" s="2"/>
      <c r="D1164" s="2"/>
      <c r="E1164" s="2"/>
      <c r="F1164" s="2"/>
      <c r="G1164" s="2"/>
      <c r="H1164" s="2"/>
      <c r="I1164" s="2"/>
      <c r="J1164" s="2"/>
      <c r="K1164" s="2"/>
      <c r="L1164" s="2"/>
      <c r="M1164" s="2"/>
      <c r="N1164" s="2"/>
      <c r="O1164" s="2"/>
      <c r="P1164" s="2"/>
      <c r="Q1164" s="2"/>
      <c r="R1164" s="2"/>
      <c r="S1164" s="2"/>
      <c r="T1164" s="2"/>
      <c r="U1164" s="2"/>
      <c r="V1164" s="2"/>
      <c r="W1164" s="2"/>
      <c r="X1164" s="2"/>
      <c r="Y1164" s="2"/>
      <c r="Z1164" s="2"/>
    </row>
    <row r="1165" ht="30.0" customHeight="1">
      <c r="A1165" s="2"/>
      <c r="B1165" s="2"/>
      <c r="C1165" s="2"/>
      <c r="D1165" s="2"/>
      <c r="E1165" s="2"/>
      <c r="F1165" s="2"/>
      <c r="G1165" s="2"/>
      <c r="H1165" s="2"/>
      <c r="I1165" s="2"/>
      <c r="J1165" s="2"/>
      <c r="K1165" s="2"/>
      <c r="L1165" s="2"/>
      <c r="M1165" s="2"/>
      <c r="N1165" s="2"/>
      <c r="O1165" s="2"/>
      <c r="P1165" s="2"/>
      <c r="Q1165" s="2"/>
      <c r="R1165" s="2"/>
      <c r="S1165" s="2"/>
      <c r="T1165" s="2"/>
      <c r="U1165" s="2"/>
      <c r="V1165" s="2"/>
      <c r="W1165" s="2"/>
      <c r="X1165" s="2"/>
      <c r="Y1165" s="2"/>
      <c r="Z1165" s="2"/>
    </row>
    <row r="1166" ht="30.0" customHeight="1">
      <c r="A1166" s="2"/>
      <c r="B1166" s="2"/>
      <c r="C1166" s="2"/>
      <c r="D1166" s="2"/>
      <c r="E1166" s="2"/>
      <c r="F1166" s="2"/>
      <c r="G1166" s="2"/>
      <c r="H1166" s="2"/>
      <c r="I1166" s="2"/>
      <c r="J1166" s="2"/>
      <c r="K1166" s="2"/>
      <c r="L1166" s="2"/>
      <c r="M1166" s="2"/>
      <c r="N1166" s="2"/>
      <c r="O1166" s="2"/>
      <c r="P1166" s="2"/>
      <c r="Q1166" s="2"/>
      <c r="R1166" s="2"/>
      <c r="S1166" s="2"/>
      <c r="T1166" s="2"/>
      <c r="U1166" s="2"/>
      <c r="V1166" s="2"/>
      <c r="W1166" s="2"/>
      <c r="X1166" s="2"/>
      <c r="Y1166" s="2"/>
      <c r="Z1166" s="2"/>
    </row>
    <row r="1167" ht="30.0" customHeight="1">
      <c r="A1167" s="2"/>
      <c r="B1167" s="2"/>
      <c r="C1167" s="2"/>
      <c r="D1167" s="2"/>
      <c r="E1167" s="2"/>
      <c r="F1167" s="2"/>
      <c r="G1167" s="2"/>
      <c r="H1167" s="2"/>
      <c r="I1167" s="2"/>
      <c r="J1167" s="2"/>
      <c r="K1167" s="2"/>
      <c r="L1167" s="2"/>
      <c r="M1167" s="2"/>
      <c r="N1167" s="2"/>
      <c r="O1167" s="2"/>
      <c r="P1167" s="2"/>
      <c r="Q1167" s="2"/>
      <c r="R1167" s="2"/>
      <c r="S1167" s="2"/>
      <c r="T1167" s="2"/>
      <c r="U1167" s="2"/>
      <c r="V1167" s="2"/>
      <c r="W1167" s="2"/>
      <c r="X1167" s="2"/>
      <c r="Y1167" s="2"/>
      <c r="Z1167" s="2"/>
    </row>
    <row r="1168" ht="30.0" customHeight="1">
      <c r="A1168" s="2"/>
      <c r="B1168" s="2"/>
      <c r="C1168" s="2"/>
      <c r="D1168" s="2"/>
      <c r="E1168" s="2"/>
      <c r="F1168" s="2"/>
      <c r="G1168" s="2"/>
      <c r="H1168" s="2"/>
      <c r="I1168" s="2"/>
      <c r="J1168" s="2"/>
      <c r="K1168" s="2"/>
      <c r="L1168" s="2"/>
      <c r="M1168" s="2"/>
      <c r="N1168" s="2"/>
      <c r="O1168" s="2"/>
      <c r="P1168" s="2"/>
      <c r="Q1168" s="2"/>
      <c r="R1168" s="2"/>
      <c r="S1168" s="2"/>
      <c r="T1168" s="2"/>
      <c r="U1168" s="2"/>
      <c r="V1168" s="2"/>
      <c r="W1168" s="2"/>
      <c r="X1168" s="2"/>
      <c r="Y1168" s="2"/>
      <c r="Z1168" s="2"/>
    </row>
    <row r="1169" ht="30.0" customHeight="1">
      <c r="A1169" s="2"/>
      <c r="B1169" s="2"/>
      <c r="C1169" s="2"/>
      <c r="D1169" s="2"/>
      <c r="E1169" s="2"/>
      <c r="F1169" s="2"/>
      <c r="G1169" s="2"/>
      <c r="H1169" s="2"/>
      <c r="I1169" s="2"/>
      <c r="J1169" s="2"/>
      <c r="K1169" s="2"/>
      <c r="L1169" s="2"/>
      <c r="M1169" s="2"/>
      <c r="N1169" s="2"/>
      <c r="O1169" s="2"/>
      <c r="P1169" s="2"/>
      <c r="Q1169" s="2"/>
      <c r="R1169" s="2"/>
      <c r="S1169" s="2"/>
      <c r="T1169" s="2"/>
      <c r="U1169" s="2"/>
      <c r="V1169" s="2"/>
      <c r="W1169" s="2"/>
      <c r="X1169" s="2"/>
      <c r="Y1169" s="2"/>
      <c r="Z1169" s="2"/>
    </row>
    <row r="1170" ht="30.0" customHeight="1">
      <c r="A1170" s="2"/>
      <c r="B1170" s="2"/>
      <c r="C1170" s="2"/>
      <c r="D1170" s="2"/>
      <c r="E1170" s="2"/>
      <c r="F1170" s="2"/>
      <c r="G1170" s="2"/>
      <c r="H1170" s="2"/>
      <c r="I1170" s="2"/>
      <c r="J1170" s="2"/>
      <c r="K1170" s="2"/>
      <c r="L1170" s="2"/>
      <c r="M1170" s="2"/>
      <c r="N1170" s="2"/>
      <c r="O1170" s="2"/>
      <c r="P1170" s="2"/>
      <c r="Q1170" s="2"/>
      <c r="R1170" s="2"/>
      <c r="S1170" s="2"/>
      <c r="T1170" s="2"/>
      <c r="U1170" s="2"/>
      <c r="V1170" s="2"/>
      <c r="W1170" s="2"/>
      <c r="X1170" s="2"/>
      <c r="Y1170" s="2"/>
      <c r="Z1170" s="2"/>
    </row>
    <row r="1171" ht="30.0" customHeight="1">
      <c r="A1171" s="2"/>
      <c r="B1171" s="2"/>
      <c r="C1171" s="2"/>
      <c r="D1171" s="2"/>
      <c r="E1171" s="2"/>
      <c r="F1171" s="2"/>
      <c r="G1171" s="2"/>
      <c r="H1171" s="2"/>
      <c r="I1171" s="2"/>
      <c r="J1171" s="2"/>
      <c r="K1171" s="2"/>
      <c r="L1171" s="2"/>
      <c r="M1171" s="2"/>
      <c r="N1171" s="2"/>
      <c r="O1171" s="2"/>
      <c r="P1171" s="2"/>
      <c r="Q1171" s="2"/>
      <c r="R1171" s="2"/>
      <c r="S1171" s="2"/>
      <c r="T1171" s="2"/>
      <c r="U1171" s="2"/>
      <c r="V1171" s="2"/>
      <c r="W1171" s="2"/>
      <c r="X1171" s="2"/>
      <c r="Y1171" s="2"/>
      <c r="Z1171" s="2"/>
    </row>
    <row r="1172" ht="30.0" customHeight="1">
      <c r="A1172" s="2"/>
      <c r="B1172" s="2"/>
      <c r="C1172" s="2"/>
      <c r="D1172" s="2"/>
      <c r="E1172" s="2"/>
      <c r="F1172" s="2"/>
      <c r="G1172" s="2"/>
      <c r="H1172" s="2"/>
      <c r="I1172" s="2"/>
      <c r="J1172" s="2"/>
      <c r="K1172" s="2"/>
      <c r="L1172" s="2"/>
      <c r="M1172" s="2"/>
      <c r="N1172" s="2"/>
      <c r="O1172" s="2"/>
      <c r="P1172" s="2"/>
      <c r="Q1172" s="2"/>
      <c r="R1172" s="2"/>
      <c r="S1172" s="2"/>
      <c r="T1172" s="2"/>
      <c r="U1172" s="2"/>
      <c r="V1172" s="2"/>
      <c r="W1172" s="2"/>
      <c r="X1172" s="2"/>
      <c r="Y1172" s="2"/>
      <c r="Z1172" s="2"/>
    </row>
    <row r="1173" ht="30.0" customHeight="1">
      <c r="A1173" s="2"/>
      <c r="B1173" s="2"/>
      <c r="C1173" s="2"/>
      <c r="D1173" s="2"/>
      <c r="E1173" s="2"/>
      <c r="F1173" s="2"/>
      <c r="G1173" s="2"/>
      <c r="H1173" s="2"/>
      <c r="I1173" s="2"/>
      <c r="J1173" s="2"/>
      <c r="K1173" s="2"/>
      <c r="L1173" s="2"/>
      <c r="M1173" s="2"/>
      <c r="N1173" s="2"/>
      <c r="O1173" s="2"/>
      <c r="P1173" s="2"/>
      <c r="Q1173" s="2"/>
      <c r="R1173" s="2"/>
      <c r="S1173" s="2"/>
      <c r="T1173" s="2"/>
      <c r="U1173" s="2"/>
      <c r="V1173" s="2"/>
      <c r="W1173" s="2"/>
      <c r="X1173" s="2"/>
      <c r="Y1173" s="2"/>
      <c r="Z1173" s="2"/>
    </row>
    <row r="1174" ht="30.0" customHeight="1">
      <c r="A1174" s="2"/>
      <c r="B1174" s="2"/>
      <c r="C1174" s="2"/>
      <c r="D1174" s="2"/>
      <c r="E1174" s="2"/>
      <c r="F1174" s="2"/>
      <c r="G1174" s="2"/>
      <c r="H1174" s="2"/>
      <c r="I1174" s="2"/>
      <c r="J1174" s="2"/>
      <c r="K1174" s="2"/>
      <c r="L1174" s="2"/>
      <c r="M1174" s="2"/>
      <c r="N1174" s="2"/>
      <c r="O1174" s="2"/>
      <c r="P1174" s="2"/>
      <c r="Q1174" s="2"/>
      <c r="R1174" s="2"/>
      <c r="S1174" s="2"/>
      <c r="T1174" s="2"/>
      <c r="U1174" s="2"/>
      <c r="V1174" s="2"/>
      <c r="W1174" s="2"/>
      <c r="X1174" s="2"/>
      <c r="Y1174" s="2"/>
      <c r="Z1174" s="2"/>
    </row>
    <row r="1175" ht="30.0" customHeight="1">
      <c r="A1175" s="2"/>
      <c r="B1175" s="2"/>
      <c r="C1175" s="2"/>
      <c r="D1175" s="2"/>
      <c r="E1175" s="2"/>
      <c r="F1175" s="2"/>
      <c r="G1175" s="2"/>
      <c r="H1175" s="2"/>
      <c r="I1175" s="2"/>
      <c r="J1175" s="2"/>
      <c r="K1175" s="2"/>
      <c r="L1175" s="2"/>
      <c r="M1175" s="2"/>
      <c r="N1175" s="2"/>
      <c r="O1175" s="2"/>
      <c r="P1175" s="2"/>
      <c r="Q1175" s="2"/>
      <c r="R1175" s="2"/>
      <c r="S1175" s="2"/>
      <c r="T1175" s="2"/>
      <c r="U1175" s="2"/>
      <c r="V1175" s="2"/>
      <c r="W1175" s="2"/>
      <c r="X1175" s="2"/>
      <c r="Y1175" s="2"/>
      <c r="Z1175" s="2"/>
    </row>
    <row r="1176" ht="30.0" customHeight="1">
      <c r="A1176" s="2"/>
      <c r="B1176" s="2"/>
      <c r="C1176" s="2"/>
      <c r="D1176" s="2"/>
      <c r="E1176" s="2"/>
      <c r="F1176" s="2"/>
      <c r="G1176" s="2"/>
      <c r="H1176" s="2"/>
      <c r="I1176" s="2"/>
      <c r="J1176" s="2"/>
      <c r="K1176" s="2"/>
      <c r="L1176" s="2"/>
      <c r="M1176" s="2"/>
      <c r="N1176" s="2"/>
      <c r="O1176" s="2"/>
      <c r="P1176" s="2"/>
      <c r="Q1176" s="2"/>
      <c r="R1176" s="2"/>
      <c r="S1176" s="2"/>
      <c r="T1176" s="2"/>
      <c r="U1176" s="2"/>
      <c r="V1176" s="2"/>
      <c r="W1176" s="2"/>
      <c r="X1176" s="2"/>
      <c r="Y1176" s="2"/>
      <c r="Z1176" s="2"/>
    </row>
    <row r="1177" ht="30.0" customHeight="1">
      <c r="A1177" s="2"/>
      <c r="B1177" s="2"/>
      <c r="C1177" s="2"/>
      <c r="D1177" s="2"/>
      <c r="E1177" s="2"/>
      <c r="F1177" s="2"/>
      <c r="G1177" s="2"/>
      <c r="H1177" s="2"/>
      <c r="I1177" s="2"/>
      <c r="J1177" s="2"/>
      <c r="K1177" s="2"/>
      <c r="L1177" s="2"/>
      <c r="M1177" s="2"/>
      <c r="N1177" s="2"/>
      <c r="O1177" s="2"/>
      <c r="P1177" s="2"/>
      <c r="Q1177" s="2"/>
      <c r="R1177" s="2"/>
      <c r="S1177" s="2"/>
      <c r="T1177" s="2"/>
      <c r="U1177" s="2"/>
      <c r="V1177" s="2"/>
      <c r="W1177" s="2"/>
      <c r="X1177" s="2"/>
      <c r="Y1177" s="2"/>
      <c r="Z1177" s="2"/>
    </row>
    <row r="1178" ht="30.0" customHeight="1">
      <c r="A1178" s="2"/>
      <c r="B1178" s="2"/>
      <c r="C1178" s="2"/>
      <c r="D1178" s="2"/>
      <c r="E1178" s="2"/>
      <c r="F1178" s="2"/>
      <c r="G1178" s="2"/>
      <c r="H1178" s="2"/>
      <c r="I1178" s="2"/>
      <c r="J1178" s="2"/>
      <c r="K1178" s="2"/>
      <c r="L1178" s="2"/>
      <c r="M1178" s="2"/>
      <c r="N1178" s="2"/>
      <c r="O1178" s="2"/>
      <c r="P1178" s="2"/>
      <c r="Q1178" s="2"/>
      <c r="R1178" s="2"/>
      <c r="S1178" s="2"/>
      <c r="T1178" s="2"/>
      <c r="U1178" s="2"/>
      <c r="V1178" s="2"/>
      <c r="W1178" s="2"/>
      <c r="X1178" s="2"/>
      <c r="Y1178" s="2"/>
      <c r="Z1178" s="2"/>
    </row>
    <row r="1179" ht="30.0" customHeight="1">
      <c r="A1179" s="2"/>
      <c r="B1179" s="2"/>
      <c r="C1179" s="2"/>
      <c r="D1179" s="2"/>
      <c r="E1179" s="2"/>
      <c r="F1179" s="2"/>
      <c r="G1179" s="2"/>
      <c r="H1179" s="2"/>
      <c r="I1179" s="2"/>
      <c r="J1179" s="2"/>
      <c r="K1179" s="2"/>
      <c r="L1179" s="2"/>
      <c r="M1179" s="2"/>
      <c r="N1179" s="2"/>
      <c r="O1179" s="2"/>
      <c r="P1179" s="2"/>
      <c r="Q1179" s="2"/>
      <c r="R1179" s="2"/>
      <c r="S1179" s="2"/>
      <c r="T1179" s="2"/>
      <c r="U1179" s="2"/>
      <c r="V1179" s="2"/>
      <c r="W1179" s="2"/>
      <c r="X1179" s="2"/>
      <c r="Y1179" s="2"/>
      <c r="Z1179" s="2"/>
    </row>
    <row r="1180" ht="30.0" customHeight="1">
      <c r="A1180" s="2"/>
      <c r="B1180" s="2"/>
      <c r="C1180" s="2"/>
      <c r="D1180" s="2"/>
      <c r="E1180" s="2"/>
      <c r="F1180" s="2"/>
      <c r="G1180" s="2"/>
      <c r="H1180" s="2"/>
      <c r="I1180" s="2"/>
      <c r="J1180" s="2"/>
      <c r="K1180" s="2"/>
      <c r="L1180" s="2"/>
      <c r="M1180" s="2"/>
      <c r="N1180" s="2"/>
      <c r="O1180" s="2"/>
      <c r="P1180" s="2"/>
      <c r="Q1180" s="2"/>
      <c r="R1180" s="2"/>
      <c r="S1180" s="2"/>
      <c r="T1180" s="2"/>
      <c r="U1180" s="2"/>
      <c r="V1180" s="2"/>
      <c r="W1180" s="2"/>
      <c r="X1180" s="2"/>
      <c r="Y1180" s="2"/>
      <c r="Z1180" s="2"/>
    </row>
    <row r="1181" ht="30.0" customHeight="1">
      <c r="A1181" s="2"/>
      <c r="B1181" s="2"/>
      <c r="C1181" s="2"/>
      <c r="D1181" s="2"/>
      <c r="E1181" s="2"/>
      <c r="F1181" s="2"/>
      <c r="G1181" s="2"/>
      <c r="H1181" s="2"/>
      <c r="I1181" s="2"/>
      <c r="J1181" s="2"/>
      <c r="K1181" s="2"/>
      <c r="L1181" s="2"/>
      <c r="M1181" s="2"/>
      <c r="N1181" s="2"/>
      <c r="O1181" s="2"/>
      <c r="P1181" s="2"/>
      <c r="Q1181" s="2"/>
      <c r="R1181" s="2"/>
      <c r="S1181" s="2"/>
      <c r="T1181" s="2"/>
      <c r="U1181" s="2"/>
      <c r="V1181" s="2"/>
      <c r="W1181" s="2"/>
      <c r="X1181" s="2"/>
      <c r="Y1181" s="2"/>
      <c r="Z1181" s="2"/>
    </row>
    <row r="1182" ht="30.0" customHeight="1">
      <c r="A1182" s="2"/>
      <c r="B1182" s="2"/>
      <c r="C1182" s="2"/>
      <c r="D1182" s="2"/>
      <c r="E1182" s="2"/>
      <c r="F1182" s="2"/>
      <c r="G1182" s="2"/>
      <c r="H1182" s="2"/>
      <c r="I1182" s="2"/>
      <c r="J1182" s="2"/>
      <c r="K1182" s="2"/>
      <c r="L1182" s="2"/>
      <c r="M1182" s="2"/>
      <c r="N1182" s="2"/>
      <c r="O1182" s="2"/>
      <c r="P1182" s="2"/>
      <c r="Q1182" s="2"/>
      <c r="R1182" s="2"/>
      <c r="S1182" s="2"/>
      <c r="T1182" s="2"/>
      <c r="U1182" s="2"/>
      <c r="V1182" s="2"/>
      <c r="W1182" s="2"/>
      <c r="X1182" s="2"/>
      <c r="Y1182" s="2"/>
      <c r="Z1182" s="2"/>
    </row>
    <row r="1183" ht="30.0" customHeight="1">
      <c r="A1183" s="2"/>
      <c r="B1183" s="2"/>
      <c r="C1183" s="2"/>
      <c r="D1183" s="2"/>
      <c r="E1183" s="2"/>
      <c r="F1183" s="2"/>
      <c r="G1183" s="2"/>
      <c r="H1183" s="2"/>
      <c r="I1183" s="2"/>
      <c r="J1183" s="2"/>
      <c r="K1183" s="2"/>
      <c r="L1183" s="2"/>
      <c r="M1183" s="2"/>
      <c r="N1183" s="2"/>
      <c r="O1183" s="2"/>
      <c r="P1183" s="2"/>
      <c r="Q1183" s="2"/>
      <c r="R1183" s="2"/>
      <c r="S1183" s="2"/>
      <c r="T1183" s="2"/>
      <c r="U1183" s="2"/>
      <c r="V1183" s="2"/>
      <c r="W1183" s="2"/>
      <c r="X1183" s="2"/>
      <c r="Y1183" s="2"/>
      <c r="Z1183" s="2"/>
    </row>
    <row r="1184" ht="30.0" customHeight="1">
      <c r="A1184" s="2"/>
      <c r="B1184" s="2"/>
      <c r="C1184" s="2"/>
      <c r="D1184" s="2"/>
      <c r="E1184" s="2"/>
      <c r="F1184" s="2"/>
      <c r="G1184" s="2"/>
      <c r="H1184" s="2"/>
      <c r="I1184" s="2"/>
      <c r="J1184" s="2"/>
      <c r="K1184" s="2"/>
      <c r="L1184" s="2"/>
      <c r="M1184" s="2"/>
      <c r="N1184" s="2"/>
      <c r="O1184" s="2"/>
      <c r="P1184" s="2"/>
      <c r="Q1184" s="2"/>
      <c r="R1184" s="2"/>
      <c r="S1184" s="2"/>
      <c r="T1184" s="2"/>
      <c r="U1184" s="2"/>
      <c r="V1184" s="2"/>
      <c r="W1184" s="2"/>
      <c r="X1184" s="2"/>
      <c r="Y1184" s="2"/>
      <c r="Z1184" s="2"/>
    </row>
    <row r="1185" ht="30.0" customHeight="1">
      <c r="A1185" s="2"/>
      <c r="B1185" s="2"/>
      <c r="C1185" s="2"/>
      <c r="D1185" s="2"/>
      <c r="E1185" s="2"/>
      <c r="F1185" s="2"/>
      <c r="G1185" s="2"/>
      <c r="H1185" s="2"/>
      <c r="I1185" s="2"/>
      <c r="J1185" s="2"/>
      <c r="K1185" s="2"/>
      <c r="L1185" s="2"/>
      <c r="M1185" s="2"/>
      <c r="N1185" s="2"/>
      <c r="O1185" s="2"/>
      <c r="P1185" s="2"/>
      <c r="Q1185" s="2"/>
      <c r="R1185" s="2"/>
      <c r="S1185" s="2"/>
      <c r="T1185" s="2"/>
      <c r="U1185" s="2"/>
      <c r="V1185" s="2"/>
      <c r="W1185" s="2"/>
      <c r="X1185" s="2"/>
      <c r="Y1185" s="2"/>
      <c r="Z1185" s="2"/>
    </row>
    <row r="1186" ht="30.0" customHeight="1">
      <c r="A1186" s="2"/>
      <c r="B1186" s="2"/>
      <c r="C1186" s="2"/>
      <c r="D1186" s="2"/>
      <c r="E1186" s="2"/>
      <c r="F1186" s="2"/>
      <c r="G1186" s="2"/>
      <c r="H1186" s="2"/>
      <c r="I1186" s="2"/>
      <c r="J1186" s="2"/>
      <c r="K1186" s="2"/>
      <c r="L1186" s="2"/>
      <c r="M1186" s="2"/>
      <c r="N1186" s="2"/>
      <c r="O1186" s="2"/>
      <c r="P1186" s="2"/>
      <c r="Q1186" s="2"/>
      <c r="R1186" s="2"/>
      <c r="S1186" s="2"/>
      <c r="T1186" s="2"/>
      <c r="U1186" s="2"/>
      <c r="V1186" s="2"/>
      <c r="W1186" s="2"/>
      <c r="X1186" s="2"/>
      <c r="Y1186" s="2"/>
      <c r="Z1186" s="2"/>
    </row>
    <row r="1187" ht="30.0" customHeight="1">
      <c r="A1187" s="2"/>
      <c r="B1187" s="2"/>
      <c r="C1187" s="2"/>
      <c r="D1187" s="2"/>
      <c r="E1187" s="2"/>
      <c r="F1187" s="2"/>
      <c r="G1187" s="2"/>
      <c r="H1187" s="2"/>
      <c r="I1187" s="2"/>
      <c r="J1187" s="2"/>
      <c r="K1187" s="2"/>
      <c r="L1187" s="2"/>
      <c r="M1187" s="2"/>
      <c r="N1187" s="2"/>
      <c r="O1187" s="2"/>
      <c r="P1187" s="2"/>
      <c r="Q1187" s="2"/>
      <c r="R1187" s="2"/>
      <c r="S1187" s="2"/>
      <c r="T1187" s="2"/>
      <c r="U1187" s="2"/>
      <c r="V1187" s="2"/>
      <c r="W1187" s="2"/>
      <c r="X1187" s="2"/>
      <c r="Y1187" s="2"/>
      <c r="Z1187" s="2"/>
    </row>
    <row r="1188" ht="30.0" customHeight="1">
      <c r="A1188" s="2"/>
      <c r="B1188" s="2"/>
      <c r="C1188" s="2"/>
      <c r="D1188" s="2"/>
      <c r="E1188" s="2"/>
      <c r="F1188" s="2"/>
      <c r="G1188" s="2"/>
      <c r="H1188" s="2"/>
      <c r="I1188" s="2"/>
      <c r="J1188" s="2"/>
      <c r="K1188" s="2"/>
      <c r="L1188" s="2"/>
      <c r="M1188" s="2"/>
      <c r="N1188" s="2"/>
      <c r="O1188" s="2"/>
      <c r="P1188" s="2"/>
      <c r="Q1188" s="2"/>
      <c r="R1188" s="2"/>
      <c r="S1188" s="2"/>
      <c r="T1188" s="2"/>
      <c r="U1188" s="2"/>
      <c r="V1188" s="2"/>
      <c r="W1188" s="2"/>
      <c r="X1188" s="2"/>
      <c r="Y1188" s="2"/>
      <c r="Z1188" s="2"/>
    </row>
    <row r="1189" ht="30.0" customHeight="1">
      <c r="A1189" s="2"/>
      <c r="B1189" s="2"/>
      <c r="C1189" s="2"/>
      <c r="D1189" s="2"/>
      <c r="E1189" s="2"/>
      <c r="F1189" s="2"/>
      <c r="G1189" s="2"/>
      <c r="H1189" s="2"/>
      <c r="I1189" s="2"/>
      <c r="J1189" s="2"/>
      <c r="K1189" s="2"/>
      <c r="L1189" s="2"/>
      <c r="M1189" s="2"/>
      <c r="N1189" s="2"/>
      <c r="O1189" s="2"/>
      <c r="P1189" s="2"/>
      <c r="Q1189" s="2"/>
      <c r="R1189" s="2"/>
      <c r="S1189" s="2"/>
      <c r="T1189" s="2"/>
      <c r="U1189" s="2"/>
      <c r="V1189" s="2"/>
      <c r="W1189" s="2"/>
      <c r="X1189" s="2"/>
      <c r="Y1189" s="2"/>
      <c r="Z1189" s="2"/>
    </row>
    <row r="1190" ht="30.0" customHeight="1">
      <c r="A1190" s="2"/>
      <c r="B1190" s="2"/>
      <c r="C1190" s="2"/>
      <c r="D1190" s="2"/>
      <c r="E1190" s="2"/>
      <c r="F1190" s="2"/>
      <c r="G1190" s="2"/>
      <c r="H1190" s="2"/>
      <c r="I1190" s="2"/>
      <c r="J1190" s="2"/>
      <c r="K1190" s="2"/>
      <c r="L1190" s="2"/>
      <c r="M1190" s="2"/>
      <c r="N1190" s="2"/>
      <c r="O1190" s="2"/>
      <c r="P1190" s="2"/>
      <c r="Q1190" s="2"/>
      <c r="R1190" s="2"/>
      <c r="S1190" s="2"/>
      <c r="T1190" s="2"/>
      <c r="U1190" s="2"/>
      <c r="V1190" s="2"/>
      <c r="W1190" s="2"/>
      <c r="X1190" s="2"/>
      <c r="Y1190" s="2"/>
      <c r="Z1190" s="2"/>
    </row>
    <row r="1191" ht="30.0" customHeight="1">
      <c r="A1191" s="2"/>
      <c r="B1191" s="2"/>
      <c r="C1191" s="2"/>
      <c r="D1191" s="2"/>
      <c r="E1191" s="2"/>
      <c r="F1191" s="2"/>
      <c r="G1191" s="2"/>
      <c r="H1191" s="2"/>
      <c r="I1191" s="2"/>
      <c r="J1191" s="2"/>
      <c r="K1191" s="2"/>
      <c r="L1191" s="2"/>
      <c r="M1191" s="2"/>
      <c r="N1191" s="2"/>
      <c r="O1191" s="2"/>
      <c r="P1191" s="2"/>
      <c r="Q1191" s="2"/>
      <c r="R1191" s="2"/>
      <c r="S1191" s="2"/>
      <c r="T1191" s="2"/>
      <c r="U1191" s="2"/>
      <c r="V1191" s="2"/>
      <c r="W1191" s="2"/>
      <c r="X1191" s="2"/>
      <c r="Y1191" s="2"/>
      <c r="Z1191" s="2"/>
    </row>
    <row r="1192" ht="30.0" customHeight="1">
      <c r="A1192" s="2"/>
      <c r="B1192" s="2"/>
      <c r="C1192" s="2"/>
      <c r="D1192" s="2"/>
      <c r="E1192" s="2"/>
      <c r="F1192" s="2"/>
      <c r="G1192" s="2"/>
      <c r="H1192" s="2"/>
      <c r="I1192" s="2"/>
      <c r="J1192" s="2"/>
      <c r="K1192" s="2"/>
      <c r="L1192" s="2"/>
      <c r="M1192" s="2"/>
      <c r="N1192" s="2"/>
      <c r="O1192" s="2"/>
      <c r="P1192" s="2"/>
      <c r="Q1192" s="2"/>
      <c r="R1192" s="2"/>
      <c r="S1192" s="2"/>
      <c r="T1192" s="2"/>
      <c r="U1192" s="2"/>
      <c r="V1192" s="2"/>
      <c r="W1192" s="2"/>
      <c r="X1192" s="2"/>
      <c r="Y1192" s="2"/>
      <c r="Z1192" s="2"/>
    </row>
    <row r="1193" ht="30.0" customHeight="1">
      <c r="A1193" s="2"/>
      <c r="B1193" s="2"/>
      <c r="C1193" s="2"/>
      <c r="D1193" s="2"/>
      <c r="E1193" s="2"/>
      <c r="F1193" s="2"/>
      <c r="G1193" s="2"/>
      <c r="H1193" s="2"/>
      <c r="I1193" s="2"/>
      <c r="J1193" s="2"/>
      <c r="K1193" s="2"/>
      <c r="L1193" s="2"/>
      <c r="M1193" s="2"/>
      <c r="N1193" s="2"/>
      <c r="O1193" s="2"/>
      <c r="P1193" s="2"/>
      <c r="Q1193" s="2"/>
      <c r="R1193" s="2"/>
      <c r="S1193" s="2"/>
      <c r="T1193" s="2"/>
      <c r="U1193" s="2"/>
      <c r="V1193" s="2"/>
      <c r="W1193" s="2"/>
      <c r="X1193" s="2"/>
      <c r="Y1193" s="2"/>
      <c r="Z1193" s="2"/>
    </row>
    <row r="1194" ht="30.0" customHeight="1">
      <c r="A1194" s="2"/>
      <c r="B1194" s="2"/>
      <c r="C1194" s="2"/>
      <c r="D1194" s="2"/>
      <c r="E1194" s="2"/>
      <c r="F1194" s="2"/>
      <c r="G1194" s="2"/>
      <c r="H1194" s="2"/>
      <c r="I1194" s="2"/>
      <c r="J1194" s="2"/>
      <c r="K1194" s="2"/>
      <c r="L1194" s="2"/>
      <c r="M1194" s="2"/>
      <c r="N1194" s="2"/>
      <c r="O1194" s="2"/>
      <c r="P1194" s="2"/>
      <c r="Q1194" s="2"/>
      <c r="R1194" s="2"/>
      <c r="S1194" s="2"/>
      <c r="T1194" s="2"/>
      <c r="U1194" s="2"/>
      <c r="V1194" s="2"/>
      <c r="W1194" s="2"/>
      <c r="X1194" s="2"/>
      <c r="Y1194" s="2"/>
      <c r="Z1194" s="2"/>
    </row>
    <row r="1195" ht="30.0" customHeight="1">
      <c r="A1195" s="2"/>
      <c r="B1195" s="2"/>
      <c r="C1195" s="2"/>
      <c r="D1195" s="2"/>
      <c r="E1195" s="2"/>
      <c r="F1195" s="2"/>
      <c r="G1195" s="2"/>
      <c r="H1195" s="2"/>
      <c r="I1195" s="2"/>
      <c r="J1195" s="2"/>
      <c r="K1195" s="2"/>
      <c r="L1195" s="2"/>
      <c r="M1195" s="2"/>
      <c r="N1195" s="2"/>
      <c r="O1195" s="2"/>
      <c r="P1195" s="2"/>
      <c r="Q1195" s="2"/>
      <c r="R1195" s="2"/>
      <c r="S1195" s="2"/>
      <c r="T1195" s="2"/>
      <c r="U1195" s="2"/>
      <c r="V1195" s="2"/>
      <c r="W1195" s="2"/>
      <c r="X1195" s="2"/>
      <c r="Y1195" s="2"/>
      <c r="Z1195" s="2"/>
    </row>
    <row r="1196" ht="30.0" customHeight="1">
      <c r="A1196" s="2"/>
      <c r="B1196" s="2"/>
      <c r="C1196" s="2"/>
      <c r="D1196" s="2"/>
      <c r="E1196" s="2"/>
      <c r="F1196" s="2"/>
      <c r="G1196" s="2"/>
      <c r="H1196" s="2"/>
      <c r="I1196" s="2"/>
      <c r="J1196" s="2"/>
      <c r="K1196" s="2"/>
      <c r="L1196" s="2"/>
      <c r="M1196" s="2"/>
      <c r="N1196" s="2"/>
      <c r="O1196" s="2"/>
      <c r="P1196" s="2"/>
      <c r="Q1196" s="2"/>
      <c r="R1196" s="2"/>
      <c r="S1196" s="2"/>
      <c r="T1196" s="2"/>
      <c r="U1196" s="2"/>
      <c r="V1196" s="2"/>
      <c r="W1196" s="2"/>
      <c r="X1196" s="2"/>
      <c r="Y1196" s="2"/>
      <c r="Z1196" s="2"/>
    </row>
    <row r="1197" ht="30.0" customHeight="1">
      <c r="A1197" s="2"/>
      <c r="B1197" s="2"/>
      <c r="C1197" s="2"/>
      <c r="D1197" s="2"/>
      <c r="E1197" s="2"/>
      <c r="F1197" s="2"/>
      <c r="G1197" s="2"/>
      <c r="H1197" s="2"/>
      <c r="I1197" s="2"/>
      <c r="J1197" s="2"/>
      <c r="K1197" s="2"/>
      <c r="L1197" s="2"/>
      <c r="M1197" s="2"/>
      <c r="N1197" s="2"/>
      <c r="O1197" s="2"/>
      <c r="P1197" s="2"/>
      <c r="Q1197" s="2"/>
      <c r="R1197" s="2"/>
      <c r="S1197" s="2"/>
      <c r="T1197" s="2"/>
      <c r="U1197" s="2"/>
      <c r="V1197" s="2"/>
      <c r="W1197" s="2"/>
      <c r="X1197" s="2"/>
      <c r="Y1197" s="2"/>
      <c r="Z1197" s="2"/>
    </row>
    <row r="1198" ht="30.0" customHeight="1">
      <c r="A1198" s="2"/>
      <c r="B1198" s="2"/>
      <c r="C1198" s="2"/>
      <c r="D1198" s="2"/>
      <c r="E1198" s="2"/>
      <c r="F1198" s="2"/>
      <c r="G1198" s="2"/>
      <c r="H1198" s="2"/>
      <c r="I1198" s="2"/>
      <c r="J1198" s="2"/>
      <c r="K1198" s="2"/>
      <c r="L1198" s="2"/>
      <c r="M1198" s="2"/>
      <c r="N1198" s="2"/>
      <c r="O1198" s="2"/>
      <c r="P1198" s="2"/>
      <c r="Q1198" s="2"/>
      <c r="R1198" s="2"/>
      <c r="S1198" s="2"/>
      <c r="T1198" s="2"/>
      <c r="U1198" s="2"/>
      <c r="V1198" s="2"/>
      <c r="W1198" s="2"/>
      <c r="X1198" s="2"/>
      <c r="Y1198" s="2"/>
      <c r="Z1198" s="2"/>
    </row>
    <row r="1199" ht="30.0" customHeight="1">
      <c r="A1199" s="2"/>
      <c r="B1199" s="2"/>
      <c r="C1199" s="2"/>
      <c r="D1199" s="2"/>
      <c r="E1199" s="2"/>
      <c r="F1199" s="2"/>
      <c r="G1199" s="2"/>
      <c r="H1199" s="2"/>
      <c r="I1199" s="2"/>
      <c r="J1199" s="2"/>
      <c r="K1199" s="2"/>
      <c r="L1199" s="2"/>
      <c r="M1199" s="2"/>
      <c r="N1199" s="2"/>
      <c r="O1199" s="2"/>
      <c r="P1199" s="2"/>
      <c r="Q1199" s="2"/>
      <c r="R1199" s="2"/>
      <c r="S1199" s="2"/>
      <c r="T1199" s="2"/>
      <c r="U1199" s="2"/>
      <c r="V1199" s="2"/>
      <c r="W1199" s="2"/>
      <c r="X1199" s="2"/>
      <c r="Y1199" s="2"/>
      <c r="Z1199" s="2"/>
    </row>
    <row r="1200" ht="30.0" customHeight="1">
      <c r="A1200" s="2"/>
      <c r="B1200" s="2"/>
      <c r="C1200" s="2"/>
      <c r="D1200" s="2"/>
      <c r="E1200" s="2"/>
      <c r="F1200" s="2"/>
      <c r="G1200" s="2"/>
      <c r="H1200" s="2"/>
      <c r="I1200" s="2"/>
      <c r="J1200" s="2"/>
      <c r="K1200" s="2"/>
      <c r="L1200" s="2"/>
      <c r="M1200" s="2"/>
      <c r="N1200" s="2"/>
      <c r="O1200" s="2"/>
      <c r="P1200" s="2"/>
      <c r="Q1200" s="2"/>
      <c r="R1200" s="2"/>
      <c r="S1200" s="2"/>
      <c r="T1200" s="2"/>
      <c r="U1200" s="2"/>
      <c r="V1200" s="2"/>
      <c r="W1200" s="2"/>
      <c r="X1200" s="2"/>
      <c r="Y1200" s="2"/>
      <c r="Z1200" s="2"/>
    </row>
    <row r="1201" ht="30.0" customHeight="1">
      <c r="A1201" s="2"/>
      <c r="B1201" s="2"/>
      <c r="C1201" s="2"/>
      <c r="D1201" s="2"/>
      <c r="E1201" s="2"/>
      <c r="F1201" s="2"/>
      <c r="G1201" s="2"/>
      <c r="H1201" s="2"/>
      <c r="I1201" s="2"/>
      <c r="J1201" s="2"/>
      <c r="K1201" s="2"/>
      <c r="L1201" s="2"/>
      <c r="M1201" s="2"/>
      <c r="N1201" s="2"/>
      <c r="O1201" s="2"/>
      <c r="P1201" s="2"/>
      <c r="Q1201" s="2"/>
      <c r="R1201" s="2"/>
      <c r="S1201" s="2"/>
      <c r="T1201" s="2"/>
      <c r="U1201" s="2"/>
      <c r="V1201" s="2"/>
      <c r="W1201" s="2"/>
      <c r="X1201" s="2"/>
      <c r="Y1201" s="2"/>
      <c r="Z1201" s="2"/>
    </row>
    <row r="1202" ht="30.0" customHeight="1">
      <c r="A1202" s="2"/>
      <c r="B1202" s="2"/>
      <c r="C1202" s="2"/>
      <c r="D1202" s="2"/>
      <c r="E1202" s="2"/>
      <c r="F1202" s="2"/>
      <c r="G1202" s="2"/>
      <c r="H1202" s="2"/>
      <c r="I1202" s="2"/>
      <c r="J1202" s="2"/>
      <c r="K1202" s="2"/>
      <c r="L1202" s="2"/>
      <c r="M1202" s="2"/>
      <c r="N1202" s="2"/>
      <c r="O1202" s="2"/>
      <c r="P1202" s="2"/>
      <c r="Q1202" s="2"/>
      <c r="R1202" s="2"/>
      <c r="S1202" s="2"/>
      <c r="T1202" s="2"/>
      <c r="U1202" s="2"/>
      <c r="V1202" s="2"/>
      <c r="W1202" s="2"/>
      <c r="X1202" s="2"/>
      <c r="Y1202" s="2"/>
      <c r="Z1202" s="2"/>
    </row>
    <row r="1203" ht="30.0" customHeight="1">
      <c r="A1203" s="2"/>
      <c r="B1203" s="2"/>
      <c r="C1203" s="2"/>
      <c r="D1203" s="2"/>
      <c r="E1203" s="2"/>
      <c r="F1203" s="2"/>
      <c r="G1203" s="2"/>
      <c r="H1203" s="2"/>
      <c r="I1203" s="2"/>
      <c r="J1203" s="2"/>
      <c r="K1203" s="2"/>
      <c r="L1203" s="2"/>
      <c r="M1203" s="2"/>
      <c r="N1203" s="2"/>
      <c r="O1203" s="2"/>
      <c r="P1203" s="2"/>
      <c r="Q1203" s="2"/>
      <c r="R1203" s="2"/>
      <c r="S1203" s="2"/>
      <c r="T1203" s="2"/>
      <c r="U1203" s="2"/>
      <c r="V1203" s="2"/>
      <c r="W1203" s="2"/>
      <c r="X1203" s="2"/>
      <c r="Y1203" s="2"/>
      <c r="Z1203" s="2"/>
    </row>
    <row r="1204" ht="30.0" customHeight="1">
      <c r="A1204" s="2"/>
      <c r="B1204" s="2"/>
      <c r="C1204" s="2"/>
      <c r="D1204" s="2"/>
      <c r="E1204" s="2"/>
      <c r="F1204" s="2"/>
      <c r="G1204" s="2"/>
      <c r="H1204" s="2"/>
      <c r="I1204" s="2"/>
      <c r="J1204" s="2"/>
      <c r="K1204" s="2"/>
      <c r="L1204" s="2"/>
      <c r="M1204" s="2"/>
      <c r="N1204" s="2"/>
      <c r="O1204" s="2"/>
      <c r="P1204" s="2"/>
      <c r="Q1204" s="2"/>
      <c r="R1204" s="2"/>
      <c r="S1204" s="2"/>
      <c r="T1204" s="2"/>
      <c r="U1204" s="2"/>
      <c r="V1204" s="2"/>
      <c r="W1204" s="2"/>
      <c r="X1204" s="2"/>
      <c r="Y1204" s="2"/>
      <c r="Z1204" s="2"/>
    </row>
    <row r="1205" ht="30.0" customHeight="1">
      <c r="A1205" s="2"/>
      <c r="B1205" s="2"/>
      <c r="C1205" s="2"/>
      <c r="D1205" s="2"/>
      <c r="E1205" s="2"/>
      <c r="F1205" s="2"/>
      <c r="G1205" s="2"/>
      <c r="H1205" s="2"/>
      <c r="I1205" s="2"/>
      <c r="J1205" s="2"/>
      <c r="K1205" s="2"/>
      <c r="L1205" s="2"/>
      <c r="M1205" s="2"/>
      <c r="N1205" s="2"/>
      <c r="O1205" s="2"/>
      <c r="P1205" s="2"/>
      <c r="Q1205" s="2"/>
      <c r="R1205" s="2"/>
      <c r="S1205" s="2"/>
      <c r="T1205" s="2"/>
      <c r="U1205" s="2"/>
      <c r="V1205" s="2"/>
      <c r="W1205" s="2"/>
      <c r="X1205" s="2"/>
      <c r="Y1205" s="2"/>
      <c r="Z1205" s="2"/>
    </row>
    <row r="1206" ht="30.0" customHeight="1">
      <c r="A1206" s="2"/>
      <c r="B1206" s="2"/>
      <c r="C1206" s="2"/>
      <c r="D1206" s="2"/>
      <c r="E1206" s="2"/>
      <c r="F1206" s="2"/>
      <c r="G1206" s="2"/>
      <c r="H1206" s="2"/>
      <c r="I1206" s="2"/>
      <c r="J1206" s="2"/>
      <c r="K1206" s="2"/>
      <c r="L1206" s="2"/>
      <c r="M1206" s="2"/>
      <c r="N1206" s="2"/>
      <c r="O1206" s="2"/>
      <c r="P1206" s="2"/>
      <c r="Q1206" s="2"/>
      <c r="R1206" s="2"/>
      <c r="S1206" s="2"/>
      <c r="T1206" s="2"/>
      <c r="U1206" s="2"/>
      <c r="V1206" s="2"/>
      <c r="W1206" s="2"/>
      <c r="X1206" s="2"/>
      <c r="Y1206" s="2"/>
      <c r="Z1206" s="2"/>
    </row>
    <row r="1207" ht="30.0" customHeight="1">
      <c r="A1207" s="2"/>
      <c r="B1207" s="2"/>
      <c r="C1207" s="2"/>
      <c r="D1207" s="2"/>
      <c r="E1207" s="2"/>
      <c r="F1207" s="2"/>
      <c r="G1207" s="2"/>
      <c r="H1207" s="2"/>
      <c r="I1207" s="2"/>
      <c r="J1207" s="2"/>
      <c r="K1207" s="2"/>
      <c r="L1207" s="2"/>
      <c r="M1207" s="2"/>
      <c r="N1207" s="2"/>
      <c r="O1207" s="2"/>
      <c r="P1207" s="2"/>
      <c r="Q1207" s="2"/>
      <c r="R1207" s="2"/>
      <c r="S1207" s="2"/>
      <c r="T1207" s="2"/>
      <c r="U1207" s="2"/>
      <c r="V1207" s="2"/>
      <c r="W1207" s="2"/>
      <c r="X1207" s="2"/>
      <c r="Y1207" s="2"/>
      <c r="Z1207" s="2"/>
    </row>
    <row r="1208" ht="30.0" customHeight="1">
      <c r="A1208" s="2"/>
      <c r="B1208" s="2"/>
      <c r="C1208" s="2"/>
      <c r="D1208" s="2"/>
      <c r="E1208" s="2"/>
      <c r="F1208" s="2"/>
      <c r="G1208" s="2"/>
      <c r="H1208" s="2"/>
      <c r="I1208" s="2"/>
      <c r="J1208" s="2"/>
      <c r="K1208" s="2"/>
      <c r="L1208" s="2"/>
      <c r="M1208" s="2"/>
      <c r="N1208" s="2"/>
      <c r="O1208" s="2"/>
      <c r="P1208" s="2"/>
      <c r="Q1208" s="2"/>
      <c r="R1208" s="2"/>
      <c r="S1208" s="2"/>
      <c r="T1208" s="2"/>
      <c r="U1208" s="2"/>
      <c r="V1208" s="2"/>
      <c r="W1208" s="2"/>
      <c r="X1208" s="2"/>
      <c r="Y1208" s="2"/>
      <c r="Z1208" s="2"/>
    </row>
    <row r="1209" ht="30.0" customHeight="1">
      <c r="A1209" s="2"/>
      <c r="B1209" s="2"/>
      <c r="C1209" s="2"/>
      <c r="D1209" s="2"/>
      <c r="E1209" s="2"/>
      <c r="F1209" s="2"/>
      <c r="G1209" s="2"/>
      <c r="H1209" s="2"/>
      <c r="I1209" s="2"/>
      <c r="J1209" s="2"/>
      <c r="K1209" s="2"/>
      <c r="L1209" s="2"/>
      <c r="M1209" s="2"/>
      <c r="N1209" s="2"/>
      <c r="O1209" s="2"/>
      <c r="P1209" s="2"/>
      <c r="Q1209" s="2"/>
      <c r="R1209" s="2"/>
      <c r="S1209" s="2"/>
      <c r="T1209" s="2"/>
      <c r="U1209" s="2"/>
      <c r="V1209" s="2"/>
      <c r="W1209" s="2"/>
      <c r="X1209" s="2"/>
      <c r="Y1209" s="2"/>
      <c r="Z1209" s="2"/>
    </row>
    <row r="1210" ht="30.0" customHeight="1">
      <c r="A1210" s="2"/>
      <c r="B1210" s="2"/>
      <c r="C1210" s="2"/>
      <c r="D1210" s="2"/>
      <c r="E1210" s="2"/>
      <c r="F1210" s="2"/>
      <c r="G1210" s="2"/>
      <c r="H1210" s="2"/>
      <c r="I1210" s="2"/>
      <c r="J1210" s="2"/>
      <c r="K1210" s="2"/>
      <c r="L1210" s="2"/>
      <c r="M1210" s="2"/>
      <c r="N1210" s="2"/>
      <c r="O1210" s="2"/>
      <c r="P1210" s="2"/>
      <c r="Q1210" s="2"/>
      <c r="R1210" s="2"/>
      <c r="S1210" s="2"/>
      <c r="T1210" s="2"/>
      <c r="U1210" s="2"/>
      <c r="V1210" s="2"/>
      <c r="W1210" s="2"/>
      <c r="X1210" s="2"/>
      <c r="Y1210" s="2"/>
      <c r="Z1210" s="2"/>
    </row>
    <row r="1211" ht="30.0" customHeight="1">
      <c r="A1211" s="2"/>
      <c r="B1211" s="2"/>
      <c r="C1211" s="2"/>
      <c r="D1211" s="2"/>
      <c r="E1211" s="2"/>
      <c r="F1211" s="2"/>
      <c r="G1211" s="2"/>
      <c r="H1211" s="2"/>
      <c r="I1211" s="2"/>
      <c r="J1211" s="2"/>
      <c r="K1211" s="2"/>
      <c r="L1211" s="2"/>
      <c r="M1211" s="2"/>
      <c r="N1211" s="2"/>
      <c r="O1211" s="2"/>
      <c r="P1211" s="2"/>
      <c r="Q1211" s="2"/>
      <c r="R1211" s="2"/>
      <c r="S1211" s="2"/>
      <c r="T1211" s="2"/>
      <c r="U1211" s="2"/>
      <c r="V1211" s="2"/>
      <c r="W1211" s="2"/>
      <c r="X1211" s="2"/>
      <c r="Y1211" s="2"/>
      <c r="Z1211" s="2"/>
    </row>
    <row r="1212" ht="30.0" customHeight="1">
      <c r="A1212" s="2"/>
      <c r="B1212" s="2"/>
      <c r="C1212" s="2"/>
      <c r="D1212" s="2"/>
      <c r="E1212" s="2"/>
      <c r="F1212" s="2"/>
      <c r="G1212" s="2"/>
      <c r="H1212" s="2"/>
      <c r="I1212" s="2"/>
      <c r="J1212" s="2"/>
      <c r="K1212" s="2"/>
      <c r="L1212" s="2"/>
      <c r="M1212" s="2"/>
      <c r="N1212" s="2"/>
      <c r="O1212" s="2"/>
      <c r="P1212" s="2"/>
      <c r="Q1212" s="2"/>
      <c r="R1212" s="2"/>
      <c r="S1212" s="2"/>
      <c r="T1212" s="2"/>
      <c r="U1212" s="2"/>
      <c r="V1212" s="2"/>
      <c r="W1212" s="2"/>
      <c r="X1212" s="2"/>
      <c r="Y1212" s="2"/>
      <c r="Z1212" s="2"/>
    </row>
    <row r="1213" ht="30.0" customHeight="1">
      <c r="A1213" s="2"/>
      <c r="B1213" s="2"/>
      <c r="C1213" s="2"/>
      <c r="D1213" s="2"/>
      <c r="E1213" s="2"/>
      <c r="F1213" s="2"/>
      <c r="G1213" s="2"/>
      <c r="H1213" s="2"/>
      <c r="I1213" s="2"/>
      <c r="J1213" s="2"/>
      <c r="K1213" s="2"/>
      <c r="L1213" s="2"/>
      <c r="M1213" s="2"/>
      <c r="N1213" s="2"/>
      <c r="O1213" s="2"/>
      <c r="P1213" s="2"/>
      <c r="Q1213" s="2"/>
      <c r="R1213" s="2"/>
      <c r="S1213" s="2"/>
      <c r="T1213" s="2"/>
      <c r="U1213" s="2"/>
      <c r="V1213" s="2"/>
      <c r="W1213" s="2"/>
      <c r="X1213" s="2"/>
      <c r="Y1213" s="2"/>
      <c r="Z1213" s="2"/>
    </row>
    <row r="1214" ht="30.0" customHeight="1">
      <c r="A1214" s="2"/>
      <c r="B1214" s="2"/>
      <c r="C1214" s="2"/>
      <c r="D1214" s="2"/>
      <c r="E1214" s="2"/>
      <c r="F1214" s="2"/>
      <c r="G1214" s="2"/>
      <c r="H1214" s="2"/>
      <c r="I1214" s="2"/>
      <c r="J1214" s="2"/>
      <c r="K1214" s="2"/>
      <c r="L1214" s="2"/>
      <c r="M1214" s="2"/>
      <c r="N1214" s="2"/>
      <c r="O1214" s="2"/>
      <c r="P1214" s="2"/>
      <c r="Q1214" s="2"/>
      <c r="R1214" s="2"/>
      <c r="S1214" s="2"/>
      <c r="T1214" s="2"/>
      <c r="U1214" s="2"/>
      <c r="V1214" s="2"/>
      <c r="W1214" s="2"/>
      <c r="X1214" s="2"/>
      <c r="Y1214" s="2"/>
      <c r="Z1214" s="2"/>
    </row>
    <row r="1215" ht="30.0" customHeight="1">
      <c r="A1215" s="2"/>
      <c r="B1215" s="2"/>
      <c r="C1215" s="2"/>
      <c r="D1215" s="2"/>
      <c r="E1215" s="2"/>
      <c r="F1215" s="2"/>
      <c r="G1215" s="2"/>
      <c r="H1215" s="2"/>
      <c r="I1215" s="2"/>
      <c r="J1215" s="2"/>
      <c r="K1215" s="2"/>
      <c r="L1215" s="2"/>
      <c r="M1215" s="2"/>
      <c r="N1215" s="2"/>
      <c r="O1215" s="2"/>
      <c r="P1215" s="2"/>
      <c r="Q1215" s="2"/>
      <c r="R1215" s="2"/>
      <c r="S1215" s="2"/>
      <c r="T1215" s="2"/>
      <c r="U1215" s="2"/>
      <c r="V1215" s="2"/>
      <c r="W1215" s="2"/>
      <c r="X1215" s="2"/>
      <c r="Y1215" s="2"/>
      <c r="Z1215" s="2"/>
    </row>
    <row r="1216" ht="30.0" customHeight="1">
      <c r="A1216" s="2"/>
      <c r="B1216" s="2"/>
      <c r="C1216" s="2"/>
      <c r="D1216" s="2"/>
      <c r="E1216" s="2"/>
      <c r="F1216" s="2"/>
      <c r="G1216" s="2"/>
      <c r="H1216" s="2"/>
      <c r="I1216" s="2"/>
      <c r="J1216" s="2"/>
      <c r="K1216" s="2"/>
      <c r="L1216" s="2"/>
      <c r="M1216" s="2"/>
      <c r="N1216" s="2"/>
      <c r="O1216" s="2"/>
      <c r="P1216" s="2"/>
      <c r="Q1216" s="2"/>
      <c r="R1216" s="2"/>
      <c r="S1216" s="2"/>
      <c r="T1216" s="2"/>
      <c r="U1216" s="2"/>
      <c r="V1216" s="2"/>
      <c r="W1216" s="2"/>
      <c r="X1216" s="2"/>
      <c r="Y1216" s="2"/>
      <c r="Z1216" s="2"/>
    </row>
    <row r="1217" ht="30.0" customHeight="1">
      <c r="A1217" s="2"/>
      <c r="B1217" s="2"/>
      <c r="C1217" s="2"/>
      <c r="D1217" s="2"/>
      <c r="E1217" s="2"/>
      <c r="F1217" s="2"/>
      <c r="G1217" s="2"/>
      <c r="H1217" s="2"/>
      <c r="I1217" s="2"/>
      <c r="J1217" s="2"/>
      <c r="K1217" s="2"/>
      <c r="L1217" s="2"/>
      <c r="M1217" s="2"/>
      <c r="N1217" s="2"/>
      <c r="O1217" s="2"/>
      <c r="P1217" s="2"/>
      <c r="Q1217" s="2"/>
      <c r="R1217" s="2"/>
      <c r="S1217" s="2"/>
      <c r="T1217" s="2"/>
      <c r="U1217" s="2"/>
      <c r="V1217" s="2"/>
      <c r="W1217" s="2"/>
      <c r="X1217" s="2"/>
      <c r="Y1217" s="2"/>
      <c r="Z1217" s="2"/>
    </row>
    <row r="1218" ht="30.0" customHeight="1">
      <c r="A1218" s="2"/>
      <c r="B1218" s="2"/>
      <c r="C1218" s="2"/>
      <c r="D1218" s="2"/>
      <c r="E1218" s="2"/>
      <c r="F1218" s="2"/>
      <c r="G1218" s="2"/>
      <c r="H1218" s="2"/>
      <c r="I1218" s="2"/>
      <c r="J1218" s="2"/>
      <c r="K1218" s="2"/>
      <c r="L1218" s="2"/>
      <c r="M1218" s="2"/>
      <c r="N1218" s="2"/>
      <c r="O1218" s="2"/>
      <c r="P1218" s="2"/>
      <c r="Q1218" s="2"/>
      <c r="R1218" s="2"/>
      <c r="S1218" s="2"/>
      <c r="T1218" s="2"/>
      <c r="U1218" s="2"/>
      <c r="V1218" s="2"/>
      <c r="W1218" s="2"/>
      <c r="X1218" s="2"/>
      <c r="Y1218" s="2"/>
      <c r="Z1218" s="2"/>
    </row>
    <row r="1219" ht="30.0" customHeight="1">
      <c r="A1219" s="2"/>
      <c r="B1219" s="2"/>
      <c r="C1219" s="2"/>
      <c r="D1219" s="2"/>
      <c r="E1219" s="2"/>
      <c r="F1219" s="2"/>
      <c r="G1219" s="2"/>
      <c r="H1219" s="2"/>
      <c r="I1219" s="2"/>
      <c r="J1219" s="2"/>
      <c r="K1219" s="2"/>
      <c r="L1219" s="2"/>
      <c r="M1219" s="2"/>
      <c r="N1219" s="2"/>
      <c r="O1219" s="2"/>
      <c r="P1219" s="2"/>
      <c r="Q1219" s="2"/>
      <c r="R1219" s="2"/>
      <c r="S1219" s="2"/>
      <c r="T1219" s="2"/>
      <c r="U1219" s="2"/>
      <c r="V1219" s="2"/>
      <c r="W1219" s="2"/>
      <c r="X1219" s="2"/>
      <c r="Y1219" s="2"/>
      <c r="Z1219" s="2"/>
    </row>
    <row r="1220" ht="30.0" customHeight="1">
      <c r="A1220" s="2"/>
      <c r="B1220" s="2"/>
      <c r="C1220" s="2"/>
      <c r="D1220" s="2"/>
      <c r="E1220" s="2"/>
      <c r="F1220" s="2"/>
      <c r="G1220" s="2"/>
      <c r="H1220" s="2"/>
      <c r="I1220" s="2"/>
      <c r="J1220" s="2"/>
      <c r="K1220" s="2"/>
      <c r="L1220" s="2"/>
      <c r="M1220" s="2"/>
      <c r="N1220" s="2"/>
      <c r="O1220" s="2"/>
      <c r="P1220" s="2"/>
      <c r="Q1220" s="2"/>
      <c r="R1220" s="2"/>
      <c r="S1220" s="2"/>
      <c r="T1220" s="2"/>
      <c r="U1220" s="2"/>
      <c r="V1220" s="2"/>
      <c r="W1220" s="2"/>
      <c r="X1220" s="2"/>
      <c r="Y1220" s="2"/>
      <c r="Z1220" s="2"/>
    </row>
    <row r="1221" ht="30.0" customHeight="1">
      <c r="A1221" s="2"/>
      <c r="B1221" s="2"/>
      <c r="C1221" s="2"/>
      <c r="D1221" s="2"/>
      <c r="E1221" s="2"/>
      <c r="F1221" s="2"/>
      <c r="G1221" s="2"/>
      <c r="H1221" s="2"/>
      <c r="I1221" s="2"/>
      <c r="J1221" s="2"/>
      <c r="K1221" s="2"/>
      <c r="L1221" s="2"/>
      <c r="M1221" s="2"/>
      <c r="N1221" s="2"/>
      <c r="O1221" s="2"/>
      <c r="P1221" s="2"/>
      <c r="Q1221" s="2"/>
      <c r="R1221" s="2"/>
      <c r="S1221" s="2"/>
      <c r="T1221" s="2"/>
      <c r="U1221" s="2"/>
      <c r="V1221" s="2"/>
      <c r="W1221" s="2"/>
      <c r="X1221" s="2"/>
      <c r="Y1221" s="2"/>
      <c r="Z1221" s="2"/>
    </row>
    <row r="1222" ht="30.0" customHeight="1">
      <c r="A1222" s="2"/>
      <c r="B1222" s="2"/>
      <c r="C1222" s="2"/>
      <c r="D1222" s="2"/>
      <c r="E1222" s="2"/>
      <c r="F1222" s="2"/>
      <c r="G1222" s="2"/>
      <c r="H1222" s="2"/>
      <c r="I1222" s="2"/>
      <c r="J1222" s="2"/>
      <c r="K1222" s="2"/>
      <c r="L1222" s="2"/>
      <c r="M1222" s="2"/>
      <c r="N1222" s="2"/>
      <c r="O1222" s="2"/>
      <c r="P1222" s="2"/>
      <c r="Q1222" s="2"/>
      <c r="R1222" s="2"/>
      <c r="S1222" s="2"/>
      <c r="T1222" s="2"/>
      <c r="U1222" s="2"/>
      <c r="V1222" s="2"/>
      <c r="W1222" s="2"/>
      <c r="X1222" s="2"/>
      <c r="Y1222" s="2"/>
      <c r="Z1222" s="2"/>
    </row>
    <row r="1223" ht="30.0" customHeight="1">
      <c r="A1223" s="2"/>
      <c r="B1223" s="2"/>
      <c r="C1223" s="2"/>
      <c r="D1223" s="2"/>
      <c r="E1223" s="2"/>
      <c r="F1223" s="2"/>
      <c r="G1223" s="2"/>
      <c r="H1223" s="2"/>
      <c r="I1223" s="2"/>
      <c r="J1223" s="2"/>
      <c r="K1223" s="2"/>
      <c r="L1223" s="2"/>
      <c r="M1223" s="2"/>
      <c r="N1223" s="2"/>
      <c r="O1223" s="2"/>
      <c r="P1223" s="2"/>
      <c r="Q1223" s="2"/>
      <c r="R1223" s="2"/>
      <c r="S1223" s="2"/>
      <c r="T1223" s="2"/>
      <c r="U1223" s="2"/>
      <c r="V1223" s="2"/>
      <c r="W1223" s="2"/>
      <c r="X1223" s="2"/>
      <c r="Y1223" s="2"/>
      <c r="Z1223" s="2"/>
    </row>
    <row r="1224" ht="30.0" customHeight="1">
      <c r="A1224" s="2"/>
      <c r="B1224" s="2"/>
      <c r="C1224" s="2"/>
      <c r="D1224" s="2"/>
      <c r="E1224" s="2"/>
      <c r="F1224" s="2"/>
      <c r="G1224" s="2"/>
      <c r="H1224" s="2"/>
      <c r="I1224" s="2"/>
      <c r="J1224" s="2"/>
      <c r="K1224" s="2"/>
      <c r="L1224" s="2"/>
      <c r="M1224" s="2"/>
      <c r="N1224" s="2"/>
      <c r="O1224" s="2"/>
      <c r="P1224" s="2"/>
      <c r="Q1224" s="2"/>
      <c r="R1224" s="2"/>
      <c r="S1224" s="2"/>
      <c r="T1224" s="2"/>
      <c r="U1224" s="2"/>
      <c r="V1224" s="2"/>
      <c r="W1224" s="2"/>
      <c r="X1224" s="2"/>
      <c r="Y1224" s="2"/>
      <c r="Z1224" s="2"/>
    </row>
    <row r="1225" ht="30.0" customHeight="1">
      <c r="A1225" s="2"/>
      <c r="B1225" s="2"/>
      <c r="C1225" s="2"/>
      <c r="D1225" s="2"/>
      <c r="E1225" s="2"/>
      <c r="F1225" s="2"/>
      <c r="G1225" s="2"/>
      <c r="H1225" s="2"/>
      <c r="I1225" s="2"/>
      <c r="J1225" s="2"/>
      <c r="K1225" s="2"/>
      <c r="L1225" s="2"/>
      <c r="M1225" s="2"/>
      <c r="N1225" s="2"/>
      <c r="O1225" s="2"/>
      <c r="P1225" s="2"/>
      <c r="Q1225" s="2"/>
      <c r="R1225" s="2"/>
      <c r="S1225" s="2"/>
      <c r="T1225" s="2"/>
      <c r="U1225" s="2"/>
      <c r="V1225" s="2"/>
      <c r="W1225" s="2"/>
      <c r="X1225" s="2"/>
      <c r="Y1225" s="2"/>
      <c r="Z1225" s="2"/>
    </row>
    <row r="1226" ht="30.0" customHeight="1">
      <c r="A1226" s="2"/>
      <c r="B1226" s="2"/>
      <c r="C1226" s="2"/>
      <c r="D1226" s="2"/>
      <c r="E1226" s="2"/>
      <c r="F1226" s="2"/>
      <c r="G1226" s="2"/>
      <c r="H1226" s="2"/>
      <c r="I1226" s="2"/>
      <c r="J1226" s="2"/>
      <c r="K1226" s="2"/>
      <c r="L1226" s="2"/>
      <c r="M1226" s="2"/>
      <c r="N1226" s="2"/>
      <c r="O1226" s="2"/>
      <c r="P1226" s="2"/>
      <c r="Q1226" s="2"/>
      <c r="R1226" s="2"/>
      <c r="S1226" s="2"/>
      <c r="T1226" s="2"/>
      <c r="U1226" s="2"/>
      <c r="V1226" s="2"/>
      <c r="W1226" s="2"/>
      <c r="X1226" s="2"/>
      <c r="Y1226" s="2"/>
      <c r="Z1226" s="2"/>
    </row>
    <row r="1227" ht="30.0" customHeight="1">
      <c r="A1227" s="2"/>
      <c r="B1227" s="2"/>
      <c r="C1227" s="2"/>
      <c r="D1227" s="2"/>
      <c r="E1227" s="2"/>
      <c r="F1227" s="2"/>
      <c r="G1227" s="2"/>
      <c r="H1227" s="2"/>
      <c r="I1227" s="2"/>
      <c r="J1227" s="2"/>
      <c r="K1227" s="2"/>
      <c r="L1227" s="2"/>
      <c r="M1227" s="2"/>
      <c r="N1227" s="2"/>
      <c r="O1227" s="2"/>
      <c r="P1227" s="2"/>
      <c r="Q1227" s="2"/>
      <c r="R1227" s="2"/>
      <c r="S1227" s="2"/>
      <c r="T1227" s="2"/>
      <c r="U1227" s="2"/>
      <c r="V1227" s="2"/>
      <c r="W1227" s="2"/>
      <c r="X1227" s="2"/>
      <c r="Y1227" s="2"/>
      <c r="Z1227" s="2"/>
    </row>
    <row r="1228" ht="30.0" customHeight="1">
      <c r="A1228" s="2"/>
      <c r="B1228" s="2"/>
      <c r="C1228" s="2"/>
      <c r="D1228" s="2"/>
      <c r="E1228" s="2"/>
      <c r="F1228" s="2"/>
      <c r="G1228" s="2"/>
      <c r="H1228" s="2"/>
      <c r="I1228" s="2"/>
      <c r="J1228" s="2"/>
      <c r="K1228" s="2"/>
      <c r="L1228" s="2"/>
      <c r="M1228" s="2"/>
      <c r="N1228" s="2"/>
      <c r="O1228" s="2"/>
      <c r="P1228" s="2"/>
      <c r="Q1228" s="2"/>
      <c r="R1228" s="2"/>
      <c r="S1228" s="2"/>
      <c r="T1228" s="2"/>
      <c r="U1228" s="2"/>
      <c r="V1228" s="2"/>
      <c r="W1228" s="2"/>
      <c r="X1228" s="2"/>
      <c r="Y1228" s="2"/>
      <c r="Z1228" s="2"/>
    </row>
    <row r="1229" ht="30.0" customHeight="1">
      <c r="A1229" s="2"/>
      <c r="B1229" s="2"/>
      <c r="C1229" s="2"/>
      <c r="D1229" s="2"/>
      <c r="E1229" s="2"/>
      <c r="F1229" s="2"/>
      <c r="G1229" s="2"/>
      <c r="H1229" s="2"/>
      <c r="I1229" s="2"/>
      <c r="J1229" s="2"/>
      <c r="K1229" s="2"/>
      <c r="L1229" s="2"/>
      <c r="M1229" s="2"/>
      <c r="N1229" s="2"/>
      <c r="O1229" s="2"/>
      <c r="P1229" s="2"/>
      <c r="Q1229" s="2"/>
      <c r="R1229" s="2"/>
      <c r="S1229" s="2"/>
      <c r="T1229" s="2"/>
      <c r="U1229" s="2"/>
      <c r="V1229" s="2"/>
      <c r="W1229" s="2"/>
      <c r="X1229" s="2"/>
      <c r="Y1229" s="2"/>
      <c r="Z1229" s="2"/>
    </row>
    <row r="1230" ht="30.0" customHeight="1">
      <c r="A1230" s="2"/>
      <c r="B1230" s="2"/>
      <c r="C1230" s="2"/>
      <c r="D1230" s="2"/>
      <c r="E1230" s="2"/>
      <c r="F1230" s="2"/>
      <c r="G1230" s="2"/>
      <c r="H1230" s="2"/>
      <c r="I1230" s="2"/>
      <c r="J1230" s="2"/>
      <c r="K1230" s="2"/>
      <c r="L1230" s="2"/>
      <c r="M1230" s="2"/>
      <c r="N1230" s="2"/>
      <c r="O1230" s="2"/>
      <c r="P1230" s="2"/>
      <c r="Q1230" s="2"/>
      <c r="R1230" s="2"/>
      <c r="S1230" s="2"/>
      <c r="T1230" s="2"/>
      <c r="U1230" s="2"/>
      <c r="V1230" s="2"/>
      <c r="W1230" s="2"/>
      <c r="X1230" s="2"/>
      <c r="Y1230" s="2"/>
      <c r="Z1230" s="2"/>
    </row>
    <row r="1231" ht="30.0" customHeight="1">
      <c r="A1231" s="2"/>
      <c r="B1231" s="2"/>
      <c r="C1231" s="2"/>
      <c r="D1231" s="2"/>
      <c r="E1231" s="2"/>
      <c r="F1231" s="2"/>
      <c r="G1231" s="2"/>
      <c r="H1231" s="2"/>
      <c r="I1231" s="2"/>
      <c r="J1231" s="2"/>
      <c r="K1231" s="2"/>
      <c r="L1231" s="2"/>
      <c r="M1231" s="2"/>
      <c r="N1231" s="2"/>
      <c r="O1231" s="2"/>
      <c r="P1231" s="2"/>
      <c r="Q1231" s="2"/>
      <c r="R1231" s="2"/>
      <c r="S1231" s="2"/>
      <c r="T1231" s="2"/>
      <c r="U1231" s="2"/>
      <c r="V1231" s="2"/>
      <c r="W1231" s="2"/>
      <c r="X1231" s="2"/>
      <c r="Y1231" s="2"/>
      <c r="Z1231" s="2"/>
    </row>
    <row r="1232" ht="30.0" customHeight="1">
      <c r="A1232" s="2"/>
      <c r="B1232" s="2"/>
      <c r="C1232" s="2"/>
      <c r="D1232" s="2"/>
      <c r="E1232" s="2"/>
      <c r="F1232" s="2"/>
      <c r="G1232" s="2"/>
      <c r="H1232" s="2"/>
      <c r="I1232" s="2"/>
      <c r="J1232" s="2"/>
      <c r="K1232" s="2"/>
      <c r="L1232" s="2"/>
      <c r="M1232" s="2"/>
      <c r="N1232" s="2"/>
      <c r="O1232" s="2"/>
      <c r="P1232" s="2"/>
      <c r="Q1232" s="2"/>
      <c r="R1232" s="2"/>
      <c r="S1232" s="2"/>
      <c r="T1232" s="2"/>
      <c r="U1232" s="2"/>
      <c r="V1232" s="2"/>
      <c r="W1232" s="2"/>
      <c r="X1232" s="2"/>
      <c r="Y1232" s="2"/>
      <c r="Z1232" s="2"/>
    </row>
    <row r="1233" ht="30.0" customHeight="1">
      <c r="A1233" s="2"/>
      <c r="B1233" s="2"/>
      <c r="C1233" s="2"/>
      <c r="D1233" s="2"/>
      <c r="E1233" s="2"/>
      <c r="F1233" s="2"/>
      <c r="G1233" s="2"/>
      <c r="H1233" s="2"/>
      <c r="I1233" s="2"/>
      <c r="J1233" s="2"/>
      <c r="K1233" s="2"/>
      <c r="L1233" s="2"/>
      <c r="M1233" s="2"/>
      <c r="N1233" s="2"/>
      <c r="O1233" s="2"/>
      <c r="P1233" s="2"/>
      <c r="Q1233" s="2"/>
      <c r="R1233" s="2"/>
      <c r="S1233" s="2"/>
      <c r="T1233" s="2"/>
      <c r="U1233" s="2"/>
      <c r="V1233" s="2"/>
      <c r="W1233" s="2"/>
      <c r="X1233" s="2"/>
      <c r="Y1233" s="2"/>
      <c r="Z1233" s="2"/>
    </row>
    <row r="1234" ht="30.0" customHeight="1">
      <c r="A1234" s="2"/>
      <c r="B1234" s="2"/>
      <c r="C1234" s="2"/>
      <c r="D1234" s="2"/>
      <c r="E1234" s="2"/>
      <c r="F1234" s="2"/>
      <c r="G1234" s="2"/>
      <c r="H1234" s="2"/>
      <c r="I1234" s="2"/>
      <c r="J1234" s="2"/>
      <c r="K1234" s="2"/>
      <c r="L1234" s="2"/>
      <c r="M1234" s="2"/>
      <c r="N1234" s="2"/>
      <c r="O1234" s="2"/>
      <c r="P1234" s="2"/>
      <c r="Q1234" s="2"/>
      <c r="R1234" s="2"/>
      <c r="S1234" s="2"/>
      <c r="T1234" s="2"/>
      <c r="U1234" s="2"/>
      <c r="V1234" s="2"/>
      <c r="W1234" s="2"/>
      <c r="X1234" s="2"/>
      <c r="Y1234" s="2"/>
      <c r="Z1234" s="2"/>
    </row>
    <row r="1235" ht="30.0" customHeight="1">
      <c r="A1235" s="2"/>
      <c r="B1235" s="2"/>
      <c r="C1235" s="2"/>
      <c r="D1235" s="2"/>
      <c r="E1235" s="2"/>
      <c r="F1235" s="2"/>
      <c r="G1235" s="2"/>
      <c r="H1235" s="2"/>
      <c r="I1235" s="2"/>
      <c r="J1235" s="2"/>
      <c r="K1235" s="2"/>
      <c r="L1235" s="2"/>
      <c r="M1235" s="2"/>
      <c r="N1235" s="2"/>
      <c r="O1235" s="2"/>
      <c r="P1235" s="2"/>
      <c r="Q1235" s="2"/>
      <c r="R1235" s="2"/>
      <c r="S1235" s="2"/>
      <c r="T1235" s="2"/>
      <c r="U1235" s="2"/>
      <c r="V1235" s="2"/>
      <c r="W1235" s="2"/>
      <c r="X1235" s="2"/>
      <c r="Y1235" s="2"/>
      <c r="Z1235" s="2"/>
    </row>
    <row r="1236" ht="30.0" customHeight="1">
      <c r="A1236" s="2"/>
      <c r="B1236" s="2"/>
      <c r="C1236" s="2"/>
      <c r="D1236" s="2"/>
      <c r="E1236" s="2"/>
      <c r="F1236" s="2"/>
      <c r="G1236" s="2"/>
      <c r="H1236" s="2"/>
      <c r="I1236" s="2"/>
      <c r="J1236" s="2"/>
      <c r="K1236" s="2"/>
      <c r="L1236" s="2"/>
      <c r="M1236" s="2"/>
      <c r="N1236" s="2"/>
      <c r="O1236" s="2"/>
      <c r="P1236" s="2"/>
      <c r="Q1236" s="2"/>
      <c r="R1236" s="2"/>
      <c r="S1236" s="2"/>
      <c r="T1236" s="2"/>
      <c r="U1236" s="2"/>
      <c r="V1236" s="2"/>
      <c r="W1236" s="2"/>
      <c r="X1236" s="2"/>
      <c r="Y1236" s="2"/>
      <c r="Z1236" s="2"/>
    </row>
    <row r="1237" ht="30.0" customHeight="1">
      <c r="A1237" s="2"/>
      <c r="B1237" s="2"/>
      <c r="C1237" s="2"/>
      <c r="D1237" s="2"/>
      <c r="E1237" s="2"/>
      <c r="F1237" s="2"/>
      <c r="G1237" s="2"/>
      <c r="H1237" s="2"/>
      <c r="I1237" s="2"/>
      <c r="J1237" s="2"/>
      <c r="K1237" s="2"/>
      <c r="L1237" s="2"/>
      <c r="M1237" s="2"/>
      <c r="N1237" s="2"/>
      <c r="O1237" s="2"/>
      <c r="P1237" s="2"/>
      <c r="Q1237" s="2"/>
      <c r="R1237" s="2"/>
      <c r="S1237" s="2"/>
      <c r="T1237" s="2"/>
      <c r="U1237" s="2"/>
      <c r="V1237" s="2"/>
      <c r="W1237" s="2"/>
      <c r="X1237" s="2"/>
      <c r="Y1237" s="2"/>
      <c r="Z1237" s="2"/>
    </row>
    <row r="1238" ht="30.0" customHeight="1">
      <c r="A1238" s="2"/>
      <c r="B1238" s="2"/>
      <c r="C1238" s="2"/>
      <c r="D1238" s="2"/>
      <c r="E1238" s="2"/>
      <c r="F1238" s="2"/>
      <c r="G1238" s="2"/>
      <c r="H1238" s="2"/>
      <c r="I1238" s="2"/>
      <c r="J1238" s="2"/>
      <c r="K1238" s="2"/>
      <c r="L1238" s="2"/>
      <c r="M1238" s="2"/>
      <c r="N1238" s="2"/>
      <c r="O1238" s="2"/>
      <c r="P1238" s="2"/>
      <c r="Q1238" s="2"/>
      <c r="R1238" s="2"/>
      <c r="S1238" s="2"/>
      <c r="T1238" s="2"/>
      <c r="U1238" s="2"/>
      <c r="V1238" s="2"/>
      <c r="W1238" s="2"/>
      <c r="X1238" s="2"/>
      <c r="Y1238" s="2"/>
      <c r="Z1238" s="2"/>
    </row>
    <row r="1239" ht="30.0" customHeight="1">
      <c r="A1239" s="2"/>
      <c r="B1239" s="2"/>
      <c r="C1239" s="2"/>
      <c r="D1239" s="2"/>
      <c r="E1239" s="2"/>
      <c r="F1239" s="2"/>
      <c r="G1239" s="2"/>
      <c r="H1239" s="2"/>
      <c r="I1239" s="2"/>
      <c r="J1239" s="2"/>
      <c r="K1239" s="2"/>
      <c r="L1239" s="2"/>
      <c r="M1239" s="2"/>
      <c r="N1239" s="2"/>
      <c r="O1239" s="2"/>
      <c r="P1239" s="2"/>
      <c r="Q1239" s="2"/>
      <c r="R1239" s="2"/>
      <c r="S1239" s="2"/>
      <c r="T1239" s="2"/>
      <c r="U1239" s="2"/>
      <c r="V1239" s="2"/>
      <c r="W1239" s="2"/>
      <c r="X1239" s="2"/>
      <c r="Y1239" s="2"/>
      <c r="Z1239" s="2"/>
    </row>
    <row r="1240" ht="30.0" customHeight="1">
      <c r="A1240" s="2"/>
      <c r="B1240" s="2"/>
      <c r="C1240" s="2"/>
      <c r="D1240" s="2"/>
      <c r="E1240" s="2"/>
      <c r="F1240" s="2"/>
      <c r="G1240" s="2"/>
      <c r="H1240" s="2"/>
      <c r="I1240" s="2"/>
      <c r="J1240" s="2"/>
      <c r="K1240" s="2"/>
      <c r="L1240" s="2"/>
      <c r="M1240" s="2"/>
      <c r="N1240" s="2"/>
      <c r="O1240" s="2"/>
      <c r="P1240" s="2"/>
      <c r="Q1240" s="2"/>
      <c r="R1240" s="2"/>
      <c r="S1240" s="2"/>
      <c r="T1240" s="2"/>
      <c r="U1240" s="2"/>
      <c r="V1240" s="2"/>
      <c r="W1240" s="2"/>
      <c r="X1240" s="2"/>
      <c r="Y1240" s="2"/>
      <c r="Z1240" s="2"/>
    </row>
    <row r="1241" ht="30.0" customHeight="1">
      <c r="A1241" s="2"/>
      <c r="B1241" s="2"/>
      <c r="C1241" s="2"/>
      <c r="D1241" s="2"/>
      <c r="E1241" s="2"/>
      <c r="F1241" s="2"/>
      <c r="G1241" s="2"/>
      <c r="H1241" s="2"/>
      <c r="I1241" s="2"/>
      <c r="J1241" s="2"/>
      <c r="K1241" s="2"/>
      <c r="L1241" s="2"/>
      <c r="M1241" s="2"/>
      <c r="N1241" s="2"/>
      <c r="O1241" s="2"/>
      <c r="P1241" s="2"/>
      <c r="Q1241" s="2"/>
      <c r="R1241" s="2"/>
      <c r="S1241" s="2"/>
      <c r="T1241" s="2"/>
      <c r="U1241" s="2"/>
      <c r="V1241" s="2"/>
      <c r="W1241" s="2"/>
      <c r="X1241" s="2"/>
      <c r="Y1241" s="2"/>
      <c r="Z1241" s="2"/>
    </row>
    <row r="1242" ht="30.0" customHeight="1">
      <c r="A1242" s="2"/>
      <c r="B1242" s="2"/>
      <c r="C1242" s="2"/>
      <c r="D1242" s="2"/>
      <c r="E1242" s="2"/>
      <c r="F1242" s="2"/>
      <c r="G1242" s="2"/>
      <c r="H1242" s="2"/>
      <c r="I1242" s="2"/>
      <c r="J1242" s="2"/>
      <c r="K1242" s="2"/>
      <c r="L1242" s="2"/>
      <c r="M1242" s="2"/>
      <c r="N1242" s="2"/>
      <c r="O1242" s="2"/>
      <c r="P1242" s="2"/>
      <c r="Q1242" s="2"/>
      <c r="R1242" s="2"/>
      <c r="S1242" s="2"/>
      <c r="T1242" s="2"/>
      <c r="U1242" s="2"/>
      <c r="V1242" s="2"/>
      <c r="W1242" s="2"/>
      <c r="X1242" s="2"/>
      <c r="Y1242" s="2"/>
      <c r="Z1242" s="2"/>
    </row>
    <row r="1243" ht="30.0" customHeight="1">
      <c r="A1243" s="2"/>
      <c r="B1243" s="2"/>
      <c r="C1243" s="2"/>
      <c r="D1243" s="2"/>
      <c r="E1243" s="2"/>
      <c r="F1243" s="2"/>
      <c r="G1243" s="2"/>
      <c r="H1243" s="2"/>
      <c r="I1243" s="2"/>
      <c r="J1243" s="2"/>
      <c r="K1243" s="2"/>
      <c r="L1243" s="2"/>
      <c r="M1243" s="2"/>
      <c r="N1243" s="2"/>
      <c r="O1243" s="2"/>
      <c r="P1243" s="2"/>
      <c r="Q1243" s="2"/>
      <c r="R1243" s="2"/>
      <c r="S1243" s="2"/>
      <c r="T1243" s="2"/>
      <c r="U1243" s="2"/>
      <c r="V1243" s="2"/>
      <c r="W1243" s="2"/>
      <c r="X1243" s="2"/>
      <c r="Y1243" s="2"/>
      <c r="Z1243" s="2"/>
    </row>
    <row r="1244" ht="30.0" customHeight="1">
      <c r="A1244" s="2"/>
      <c r="B1244" s="2"/>
      <c r="C1244" s="2"/>
      <c r="D1244" s="2"/>
      <c r="E1244" s="2"/>
      <c r="F1244" s="2"/>
      <c r="G1244" s="2"/>
      <c r="H1244" s="2"/>
      <c r="I1244" s="2"/>
      <c r="J1244" s="2"/>
      <c r="K1244" s="2"/>
      <c r="L1244" s="2"/>
      <c r="M1244" s="2"/>
      <c r="N1244" s="2"/>
      <c r="O1244" s="2"/>
      <c r="P1244" s="2"/>
      <c r="Q1244" s="2"/>
      <c r="R1244" s="2"/>
      <c r="S1244" s="2"/>
      <c r="T1244" s="2"/>
      <c r="U1244" s="2"/>
      <c r="V1244" s="2"/>
      <c r="W1244" s="2"/>
      <c r="X1244" s="2"/>
      <c r="Y1244" s="2"/>
      <c r="Z1244" s="2"/>
    </row>
    <row r="1245" ht="30.0" customHeight="1">
      <c r="A1245" s="2"/>
      <c r="B1245" s="2"/>
      <c r="C1245" s="2"/>
      <c r="D1245" s="2"/>
      <c r="E1245" s="2"/>
      <c r="F1245" s="2"/>
      <c r="G1245" s="2"/>
      <c r="H1245" s="2"/>
      <c r="I1245" s="2"/>
      <c r="J1245" s="2"/>
      <c r="K1245" s="2"/>
      <c r="L1245" s="2"/>
      <c r="M1245" s="2"/>
      <c r="N1245" s="2"/>
      <c r="O1245" s="2"/>
      <c r="P1245" s="2"/>
      <c r="Q1245" s="2"/>
      <c r="R1245" s="2"/>
      <c r="S1245" s="2"/>
      <c r="T1245" s="2"/>
      <c r="U1245" s="2"/>
      <c r="V1245" s="2"/>
      <c r="W1245" s="2"/>
      <c r="X1245" s="2"/>
      <c r="Y1245" s="2"/>
      <c r="Z1245" s="2"/>
    </row>
    <row r="1246" ht="30.0" customHeight="1">
      <c r="A1246" s="2"/>
      <c r="B1246" s="2"/>
      <c r="C1246" s="2"/>
      <c r="D1246" s="2"/>
      <c r="E1246" s="2"/>
      <c r="F1246" s="2"/>
      <c r="G1246" s="2"/>
      <c r="H1246" s="2"/>
      <c r="I1246" s="2"/>
      <c r="J1246" s="2"/>
      <c r="K1246" s="2"/>
      <c r="L1246" s="2"/>
      <c r="M1246" s="2"/>
      <c r="N1246" s="2"/>
      <c r="O1246" s="2"/>
      <c r="P1246" s="2"/>
      <c r="Q1246" s="2"/>
      <c r="R1246" s="2"/>
      <c r="S1246" s="2"/>
      <c r="T1246" s="2"/>
      <c r="U1246" s="2"/>
      <c r="V1246" s="2"/>
      <c r="W1246" s="2"/>
      <c r="X1246" s="2"/>
      <c r="Y1246" s="2"/>
      <c r="Z1246" s="2"/>
    </row>
    <row r="1247" ht="30.0" customHeight="1">
      <c r="A1247" s="2"/>
      <c r="B1247" s="2"/>
      <c r="C1247" s="2"/>
      <c r="D1247" s="2"/>
      <c r="E1247" s="2"/>
      <c r="F1247" s="2"/>
      <c r="G1247" s="2"/>
      <c r="H1247" s="2"/>
      <c r="I1247" s="2"/>
      <c r="J1247" s="2"/>
      <c r="K1247" s="2"/>
      <c r="L1247" s="2"/>
      <c r="M1247" s="2"/>
      <c r="N1247" s="2"/>
      <c r="O1247" s="2"/>
      <c r="P1247" s="2"/>
      <c r="Q1247" s="2"/>
      <c r="R1247" s="2"/>
      <c r="S1247" s="2"/>
      <c r="T1247" s="2"/>
      <c r="U1247" s="2"/>
      <c r="V1247" s="2"/>
      <c r="W1247" s="2"/>
      <c r="X1247" s="2"/>
      <c r="Y1247" s="2"/>
      <c r="Z1247" s="2"/>
    </row>
    <row r="1248" ht="30.0" customHeight="1">
      <c r="A1248" s="2"/>
      <c r="B1248" s="2"/>
      <c r="C1248" s="2"/>
      <c r="D1248" s="2"/>
      <c r="E1248" s="2"/>
      <c r="F1248" s="2"/>
      <c r="G1248" s="2"/>
      <c r="H1248" s="2"/>
      <c r="I1248" s="2"/>
      <c r="J1248" s="2"/>
      <c r="K1248" s="2"/>
      <c r="L1248" s="2"/>
      <c r="M1248" s="2"/>
      <c r="N1248" s="2"/>
      <c r="O1248" s="2"/>
      <c r="P1248" s="2"/>
      <c r="Q1248" s="2"/>
      <c r="R1248" s="2"/>
      <c r="S1248" s="2"/>
      <c r="T1248" s="2"/>
      <c r="U1248" s="2"/>
      <c r="V1248" s="2"/>
      <c r="W1248" s="2"/>
      <c r="X1248" s="2"/>
      <c r="Y1248" s="2"/>
      <c r="Z1248" s="2"/>
    </row>
    <row r="1249" ht="30.0" customHeight="1">
      <c r="A1249" s="2"/>
      <c r="B1249" s="2"/>
      <c r="C1249" s="2"/>
      <c r="D1249" s="2"/>
      <c r="E1249" s="2"/>
      <c r="F1249" s="2"/>
      <c r="G1249" s="2"/>
      <c r="H1249" s="2"/>
      <c r="I1249" s="2"/>
      <c r="J1249" s="2"/>
      <c r="K1249" s="2"/>
      <c r="L1249" s="2"/>
      <c r="M1249" s="2"/>
      <c r="N1249" s="2"/>
      <c r="O1249" s="2"/>
      <c r="P1249" s="2"/>
      <c r="Q1249" s="2"/>
      <c r="R1249" s="2"/>
      <c r="S1249" s="2"/>
      <c r="T1249" s="2"/>
      <c r="U1249" s="2"/>
      <c r="V1249" s="2"/>
      <c r="W1249" s="2"/>
      <c r="X1249" s="2"/>
      <c r="Y1249" s="2"/>
      <c r="Z1249" s="2"/>
    </row>
    <row r="1250" ht="30.0" customHeight="1">
      <c r="A1250" s="2"/>
      <c r="B1250" s="2"/>
      <c r="C1250" s="2"/>
      <c r="D1250" s="2"/>
      <c r="E1250" s="2"/>
      <c r="F1250" s="2"/>
      <c r="G1250" s="2"/>
      <c r="H1250" s="2"/>
      <c r="I1250" s="2"/>
      <c r="J1250" s="2"/>
      <c r="K1250" s="2"/>
      <c r="L1250" s="2"/>
      <c r="M1250" s="2"/>
      <c r="N1250" s="2"/>
      <c r="O1250" s="2"/>
      <c r="P1250" s="2"/>
      <c r="Q1250" s="2"/>
      <c r="R1250" s="2"/>
      <c r="S1250" s="2"/>
      <c r="T1250" s="2"/>
      <c r="U1250" s="2"/>
      <c r="V1250" s="2"/>
      <c r="W1250" s="2"/>
      <c r="X1250" s="2"/>
      <c r="Y1250" s="2"/>
      <c r="Z1250" s="2"/>
    </row>
    <row r="1251" ht="30.0" customHeight="1">
      <c r="A1251" s="2"/>
      <c r="B1251" s="2"/>
      <c r="C1251" s="2"/>
      <c r="D1251" s="2"/>
      <c r="E1251" s="2"/>
      <c r="F1251" s="2"/>
      <c r="G1251" s="2"/>
      <c r="H1251" s="2"/>
      <c r="I1251" s="2"/>
      <c r="J1251" s="2"/>
      <c r="K1251" s="2"/>
      <c r="L1251" s="2"/>
      <c r="M1251" s="2"/>
      <c r="N1251" s="2"/>
      <c r="O1251" s="2"/>
      <c r="P1251" s="2"/>
      <c r="Q1251" s="2"/>
      <c r="R1251" s="2"/>
      <c r="S1251" s="2"/>
      <c r="T1251" s="2"/>
      <c r="U1251" s="2"/>
      <c r="V1251" s="2"/>
      <c r="W1251" s="2"/>
      <c r="X1251" s="2"/>
      <c r="Y1251" s="2"/>
      <c r="Z1251" s="2"/>
    </row>
    <row r="1252" ht="30.0" customHeight="1">
      <c r="A1252" s="2"/>
      <c r="B1252" s="2"/>
      <c r="C1252" s="2"/>
      <c r="D1252" s="2"/>
      <c r="E1252" s="2"/>
      <c r="F1252" s="2"/>
      <c r="G1252" s="2"/>
      <c r="H1252" s="2"/>
      <c r="I1252" s="2"/>
      <c r="J1252" s="2"/>
      <c r="K1252" s="2"/>
      <c r="L1252" s="2"/>
      <c r="M1252" s="2"/>
      <c r="N1252" s="2"/>
      <c r="O1252" s="2"/>
      <c r="P1252" s="2"/>
      <c r="Q1252" s="2"/>
      <c r="R1252" s="2"/>
      <c r="S1252" s="2"/>
      <c r="T1252" s="2"/>
      <c r="U1252" s="2"/>
      <c r="V1252" s="2"/>
      <c r="W1252" s="2"/>
      <c r="X1252" s="2"/>
      <c r="Y1252" s="2"/>
      <c r="Z1252" s="2"/>
    </row>
    <row r="1253" ht="30.0" customHeight="1">
      <c r="A1253" s="2"/>
      <c r="B1253" s="2"/>
      <c r="C1253" s="2"/>
      <c r="D1253" s="2"/>
      <c r="E1253" s="2"/>
      <c r="F1253" s="2"/>
      <c r="G1253" s="2"/>
      <c r="H1253" s="2"/>
      <c r="I1253" s="2"/>
      <c r="J1253" s="2"/>
      <c r="K1253" s="2"/>
      <c r="L1253" s="2"/>
      <c r="M1253" s="2"/>
      <c r="N1253" s="2"/>
      <c r="O1253" s="2"/>
      <c r="P1253" s="2"/>
      <c r="Q1253" s="2"/>
      <c r="R1253" s="2"/>
      <c r="S1253" s="2"/>
      <c r="T1253" s="2"/>
      <c r="U1253" s="2"/>
      <c r="V1253" s="2"/>
      <c r="W1253" s="2"/>
      <c r="X1253" s="2"/>
      <c r="Y1253" s="2"/>
      <c r="Z1253" s="2"/>
    </row>
    <row r="1254" ht="30.0" customHeight="1">
      <c r="A1254" s="2"/>
      <c r="B1254" s="2"/>
      <c r="C1254" s="2"/>
      <c r="D1254" s="2"/>
      <c r="E1254" s="2"/>
      <c r="F1254" s="2"/>
      <c r="G1254" s="2"/>
      <c r="H1254" s="2"/>
      <c r="I1254" s="2"/>
      <c r="J1254" s="2"/>
      <c r="K1254" s="2"/>
      <c r="L1254" s="2"/>
      <c r="M1254" s="2"/>
      <c r="N1254" s="2"/>
      <c r="O1254" s="2"/>
      <c r="P1254" s="2"/>
      <c r="Q1254" s="2"/>
      <c r="R1254" s="2"/>
      <c r="S1254" s="2"/>
      <c r="T1254" s="2"/>
      <c r="U1254" s="2"/>
      <c r="V1254" s="2"/>
      <c r="W1254" s="2"/>
      <c r="X1254" s="2"/>
      <c r="Y1254" s="2"/>
      <c r="Z1254" s="2"/>
    </row>
    <row r="1255" ht="30.0" customHeight="1">
      <c r="A1255" s="2"/>
      <c r="B1255" s="2"/>
      <c r="C1255" s="2"/>
      <c r="D1255" s="2"/>
      <c r="E1255" s="2"/>
      <c r="F1255" s="2"/>
      <c r="G1255" s="2"/>
      <c r="H1255" s="2"/>
      <c r="I1255" s="2"/>
      <c r="J1255" s="2"/>
      <c r="K1255" s="2"/>
      <c r="L1255" s="2"/>
      <c r="M1255" s="2"/>
      <c r="N1255" s="2"/>
      <c r="O1255" s="2"/>
      <c r="P1255" s="2"/>
      <c r="Q1255" s="2"/>
      <c r="R1255" s="2"/>
      <c r="S1255" s="2"/>
      <c r="T1255" s="2"/>
      <c r="U1255" s="2"/>
      <c r="V1255" s="2"/>
      <c r="W1255" s="2"/>
      <c r="X1255" s="2"/>
      <c r="Y1255" s="2"/>
      <c r="Z1255" s="2"/>
    </row>
    <row r="1256" ht="30.0" customHeight="1">
      <c r="A1256" s="2"/>
      <c r="B1256" s="2"/>
      <c r="C1256" s="2"/>
      <c r="D1256" s="2"/>
      <c r="E1256" s="2"/>
      <c r="F1256" s="2"/>
      <c r="G1256" s="2"/>
      <c r="H1256" s="2"/>
      <c r="I1256" s="2"/>
      <c r="J1256" s="2"/>
      <c r="K1256" s="2"/>
      <c r="L1256" s="2"/>
      <c r="M1256" s="2"/>
      <c r="N1256" s="2"/>
      <c r="O1256" s="2"/>
      <c r="P1256" s="2"/>
      <c r="Q1256" s="2"/>
      <c r="R1256" s="2"/>
      <c r="S1256" s="2"/>
      <c r="T1256" s="2"/>
      <c r="U1256" s="2"/>
      <c r="V1256" s="2"/>
      <c r="W1256" s="2"/>
      <c r="X1256" s="2"/>
      <c r="Y1256" s="2"/>
      <c r="Z1256" s="2"/>
    </row>
    <row r="1257" ht="30.0" customHeight="1">
      <c r="A1257" s="2"/>
      <c r="B1257" s="2"/>
      <c r="C1257" s="2"/>
      <c r="D1257" s="2"/>
      <c r="E1257" s="2"/>
      <c r="F1257" s="2"/>
      <c r="G1257" s="2"/>
      <c r="H1257" s="2"/>
      <c r="I1257" s="2"/>
      <c r="J1257" s="2"/>
      <c r="K1257" s="2"/>
      <c r="L1257" s="2"/>
      <c r="M1257" s="2"/>
      <c r="N1257" s="2"/>
      <c r="O1257" s="2"/>
      <c r="P1257" s="2"/>
      <c r="Q1257" s="2"/>
      <c r="R1257" s="2"/>
      <c r="S1257" s="2"/>
      <c r="T1257" s="2"/>
      <c r="U1257" s="2"/>
      <c r="V1257" s="2"/>
      <c r="W1257" s="2"/>
      <c r="X1257" s="2"/>
      <c r="Y1257" s="2"/>
      <c r="Z1257" s="2"/>
    </row>
    <row r="1258" ht="30.0" customHeight="1">
      <c r="A1258" s="2"/>
      <c r="B1258" s="2"/>
      <c r="C1258" s="2"/>
      <c r="D1258" s="2"/>
      <c r="E1258" s="2"/>
      <c r="F1258" s="2"/>
      <c r="G1258" s="2"/>
      <c r="H1258" s="2"/>
      <c r="I1258" s="2"/>
      <c r="J1258" s="2"/>
      <c r="K1258" s="2"/>
      <c r="L1258" s="2"/>
      <c r="M1258" s="2"/>
      <c r="N1258" s="2"/>
      <c r="O1258" s="2"/>
      <c r="P1258" s="2"/>
      <c r="Q1258" s="2"/>
      <c r="R1258" s="2"/>
      <c r="S1258" s="2"/>
      <c r="T1258" s="2"/>
      <c r="U1258" s="2"/>
      <c r="V1258" s="2"/>
      <c r="W1258" s="2"/>
      <c r="X1258" s="2"/>
      <c r="Y1258" s="2"/>
      <c r="Z1258" s="2"/>
    </row>
    <row r="1259" ht="30.0" customHeight="1">
      <c r="A1259" s="2"/>
      <c r="B1259" s="2"/>
      <c r="C1259" s="2"/>
      <c r="D1259" s="2"/>
      <c r="E1259" s="2"/>
      <c r="F1259" s="2"/>
      <c r="G1259" s="2"/>
      <c r="H1259" s="2"/>
      <c r="I1259" s="2"/>
      <c r="J1259" s="2"/>
      <c r="K1259" s="2"/>
      <c r="L1259" s="2"/>
      <c r="M1259" s="2"/>
      <c r="N1259" s="2"/>
      <c r="O1259" s="2"/>
      <c r="P1259" s="2"/>
      <c r="Q1259" s="2"/>
      <c r="R1259" s="2"/>
      <c r="S1259" s="2"/>
      <c r="T1259" s="2"/>
      <c r="U1259" s="2"/>
      <c r="V1259" s="2"/>
      <c r="W1259" s="2"/>
      <c r="X1259" s="2"/>
      <c r="Y1259" s="2"/>
      <c r="Z1259" s="2"/>
    </row>
    <row r="1260" ht="30.0" customHeight="1">
      <c r="A1260" s="2"/>
      <c r="B1260" s="2"/>
      <c r="C1260" s="2"/>
      <c r="D1260" s="2"/>
      <c r="E1260" s="2"/>
      <c r="F1260" s="2"/>
      <c r="G1260" s="2"/>
      <c r="H1260" s="2"/>
      <c r="I1260" s="2"/>
      <c r="J1260" s="2"/>
      <c r="K1260" s="2"/>
      <c r="L1260" s="2"/>
      <c r="M1260" s="2"/>
      <c r="N1260" s="2"/>
      <c r="O1260" s="2"/>
      <c r="P1260" s="2"/>
      <c r="Q1260" s="2"/>
      <c r="R1260" s="2"/>
      <c r="S1260" s="2"/>
      <c r="T1260" s="2"/>
      <c r="U1260" s="2"/>
      <c r="V1260" s="2"/>
      <c r="W1260" s="2"/>
      <c r="X1260" s="2"/>
      <c r="Y1260" s="2"/>
      <c r="Z1260" s="2"/>
    </row>
    <row r="1261" ht="30.0" customHeight="1">
      <c r="A1261" s="2"/>
      <c r="B1261" s="2"/>
      <c r="C1261" s="2"/>
      <c r="D1261" s="2"/>
      <c r="E1261" s="2"/>
      <c r="F1261" s="2"/>
      <c r="G1261" s="2"/>
      <c r="H1261" s="2"/>
      <c r="I1261" s="2"/>
      <c r="J1261" s="2"/>
      <c r="K1261" s="2"/>
      <c r="L1261" s="2"/>
      <c r="M1261" s="2"/>
      <c r="N1261" s="2"/>
      <c r="O1261" s="2"/>
      <c r="P1261" s="2"/>
      <c r="Q1261" s="2"/>
      <c r="R1261" s="2"/>
      <c r="S1261" s="2"/>
      <c r="T1261" s="2"/>
      <c r="U1261" s="2"/>
      <c r="V1261" s="2"/>
      <c r="W1261" s="2"/>
      <c r="X1261" s="2"/>
      <c r="Y1261" s="2"/>
      <c r="Z1261" s="2"/>
    </row>
    <row r="1262" ht="30.0" customHeight="1">
      <c r="A1262" s="2"/>
      <c r="B1262" s="2"/>
      <c r="C1262" s="2"/>
      <c r="D1262" s="2"/>
      <c r="E1262" s="2"/>
      <c r="F1262" s="2"/>
      <c r="G1262" s="2"/>
      <c r="H1262" s="2"/>
      <c r="I1262" s="2"/>
      <c r="J1262" s="2"/>
      <c r="K1262" s="2"/>
      <c r="L1262" s="2"/>
      <c r="M1262" s="2"/>
      <c r="N1262" s="2"/>
      <c r="O1262" s="2"/>
      <c r="P1262" s="2"/>
      <c r="Q1262" s="2"/>
      <c r="R1262" s="2"/>
      <c r="S1262" s="2"/>
      <c r="T1262" s="2"/>
      <c r="U1262" s="2"/>
      <c r="V1262" s="2"/>
      <c r="W1262" s="2"/>
      <c r="X1262" s="2"/>
      <c r="Y1262" s="2"/>
      <c r="Z1262" s="2"/>
    </row>
    <row r="1263" ht="30.0" customHeight="1">
      <c r="A1263" s="2"/>
      <c r="B1263" s="2"/>
      <c r="C1263" s="2"/>
      <c r="D1263" s="2"/>
      <c r="E1263" s="2"/>
      <c r="F1263" s="2"/>
      <c r="G1263" s="2"/>
      <c r="H1263" s="2"/>
      <c r="I1263" s="2"/>
      <c r="J1263" s="2"/>
      <c r="K1263" s="2"/>
      <c r="L1263" s="2"/>
      <c r="M1263" s="2"/>
      <c r="N1263" s="2"/>
      <c r="O1263" s="2"/>
      <c r="P1263" s="2"/>
      <c r="Q1263" s="2"/>
      <c r="R1263" s="2"/>
      <c r="S1263" s="2"/>
      <c r="T1263" s="2"/>
      <c r="U1263" s="2"/>
      <c r="V1263" s="2"/>
      <c r="W1263" s="2"/>
      <c r="X1263" s="2"/>
      <c r="Y1263" s="2"/>
      <c r="Z1263" s="2"/>
    </row>
    <row r="1264" ht="30.0" customHeight="1">
      <c r="A1264" s="2"/>
      <c r="B1264" s="2"/>
      <c r="C1264" s="2"/>
      <c r="D1264" s="2"/>
      <c r="E1264" s="2"/>
      <c r="F1264" s="2"/>
      <c r="G1264" s="2"/>
      <c r="H1264" s="2"/>
      <c r="I1264" s="2"/>
      <c r="J1264" s="2"/>
      <c r="K1264" s="2"/>
      <c r="L1264" s="2"/>
      <c r="M1264" s="2"/>
      <c r="N1264" s="2"/>
      <c r="O1264" s="2"/>
      <c r="P1264" s="2"/>
      <c r="Q1264" s="2"/>
      <c r="R1264" s="2"/>
      <c r="S1264" s="2"/>
      <c r="T1264" s="2"/>
      <c r="U1264" s="2"/>
      <c r="V1264" s="2"/>
      <c r="W1264" s="2"/>
      <c r="X1264" s="2"/>
      <c r="Y1264" s="2"/>
      <c r="Z1264" s="2"/>
    </row>
    <row r="1265" ht="30.0" customHeight="1">
      <c r="A1265" s="2"/>
      <c r="B1265" s="2"/>
      <c r="C1265" s="2"/>
      <c r="D1265" s="2"/>
      <c r="E1265" s="2"/>
      <c r="F1265" s="2"/>
      <c r="G1265" s="2"/>
      <c r="H1265" s="2"/>
      <c r="I1265" s="2"/>
      <c r="J1265" s="2"/>
      <c r="K1265" s="2"/>
      <c r="L1265" s="2"/>
      <c r="M1265" s="2"/>
      <c r="N1265" s="2"/>
      <c r="O1265" s="2"/>
      <c r="P1265" s="2"/>
      <c r="Q1265" s="2"/>
      <c r="R1265" s="2"/>
      <c r="S1265" s="2"/>
      <c r="T1265" s="2"/>
      <c r="U1265" s="2"/>
      <c r="V1265" s="2"/>
      <c r="W1265" s="2"/>
      <c r="X1265" s="2"/>
      <c r="Y1265" s="2"/>
      <c r="Z1265" s="2"/>
    </row>
    <row r="1266" ht="30.0" customHeight="1">
      <c r="A1266" s="2"/>
      <c r="B1266" s="2"/>
      <c r="C1266" s="2"/>
      <c r="D1266" s="2"/>
      <c r="E1266" s="2"/>
      <c r="F1266" s="2"/>
      <c r="G1266" s="2"/>
      <c r="H1266" s="2"/>
      <c r="I1266" s="2"/>
      <c r="J1266" s="2"/>
      <c r="K1266" s="2"/>
      <c r="L1266" s="2"/>
      <c r="M1266" s="2"/>
      <c r="N1266" s="2"/>
      <c r="O1266" s="2"/>
      <c r="P1266" s="2"/>
      <c r="Q1266" s="2"/>
      <c r="R1266" s="2"/>
      <c r="S1266" s="2"/>
      <c r="T1266" s="2"/>
      <c r="U1266" s="2"/>
      <c r="V1266" s="2"/>
      <c r="W1266" s="2"/>
      <c r="X1266" s="2"/>
      <c r="Y1266" s="2"/>
      <c r="Z1266" s="2"/>
    </row>
    <row r="1267" ht="30.0" customHeight="1">
      <c r="A1267" s="2"/>
      <c r="B1267" s="2"/>
      <c r="C1267" s="2"/>
      <c r="D1267" s="2"/>
      <c r="E1267" s="2"/>
      <c r="F1267" s="2"/>
      <c r="G1267" s="2"/>
      <c r="H1267" s="2"/>
      <c r="I1267" s="2"/>
      <c r="J1267" s="2"/>
      <c r="K1267" s="2"/>
      <c r="L1267" s="2"/>
      <c r="M1267" s="2"/>
      <c r="N1267" s="2"/>
      <c r="O1267" s="2"/>
      <c r="P1267" s="2"/>
      <c r="Q1267" s="2"/>
      <c r="R1267" s="2"/>
      <c r="S1267" s="2"/>
      <c r="T1267" s="2"/>
      <c r="U1267" s="2"/>
      <c r="V1267" s="2"/>
      <c r="W1267" s="2"/>
      <c r="X1267" s="2"/>
      <c r="Y1267" s="2"/>
      <c r="Z1267" s="2"/>
    </row>
    <row r="1268" ht="30.0" customHeight="1">
      <c r="A1268" s="2"/>
      <c r="B1268" s="2"/>
      <c r="C1268" s="2"/>
      <c r="D1268" s="2"/>
      <c r="E1268" s="2"/>
      <c r="F1268" s="2"/>
      <c r="G1268" s="2"/>
      <c r="H1268" s="2"/>
      <c r="I1268" s="2"/>
      <c r="J1268" s="2"/>
      <c r="K1268" s="2"/>
      <c r="L1268" s="2"/>
      <c r="M1268" s="2"/>
      <c r="N1268" s="2"/>
      <c r="O1268" s="2"/>
      <c r="P1268" s="2"/>
      <c r="Q1268" s="2"/>
      <c r="R1268" s="2"/>
      <c r="S1268" s="2"/>
      <c r="T1268" s="2"/>
      <c r="U1268" s="2"/>
      <c r="V1268" s="2"/>
      <c r="W1268" s="2"/>
      <c r="X1268" s="2"/>
      <c r="Y1268" s="2"/>
      <c r="Z1268" s="2"/>
    </row>
    <row r="1269" ht="30.0" customHeight="1">
      <c r="A1269" s="2"/>
      <c r="B1269" s="2"/>
      <c r="C1269" s="2"/>
      <c r="D1269" s="2"/>
      <c r="E1269" s="2"/>
      <c r="F1269" s="2"/>
      <c r="G1269" s="2"/>
      <c r="H1269" s="2"/>
      <c r="I1269" s="2"/>
      <c r="J1269" s="2"/>
      <c r="K1269" s="2"/>
      <c r="L1269" s="2"/>
      <c r="M1269" s="2"/>
      <c r="N1269" s="2"/>
      <c r="O1269" s="2"/>
      <c r="P1269" s="2"/>
      <c r="Q1269" s="2"/>
      <c r="R1269" s="2"/>
      <c r="S1269" s="2"/>
      <c r="T1269" s="2"/>
      <c r="U1269" s="2"/>
      <c r="V1269" s="2"/>
      <c r="W1269" s="2"/>
      <c r="X1269" s="2"/>
      <c r="Y1269" s="2"/>
      <c r="Z1269" s="2"/>
    </row>
    <row r="1270" ht="30.0" customHeight="1">
      <c r="A1270" s="2"/>
      <c r="B1270" s="2"/>
      <c r="C1270" s="2"/>
      <c r="D1270" s="2"/>
      <c r="E1270" s="2"/>
      <c r="F1270" s="2"/>
      <c r="G1270" s="2"/>
      <c r="H1270" s="2"/>
      <c r="I1270" s="2"/>
      <c r="J1270" s="2"/>
      <c r="K1270" s="2"/>
      <c r="L1270" s="2"/>
      <c r="M1270" s="2"/>
      <c r="N1270" s="2"/>
      <c r="O1270" s="2"/>
      <c r="P1270" s="2"/>
      <c r="Q1270" s="2"/>
      <c r="R1270" s="2"/>
      <c r="S1270" s="2"/>
      <c r="T1270" s="2"/>
      <c r="U1270" s="2"/>
      <c r="V1270" s="2"/>
      <c r="W1270" s="2"/>
      <c r="X1270" s="2"/>
      <c r="Y1270" s="2"/>
      <c r="Z1270" s="2"/>
    </row>
    <row r="1271" ht="30.0" customHeight="1">
      <c r="A1271" s="2"/>
      <c r="B1271" s="2"/>
      <c r="C1271" s="2"/>
      <c r="D1271" s="2"/>
      <c r="E1271" s="2"/>
      <c r="F1271" s="2"/>
      <c r="G1271" s="2"/>
      <c r="H1271" s="2"/>
      <c r="I1271" s="2"/>
      <c r="J1271" s="2"/>
      <c r="K1271" s="2"/>
      <c r="L1271" s="2"/>
      <c r="M1271" s="2"/>
      <c r="N1271" s="2"/>
      <c r="O1271" s="2"/>
      <c r="P1271" s="2"/>
      <c r="Q1271" s="2"/>
      <c r="R1271" s="2"/>
      <c r="S1271" s="2"/>
      <c r="T1271" s="2"/>
      <c r="U1271" s="2"/>
      <c r="V1271" s="2"/>
      <c r="W1271" s="2"/>
      <c r="X1271" s="2"/>
      <c r="Y1271" s="2"/>
      <c r="Z1271" s="2"/>
    </row>
    <row r="1272" ht="30.0" customHeight="1">
      <c r="A1272" s="2"/>
      <c r="B1272" s="2"/>
      <c r="C1272" s="2"/>
      <c r="D1272" s="2"/>
      <c r="E1272" s="2"/>
      <c r="F1272" s="2"/>
      <c r="G1272" s="2"/>
      <c r="H1272" s="2"/>
      <c r="I1272" s="2"/>
      <c r="J1272" s="2"/>
      <c r="K1272" s="2"/>
      <c r="L1272" s="2"/>
      <c r="M1272" s="2"/>
      <c r="N1272" s="2"/>
      <c r="O1272" s="2"/>
      <c r="P1272" s="2"/>
      <c r="Q1272" s="2"/>
      <c r="R1272" s="2"/>
      <c r="S1272" s="2"/>
      <c r="T1272" s="2"/>
      <c r="U1272" s="2"/>
      <c r="V1272" s="2"/>
      <c r="W1272" s="2"/>
      <c r="X1272" s="2"/>
      <c r="Y1272" s="2"/>
      <c r="Z1272" s="2"/>
    </row>
    <row r="1273" ht="30.0" customHeight="1">
      <c r="A1273" s="2"/>
      <c r="B1273" s="2"/>
      <c r="C1273" s="2"/>
      <c r="D1273" s="2"/>
      <c r="E1273" s="2"/>
      <c r="F1273" s="2"/>
      <c r="G1273" s="2"/>
      <c r="H1273" s="2"/>
      <c r="I1273" s="2"/>
      <c r="J1273" s="2"/>
      <c r="K1273" s="2"/>
      <c r="L1273" s="2"/>
      <c r="M1273" s="2"/>
      <c r="N1273" s="2"/>
      <c r="O1273" s="2"/>
      <c r="P1273" s="2"/>
      <c r="Q1273" s="2"/>
      <c r="R1273" s="2"/>
      <c r="S1273" s="2"/>
      <c r="T1273" s="2"/>
      <c r="U1273" s="2"/>
      <c r="V1273" s="2"/>
      <c r="W1273" s="2"/>
      <c r="X1273" s="2"/>
      <c r="Y1273" s="2"/>
      <c r="Z1273" s="2"/>
    </row>
    <row r="1274" ht="30.0" customHeight="1">
      <c r="A1274" s="2"/>
      <c r="B1274" s="2"/>
      <c r="C1274" s="2"/>
      <c r="D1274" s="2"/>
      <c r="E1274" s="2"/>
      <c r="F1274" s="2"/>
      <c r="G1274" s="2"/>
      <c r="H1274" s="2"/>
      <c r="I1274" s="2"/>
      <c r="J1274" s="2"/>
      <c r="K1274" s="2"/>
      <c r="L1274" s="2"/>
      <c r="M1274" s="2"/>
      <c r="N1274" s="2"/>
      <c r="O1274" s="2"/>
      <c r="P1274" s="2"/>
      <c r="Q1274" s="2"/>
      <c r="R1274" s="2"/>
      <c r="S1274" s="2"/>
      <c r="T1274" s="2"/>
      <c r="U1274" s="2"/>
      <c r="V1274" s="2"/>
      <c r="W1274" s="2"/>
      <c r="X1274" s="2"/>
      <c r="Y1274" s="2"/>
      <c r="Z1274" s="2"/>
    </row>
    <row r="1275" ht="30.0" customHeight="1">
      <c r="A1275" s="2"/>
      <c r="B1275" s="2"/>
      <c r="C1275" s="2"/>
      <c r="D1275" s="2"/>
      <c r="E1275" s="2"/>
      <c r="F1275" s="2"/>
      <c r="G1275" s="2"/>
      <c r="H1275" s="2"/>
      <c r="I1275" s="2"/>
      <c r="J1275" s="2"/>
      <c r="K1275" s="2"/>
      <c r="L1275" s="2"/>
      <c r="M1275" s="2"/>
      <c r="N1275" s="2"/>
      <c r="O1275" s="2"/>
      <c r="P1275" s="2"/>
      <c r="Q1275" s="2"/>
      <c r="R1275" s="2"/>
      <c r="S1275" s="2"/>
      <c r="T1275" s="2"/>
      <c r="U1275" s="2"/>
      <c r="V1275" s="2"/>
      <c r="W1275" s="2"/>
      <c r="X1275" s="2"/>
      <c r="Y1275" s="2"/>
      <c r="Z1275" s="2"/>
    </row>
    <row r="1276" ht="30.0" customHeight="1">
      <c r="A1276" s="2"/>
      <c r="B1276" s="2"/>
      <c r="C1276" s="2"/>
      <c r="D1276" s="2"/>
      <c r="E1276" s="2"/>
      <c r="F1276" s="2"/>
      <c r="G1276" s="2"/>
      <c r="H1276" s="2"/>
      <c r="I1276" s="2"/>
      <c r="J1276" s="2"/>
      <c r="K1276" s="2"/>
      <c r="L1276" s="2"/>
      <c r="M1276" s="2"/>
      <c r="N1276" s="2"/>
      <c r="O1276" s="2"/>
      <c r="P1276" s="2"/>
      <c r="Q1276" s="2"/>
      <c r="R1276" s="2"/>
      <c r="S1276" s="2"/>
      <c r="T1276" s="2"/>
      <c r="U1276" s="2"/>
      <c r="V1276" s="2"/>
      <c r="W1276" s="2"/>
      <c r="X1276" s="2"/>
      <c r="Y1276" s="2"/>
      <c r="Z1276" s="2"/>
    </row>
    <row r="1277" ht="30.0" customHeight="1">
      <c r="A1277" s="2"/>
      <c r="B1277" s="2"/>
      <c r="C1277" s="2"/>
      <c r="D1277" s="2"/>
      <c r="E1277" s="2"/>
      <c r="F1277" s="2"/>
      <c r="G1277" s="2"/>
      <c r="H1277" s="2"/>
      <c r="I1277" s="2"/>
      <c r="J1277" s="2"/>
      <c r="K1277" s="2"/>
      <c r="L1277" s="2"/>
      <c r="M1277" s="2"/>
      <c r="N1277" s="2"/>
      <c r="O1277" s="2"/>
      <c r="P1277" s="2"/>
      <c r="Q1277" s="2"/>
      <c r="R1277" s="2"/>
      <c r="S1277" s="2"/>
      <c r="T1277" s="2"/>
      <c r="U1277" s="2"/>
      <c r="V1277" s="2"/>
      <c r="W1277" s="2"/>
      <c r="X1277" s="2"/>
      <c r="Y1277" s="2"/>
      <c r="Z1277" s="2"/>
    </row>
    <row r="1278" ht="30.0" customHeight="1">
      <c r="A1278" s="2"/>
      <c r="B1278" s="2"/>
      <c r="C1278" s="2"/>
      <c r="D1278" s="2"/>
      <c r="E1278" s="2"/>
      <c r="F1278" s="2"/>
      <c r="G1278" s="2"/>
      <c r="H1278" s="2"/>
      <c r="I1278" s="2"/>
      <c r="J1278" s="2"/>
      <c r="K1278" s="2"/>
      <c r="L1278" s="2"/>
      <c r="M1278" s="2"/>
      <c r="N1278" s="2"/>
      <c r="O1278" s="2"/>
      <c r="P1278" s="2"/>
      <c r="Q1278" s="2"/>
      <c r="R1278" s="2"/>
      <c r="S1278" s="2"/>
      <c r="T1278" s="2"/>
      <c r="U1278" s="2"/>
      <c r="V1278" s="2"/>
      <c r="W1278" s="2"/>
      <c r="X1278" s="2"/>
      <c r="Y1278" s="2"/>
      <c r="Z1278" s="2"/>
    </row>
    <row r="1279" ht="30.0" customHeight="1">
      <c r="A1279" s="2"/>
      <c r="B1279" s="2"/>
      <c r="C1279" s="2"/>
      <c r="D1279" s="2"/>
      <c r="E1279" s="2"/>
      <c r="F1279" s="2"/>
      <c r="G1279" s="2"/>
      <c r="H1279" s="2"/>
      <c r="I1279" s="2"/>
      <c r="J1279" s="2"/>
      <c r="K1279" s="2"/>
      <c r="L1279" s="2"/>
      <c r="M1279" s="2"/>
      <c r="N1279" s="2"/>
      <c r="O1279" s="2"/>
      <c r="P1279" s="2"/>
      <c r="Q1279" s="2"/>
      <c r="R1279" s="2"/>
      <c r="S1279" s="2"/>
      <c r="T1279" s="2"/>
      <c r="U1279" s="2"/>
      <c r="V1279" s="2"/>
      <c r="W1279" s="2"/>
      <c r="X1279" s="2"/>
      <c r="Y1279" s="2"/>
      <c r="Z1279" s="2"/>
    </row>
    <row r="1280" ht="30.0" customHeight="1">
      <c r="A1280" s="2"/>
      <c r="B1280" s="2"/>
      <c r="C1280" s="2"/>
      <c r="D1280" s="2"/>
      <c r="E1280" s="2"/>
      <c r="F1280" s="2"/>
      <c r="G1280" s="2"/>
      <c r="H1280" s="2"/>
      <c r="I1280" s="2"/>
      <c r="J1280" s="2"/>
      <c r="K1280" s="2"/>
      <c r="L1280" s="2"/>
      <c r="M1280" s="2"/>
      <c r="N1280" s="2"/>
      <c r="O1280" s="2"/>
      <c r="P1280" s="2"/>
      <c r="Q1280" s="2"/>
      <c r="R1280" s="2"/>
      <c r="S1280" s="2"/>
      <c r="T1280" s="2"/>
      <c r="U1280" s="2"/>
      <c r="V1280" s="2"/>
      <c r="W1280" s="2"/>
      <c r="X1280" s="2"/>
      <c r="Y1280" s="2"/>
      <c r="Z1280" s="2"/>
    </row>
    <row r="1281" ht="30.0" customHeight="1">
      <c r="A1281" s="2"/>
      <c r="B1281" s="2"/>
      <c r="C1281" s="2"/>
      <c r="D1281" s="2"/>
      <c r="E1281" s="2"/>
      <c r="F1281" s="2"/>
      <c r="G1281" s="2"/>
      <c r="H1281" s="2"/>
      <c r="I1281" s="2"/>
      <c r="J1281" s="2"/>
      <c r="K1281" s="2"/>
      <c r="L1281" s="2"/>
      <c r="M1281" s="2"/>
      <c r="N1281" s="2"/>
      <c r="O1281" s="2"/>
      <c r="P1281" s="2"/>
      <c r="Q1281" s="2"/>
      <c r="R1281" s="2"/>
      <c r="S1281" s="2"/>
      <c r="T1281" s="2"/>
      <c r="U1281" s="2"/>
      <c r="V1281" s="2"/>
      <c r="W1281" s="2"/>
      <c r="X1281" s="2"/>
      <c r="Y1281" s="2"/>
      <c r="Z1281" s="2"/>
    </row>
  </sheetData>
  <hyperlinks>
    <hyperlink r:id="rId1" ref="C3"/>
    <hyperlink r:id="rId2" ref="N3"/>
    <hyperlink r:id="rId3" ref="O3"/>
    <hyperlink r:id="rId4" ref="C4"/>
    <hyperlink r:id="rId5" ref="N4"/>
    <hyperlink r:id="rId6" ref="O4"/>
    <hyperlink r:id="rId7" ref="C5"/>
    <hyperlink r:id="rId8" ref="N5"/>
    <hyperlink r:id="rId9" ref="O5"/>
    <hyperlink r:id="rId10" ref="C6"/>
    <hyperlink r:id="rId11" location="c452763" ref="N6"/>
    <hyperlink r:id="rId12" location="c452763" ref="O6"/>
    <hyperlink r:id="rId13" ref="C7"/>
    <hyperlink r:id="rId14" location="c452764" ref="N7"/>
    <hyperlink r:id="rId15" location="c452764" ref="O7"/>
    <hyperlink r:id="rId16" ref="C8"/>
    <hyperlink r:id="rId17" location="c452763" ref="N8"/>
    <hyperlink r:id="rId18" location="c452763" ref="O8"/>
    <hyperlink r:id="rId19" ref="C9"/>
    <hyperlink r:id="rId20" ref="N9"/>
    <hyperlink r:id="rId21" ref="O9"/>
    <hyperlink r:id="rId22" ref="C10"/>
    <hyperlink r:id="rId23" ref="N10"/>
    <hyperlink r:id="rId24" ref="O10"/>
    <hyperlink r:id="rId25" ref="C11"/>
    <hyperlink r:id="rId26" ref="N11"/>
    <hyperlink r:id="rId27" ref="O11"/>
    <hyperlink r:id="rId28" ref="C12"/>
    <hyperlink r:id="rId29" ref="N12"/>
    <hyperlink r:id="rId30" ref="O12"/>
    <hyperlink r:id="rId31" ref="C13"/>
    <hyperlink r:id="rId32" ref="N13"/>
    <hyperlink r:id="rId33" ref="O13"/>
    <hyperlink r:id="rId34" ref="C14"/>
    <hyperlink r:id="rId35" location=":~:text=For%20all%20degree%20programs%20Pforzheim,a%20TESTDAF%20score%20of%204." ref="N14"/>
    <hyperlink r:id="rId36" location=":~:text=For%20all%20degree%20programs%20Pforzheim,a%20TESTDAF%20score%20of%204." ref="O14"/>
    <hyperlink r:id="rId37" ref="C15"/>
    <hyperlink r:id="rId38" ref="N15"/>
    <hyperlink r:id="rId39" ref="O15"/>
    <hyperlink r:id="rId40" ref="C16"/>
    <hyperlink r:id="rId41" location=":~:text=As%20you%20already%20know%2C%20most,or%20European%20language%20certificate%20B." ref="N16"/>
    <hyperlink r:id="rId42" location=":~:text=As%20you%20already%20know%2C%20most,or%20European%20language%20certificate%20B." ref="O16"/>
    <hyperlink r:id="rId43" ref="C17"/>
    <hyperlink r:id="rId44" ref="N17"/>
    <hyperlink r:id="rId45" ref="O17"/>
    <hyperlink r:id="rId46" ref="C18"/>
    <hyperlink r:id="rId47" ref="N18"/>
    <hyperlink r:id="rId48" ref="O18"/>
    <hyperlink r:id="rId49" ref="C19"/>
    <hyperlink r:id="rId50" ref="N19"/>
    <hyperlink r:id="rId51" ref="O19"/>
    <hyperlink r:id="rId52" ref="C20"/>
    <hyperlink r:id="rId53" ref="N20"/>
    <hyperlink r:id="rId54" ref="O20"/>
    <hyperlink r:id="rId55" ref="C21"/>
    <hyperlink r:id="rId56" ref="N21"/>
    <hyperlink r:id="rId57" ref="O21"/>
    <hyperlink r:id="rId58" ref="C22"/>
    <hyperlink r:id="rId59" ref="N22"/>
    <hyperlink r:id="rId60" ref="O22"/>
    <hyperlink r:id="rId61" ref="C23"/>
    <hyperlink r:id="rId62" ref="N23"/>
    <hyperlink r:id="rId63" ref="O23"/>
    <hyperlink r:id="rId64" ref="C24"/>
    <hyperlink r:id="rId65" ref="N24"/>
    <hyperlink r:id="rId66" ref="O24"/>
    <hyperlink r:id="rId67" location=":~:text=Exchange%20Students&amp;text=with%20their%20application.-,If%20students%20wish%20to%20take%20classes%20in%20both%20English%20and,at%20the%20time%20of%20application." ref="N25"/>
    <hyperlink r:id="rId68" location=":~:text=Exchange%20Students&amp;text=with%20their%20application.-,If%20students%20wish%20to%20take%20classes%20in%20both%20English%20and,at%20the%20time%20of%20application." ref="O25"/>
    <hyperlink r:id="rId69" ref="C26"/>
    <hyperlink r:id="rId70" ref="N26"/>
    <hyperlink r:id="rId71" ref="O26"/>
    <hyperlink r:id="rId72" ref="C27"/>
    <hyperlink r:id="rId73" ref="N27"/>
    <hyperlink r:id="rId74" ref="O27"/>
    <hyperlink r:id="rId75" ref="C28"/>
    <hyperlink r:id="rId76" ref="N28"/>
    <hyperlink r:id="rId77" ref="O28"/>
    <hyperlink r:id="rId78" ref="C29"/>
    <hyperlink r:id="rId79" ref="N29"/>
    <hyperlink r:id="rId80" ref="O29"/>
    <hyperlink r:id="rId81" ref="C30"/>
    <hyperlink r:id="rId82" location="c17393" ref="N30"/>
    <hyperlink r:id="rId83" location="c17393" ref="O30"/>
    <hyperlink r:id="rId84" ref="C31"/>
    <hyperlink r:id="rId85" ref="N31"/>
    <hyperlink r:id="rId86" ref="O31"/>
    <hyperlink r:id="rId87" ref="C32"/>
    <hyperlink r:id="rId88" ref="N32"/>
    <hyperlink r:id="rId89" ref="O32"/>
    <hyperlink r:id="rId90" ref="C33"/>
    <hyperlink r:id="rId91" ref="N33"/>
    <hyperlink r:id="rId92" ref="O33"/>
    <hyperlink r:id="rId93" ref="C34"/>
    <hyperlink r:id="rId94" ref="N34"/>
    <hyperlink r:id="rId95" ref="O34"/>
    <hyperlink r:id="rId96" ref="C35"/>
    <hyperlink r:id="rId97" ref="N35"/>
    <hyperlink r:id="rId98" ref="O35"/>
    <hyperlink r:id="rId99" ref="C36"/>
    <hyperlink r:id="rId100" ref="N36"/>
    <hyperlink r:id="rId101" ref="O36"/>
    <hyperlink r:id="rId102" ref="C37"/>
    <hyperlink r:id="rId103" ref="N37"/>
    <hyperlink r:id="rId104" ref="O37"/>
    <hyperlink r:id="rId105" ref="C38"/>
    <hyperlink r:id="rId106" ref="N38"/>
    <hyperlink r:id="rId107" ref="O38"/>
    <hyperlink r:id="rId108" ref="C39"/>
    <hyperlink r:id="rId109" ref="N39"/>
    <hyperlink r:id="rId110" ref="O39"/>
    <hyperlink r:id="rId111" ref="C40"/>
    <hyperlink r:id="rId112" ref="N40"/>
    <hyperlink r:id="rId113" ref="O40"/>
    <hyperlink r:id="rId114" ref="C41"/>
    <hyperlink r:id="rId115" ref="N41"/>
    <hyperlink r:id="rId116" ref="O41"/>
    <hyperlink r:id="rId117" ref="C42"/>
    <hyperlink r:id="rId118" ref="N42"/>
    <hyperlink r:id="rId119" ref="O42"/>
    <hyperlink r:id="rId120" ref="C43"/>
    <hyperlink r:id="rId121" ref="N43"/>
    <hyperlink r:id="rId122" ref="O43"/>
    <hyperlink r:id="rId123" ref="C44"/>
    <hyperlink r:id="rId124" location="sprungmarke_1_9" ref="N44"/>
    <hyperlink r:id="rId125" location="sprungmarke_1_9" ref="O44"/>
    <hyperlink r:id="rId126" ref="C45"/>
    <hyperlink r:id="rId127" ref="N45"/>
    <hyperlink r:id="rId128" ref="O45"/>
    <hyperlink r:id="rId129" ref="C46"/>
    <hyperlink r:id="rId130" ref="N46"/>
    <hyperlink r:id="rId131" ref="O46"/>
    <hyperlink r:id="rId132" ref="C47"/>
    <hyperlink r:id="rId133" ref="N47"/>
    <hyperlink r:id="rId134" ref="O47"/>
    <hyperlink r:id="rId135" ref="C48"/>
    <hyperlink r:id="rId136" ref="N48"/>
    <hyperlink r:id="rId137" ref="O48"/>
    <hyperlink r:id="rId138" ref="C49"/>
    <hyperlink r:id="rId139" ref="N49"/>
    <hyperlink r:id="rId140" ref="O49"/>
    <hyperlink r:id="rId141" ref="C50"/>
    <hyperlink r:id="rId142" location=":~:text=Language%20Requirements&amp;text=Given%20that%20you%20only%20have,take%20up%20full%2Dtime%20studies." ref="N50"/>
    <hyperlink r:id="rId143" location=":~:text=Language%20Requirements&amp;text=Given%20that%20you%20only%20have,take%20up%20full%2Dtime%20studies." ref="O50"/>
    <hyperlink r:id="rId144" ref="C51"/>
    <hyperlink r:id="rId145" location=":~:text=Language%20Requirements&amp;text=Given%20that%20you%20only%20have,take%20up%20full%2Dtime%20studies." ref="N51"/>
    <hyperlink r:id="rId146" location=":~:text=Language%20Requirements&amp;text=Given%20that%20you%20only%20have,take%20up%20full%2Dtime%20studies." ref="O51"/>
    <hyperlink r:id="rId147" ref="C52"/>
    <hyperlink r:id="rId148" location=":~:text=Language%20Requirements&amp;text=Given%20that%20you%20only%20have,take%20up%20full%2Dtime%20studies." ref="N52"/>
    <hyperlink r:id="rId149" location=":~:text=Language%20Requirements&amp;text=Given%20that%20you%20only%20have,take%20up%20full%2Dtime%20studies." ref="O52"/>
    <hyperlink r:id="rId150" ref="C53"/>
    <hyperlink r:id="rId151" location=":~:text=The%20main%20language%20of%20instruction%20at%20Saarland%20University%20is%20German,Language%20and%20Literature%20(Germanistik)." ref="N53"/>
    <hyperlink r:id="rId152" location=":~:text=The%20main%20language%20of%20instruction%20at%20Saarland%20University%20is%20German,Language%20and%20Literature%20(Germanistik)." ref="O53"/>
    <hyperlink r:id="rId153" ref="C54"/>
    <hyperlink r:id="rId154" location=":~:text=IELTS%2C%20at%20least%205.5" ref="N54"/>
    <hyperlink r:id="rId155" location=":~:text=IELTS%2C%20at%20least%205.5" ref="O54"/>
    <hyperlink r:id="rId156" ref="C55"/>
    <hyperlink r:id="rId157" location=":~:text=IELTS%2C%20at%20least%205.6" ref="N55"/>
    <hyperlink r:id="rId158" location=":~:text=IELTS%2C%20at%20least%205.6" ref="O55"/>
    <hyperlink r:id="rId159" ref="C56"/>
    <hyperlink r:id="rId160" ref="N56"/>
    <hyperlink r:id="rId161" ref="O56"/>
    <hyperlink r:id="rId162" ref="C57"/>
    <hyperlink r:id="rId163" ref="N57"/>
    <hyperlink r:id="rId164" ref="O57"/>
    <hyperlink r:id="rId165" ref="C58"/>
    <hyperlink r:id="rId166" ref="N58"/>
    <hyperlink r:id="rId167" ref="O58"/>
    <hyperlink r:id="rId168" ref="C59"/>
    <hyperlink r:id="rId169" ref="N59"/>
    <hyperlink r:id="rId170" ref="O59"/>
    <hyperlink r:id="rId171" ref="C60"/>
    <hyperlink r:id="rId172" location="c22590" ref="N60"/>
    <hyperlink r:id="rId173" location="c22590" ref="O60"/>
    <hyperlink r:id="rId174" ref="C61"/>
    <hyperlink r:id="rId175" location="c22591" ref="N61"/>
    <hyperlink r:id="rId176" location="c22591" ref="O61"/>
    <hyperlink r:id="rId177" ref="C62"/>
    <hyperlink r:id="rId178" location="c22591" ref="N62"/>
    <hyperlink r:id="rId179" location="c22591" ref="O62"/>
    <hyperlink r:id="rId180" ref="C63"/>
    <hyperlink r:id="rId181" location="c22593" ref="N63"/>
    <hyperlink r:id="rId182" location="c22593" ref="O63"/>
    <hyperlink r:id="rId183" ref="C64"/>
    <hyperlink r:id="rId184" location="c22592" ref="N64"/>
    <hyperlink r:id="rId185" location="c22592" ref="O64"/>
    <hyperlink r:id="rId186" location=":~:text=Exchange%20students%20should%20have%20EITHER,Sciences%20are%20taught%20in%20German." ref="N65"/>
    <hyperlink r:id="rId187" location=":~:text=Exchange%20students%20should%20have%20EITHER,Sciences%20are%20taught%20in%20German." ref="O65"/>
    <hyperlink r:id="rId188" ref="C66"/>
    <hyperlink r:id="rId189" ref="N66"/>
    <hyperlink r:id="rId190" ref="C67"/>
    <hyperlink r:id="rId191" ref="N67"/>
    <hyperlink r:id="rId192" ref="C68"/>
    <hyperlink r:id="rId193" ref="N68"/>
    <hyperlink r:id="rId194" ref="C69"/>
    <hyperlink r:id="rId195" ref="N69"/>
    <hyperlink r:id="rId196" ref="C70"/>
    <hyperlink r:id="rId197" ref="N70"/>
    <hyperlink r:id="rId198" ref="C71"/>
    <hyperlink r:id="rId199" ref="N71"/>
    <hyperlink r:id="rId200" ref="C72"/>
    <hyperlink r:id="rId201" ref="N72"/>
    <hyperlink r:id="rId202" ref="C73"/>
    <hyperlink r:id="rId203" ref="N73"/>
    <hyperlink r:id="rId204" ref="C74"/>
    <hyperlink r:id="rId205" ref="N74"/>
    <hyperlink r:id="rId206" ref="C75"/>
    <hyperlink r:id="rId207" ref="N75"/>
    <hyperlink r:id="rId208" ref="C76"/>
    <hyperlink r:id="rId209" ref="N76"/>
    <hyperlink r:id="rId210" ref="C77"/>
    <hyperlink r:id="rId211" ref="N77"/>
    <hyperlink r:id="rId212" ref="C78"/>
    <hyperlink r:id="rId213" ref="N78"/>
    <hyperlink r:id="rId214" ref="C79"/>
    <hyperlink r:id="rId215" ref="N79"/>
    <hyperlink r:id="rId216" ref="C80"/>
    <hyperlink r:id="rId217" ref="N80"/>
    <hyperlink r:id="rId218" ref="C81"/>
    <hyperlink r:id="rId219" ref="N81"/>
    <hyperlink r:id="rId220" ref="C82"/>
    <hyperlink r:id="rId221" ref="N82"/>
    <hyperlink r:id="rId222" ref="C83"/>
    <hyperlink r:id="rId223" ref="N83"/>
    <hyperlink r:id="rId224" ref="C84"/>
    <hyperlink r:id="rId225" ref="N84"/>
    <hyperlink r:id="rId226" ref="C85"/>
    <hyperlink r:id="rId227" ref="N85"/>
    <hyperlink r:id="rId228" ref="C86"/>
    <hyperlink r:id="rId229" ref="N86"/>
    <hyperlink r:id="rId230" ref="C87"/>
    <hyperlink r:id="rId231" ref="N87"/>
    <hyperlink r:id="rId232" ref="C88"/>
    <hyperlink r:id="rId233" ref="N88"/>
    <hyperlink r:id="rId234" ref="C89"/>
    <hyperlink r:id="rId235" ref="N89"/>
    <hyperlink r:id="rId236" ref="C90"/>
    <hyperlink r:id="rId237" ref="N90"/>
    <hyperlink r:id="rId238" ref="C91"/>
    <hyperlink r:id="rId239" ref="N91"/>
    <hyperlink r:id="rId240" ref="C92"/>
    <hyperlink r:id="rId241" ref="N92"/>
    <hyperlink r:id="rId242" ref="C93"/>
    <hyperlink r:id="rId243" ref="N93"/>
    <hyperlink r:id="rId244" ref="C94"/>
    <hyperlink r:id="rId245" ref="N94"/>
    <hyperlink r:id="rId246" ref="C95"/>
    <hyperlink r:id="rId247" ref="N95"/>
    <hyperlink r:id="rId248" ref="C96"/>
    <hyperlink r:id="rId249" ref="N96"/>
    <hyperlink r:id="rId250" ref="O96"/>
    <hyperlink r:id="rId251" ref="C97"/>
    <hyperlink r:id="rId252" ref="N97"/>
    <hyperlink r:id="rId253" ref="O97"/>
    <hyperlink r:id="rId254" ref="C98"/>
    <hyperlink r:id="rId255" ref="N98"/>
    <hyperlink r:id="rId256" ref="O98"/>
    <hyperlink r:id="rId257" ref="C99"/>
    <hyperlink r:id="rId258" location="toggle-id-24" ref="N99"/>
    <hyperlink r:id="rId259" location="toggle-id-24" ref="O99"/>
    <hyperlink r:id="rId260" ref="C100"/>
    <hyperlink r:id="rId261" ref="N100"/>
    <hyperlink r:id="rId262" ref="O100"/>
    <hyperlink r:id="rId263" ref="C101"/>
    <hyperlink r:id="rId264" location=":~:text=Required%20language%20level,require%20English%20competence%20level%20C1." ref="N101"/>
    <hyperlink r:id="rId265" location=":~:text=Required%20language%20level,require%20English%20competence%20level%20C1." ref="O101"/>
    <hyperlink r:id="rId266" ref="C102"/>
    <hyperlink r:id="rId267" ref="N102"/>
    <hyperlink r:id="rId268" ref="O102"/>
    <hyperlink r:id="rId269" ref="C103"/>
    <hyperlink r:id="rId270" location="course-selection" ref="N103"/>
    <hyperlink r:id="rId271" location="course-selection" ref="O103"/>
    <hyperlink r:id="rId272" ref="C104"/>
    <hyperlink r:id="rId273" ref="N104"/>
    <hyperlink r:id="rId274" ref="O104"/>
    <hyperlink r:id="rId275" ref="C105"/>
    <hyperlink r:id="rId276" ref="N105"/>
    <hyperlink r:id="rId277" ref="O105"/>
    <hyperlink r:id="rId278" ref="C106"/>
    <hyperlink r:id="rId279" ref="N106"/>
    <hyperlink r:id="rId280" ref="O106"/>
    <hyperlink r:id="rId281" ref="C107"/>
    <hyperlink r:id="rId282" ref="N107"/>
    <hyperlink r:id="rId283" ref="O107"/>
    <hyperlink r:id="rId284" ref="C108"/>
    <hyperlink r:id="rId285" ref="N108"/>
    <hyperlink r:id="rId286" ref="O108"/>
    <hyperlink r:id="rId287" ref="C109"/>
    <hyperlink r:id="rId288" ref="N109"/>
    <hyperlink r:id="rId289" ref="O109"/>
    <hyperlink r:id="rId290" ref="C110"/>
    <hyperlink r:id="rId291" location=":~:text=Language%20Requirements,-Adequate%20knowledge%20of&amp;text=Exchange%20students%20who%20wish%20to,need%20an%20official%20language%20certificate.&amp;text=The%20Faculty%20of%20Business%2C%20Economics,IELTS%20(minimum%206)%20exam." ref="N110"/>
    <hyperlink r:id="rId292" location=":~:text=Language%20Requirements,-Adequate%20knowledge%20of&amp;text=Exchange%20students%20who%20wish%20to,need%20an%20official%20language%20certificate.&amp;text=The%20Faculty%20of%20Business%2C%20Economics,IELTS%20(minimum%206)%20exam." ref="O110"/>
    <hyperlink r:id="rId293" ref="C111"/>
    <hyperlink r:id="rId294" ref="N111"/>
    <hyperlink r:id="rId295" ref="O111"/>
    <hyperlink r:id="rId296" ref="C112"/>
    <hyperlink r:id="rId297" ref="N112"/>
    <hyperlink r:id="rId298" ref="O112"/>
    <hyperlink r:id="rId299" ref="C113"/>
    <hyperlink r:id="rId300" ref="N113"/>
    <hyperlink r:id="rId301" ref="O113"/>
    <hyperlink r:id="rId302" ref="C114"/>
    <hyperlink r:id="rId303" ref="N114"/>
    <hyperlink r:id="rId304" ref="O114"/>
    <hyperlink r:id="rId305" ref="C115"/>
    <hyperlink r:id="rId306" ref="N115"/>
    <hyperlink r:id="rId307" ref="O115"/>
    <hyperlink r:id="rId308" ref="C116"/>
    <hyperlink r:id="rId309" location=":~:text=Therefore%20all%20incoming%20exchange%20students,IELTS%20certificate%3A%20minimum%20score%206.0" ref="N116"/>
    <hyperlink r:id="rId310" location=":~:text=Therefore%20all%20incoming%20exchange%20students,IELTS%20certificate%3A%20minimum%20score%206.0" ref="O116"/>
    <hyperlink r:id="rId311" ref="C117"/>
    <hyperlink r:id="rId312" location=":~:text=Therefore%20all%20incoming%20exchange%20students,IELTS%20certificate%3A%20minimum%20score%206.0" ref="N117"/>
    <hyperlink r:id="rId313" location=":~:text=Therefore%20all%20incoming%20exchange%20students,IELTS%20certificate%3A%20minimum%20score%206.0" ref="O117"/>
    <hyperlink r:id="rId314" ref="C118"/>
    <hyperlink r:id="rId315" location=":~:text=Therefore%20all%20incoming%20exchange%20students,IELTS%20certificate%3A%20minimum%20score%206.0" ref="N118"/>
    <hyperlink r:id="rId316" location=":~:text=Therefore%20all%20incoming%20exchange%20students,IELTS%20certificate%3A%20minimum%20score%206.0" ref="O118"/>
    <hyperlink r:id="rId317" ref="C119"/>
    <hyperlink r:id="rId318" ref="N119"/>
    <hyperlink r:id="rId319" ref="O119"/>
    <hyperlink r:id="rId320" ref="C120"/>
    <hyperlink r:id="rId321" location="language-certificate" ref="N120"/>
    <hyperlink r:id="rId322" location="language-certificate" ref="O120"/>
    <hyperlink r:id="rId323" ref="C121"/>
    <hyperlink r:id="rId324" ref="C122"/>
    <hyperlink r:id="rId325" ref="N122"/>
    <hyperlink r:id="rId326" ref="O122"/>
    <hyperlink r:id="rId327" ref="C123"/>
    <hyperlink r:id="rId328" ref="N123"/>
    <hyperlink r:id="rId329" ref="O123"/>
    <hyperlink r:id="rId330" ref="C124"/>
    <hyperlink r:id="rId331" ref="N124"/>
    <hyperlink r:id="rId332" ref="O124"/>
    <hyperlink r:id="rId333" ref="C125"/>
    <hyperlink r:id="rId334" ref="N125"/>
    <hyperlink r:id="rId335" ref="O125"/>
    <hyperlink r:id="rId336" ref="C126"/>
    <hyperlink r:id="rId337" ref="N126"/>
    <hyperlink r:id="rId338" ref="O126"/>
    <hyperlink r:id="rId339" ref="C127"/>
    <hyperlink r:id="rId340" ref="N127"/>
    <hyperlink r:id="rId341" ref="O127"/>
    <hyperlink r:id="rId342" ref="C128"/>
    <hyperlink r:id="rId343" ref="N128"/>
    <hyperlink r:id="rId344" ref="O128"/>
    <hyperlink r:id="rId345" ref="C129"/>
    <hyperlink r:id="rId346" ref="N129"/>
    <hyperlink r:id="rId347" ref="O129"/>
    <hyperlink r:id="rId348" ref="C130"/>
    <hyperlink r:id="rId349" ref="N130"/>
    <hyperlink r:id="rId350" ref="O130"/>
    <hyperlink r:id="rId351" ref="C131"/>
    <hyperlink r:id="rId352" ref="N131"/>
    <hyperlink r:id="rId353" ref="O131"/>
    <hyperlink r:id="rId354" ref="C132"/>
    <hyperlink r:id="rId355" ref="N132"/>
    <hyperlink r:id="rId356" ref="O132"/>
    <hyperlink r:id="rId357" ref="C133"/>
    <hyperlink r:id="rId358" ref="N133"/>
    <hyperlink r:id="rId359" ref="O133"/>
    <hyperlink r:id="rId360" ref="C134"/>
    <hyperlink r:id="rId361" location=":~:text=Language%20requirements&amp;text=We%20advise%20students%20to%20have%20a%20B2." ref="N134"/>
    <hyperlink r:id="rId362" location=":~:text=Language%20requirements&amp;text=We%20advise%20students%20to%20have%20a%20B2." ref="O134"/>
    <hyperlink r:id="rId363" ref="C135"/>
    <hyperlink r:id="rId364" location=":~:text=Language%20requirements&amp;text=We%20advise%20students%20to%20have%20a%20B2." ref="N135"/>
    <hyperlink r:id="rId365" location=":~:text=Language%20requirements&amp;text=We%20advise%20students%20to%20have%20a%20B2." ref="O135"/>
    <hyperlink r:id="rId366" ref="C136"/>
    <hyperlink r:id="rId367" ref="N136"/>
    <hyperlink r:id="rId368" ref="O136"/>
    <hyperlink r:id="rId369" ref="C137"/>
    <hyperlink r:id="rId370" ref="N137"/>
    <hyperlink r:id="rId371" ref="O137"/>
    <hyperlink r:id="rId372" ref="C138"/>
    <hyperlink r:id="rId373" ref="N138"/>
    <hyperlink r:id="rId374" ref="O138"/>
    <hyperlink r:id="rId375" ref="C139"/>
    <hyperlink r:id="rId376" ref="N139"/>
    <hyperlink r:id="rId377" ref="O139"/>
    <hyperlink r:id="rId378" ref="C140"/>
    <hyperlink r:id="rId379" ref="N140"/>
    <hyperlink r:id="rId380" ref="O140"/>
    <hyperlink r:id="rId381" ref="C141"/>
    <hyperlink r:id="rId382" ref="N141"/>
    <hyperlink r:id="rId383" ref="O141"/>
    <hyperlink r:id="rId384" ref="C142"/>
    <hyperlink r:id="rId385" ref="N142"/>
    <hyperlink r:id="rId386" ref="O142"/>
    <hyperlink r:id="rId387" ref="C143"/>
    <hyperlink r:id="rId388" ref="N143"/>
    <hyperlink r:id="rId389" ref="O143"/>
    <hyperlink r:id="rId390" ref="C144"/>
    <hyperlink r:id="rId391" ref="N144"/>
    <hyperlink r:id="rId392" ref="O144"/>
    <hyperlink r:id="rId393" ref="C145"/>
    <hyperlink r:id="rId394" ref="N145"/>
    <hyperlink r:id="rId395" ref="O145"/>
    <hyperlink r:id="rId396" ref="C146"/>
    <hyperlink r:id="rId397" ref="N146"/>
    <hyperlink r:id="rId398" ref="O146"/>
    <hyperlink r:id="rId399" ref="N147"/>
    <hyperlink r:id="rId400" ref="O147"/>
    <hyperlink r:id="rId401" ref="C148"/>
    <hyperlink r:id="rId402" ref="N148"/>
    <hyperlink r:id="rId403" ref="O148"/>
    <hyperlink r:id="rId404" ref="C149"/>
    <hyperlink r:id="rId405" ref="N149"/>
    <hyperlink r:id="rId406" ref="O149"/>
    <hyperlink r:id="rId407" ref="C150"/>
    <hyperlink r:id="rId408" ref="N150"/>
    <hyperlink r:id="rId409" ref="O150"/>
    <hyperlink r:id="rId410" ref="C151"/>
    <hyperlink r:id="rId411" ref="N151"/>
    <hyperlink r:id="rId412" ref="O151"/>
    <hyperlink r:id="rId413" ref="C152"/>
    <hyperlink r:id="rId414" ref="N152"/>
    <hyperlink r:id="rId415" ref="O152"/>
    <hyperlink r:id="rId416" ref="C153"/>
    <hyperlink r:id="rId417" ref="N153"/>
    <hyperlink r:id="rId418" ref="O153"/>
    <hyperlink r:id="rId419" ref="C154"/>
    <hyperlink r:id="rId420" location="!/international/study/" ref="N154"/>
    <hyperlink r:id="rId421" location="!/international/study/" ref="O154"/>
    <hyperlink r:id="rId422" ref="C155"/>
    <hyperlink r:id="rId423" ref="N155"/>
    <hyperlink r:id="rId424" ref="O155"/>
    <hyperlink r:id="rId425" ref="C156"/>
    <hyperlink r:id="rId426" ref="N156"/>
    <hyperlink r:id="rId427" ref="O156"/>
    <hyperlink r:id="rId428" ref="C157"/>
    <hyperlink r:id="rId429" ref="N157"/>
    <hyperlink r:id="rId430" ref="O157"/>
    <hyperlink r:id="rId431" ref="C158"/>
    <hyperlink r:id="rId432" ref="N158"/>
    <hyperlink r:id="rId433" ref="O158"/>
    <hyperlink r:id="rId434" ref="C159"/>
    <hyperlink r:id="rId435" ref="N159"/>
    <hyperlink r:id="rId436" ref="O159"/>
    <hyperlink r:id="rId437" ref="C160"/>
    <hyperlink r:id="rId438" ref="C161"/>
    <hyperlink r:id="rId439" ref="N161"/>
    <hyperlink r:id="rId440" ref="O161"/>
    <hyperlink r:id="rId441" ref="C162"/>
    <hyperlink r:id="rId442" ref="N162"/>
    <hyperlink r:id="rId443" ref="O162"/>
    <hyperlink r:id="rId444" ref="C163"/>
    <hyperlink r:id="rId445" ref="N163"/>
    <hyperlink r:id="rId446" ref="O163"/>
    <hyperlink r:id="rId447" ref="C164"/>
    <hyperlink r:id="rId448" ref="N164"/>
    <hyperlink r:id="rId449" ref="O164"/>
    <hyperlink r:id="rId450" ref="C165"/>
    <hyperlink r:id="rId451" ref="N165"/>
    <hyperlink r:id="rId452" ref="O165"/>
    <hyperlink r:id="rId453" ref="C166"/>
    <hyperlink r:id="rId454" ref="N166"/>
    <hyperlink r:id="rId455" ref="O166"/>
    <hyperlink r:id="rId456" ref="C167"/>
    <hyperlink r:id="rId457" ref="N167"/>
    <hyperlink r:id="rId458" ref="O167"/>
    <hyperlink r:id="rId459" ref="C168"/>
    <hyperlink r:id="rId460" ref="N168"/>
    <hyperlink r:id="rId461" ref="O168"/>
    <hyperlink r:id="rId462" ref="C169"/>
    <hyperlink r:id="rId463" ref="N169"/>
    <hyperlink r:id="rId464" ref="O169"/>
    <hyperlink r:id="rId465" ref="C170"/>
    <hyperlink r:id="rId466" ref="N170"/>
    <hyperlink r:id="rId467" ref="O170"/>
    <hyperlink r:id="rId468" ref="C171"/>
    <hyperlink r:id="rId469" ref="N171"/>
    <hyperlink r:id="rId470" ref="O171"/>
    <hyperlink r:id="rId471" ref="C172"/>
    <hyperlink r:id="rId472" ref="N172"/>
    <hyperlink r:id="rId473" ref="O172"/>
    <hyperlink r:id="rId474" ref="C173"/>
    <hyperlink r:id="rId475" ref="N173"/>
    <hyperlink r:id="rId476" ref="O173"/>
    <hyperlink r:id="rId477" ref="C174"/>
    <hyperlink r:id="rId478" ref="N174"/>
    <hyperlink r:id="rId479" ref="O174"/>
    <hyperlink r:id="rId480" ref="C175"/>
    <hyperlink r:id="rId481" ref="N175"/>
    <hyperlink r:id="rId482" ref="O175"/>
    <hyperlink r:id="rId483" ref="C176"/>
    <hyperlink r:id="rId484" ref="N176"/>
    <hyperlink r:id="rId485" ref="O176"/>
    <hyperlink r:id="rId486" ref="C178"/>
    <hyperlink r:id="rId487" ref="N178"/>
    <hyperlink r:id="rId488" ref="O178"/>
    <hyperlink r:id="rId489" ref="C179"/>
    <hyperlink r:id="rId490" ref="N179"/>
    <hyperlink r:id="rId491" ref="O179"/>
    <hyperlink r:id="rId492" ref="C180"/>
    <hyperlink r:id="rId493" ref="N180"/>
    <hyperlink r:id="rId494" ref="O180"/>
    <hyperlink r:id="rId495" ref="C181"/>
    <hyperlink r:id="rId496" ref="N181"/>
    <hyperlink r:id="rId497" ref="C182"/>
    <hyperlink r:id="rId498" ref="N182"/>
    <hyperlink r:id="rId499" ref="C183"/>
    <hyperlink r:id="rId500" ref="N183"/>
    <hyperlink r:id="rId501" ref="C184"/>
    <hyperlink r:id="rId502" ref="N184"/>
    <hyperlink r:id="rId503" ref="C185"/>
    <hyperlink r:id="rId504" ref="N185"/>
    <hyperlink r:id="rId505" ref="C186"/>
    <hyperlink r:id="rId506" ref="N186"/>
    <hyperlink r:id="rId507" ref="C187"/>
    <hyperlink r:id="rId508" ref="N187"/>
    <hyperlink r:id="rId509" ref="C188"/>
    <hyperlink r:id="rId510" ref="C189"/>
    <hyperlink r:id="rId511" ref="C190"/>
    <hyperlink r:id="rId512" ref="N190"/>
    <hyperlink r:id="rId513" ref="C191"/>
    <hyperlink r:id="rId514" ref="N191"/>
    <hyperlink r:id="rId515" ref="C192"/>
    <hyperlink r:id="rId516" ref="N192"/>
    <hyperlink r:id="rId517" ref="C193"/>
    <hyperlink r:id="rId518" ref="N193"/>
    <hyperlink r:id="rId519" ref="C194"/>
    <hyperlink r:id="rId520" ref="N194"/>
    <hyperlink r:id="rId521" ref="C195"/>
    <hyperlink r:id="rId522" ref="N195"/>
    <hyperlink r:id="rId523" ref="C196"/>
    <hyperlink r:id="rId524" ref="C197"/>
    <hyperlink r:id="rId525" ref="C198"/>
    <hyperlink r:id="rId526" ref="C199"/>
    <hyperlink r:id="rId527" ref="C200"/>
    <hyperlink r:id="rId528" location="_ga=2.72578010.819916250.1729751672-452155559.1729751672" ref="N200"/>
    <hyperlink r:id="rId529" ref="C201"/>
    <hyperlink r:id="rId530" ref="C202"/>
    <hyperlink r:id="rId531" ref="N202"/>
    <hyperlink r:id="rId532" ref="C203"/>
    <hyperlink r:id="rId533" ref="C204"/>
    <hyperlink r:id="rId534" ref="C205"/>
    <hyperlink r:id="rId535" ref="N205"/>
    <hyperlink r:id="rId536" ref="C206"/>
    <hyperlink r:id="rId537" ref="N206"/>
    <hyperlink r:id="rId538" ref="C207"/>
    <hyperlink r:id="rId539" ref="N207"/>
    <hyperlink r:id="rId540" ref="C208"/>
    <hyperlink r:id="rId541" ref="N208"/>
    <hyperlink r:id="rId542" ref="C209"/>
    <hyperlink r:id="rId543" location="_ga=2.72578010.819916250.1729751672-452155559.1729751672" ref="N209"/>
    <hyperlink r:id="rId544" ref="C210"/>
    <hyperlink r:id="rId545" location="_ga=2.72578010.819916250.1729751672-452155559.1729751672" ref="N210"/>
    <hyperlink r:id="rId546" ref="C211"/>
    <hyperlink r:id="rId547" location="_ga=2.72578010.819916250.1729751672-452155559.1729751672" ref="N211"/>
    <hyperlink r:id="rId548" ref="C212"/>
    <hyperlink r:id="rId549" location="_ga=2.72578010.819916250.1729751672-452155559.1729751672" ref="N212"/>
    <hyperlink r:id="rId550" ref="C213"/>
    <hyperlink r:id="rId551" ref="C214"/>
    <hyperlink r:id="rId552" ref="N214"/>
    <hyperlink r:id="rId553" ref="C215"/>
    <hyperlink r:id="rId554" ref="C216"/>
    <hyperlink r:id="rId555" ref="C217"/>
    <hyperlink r:id="rId556" ref="N217"/>
    <hyperlink r:id="rId557" ref="C218"/>
    <hyperlink r:id="rId558" ref="C219"/>
    <hyperlink r:id="rId559" ref="N219"/>
    <hyperlink r:id="rId560" ref="C220"/>
    <hyperlink r:id="rId561" ref="C221"/>
    <hyperlink r:id="rId562" ref="N221"/>
    <hyperlink r:id="rId563" ref="O221"/>
    <hyperlink r:id="rId564" ref="C222"/>
    <hyperlink r:id="rId565" ref="O222"/>
    <hyperlink r:id="rId566" ref="C223"/>
    <hyperlink r:id="rId567" ref="N223"/>
    <hyperlink r:id="rId568" ref="O223"/>
    <hyperlink r:id="rId569" ref="C224"/>
    <hyperlink r:id="rId570" ref="N224"/>
    <hyperlink r:id="rId571" ref="O224"/>
    <hyperlink r:id="rId572" ref="C225"/>
    <hyperlink r:id="rId573" ref="O225"/>
    <hyperlink r:id="rId574" ref="C226"/>
    <hyperlink r:id="rId575" ref="O226"/>
    <hyperlink r:id="rId576" ref="C227"/>
    <hyperlink r:id="rId577" location="Interpresencial" ref="N227"/>
    <hyperlink r:id="rId578" location="Interpresencial" ref="O227"/>
    <hyperlink r:id="rId579" ref="C228"/>
    <hyperlink r:id="rId580" ref="O228"/>
    <hyperlink r:id="rId581" ref="C229"/>
    <hyperlink r:id="rId582" ref="O229"/>
    <hyperlink r:id="rId583" ref="C230"/>
    <hyperlink r:id="rId584" ref="O230"/>
    <hyperlink r:id="rId585" ref="C231"/>
    <hyperlink r:id="rId586" ref="N231"/>
    <hyperlink r:id="rId587" ref="O231"/>
    <hyperlink r:id="rId588" ref="C232"/>
    <hyperlink r:id="rId589" ref="N232"/>
    <hyperlink r:id="rId590" ref="O232"/>
    <hyperlink r:id="rId591" ref="C233"/>
    <hyperlink r:id="rId592" ref="N233"/>
    <hyperlink r:id="rId593" ref="O233"/>
    <hyperlink r:id="rId594" ref="C234"/>
    <hyperlink r:id="rId595" ref="N234"/>
    <hyperlink r:id="rId596" ref="O234"/>
    <hyperlink r:id="rId597" ref="C235"/>
    <hyperlink r:id="rId598" ref="N235"/>
    <hyperlink r:id="rId599" ref="O235"/>
    <hyperlink r:id="rId600" ref="N236"/>
    <hyperlink r:id="rId601" ref="N237"/>
    <hyperlink r:id="rId602" ref="N238"/>
    <hyperlink r:id="rId603" ref="N239"/>
    <hyperlink r:id="rId604" ref="N240"/>
    <hyperlink r:id="rId605" ref="N241"/>
    <hyperlink r:id="rId606" ref="N242"/>
    <hyperlink r:id="rId607" ref="N243"/>
    <hyperlink r:id="rId608" ref="C244"/>
    <hyperlink r:id="rId609" location=":~:text=Language%20Level&amp;text=Applicants%20for%20English%2Dtaught%20programs,if%20approved%20by%20Wuhan%20University." ref="N244"/>
    <hyperlink r:id="rId610" location=":~:text=Language%20Certificate%20Level%20B2%20for,university%20up%20to%20Level%20B2" ref="N245"/>
    <hyperlink r:id="rId611" ref="C246"/>
    <hyperlink r:id="rId612" ref="N246"/>
    <hyperlink r:id="rId613" ref="C247"/>
    <hyperlink r:id="rId614" ref="N247"/>
    <hyperlink r:id="rId615" ref="C248"/>
    <hyperlink r:id="rId616" ref="C249"/>
    <hyperlink r:id="rId617" ref="C250"/>
    <hyperlink r:id="rId618" ref="C251"/>
    <hyperlink r:id="rId619" ref="C252"/>
    <hyperlink r:id="rId620" ref="C253"/>
    <hyperlink r:id="rId621" ref="N253"/>
    <hyperlink r:id="rId622" ref="C254"/>
    <hyperlink r:id="rId623" ref="O254"/>
    <hyperlink r:id="rId624" ref="C255"/>
    <hyperlink r:id="rId625" ref="O255"/>
    <hyperlink r:id="rId626" ref="C256"/>
    <hyperlink r:id="rId627" ref="N256"/>
    <hyperlink r:id="rId628" ref="O256"/>
    <hyperlink r:id="rId629" ref="C257"/>
    <hyperlink r:id="rId630" ref="O257"/>
    <hyperlink r:id="rId631" ref="C258"/>
    <hyperlink r:id="rId632" ref="O258"/>
    <hyperlink r:id="rId633" ref="C259"/>
    <hyperlink r:id="rId634" ref="O259"/>
    <hyperlink r:id="rId635" ref="C260"/>
    <hyperlink r:id="rId636" ref="O260"/>
    <hyperlink r:id="rId637" ref="C261"/>
    <hyperlink r:id="rId638" ref="N261"/>
    <hyperlink r:id="rId639" ref="O261"/>
    <hyperlink r:id="rId640" ref="C262"/>
    <hyperlink r:id="rId641" ref="N262"/>
    <hyperlink r:id="rId642" ref="O262"/>
    <hyperlink r:id="rId643" ref="C263"/>
    <hyperlink r:id="rId644" ref="N263"/>
    <hyperlink r:id="rId645" ref="O263"/>
    <hyperlink r:id="rId646" ref="C264"/>
    <hyperlink r:id="rId647" ref="N264"/>
    <hyperlink r:id="rId648" ref="O264"/>
    <hyperlink r:id="rId649" ref="C265"/>
    <hyperlink r:id="rId650" ref="N265"/>
    <hyperlink r:id="rId651" ref="O265"/>
    <hyperlink r:id="rId652" ref="C266"/>
    <hyperlink r:id="rId653" location=":~:text=Language%20requirements%20and%20tests,to%20the%20European%20reference%20framework." ref="N266"/>
    <hyperlink r:id="rId654" location=":~:text=Language%20requirements%20and%20tests,to%20the%20European%20reference%20framework." ref="O266"/>
    <hyperlink r:id="rId655" ref="C267"/>
    <hyperlink r:id="rId656" location=":~:text=Language%20requirements%20and%20tests,to%20the%20European%20reference%20framework." ref="N267"/>
    <hyperlink r:id="rId657" location=":~:text=Language%20requirements%20and%20tests,to%20the%20European%20reference%20framework." ref="O267"/>
    <hyperlink r:id="rId658" location=":~:text=Language%20requirements%20and%20tests,to%20the%20European%20reference%20framework." ref="N268"/>
    <hyperlink r:id="rId659" location=":~:text=Language%20requirements%20and%20tests,to%20the%20European%20reference%20framework." ref="O268"/>
    <hyperlink r:id="rId660" ref="C269"/>
    <hyperlink r:id="rId661" location=":~:text=Language%20requirements%20and%20tests,to%20the%20European%20reference%20framework." ref="N269"/>
    <hyperlink r:id="rId662" location=":~:text=Language%20requirements%20and%20tests,to%20the%20European%20reference%20framework." ref="O269"/>
    <hyperlink r:id="rId663" ref="C270"/>
    <hyperlink r:id="rId664" location=":~:text=Language%20requirements%20and%20tests,to%20the%20European%20reference%20framework." ref="N270"/>
    <hyperlink r:id="rId665" location=":~:text=Language%20requirements%20and%20tests,to%20the%20European%20reference%20framework." ref="O270"/>
    <hyperlink r:id="rId666" ref="C271"/>
    <hyperlink r:id="rId667" location=":~:text=Language%20requirements%20and%20tests,to%20the%20European%20reference%20framework." ref="N271"/>
    <hyperlink r:id="rId668" location=":~:text=Language%20requirements%20and%20tests,to%20the%20European%20reference%20framework." ref="O271"/>
    <hyperlink r:id="rId669" ref="C272"/>
    <hyperlink r:id="rId670" location=":~:text=Language%20requirements%20and%20tests,to%20the%20European%20reference%20framework." ref="N272"/>
    <hyperlink r:id="rId671" location=":~:text=Language%20requirements%20and%20tests,to%20the%20European%20reference%20framework." ref="O272"/>
    <hyperlink r:id="rId672" ref="C273"/>
    <hyperlink r:id="rId673" location=":~:text=Language%20requirements%20and%20tests,to%20the%20European%20reference%20framework." ref="N273"/>
    <hyperlink r:id="rId674" location=":~:text=Language%20requirements%20and%20tests,to%20the%20European%20reference%20framework." ref="O273"/>
    <hyperlink r:id="rId675" ref="C274"/>
    <hyperlink r:id="rId676" ref="N274"/>
    <hyperlink r:id="rId677" ref="O274"/>
    <hyperlink r:id="rId678" ref="C275"/>
    <hyperlink r:id="rId679" location=":~:text=Exchange%20students%20must%20demonstrate%20a,European%20reference%20framework%20(CEFR)." ref="N275"/>
    <hyperlink r:id="rId680" location=":~:text=Exchange%20students%20must%20demonstrate%20a,European%20reference%20framework%20(CEFR)." ref="O275"/>
    <hyperlink r:id="rId681" ref="C276"/>
    <hyperlink r:id="rId682" location="incoming" ref="N276"/>
    <hyperlink r:id="rId683" location="incoming" ref="O276"/>
    <hyperlink r:id="rId684" ref="C277"/>
    <hyperlink r:id="rId685" ref="N277"/>
    <hyperlink r:id="rId686" ref="O277"/>
    <hyperlink r:id="rId687" ref="C278"/>
    <hyperlink r:id="rId688" ref="N278"/>
    <hyperlink r:id="rId689" ref="O278"/>
    <hyperlink r:id="rId690" ref="C279"/>
    <hyperlink r:id="rId691" ref="C280"/>
    <hyperlink r:id="rId692" ref="N280"/>
    <hyperlink r:id="rId693" ref="O280"/>
    <hyperlink r:id="rId694" ref="C281"/>
    <hyperlink r:id="rId695" ref="N281"/>
    <hyperlink r:id="rId696" ref="O281"/>
    <hyperlink r:id="rId697" ref="C282"/>
    <hyperlink r:id="rId698" ref="N282"/>
    <hyperlink r:id="rId699" ref="O282"/>
    <hyperlink r:id="rId700" ref="C283"/>
    <hyperlink r:id="rId701" ref="N283"/>
    <hyperlink r:id="rId702" ref="O283"/>
    <hyperlink r:id="rId703" ref="C284"/>
    <hyperlink r:id="rId704" ref="N284"/>
    <hyperlink r:id="rId705" ref="O284"/>
    <hyperlink r:id="rId706" ref="C285"/>
    <hyperlink r:id="rId707" ref="N285"/>
    <hyperlink r:id="rId708" ref="O285"/>
    <hyperlink r:id="rId709" ref="C286"/>
    <hyperlink r:id="rId710" ref="N286"/>
    <hyperlink r:id="rId711" ref="O286"/>
    <hyperlink r:id="rId712" ref="C287"/>
    <hyperlink r:id="rId713" ref="N287"/>
    <hyperlink r:id="rId714" ref="O287"/>
    <hyperlink r:id="rId715" ref="C288"/>
    <hyperlink r:id="rId716" location=":~:text=The%20University%20of%20Economics%20in,by%20the%20Council%20of%20Europe." ref="N288"/>
    <hyperlink r:id="rId717" location=":~:text=The%20University%20of%20Economics%20in,by%20the%20Council%20of%20Europe." ref="O288"/>
    <hyperlink r:id="rId718" location="european-faculty-of-law" ref="C289"/>
    <hyperlink r:id="rId719" ref="N289"/>
    <hyperlink r:id="rId720" ref="O289"/>
    <hyperlink r:id="rId721" ref="C290"/>
    <hyperlink r:id="rId722" ref="N290"/>
    <hyperlink r:id="rId723" ref="O290"/>
    <hyperlink r:id="rId724" ref="C291"/>
    <hyperlink r:id="rId725" ref="N291"/>
    <hyperlink r:id="rId726" ref="O291"/>
    <hyperlink r:id="rId727" ref="C292"/>
    <hyperlink r:id="rId728" ref="N292"/>
    <hyperlink r:id="rId729" ref="O292"/>
    <hyperlink r:id="rId730" ref="C293"/>
    <hyperlink r:id="rId731" ref="N293"/>
    <hyperlink r:id="rId732" ref="O293"/>
    <hyperlink r:id="rId733" ref="C294"/>
    <hyperlink r:id="rId734" ref="N294"/>
    <hyperlink r:id="rId735" ref="O294"/>
    <hyperlink r:id="rId736" ref="C295"/>
    <hyperlink r:id="rId737" ref="N295"/>
    <hyperlink r:id="rId738" ref="O295"/>
    <hyperlink r:id="rId739" ref="C296"/>
    <hyperlink r:id="rId740" location="english-proficiency-requirements" ref="N296"/>
    <hyperlink r:id="rId741" location="english-proficiency-requirements" ref="O296"/>
    <hyperlink r:id="rId742" ref="C297"/>
    <hyperlink r:id="rId743" location="english-proficiency-requirements" ref="N297"/>
    <hyperlink r:id="rId744" location="english-proficiency-requirements" ref="O297"/>
    <hyperlink r:id="rId745" ref="C298"/>
    <hyperlink r:id="rId746" location="english-proficiency-requirements" ref="N298"/>
    <hyperlink r:id="rId747" location="english-proficiency-requirements" ref="O298"/>
    <hyperlink r:id="rId748" ref="C299"/>
    <hyperlink r:id="rId749" location="english-proficiency-requirements" ref="N299"/>
    <hyperlink r:id="rId750" location="english-proficiency-requirements" ref="O299"/>
    <hyperlink r:id="rId751" ref="C300"/>
    <hyperlink r:id="rId752" location="english-proficiency-requirements" ref="N300"/>
    <hyperlink r:id="rId753" location="english-proficiency-requirements" ref="O300"/>
    <hyperlink r:id="rId754" ref="C301"/>
    <hyperlink r:id="rId755" location="english-proficiency-requirements" ref="N301"/>
    <hyperlink r:id="rId756" location="english-proficiency-requirements" ref="O301"/>
    <hyperlink r:id="rId757" ref="C302"/>
    <hyperlink r:id="rId758" location="english-proficiency-requirements" ref="N302"/>
    <hyperlink r:id="rId759" location="english-proficiency-requirements" ref="O302"/>
    <hyperlink r:id="rId760" ref="C303"/>
    <hyperlink r:id="rId761" ref="N303"/>
    <hyperlink r:id="rId762" ref="O303"/>
    <hyperlink r:id="rId763" ref="C304"/>
    <hyperlink r:id="rId764" ref="N304"/>
    <hyperlink r:id="rId765" ref="O304"/>
    <hyperlink r:id="rId766" ref="C305"/>
    <hyperlink r:id="rId767" ref="N305"/>
    <hyperlink r:id="rId768" ref="O305"/>
    <hyperlink r:id="rId769" ref="C306"/>
    <hyperlink r:id="rId770" ref="N306"/>
    <hyperlink r:id="rId771" ref="O306"/>
    <hyperlink r:id="rId772" ref="C307"/>
    <hyperlink r:id="rId773" ref="N307"/>
    <hyperlink r:id="rId774" ref="O307"/>
    <hyperlink r:id="rId775" ref="C308"/>
    <hyperlink r:id="rId776" ref="N308"/>
    <hyperlink r:id="rId777" ref="O308"/>
    <hyperlink r:id="rId778" ref="C309"/>
    <hyperlink r:id="rId779" ref="N309"/>
    <hyperlink r:id="rId780" ref="O309"/>
    <hyperlink r:id="rId781" ref="C310"/>
    <hyperlink r:id="rId782" ref="N310"/>
    <hyperlink r:id="rId783" ref="O310"/>
    <hyperlink r:id="rId784" ref="C311"/>
    <hyperlink r:id="rId785" location=":~:text=Must%20reach%20a%20minimum%20TOEFL,otherwise%20in%20the%20exchange%20agreement)." ref="N311"/>
    <hyperlink r:id="rId786" location=":~:text=Must%20reach%20a%20minimum%20TOEFL,otherwise%20in%20the%20exchange%20agreement)." ref="O311"/>
    <hyperlink r:id="rId787" ref="C312"/>
    <hyperlink r:id="rId788" location=":~:text=Must%20reach%20a%20minimum%20TOEFL,otherwise%20in%20the%20exchange%20agreement)." ref="N312"/>
    <hyperlink r:id="rId789" location=":~:text=Must%20reach%20a%20minimum%20TOEFL,otherwise%20in%20the%20exchange%20agreement)." ref="O312"/>
    <hyperlink r:id="rId790" ref="C313"/>
    <hyperlink r:id="rId791" location=":~:text=Must%20reach%20a%20minimum%20TOEFL,otherwise%20in%20the%20exchange%20agreement)." ref="N313"/>
    <hyperlink r:id="rId792" location=":~:text=Must%20reach%20a%20minimum%20TOEFL,otherwise%20in%20the%20exchange%20agreement)." ref="O313"/>
    <hyperlink r:id="rId793" ref="C314"/>
    <hyperlink r:id="rId794" ref="N314"/>
    <hyperlink r:id="rId795" ref="O314"/>
    <hyperlink r:id="rId796" ref="C315"/>
    <hyperlink r:id="rId797" ref="N315"/>
    <hyperlink r:id="rId798" ref="O315"/>
    <hyperlink r:id="rId799" ref="C316"/>
    <hyperlink r:id="rId800" ref="N316"/>
    <hyperlink r:id="rId801" ref="O316"/>
    <hyperlink r:id="rId802" ref="C317"/>
    <hyperlink r:id="rId803" location="TestScore" ref="N317"/>
    <hyperlink r:id="rId804" location="TestScore" ref="O317"/>
    <hyperlink r:id="rId805" ref="C318"/>
    <hyperlink r:id="rId806" location="TestScore" ref="N318"/>
    <hyperlink r:id="rId807" location="TestScore" ref="O318"/>
    <hyperlink r:id="rId808" ref="C319"/>
    <hyperlink r:id="rId809" location="TestScore" ref="N319"/>
    <hyperlink r:id="rId810" location="TestScore" ref="O319"/>
    <hyperlink r:id="rId811" ref="C320"/>
    <hyperlink r:id="rId812" location="TestScore" ref="N320"/>
    <hyperlink r:id="rId813" location="TestScore" ref="O320"/>
    <hyperlink r:id="rId814" ref="C321"/>
    <hyperlink r:id="rId815" location=":~:text=Language%3A%20If%20your%20native%20language,score%20for%20IELTS%20is%206.5." ref="N321"/>
    <hyperlink r:id="rId816" location=":~:text=Language%3A%20If%20your%20native%20language,score%20for%20IELTS%20is%206.5." ref="O321"/>
    <hyperlink r:id="rId817" ref="C322"/>
    <hyperlink r:id="rId818" location=":~:text=Language%3A%20If%20your%20native%20language,score%20for%20IELTS%20is%206.5." ref="N322"/>
    <hyperlink r:id="rId819" location=":~:text=Language%3A%20If%20your%20native%20language,score%20for%20IELTS%20is%206.5." ref="O322"/>
    <hyperlink r:id="rId820" ref="C323"/>
    <hyperlink r:id="rId821" ref="N323"/>
    <hyperlink r:id="rId822" ref="O323"/>
    <hyperlink r:id="rId823" ref="C324"/>
    <hyperlink r:id="rId824" ref="N324"/>
    <hyperlink r:id="rId825" ref="O324"/>
    <hyperlink r:id="rId826" ref="C325"/>
    <hyperlink r:id="rId827" ref="N325"/>
    <hyperlink r:id="rId828" ref="O325"/>
    <hyperlink r:id="rId829" ref="C326"/>
    <hyperlink r:id="rId830" ref="N326"/>
    <hyperlink r:id="rId831" ref="O326"/>
    <hyperlink r:id="rId832" ref="C327"/>
    <hyperlink r:id="rId833" ref="N327"/>
    <hyperlink r:id="rId834" ref="O327"/>
    <hyperlink r:id="rId835" ref="C328"/>
    <hyperlink r:id="rId836" ref="N328"/>
    <hyperlink r:id="rId837" ref="O328"/>
    <hyperlink r:id="rId838" ref="C329"/>
    <hyperlink r:id="rId839" ref="N329"/>
    <hyperlink r:id="rId840" ref="O329"/>
    <hyperlink r:id="rId841" ref="C330"/>
    <hyperlink r:id="rId842" ref="N330"/>
    <hyperlink r:id="rId843" ref="O330"/>
    <hyperlink r:id="rId844" ref="C331"/>
    <hyperlink r:id="rId845" ref="N331"/>
    <hyperlink r:id="rId846" ref="O331"/>
    <hyperlink r:id="rId847" ref="C332"/>
    <hyperlink r:id="rId848" ref="N332"/>
    <hyperlink r:id="rId849" ref="O332"/>
    <hyperlink r:id="rId850" ref="C333"/>
    <hyperlink r:id="rId851" ref="N333"/>
    <hyperlink r:id="rId852" ref="O333"/>
    <hyperlink r:id="rId853" ref="C334"/>
    <hyperlink r:id="rId854" ref="N334"/>
    <hyperlink r:id="rId855" ref="O334"/>
    <hyperlink r:id="rId856" ref="C335"/>
    <hyperlink r:id="rId857" ref="N335"/>
    <hyperlink r:id="rId858" ref="O335"/>
    <hyperlink r:id="rId859" ref="C336"/>
    <hyperlink r:id="rId860" ref="N336"/>
    <hyperlink r:id="rId861" ref="O336"/>
    <hyperlink r:id="rId862" ref="C337"/>
    <hyperlink r:id="rId863" ref="N337"/>
    <hyperlink r:id="rId864" ref="O337"/>
    <hyperlink r:id="rId865" ref="C338"/>
    <hyperlink r:id="rId866" ref="N338"/>
    <hyperlink r:id="rId867" ref="O338"/>
    <hyperlink r:id="rId868" ref="C339"/>
    <hyperlink r:id="rId869" ref="N339"/>
    <hyperlink r:id="rId870" ref="O339"/>
    <hyperlink r:id="rId871" ref="C340"/>
    <hyperlink r:id="rId872" ref="N340"/>
    <hyperlink r:id="rId873" ref="O340"/>
    <hyperlink r:id="rId874" ref="C341"/>
    <hyperlink r:id="rId875" location=":~:text=Exchange%20Student%20Program,be%20admitted%20as%20exchange%20students." ref="N341"/>
    <hyperlink r:id="rId876" location=":~:text=Exchange%20Student%20Program,be%20admitted%20as%20exchange%20students." ref="O341"/>
    <hyperlink r:id="rId877" ref="C342"/>
    <hyperlink r:id="rId878" ref="C343"/>
    <hyperlink r:id="rId879" location=":~:text=Exchange%20Student%20Program,be%20admitted%20as%20exchange%20students." ref="N343"/>
    <hyperlink r:id="rId880" location=":~:text=Exchange%20Student%20Program,be%20admitted%20as%20exchange%20students." ref="O343"/>
    <hyperlink r:id="rId881" ref="C344"/>
    <hyperlink r:id="rId882" ref="N344"/>
    <hyperlink r:id="rId883" ref="O344"/>
    <hyperlink r:id="rId884" ref="C345"/>
    <hyperlink r:id="rId885" ref="N345"/>
    <hyperlink r:id="rId886" ref="O345"/>
    <hyperlink r:id="rId887" ref="C346"/>
    <hyperlink r:id="rId888" ref="N346"/>
    <hyperlink r:id="rId889" ref="O346"/>
    <hyperlink r:id="rId890" ref="C347"/>
    <hyperlink r:id="rId891" ref="N347"/>
    <hyperlink r:id="rId892" ref="O347"/>
    <hyperlink r:id="rId893" ref="C348"/>
    <hyperlink r:id="rId894" ref="N348"/>
    <hyperlink r:id="rId895" ref="O348"/>
    <hyperlink r:id="rId896" ref="C349"/>
    <hyperlink r:id="rId897" ref="N349"/>
    <hyperlink r:id="rId898" ref="O349"/>
    <hyperlink r:id="rId899" ref="C350"/>
    <hyperlink r:id="rId900" ref="N350"/>
    <hyperlink r:id="rId901" ref="O350"/>
    <hyperlink r:id="rId902" ref="C351"/>
    <hyperlink r:id="rId903" ref="N351"/>
    <hyperlink r:id="rId904" ref="O351"/>
    <hyperlink r:id="rId905" ref="C352"/>
    <hyperlink r:id="rId906" ref="N352"/>
    <hyperlink r:id="rId907" ref="O352"/>
    <hyperlink r:id="rId908" ref="C353"/>
    <hyperlink r:id="rId909" ref="N353"/>
    <hyperlink r:id="rId910" ref="O353"/>
    <hyperlink r:id="rId911" ref="C354"/>
    <hyperlink r:id="rId912" ref="N354"/>
    <hyperlink r:id="rId913" ref="O354"/>
    <hyperlink r:id="rId914" ref="C355"/>
    <hyperlink r:id="rId915" ref="N355"/>
    <hyperlink r:id="rId916" ref="O355"/>
    <hyperlink r:id="rId917" ref="C356"/>
    <hyperlink r:id="rId918" ref="N356"/>
    <hyperlink r:id="rId919" ref="O356"/>
    <hyperlink r:id="rId920" ref="C357"/>
    <hyperlink r:id="rId921" ref="N357"/>
    <hyperlink r:id="rId922" ref="O357"/>
    <hyperlink r:id="rId923" ref="C358"/>
    <hyperlink r:id="rId924" ref="N358"/>
    <hyperlink r:id="rId925" ref="O358"/>
    <hyperlink r:id="rId926" ref="C360"/>
    <hyperlink r:id="rId927" ref="N360"/>
    <hyperlink r:id="rId928" ref="O360"/>
    <hyperlink r:id="rId929" ref="C361"/>
    <hyperlink r:id="rId930" ref="N361"/>
    <hyperlink r:id="rId931" ref="O361"/>
    <hyperlink r:id="rId932" ref="C362"/>
    <hyperlink r:id="rId933" ref="N362"/>
    <hyperlink r:id="rId934" ref="O362"/>
    <hyperlink r:id="rId935" ref="C363"/>
    <hyperlink r:id="rId936" ref="N363"/>
    <hyperlink r:id="rId937" ref="O363"/>
    <hyperlink r:id="rId938" ref="C364"/>
    <hyperlink r:id="rId939" ref="N364"/>
    <hyperlink r:id="rId940" ref="O364"/>
    <hyperlink r:id="rId941" ref="C365"/>
    <hyperlink r:id="rId942" ref="N365"/>
    <hyperlink r:id="rId943" ref="O365"/>
    <hyperlink r:id="rId944" ref="C366"/>
    <hyperlink r:id="rId945" ref="N366"/>
    <hyperlink r:id="rId946" ref="O366"/>
    <hyperlink r:id="rId947" ref="C367"/>
    <hyperlink r:id="rId948" ref="N367"/>
    <hyperlink r:id="rId949" ref="O367"/>
    <hyperlink r:id="rId950" ref="C368"/>
    <hyperlink r:id="rId951" ref="N368"/>
    <hyperlink r:id="rId952" ref="O368"/>
    <hyperlink r:id="rId953" ref="C369"/>
    <hyperlink r:id="rId954" ref="N369"/>
    <hyperlink r:id="rId955" ref="O369"/>
    <hyperlink r:id="rId956" ref="C370"/>
    <hyperlink r:id="rId957" ref="N370"/>
    <hyperlink r:id="rId958" ref="O370"/>
    <hyperlink r:id="rId959" ref="C371"/>
    <hyperlink r:id="rId960" ref="N371"/>
    <hyperlink r:id="rId961" ref="O371"/>
    <hyperlink r:id="rId962" ref="C372"/>
    <hyperlink r:id="rId963" ref="N372"/>
    <hyperlink r:id="rId964" ref="O372"/>
    <hyperlink r:id="rId965" ref="C373"/>
    <hyperlink r:id="rId966" location=":~:text=Fill%20out%20your%20application%20and%20upload%20all%20required%20enclosures%20to%20the%20system.&amp;text=CV-,Certificate%20of%20English%20Language%20Competence%3A%20Mandatory%20for%20all%20non%2Dnative,language%20test%20is%20not%20required." ref="N373"/>
    <hyperlink r:id="rId967" location=":~:text=Fill%20out%20your%20application%20and%20upload%20all%20required%20enclosures%20to%20the%20system.&amp;text=CV-,Certificate%20of%20English%20Language%20Competence%3A%20Mandatory%20for%20all%20non%2Dnative,language%20test%20is%20not%20required." ref="O373"/>
    <hyperlink r:id="rId968" ref="C374"/>
    <hyperlink r:id="rId969" location=":~:text=Fill%20out%20your%20application%20and%20upload%20all%20required%20enclosures%20to%20the%20system.&amp;text=CV-,Certificate%20of%20English%20Language%20Competence%3A%20Mandatory%20for%20all%20non%2Dnative,language%20test%20is%20not%20required." ref="N374"/>
    <hyperlink r:id="rId970" location=":~:text=Fill%20out%20your%20application%20and%20upload%20all%20required%20enclosures%20to%20the%20system.&amp;text=CV-,Certificate%20of%20English%20Language%20Competence%3A%20Mandatory%20for%20all%20non%2Dnative,language%20test%20is%20not%20required." ref="O374"/>
    <hyperlink r:id="rId971" ref="C375"/>
    <hyperlink r:id="rId972" location=":~:text=Fill%20out%20your%20application%20and%20upload%20all%20required%20enclosures%20to%20the%20system.&amp;text=CV-,Certificate%20of%20English%20Language%20Competence%3A%20Mandatory%20for%20all%20non%2Dnative,language%20test%20is%20not%20required." ref="N375"/>
    <hyperlink r:id="rId973" location=":~:text=Fill%20out%20your%20application%20and%20upload%20all%20required%20enclosures%20to%20the%20system.&amp;text=CV-,Certificate%20of%20English%20Language%20Competence%3A%20Mandatory%20for%20all%20non%2Dnative,language%20test%20is%20not%20required." ref="O375"/>
    <hyperlink r:id="rId974" ref="C376"/>
    <hyperlink r:id="rId975" ref="N376"/>
    <hyperlink r:id="rId976" ref="O376"/>
    <hyperlink r:id="rId977" ref="C377"/>
    <hyperlink r:id="rId978" ref="N377"/>
    <hyperlink r:id="rId979" ref="O377"/>
    <hyperlink r:id="rId980" ref="C378"/>
    <hyperlink r:id="rId981" ref="N378"/>
    <hyperlink r:id="rId982" ref="O378"/>
    <hyperlink r:id="rId983" ref="C379"/>
    <hyperlink r:id="rId984" ref="N379"/>
    <hyperlink r:id="rId985" ref="O379"/>
    <hyperlink r:id="rId986" ref="C380"/>
    <hyperlink r:id="rId987" ref="N380"/>
    <hyperlink r:id="rId988" ref="O380"/>
    <hyperlink r:id="rId989" ref="C381"/>
    <hyperlink r:id="rId990" ref="N381"/>
    <hyperlink r:id="rId991" ref="O381"/>
    <hyperlink r:id="rId992" ref="N382"/>
    <hyperlink r:id="rId993" ref="O382"/>
    <hyperlink r:id="rId994" ref="C383"/>
    <hyperlink r:id="rId995" ref="N383"/>
    <hyperlink r:id="rId996" ref="O383"/>
    <hyperlink r:id="rId997" ref="C384"/>
    <hyperlink r:id="rId998" location=":~:text=Language%20requirements,score%20is%20required%20(DELF)." ref="N384"/>
    <hyperlink r:id="rId999" location=":~:text=Language%20requirements,score%20is%20required%20(DELF)." ref="O384"/>
    <hyperlink r:id="rId1000" ref="C385"/>
    <hyperlink r:id="rId1001" location=":~:text=Language%20requirements,score%20is%20required%20(DELF)." ref="N385"/>
    <hyperlink r:id="rId1002" location=":~:text=Language%20requirements,score%20is%20required%20(DELF)." ref="O385"/>
    <hyperlink r:id="rId1003" ref="C386"/>
    <hyperlink r:id="rId1004" ref="N386"/>
    <hyperlink r:id="rId1005" ref="O386"/>
    <hyperlink r:id="rId1006" ref="C387"/>
    <hyperlink r:id="rId1007" ref="N387"/>
    <hyperlink r:id="rId1008" ref="O387"/>
    <hyperlink r:id="rId1009" ref="C388"/>
    <hyperlink r:id="rId1010" ref="C389"/>
    <hyperlink r:id="rId1011" ref="N389"/>
    <hyperlink r:id="rId1012" ref="O389"/>
    <hyperlink r:id="rId1013" ref="C390"/>
    <hyperlink r:id="rId1014" ref="N390"/>
    <hyperlink r:id="rId1015" ref="O390"/>
    <hyperlink r:id="rId1016" ref="C391"/>
    <hyperlink r:id="rId1017" ref="N391"/>
    <hyperlink r:id="rId1018" ref="O391"/>
    <hyperlink r:id="rId1019" ref="C392"/>
    <hyperlink r:id="rId1020" ref="N392"/>
    <hyperlink r:id="rId1021" ref="O392"/>
    <hyperlink r:id="rId1022" ref="C393"/>
    <hyperlink r:id="rId1023" ref="N393"/>
    <hyperlink r:id="rId1024" ref="O393"/>
    <hyperlink r:id="rId1025" ref="C394"/>
    <hyperlink r:id="rId1026" ref="N394"/>
    <hyperlink r:id="rId1027" ref="O394"/>
    <hyperlink r:id="rId1028" ref="C395"/>
    <hyperlink r:id="rId1029" ref="N395"/>
    <hyperlink r:id="rId1030" ref="O395"/>
    <hyperlink r:id="rId1031" ref="C396"/>
    <hyperlink r:id="rId1032" ref="N396"/>
    <hyperlink r:id="rId1033" ref="O396"/>
    <hyperlink r:id="rId1034" ref="C397"/>
    <hyperlink r:id="rId1035" ref="N397"/>
    <hyperlink r:id="rId1036" ref="O397"/>
    <hyperlink r:id="rId1037" ref="C398"/>
    <hyperlink r:id="rId1038" ref="N398"/>
    <hyperlink r:id="rId1039" ref="O398"/>
    <hyperlink r:id="rId1040" ref="C399"/>
    <hyperlink r:id="rId1041" ref="N399"/>
    <hyperlink r:id="rId1042" ref="O399"/>
    <hyperlink r:id="rId1043" ref="C400"/>
    <hyperlink r:id="rId1044" ref="N400"/>
    <hyperlink r:id="rId1045" ref="O400"/>
    <hyperlink r:id="rId1046" ref="C401"/>
    <hyperlink r:id="rId1047" ref="N401"/>
    <hyperlink r:id="rId1048" ref="O401"/>
    <hyperlink r:id="rId1049" ref="C402"/>
    <hyperlink r:id="rId1050" ref="N402"/>
    <hyperlink r:id="rId1051" ref="O402"/>
    <hyperlink r:id="rId1052" ref="C403"/>
    <hyperlink r:id="rId1053" location="demarches_pour_etudier_a_limayrac" ref="N403"/>
    <hyperlink r:id="rId1054" location="demarches_pour_etudier_a_limayrac" ref="O403"/>
    <hyperlink r:id="rId1055" ref="C404"/>
    <hyperlink r:id="rId1056" location="diplomeINT" ref="N404"/>
    <hyperlink r:id="rId1057" location="diplomeINT" ref="O404"/>
    <hyperlink r:id="rId1058" ref="C405"/>
    <hyperlink r:id="rId1059" location="diplomeINT" ref="N405"/>
    <hyperlink r:id="rId1060" location="diplomeINT" ref="O405"/>
    <hyperlink r:id="rId1061" ref="C406"/>
    <hyperlink r:id="rId1062" location="diplomeINT" ref="N406"/>
    <hyperlink r:id="rId1063" location="diplomeINT" ref="O406"/>
    <hyperlink r:id="rId1064" ref="C407"/>
    <hyperlink r:id="rId1065" ref="N407"/>
    <hyperlink r:id="rId1066" ref="O407"/>
    <hyperlink r:id="rId1067" ref="C408"/>
    <hyperlink r:id="rId1068" ref="N408"/>
    <hyperlink r:id="rId1069" ref="O408"/>
    <hyperlink r:id="rId1070" ref="C409"/>
    <hyperlink r:id="rId1071" ref="N409"/>
    <hyperlink r:id="rId1072" ref="O409"/>
    <hyperlink r:id="rId1073" ref="C410"/>
    <hyperlink r:id="rId1074" ref="N410"/>
    <hyperlink r:id="rId1075" ref="O410"/>
    <hyperlink r:id="rId1076" ref="C411"/>
    <hyperlink r:id="rId1077" ref="N411"/>
    <hyperlink r:id="rId1078" ref="O411"/>
    <hyperlink r:id="rId1079" ref="C412"/>
    <hyperlink r:id="rId1080" ref="N412"/>
    <hyperlink r:id="rId1081" ref="O412"/>
    <hyperlink r:id="rId1082" ref="C413"/>
    <hyperlink r:id="rId1083" ref="N413"/>
    <hyperlink r:id="rId1084" ref="O413"/>
    <hyperlink r:id="rId1085" ref="C414"/>
    <hyperlink r:id="rId1086" ref="N414"/>
    <hyperlink r:id="rId1087" ref="O414"/>
    <hyperlink r:id="rId1088" ref="C415"/>
    <hyperlink r:id="rId1089" ref="N415"/>
    <hyperlink r:id="rId1090" ref="O415"/>
    <hyperlink r:id="rId1091" ref="C416"/>
    <hyperlink r:id="rId1092" location="titre_2" ref="N416"/>
    <hyperlink r:id="rId1093" location="titre_2" ref="O416"/>
    <hyperlink r:id="rId1094" location="titre_2" ref="N417"/>
    <hyperlink r:id="rId1095" location="titre_2" ref="O417"/>
    <hyperlink r:id="rId1096" ref="C418"/>
    <hyperlink r:id="rId1097" location="titre_2" ref="N418"/>
    <hyperlink r:id="rId1098" location="titre_2" ref="O418"/>
    <hyperlink r:id="rId1099" ref="C419"/>
    <hyperlink r:id="rId1100" ref="N419"/>
    <hyperlink r:id="rId1101" ref="O419"/>
    <hyperlink r:id="rId1102" ref="C420"/>
    <hyperlink r:id="rId1103" ref="N420"/>
    <hyperlink r:id="rId1104" ref="O420"/>
    <hyperlink r:id="rId1105" ref="C421"/>
    <hyperlink r:id="rId1106" ref="N421"/>
    <hyperlink r:id="rId1107" ref="O421"/>
    <hyperlink r:id="rId1108" ref="C422"/>
    <hyperlink r:id="rId1109" ref="N422"/>
    <hyperlink r:id="rId1110" ref="O422"/>
    <hyperlink r:id="rId1111" ref="C423"/>
    <hyperlink r:id="rId1112" ref="N423"/>
    <hyperlink r:id="rId1113" ref="O423"/>
    <hyperlink r:id="rId1114" ref="C424"/>
    <hyperlink r:id="rId1115" ref="N424"/>
    <hyperlink r:id="rId1116" ref="O424"/>
    <hyperlink r:id="rId1117" ref="C425"/>
    <hyperlink r:id="rId1118" ref="N425"/>
    <hyperlink r:id="rId1119" ref="O425"/>
    <hyperlink r:id="rId1120" ref="C426"/>
    <hyperlink r:id="rId1121" location=":~:text=Do%20I%20need%20a%20French,a%20French%20Language%20Proficiency%20test." ref="N426"/>
    <hyperlink r:id="rId1122" location=":~:text=Do%20I%20need%20a%20French,a%20French%20Language%20Proficiency%20test." ref="O426"/>
    <hyperlink r:id="rId1123" ref="C427"/>
    <hyperlink r:id="rId1124" ref="N427"/>
    <hyperlink r:id="rId1125" ref="O427"/>
    <hyperlink r:id="rId1126" ref="C428"/>
    <hyperlink r:id="rId1127" ref="N428"/>
    <hyperlink r:id="rId1128" ref="O428"/>
    <hyperlink r:id="rId1129" ref="C429"/>
    <hyperlink r:id="rId1130" location=":~:text=The%20B1%20certificate%20is%20required,French%20as%20a%20Foreign%20Language" ref="N429"/>
    <hyperlink r:id="rId1131" location=":~:text=The%20B1%20certificate%20is%20required,French%20as%20a%20Foreign%20Language" ref="O429"/>
    <hyperlink r:id="rId1132" ref="C430"/>
    <hyperlink r:id="rId1133" location="titre_2" ref="N430"/>
    <hyperlink r:id="rId1134" location="titre_2" ref="O430"/>
    <hyperlink r:id="rId1135" ref="C431"/>
    <hyperlink r:id="rId1136" ref="N431"/>
    <hyperlink r:id="rId1137" ref="O431"/>
    <hyperlink r:id="rId1138" ref="C432"/>
    <hyperlink r:id="rId1139" ref="N432"/>
    <hyperlink r:id="rId1140" ref="O432"/>
    <hyperlink r:id="rId1141" ref="C433"/>
    <hyperlink r:id="rId1142" ref="N433"/>
    <hyperlink r:id="rId1143" ref="O433"/>
    <hyperlink r:id="rId1144" ref="C434"/>
    <hyperlink r:id="rId1145" ref="N434"/>
    <hyperlink r:id="rId1146" ref="O434"/>
    <hyperlink r:id="rId1147" ref="C435"/>
    <hyperlink r:id="rId1148" ref="N435"/>
    <hyperlink r:id="rId1149" ref="O435"/>
    <hyperlink r:id="rId1150" ref="C436"/>
    <hyperlink r:id="rId1151" location=":~:text=We%20generally%20require%20a%20B2,score%206%20score%20in%20IELTS." ref="N436"/>
    <hyperlink r:id="rId1152" location=":~:text=We%20generally%20require%20a%20B2,score%206%20score%20in%20IELTS." ref="O436"/>
    <hyperlink r:id="rId1153" ref="C437"/>
    <hyperlink r:id="rId1154" ref="N437"/>
    <hyperlink r:id="rId1155" ref="O437"/>
    <hyperlink r:id="rId1156" ref="C438"/>
    <hyperlink r:id="rId1157" ref="N438"/>
    <hyperlink r:id="rId1158" ref="O438"/>
    <hyperlink r:id="rId1159" ref="C439"/>
    <hyperlink r:id="rId1160" ref="N439"/>
    <hyperlink r:id="rId1161" ref="O439"/>
    <hyperlink r:id="rId1162" ref="C440"/>
    <hyperlink r:id="rId1163" ref="N440"/>
    <hyperlink r:id="rId1164" ref="O440"/>
    <hyperlink r:id="rId1165" ref="C441"/>
    <hyperlink r:id="rId1166" ref="N441"/>
    <hyperlink r:id="rId1167" ref="O441"/>
    <hyperlink r:id="rId1168" ref="C442"/>
    <hyperlink r:id="rId1169" ref="N442"/>
    <hyperlink r:id="rId1170" ref="O442"/>
    <hyperlink r:id="rId1171" ref="C443"/>
    <hyperlink r:id="rId1172" ref="N443"/>
    <hyperlink r:id="rId1173" ref="O443"/>
    <hyperlink r:id="rId1174" ref="C444"/>
    <hyperlink r:id="rId1175" ref="N444"/>
    <hyperlink r:id="rId1176" ref="O444"/>
    <hyperlink r:id="rId1177" ref="C445"/>
    <hyperlink r:id="rId1178" ref="N445"/>
    <hyperlink r:id="rId1179" ref="O445"/>
    <hyperlink r:id="rId1180" ref="C446"/>
    <hyperlink r:id="rId1181" ref="N446"/>
    <hyperlink r:id="rId1182" ref="O446"/>
    <hyperlink r:id="rId1183" ref="C447"/>
    <hyperlink r:id="rId1184" ref="N447"/>
    <hyperlink r:id="rId1185" ref="O447"/>
    <hyperlink r:id="rId1186" ref="C448"/>
    <hyperlink r:id="rId1187" ref="N448"/>
    <hyperlink r:id="rId1188" ref="O448"/>
    <hyperlink r:id="rId1189" ref="C449"/>
    <hyperlink r:id="rId1190" ref="N449"/>
    <hyperlink r:id="rId1191" ref="O449"/>
    <hyperlink r:id="rId1192" ref="C450"/>
    <hyperlink r:id="rId1193" ref="N450"/>
    <hyperlink r:id="rId1194" ref="O450"/>
    <hyperlink r:id="rId1195" ref="C451"/>
    <hyperlink r:id="rId1196" location=":~:text=Proof%20of%20Language%20Qualification%3A%20the,minimum%20B2%20level%20in%20English." ref="N451"/>
    <hyperlink r:id="rId1197" location=":~:text=Proof%20of%20Language%20Qualification%3A%20the,minimum%20B2%20level%20in%20English." ref="O451"/>
    <hyperlink r:id="rId1198" ref="C452"/>
    <hyperlink r:id="rId1199" location="accordion-item-1003" ref="N452"/>
    <hyperlink r:id="rId1200" location="accordion-item-1003" ref="O452"/>
    <hyperlink r:id="rId1201" ref="C453"/>
    <hyperlink r:id="rId1202" location=":~:text=At%20our%20institution%20the%20English,statement%20from%20the%20home%20institution!&amp;text=30%20November%20for%20the%20second%20semester." ref="N453"/>
    <hyperlink r:id="rId1203" location=":~:text=At%20our%20institution%20the%20English,statement%20from%20the%20home%20institution!&amp;text=30%20November%20for%20the%20second%20semester." ref="O453"/>
    <hyperlink r:id="rId1204" ref="C454"/>
    <hyperlink r:id="rId1205" location=":~:text=At%20our%20institution%20the%20English,statement%20from%20the%20home%20institution!&amp;text=30%20November%20for%20the%20second%20semester." ref="N454"/>
    <hyperlink r:id="rId1206" location=":~:text=At%20our%20institution%20the%20English,statement%20from%20the%20home%20institution!&amp;text=30%20November%20for%20the%20second%20semester." ref="O454"/>
    <hyperlink r:id="rId1207" ref="C455"/>
    <hyperlink r:id="rId1208" ref="N455"/>
    <hyperlink r:id="rId1209" ref="O455"/>
    <hyperlink r:id="rId1210" ref="C456"/>
    <hyperlink r:id="rId1211" ref="N456"/>
    <hyperlink r:id="rId1212" ref="O456"/>
    <hyperlink r:id="rId1213" ref="C457"/>
    <hyperlink r:id="rId1214" ref="N457"/>
    <hyperlink r:id="rId1215" ref="O457"/>
    <hyperlink r:id="rId1216" ref="C458"/>
    <hyperlink r:id="rId1217" ref="N459"/>
    <hyperlink r:id="rId1218" ref="O459"/>
    <hyperlink r:id="rId1219" ref="N460"/>
    <hyperlink r:id="rId1220" ref="O460"/>
    <hyperlink r:id="rId1221" ref="C461"/>
    <hyperlink r:id="rId1222" ref="N461"/>
    <hyperlink r:id="rId1223" ref="O461"/>
    <hyperlink r:id="rId1224" ref="C462"/>
    <hyperlink r:id="rId1225" ref="N462"/>
    <hyperlink r:id="rId1226" ref="O462"/>
    <hyperlink r:id="rId1227" ref="C463"/>
    <hyperlink r:id="rId1228" ref="N463"/>
    <hyperlink r:id="rId1229" ref="O463"/>
    <hyperlink r:id="rId1230" ref="C464"/>
    <hyperlink r:id="rId1231" ref="N464"/>
    <hyperlink r:id="rId1232" ref="O464"/>
    <hyperlink r:id="rId1233" ref="C465"/>
    <hyperlink r:id="rId1234" ref="N465"/>
    <hyperlink r:id="rId1235" ref="O465"/>
    <hyperlink r:id="rId1236" ref="C466"/>
    <hyperlink r:id="rId1237" ref="N466"/>
    <hyperlink r:id="rId1238" ref="O466"/>
    <hyperlink r:id="rId1239" ref="C467"/>
    <hyperlink r:id="rId1240" ref="N467"/>
    <hyperlink r:id="rId1241" ref="O467"/>
    <hyperlink r:id="rId1242" ref="C468"/>
    <hyperlink r:id="rId1243" ref="N468"/>
    <hyperlink r:id="rId1244" ref="O468"/>
    <hyperlink r:id="rId1245" ref="C469"/>
    <hyperlink r:id="rId1246" location="english-language-proficiency" ref="N469"/>
    <hyperlink r:id="rId1247" location="english-language-proficiency" ref="O469"/>
    <hyperlink r:id="rId1248" ref="C470"/>
    <hyperlink r:id="rId1249" location="english-language-proficiency" ref="N470"/>
    <hyperlink r:id="rId1250" location="english-language-proficiency" ref="O470"/>
    <hyperlink r:id="rId1251" ref="C471"/>
    <hyperlink r:id="rId1252" location="english-language-proficiency" ref="N471"/>
    <hyperlink r:id="rId1253" location="english-language-proficiency" ref="O471"/>
    <hyperlink r:id="rId1254" ref="C472"/>
    <hyperlink r:id="rId1255" location="english-language-proficiency" ref="N472"/>
    <hyperlink r:id="rId1256" location="english-language-proficiency" ref="O472"/>
    <hyperlink r:id="rId1257" ref="C473"/>
    <hyperlink r:id="rId1258" location="english-language-proficiency" ref="N473"/>
    <hyperlink r:id="rId1259" location="english-language-proficiency" ref="O473"/>
    <hyperlink r:id="rId1260" ref="C474"/>
    <hyperlink r:id="rId1261" ref="N474"/>
    <hyperlink r:id="rId1262" ref="O474"/>
    <hyperlink r:id="rId1263" ref="C475"/>
    <hyperlink r:id="rId1264" ref="N475"/>
    <hyperlink r:id="rId1265" ref="O475"/>
    <hyperlink r:id="rId1266" ref="C476"/>
    <hyperlink r:id="rId1267" ref="N476"/>
    <hyperlink r:id="rId1268" ref="O476"/>
    <hyperlink r:id="rId1269" ref="C477"/>
    <hyperlink r:id="rId1270" location="tab4" ref="N477"/>
    <hyperlink r:id="rId1271" location="tab4" ref="O477"/>
    <hyperlink display="University of Limerick" location="'Consulta de requisito de idioma'!A1" ref="C478"/>
    <hyperlink r:id="rId1272" ref="N478"/>
    <hyperlink r:id="rId1273" ref="O478"/>
    <hyperlink r:id="rId1274" ref="C479"/>
    <hyperlink r:id="rId1275" ref="N479"/>
    <hyperlink r:id="rId1276" ref="O479"/>
    <hyperlink r:id="rId1277" ref="C480"/>
    <hyperlink r:id="rId1278" ref="N480"/>
    <hyperlink r:id="rId1279" ref="O480"/>
    <hyperlink r:id="rId1280" ref="C481"/>
    <hyperlink r:id="rId1281" ref="N481"/>
    <hyperlink r:id="rId1282" ref="O481"/>
    <hyperlink r:id="rId1283" ref="C482"/>
    <hyperlink r:id="rId1284" ref="N482"/>
    <hyperlink r:id="rId1285" ref="O482"/>
    <hyperlink r:id="rId1286" ref="C483"/>
    <hyperlink r:id="rId1287" ref="N483"/>
    <hyperlink r:id="rId1288" ref="O483"/>
    <hyperlink r:id="rId1289" ref="C484"/>
    <hyperlink r:id="rId1290" ref="N484"/>
    <hyperlink r:id="rId1291" ref="O484"/>
    <hyperlink r:id="rId1292" ref="C485"/>
    <hyperlink r:id="rId1293" ref="N485"/>
    <hyperlink r:id="rId1294" ref="O485"/>
    <hyperlink r:id="rId1295" ref="C486"/>
    <hyperlink r:id="rId1296" ref="N486"/>
    <hyperlink r:id="rId1297" ref="O486"/>
    <hyperlink r:id="rId1298" ref="C487"/>
    <hyperlink r:id="rId1299" ref="N487"/>
    <hyperlink r:id="rId1300" ref="O487"/>
    <hyperlink r:id="rId1301" ref="C488"/>
    <hyperlink r:id="rId1302" ref="N488"/>
    <hyperlink r:id="rId1303" ref="O488"/>
    <hyperlink r:id="rId1304" ref="C489"/>
    <hyperlink r:id="rId1305" ref="N489"/>
    <hyperlink r:id="rId1306" ref="O489"/>
    <hyperlink r:id="rId1307" ref="C490"/>
    <hyperlink r:id="rId1308" ref="N490"/>
    <hyperlink r:id="rId1309" ref="O490"/>
    <hyperlink r:id="rId1310" ref="C491"/>
    <hyperlink r:id="rId1311" ref="N491"/>
    <hyperlink r:id="rId1312" ref="O491"/>
    <hyperlink r:id="rId1313" ref="C492"/>
    <hyperlink r:id="rId1314" ref="N492"/>
    <hyperlink r:id="rId1315" ref="O492"/>
    <hyperlink r:id="rId1316" ref="C493"/>
    <hyperlink r:id="rId1317" ref="N493"/>
    <hyperlink r:id="rId1318" ref="O493"/>
    <hyperlink r:id="rId1319" ref="C494"/>
    <hyperlink r:id="rId1320" ref="N494"/>
    <hyperlink r:id="rId1321" ref="O494"/>
    <hyperlink r:id="rId1322" ref="N495"/>
    <hyperlink r:id="rId1323" ref="O495"/>
    <hyperlink r:id="rId1324" ref="C496"/>
    <hyperlink r:id="rId1325" ref="N496"/>
    <hyperlink r:id="rId1326" ref="O496"/>
    <hyperlink r:id="rId1327" ref="C497"/>
    <hyperlink r:id="rId1328" ref="N497"/>
    <hyperlink r:id="rId1329" ref="O497"/>
    <hyperlink r:id="rId1330" ref="C498"/>
    <hyperlink r:id="rId1331" ref="N498"/>
    <hyperlink r:id="rId1332" ref="O498"/>
    <hyperlink r:id="rId1333" ref="C499"/>
    <hyperlink r:id="rId1334" ref="N499"/>
    <hyperlink r:id="rId1335" ref="O499"/>
    <hyperlink r:id="rId1336" ref="C500"/>
    <hyperlink r:id="rId1337" ref="N500"/>
    <hyperlink r:id="rId1338" ref="O500"/>
    <hyperlink r:id="rId1339" ref="C501"/>
    <hyperlink r:id="rId1340" ref="N501"/>
    <hyperlink r:id="rId1341" ref="O501"/>
    <hyperlink r:id="rId1342" ref="C502"/>
    <hyperlink r:id="rId1343" location=":~:text=TOEFL%20score%20of%2079%20iBT,English%20at%20their%20home%20institution." ref="N502"/>
    <hyperlink r:id="rId1344" location=":~:text=TOEFL%20score%20of%2079%20iBT,English%20at%20their%20home%20institution." ref="O502"/>
    <hyperlink r:id="rId1345" ref="C503"/>
    <hyperlink r:id="rId1346" ref="N503"/>
    <hyperlink r:id="rId1347" ref="O503"/>
    <hyperlink r:id="rId1348" ref="C504"/>
    <hyperlink r:id="rId1349" ref="N504"/>
    <hyperlink r:id="rId1350" ref="O504"/>
    <hyperlink r:id="rId1351" ref="C505"/>
    <hyperlink r:id="rId1352" ref="N505"/>
    <hyperlink r:id="rId1353" ref="O505"/>
    <hyperlink r:id="rId1354" ref="C506"/>
    <hyperlink r:id="rId1355" ref="N506"/>
    <hyperlink r:id="rId1356" ref="O506"/>
    <hyperlink r:id="rId1357" ref="C507"/>
    <hyperlink r:id="rId1358" ref="N507"/>
    <hyperlink r:id="rId1359" ref="O507"/>
    <hyperlink r:id="rId1360" ref="C508"/>
    <hyperlink r:id="rId1361" ref="N508"/>
    <hyperlink r:id="rId1362" ref="O508"/>
    <hyperlink r:id="rId1363" ref="C509"/>
    <hyperlink r:id="rId1364" ref="N509"/>
    <hyperlink r:id="rId1365" ref="O509"/>
    <hyperlink r:id="rId1366" ref="C510"/>
    <hyperlink r:id="rId1367" location="admissioncriteria" ref="N510"/>
    <hyperlink r:id="rId1368" location="admissioncriteria" ref="O510"/>
    <hyperlink r:id="rId1369" ref="C511"/>
    <hyperlink r:id="rId1370" location="admissioncriteria" ref="N511"/>
    <hyperlink r:id="rId1371" location="admissioncriteria" ref="O511"/>
    <hyperlink r:id="rId1372" ref="C512"/>
    <hyperlink r:id="rId1373" location="admissioncriteria" ref="N512"/>
    <hyperlink r:id="rId1374" location="admissioncriteria" ref="O512"/>
    <hyperlink r:id="rId1375" ref="C513"/>
    <hyperlink r:id="rId1376" ref="N513"/>
    <hyperlink r:id="rId1377" ref="O513"/>
    <hyperlink r:id="rId1378" ref="C514"/>
    <hyperlink r:id="rId1379" ref="N514"/>
    <hyperlink r:id="rId1380" ref="O514"/>
    <hyperlink r:id="rId1381" ref="C515"/>
    <hyperlink r:id="rId1382" ref="N515"/>
    <hyperlink r:id="rId1383" ref="O515"/>
    <hyperlink r:id="rId1384" ref="C516"/>
    <hyperlink r:id="rId1385" ref="N516"/>
    <hyperlink r:id="rId1386" ref="O516"/>
    <hyperlink r:id="rId1387" ref="C517"/>
    <hyperlink r:id="rId1388" ref="N517"/>
    <hyperlink r:id="rId1389" ref="O517"/>
    <hyperlink r:id="rId1390" ref="C518"/>
    <hyperlink r:id="rId1391" ref="N518"/>
    <hyperlink r:id="rId1392" ref="O518"/>
    <hyperlink r:id="rId1393" ref="C519"/>
    <hyperlink r:id="rId1394" ref="N519"/>
    <hyperlink r:id="rId1395" ref="O519"/>
    <hyperlink r:id="rId1396" ref="C520"/>
    <hyperlink r:id="rId1397" ref="N520"/>
    <hyperlink r:id="rId1398" ref="O520"/>
    <hyperlink r:id="rId1399" ref="C521"/>
    <hyperlink r:id="rId1400" ref="N521"/>
    <hyperlink r:id="rId1401" ref="O521"/>
    <hyperlink r:id="rId1402" ref="C522"/>
    <hyperlink r:id="rId1403" location=":~:text=The%20Italian%20language%20proficiency%20(at,stated%20in%20the%20relevant%20agreement." ref="N522"/>
    <hyperlink r:id="rId1404" location=":~:text=The%20Italian%20language%20proficiency%20(at,stated%20in%20the%20relevant%20agreement." ref="O522"/>
    <hyperlink r:id="rId1405" ref="C523"/>
    <hyperlink r:id="rId1406" location=":~:text=The%20Italian%20language%20proficiency%20(at,stated%20in%20the%20relevant%20agreement." ref="N523"/>
    <hyperlink r:id="rId1407" location=":~:text=The%20Italian%20language%20proficiency%20(at,stated%20in%20the%20relevant%20agreement." ref="O523"/>
    <hyperlink r:id="rId1408" ref="C524"/>
    <hyperlink r:id="rId1409" location=":~:text=The%20Italian%20language%20proficiency%20(at,stated%20in%20the%20relevant%20agreement." ref="N524"/>
    <hyperlink r:id="rId1410" location=":~:text=The%20Italian%20language%20proficiency%20(at,stated%20in%20the%20relevant%20agreement." ref="O524"/>
    <hyperlink r:id="rId1411" ref="C525"/>
    <hyperlink r:id="rId1412" ref="N525"/>
    <hyperlink r:id="rId1413" ref="O525"/>
    <hyperlink r:id="rId1414" ref="C526"/>
    <hyperlink r:id="rId1415" ref="N526"/>
    <hyperlink r:id="rId1416" ref="O526"/>
    <hyperlink r:id="rId1417" ref="C527"/>
    <hyperlink r:id="rId1418" ref="N527"/>
    <hyperlink r:id="rId1419" ref="O527"/>
    <hyperlink r:id="rId1420" ref="C528"/>
    <hyperlink r:id="rId1421" ref="N528"/>
    <hyperlink r:id="rId1422" ref="O528"/>
    <hyperlink r:id="rId1423" ref="C529"/>
    <hyperlink r:id="rId1424" ref="N529"/>
    <hyperlink r:id="rId1425" ref="O529"/>
    <hyperlink r:id="rId1426" ref="C530"/>
    <hyperlink r:id="rId1427" ref="N530"/>
    <hyperlink r:id="rId1428" ref="O530"/>
    <hyperlink r:id="rId1429" ref="C531"/>
    <hyperlink r:id="rId1430" ref="N531"/>
    <hyperlink r:id="rId1431" ref="O531"/>
    <hyperlink r:id="rId1432" ref="C532"/>
    <hyperlink r:id="rId1433" ref="N532"/>
    <hyperlink r:id="rId1434" ref="O532"/>
    <hyperlink r:id="rId1435" ref="C533"/>
    <hyperlink r:id="rId1436" ref="N533"/>
    <hyperlink r:id="rId1437" ref="O533"/>
    <hyperlink r:id="rId1438" ref="C534"/>
    <hyperlink r:id="rId1439" ref="N534"/>
    <hyperlink r:id="rId1440" ref="O534"/>
    <hyperlink r:id="rId1441" ref="C535"/>
    <hyperlink r:id="rId1442" ref="N535"/>
    <hyperlink r:id="rId1443" ref="O535"/>
    <hyperlink r:id="rId1444" ref="C536"/>
    <hyperlink r:id="rId1445" ref="N536"/>
    <hyperlink r:id="rId1446" ref="O536"/>
    <hyperlink r:id="rId1447" ref="C537"/>
    <hyperlink r:id="rId1448" ref="N537"/>
    <hyperlink r:id="rId1449" ref="O537"/>
    <hyperlink r:id="rId1450" ref="C538"/>
    <hyperlink r:id="rId1451" ref="N538"/>
    <hyperlink r:id="rId1452" ref="O538"/>
    <hyperlink r:id="rId1453" ref="C539"/>
    <hyperlink r:id="rId1454" ref="N539"/>
    <hyperlink r:id="rId1455" ref="O539"/>
    <hyperlink r:id="rId1456" ref="C540"/>
    <hyperlink r:id="rId1457" ref="N540"/>
    <hyperlink r:id="rId1458" ref="O540"/>
    <hyperlink r:id="rId1459" ref="C541"/>
    <hyperlink r:id="rId1460" ref="N541"/>
    <hyperlink r:id="rId1461" ref="O541"/>
    <hyperlink r:id="rId1462" ref="C542"/>
    <hyperlink r:id="rId1463" location=":~:text=Language%20of%20teaching%20Italian%20or,a%20B1%20level%20of%20English.&amp;text=Usual%20work%20load%20(yearly%20or,your%20registration%20here%20in%20Cagliari." ref="N542"/>
    <hyperlink r:id="rId1464" location=":~:text=Language%20of%20teaching%20Italian%20or,a%20B1%20level%20of%20English.&amp;text=Usual%20work%20load%20(yearly%20or,your%20registration%20here%20in%20Cagliari." ref="O542"/>
    <hyperlink r:id="rId1465" ref="C543"/>
    <hyperlink r:id="rId1466" ref="N543"/>
    <hyperlink r:id="rId1467" ref="O543"/>
    <hyperlink r:id="rId1468" ref="C544"/>
    <hyperlink r:id="rId1469" ref="N544"/>
    <hyperlink r:id="rId1470" ref="O544"/>
    <hyperlink r:id="rId1471" ref="C545"/>
    <hyperlink r:id="rId1472" ref="N545"/>
    <hyperlink r:id="rId1473" ref="O545"/>
    <hyperlink r:id="rId1474" ref="C546"/>
    <hyperlink r:id="rId1475" ref="N546"/>
    <hyperlink r:id="rId1476" ref="O546"/>
    <hyperlink r:id="rId1477" ref="C547"/>
    <hyperlink r:id="rId1478" ref="N547"/>
    <hyperlink r:id="rId1479" ref="O547"/>
    <hyperlink r:id="rId1480" ref="C548"/>
    <hyperlink r:id="rId1481" ref="N548"/>
    <hyperlink r:id="rId1482" ref="O548"/>
    <hyperlink r:id="rId1483" ref="C549"/>
    <hyperlink r:id="rId1484" ref="N549"/>
    <hyperlink r:id="rId1485" ref="O549"/>
    <hyperlink r:id="rId1486" ref="C550"/>
    <hyperlink r:id="rId1487" ref="N550"/>
    <hyperlink r:id="rId1488" ref="O550"/>
    <hyperlink r:id="rId1489" ref="C551"/>
    <hyperlink r:id="rId1490" ref="N551"/>
    <hyperlink r:id="rId1491" ref="O551"/>
    <hyperlink r:id="rId1492" ref="C552"/>
    <hyperlink r:id="rId1493" ref="N552"/>
    <hyperlink r:id="rId1494" ref="O552"/>
    <hyperlink r:id="rId1495" ref="C553"/>
    <hyperlink r:id="rId1496" ref="N553"/>
    <hyperlink r:id="rId1497" ref="O553"/>
    <hyperlink r:id="rId1498" ref="C554"/>
    <hyperlink r:id="rId1499" ref="N554"/>
    <hyperlink r:id="rId1500" ref="O554"/>
    <hyperlink r:id="rId1501" ref="C555"/>
    <hyperlink r:id="rId1502" ref="N555"/>
    <hyperlink r:id="rId1503" ref="O555"/>
    <hyperlink r:id="rId1504" ref="C556"/>
    <hyperlink r:id="rId1505" ref="N556"/>
    <hyperlink r:id="rId1506" ref="O556"/>
    <hyperlink r:id="rId1507" ref="C557"/>
    <hyperlink r:id="rId1508" location=":~:text=Eligibility%20criteria%3A&amp;text=B%20(3.0)%2F%20IELTS%206,above%20(out%20of%204.33)%3B" ref="N557"/>
    <hyperlink r:id="rId1509" location=":~:text=Eligibility%20criteria%3A&amp;text=B%20(3.0)%2F%20IELTS%206,above%20(out%20of%204.33)%3B" ref="O557"/>
    <hyperlink r:id="rId1510" ref="C558"/>
    <hyperlink r:id="rId1511" ref="N558"/>
    <hyperlink r:id="rId1512" ref="O558"/>
    <hyperlink r:id="rId1513" ref="C559"/>
    <hyperlink r:id="rId1514" ref="N559"/>
    <hyperlink r:id="rId1515" ref="O559"/>
    <hyperlink r:id="rId1516" ref="C560"/>
    <hyperlink r:id="rId1517" ref="N560"/>
    <hyperlink r:id="rId1518" ref="O560"/>
    <hyperlink r:id="rId1519" ref="C561"/>
    <hyperlink r:id="rId1520" ref="N561"/>
    <hyperlink r:id="rId1521" ref="O561"/>
    <hyperlink r:id="rId1522" ref="C562"/>
    <hyperlink r:id="rId1523" ref="N562"/>
    <hyperlink r:id="rId1524" ref="O562"/>
    <hyperlink r:id="rId1525" ref="C563"/>
    <hyperlink r:id="rId1526" ref="N563"/>
    <hyperlink r:id="rId1527" ref="O563"/>
    <hyperlink r:id="rId1528" ref="C564"/>
    <hyperlink r:id="rId1529" ref="N564"/>
    <hyperlink r:id="rId1530" ref="O564"/>
    <hyperlink r:id="rId1531" ref="C565"/>
    <hyperlink r:id="rId1532" location="application" ref="N565"/>
    <hyperlink r:id="rId1533" location="application" ref="O565"/>
    <hyperlink r:id="rId1534" ref="C566"/>
    <hyperlink r:id="rId1535" location="application" ref="N566"/>
    <hyperlink r:id="rId1536" location="application" ref="O566"/>
    <hyperlink r:id="rId1537" ref="C567"/>
    <hyperlink r:id="rId1538" location="application" ref="N567"/>
    <hyperlink r:id="rId1539" location="application" ref="O567"/>
    <hyperlink r:id="rId1540" ref="C568"/>
    <hyperlink r:id="rId1541" location=":~:text=English%20language%20requirements,3%2C%20LanguageCert%20IESOL%20B1%20Achiever." ref="N568"/>
    <hyperlink r:id="rId1542" location=":~:text=English%20language%20requirements,3%2C%20LanguageCert%20IESOL%20B1%20Achiever." ref="O568"/>
    <hyperlink r:id="rId1543" ref="C569"/>
    <hyperlink r:id="rId1544" location=":~:text=English%20language%20requirements,3%2C%20LanguageCert%20IESOL%20B1%20Achiever." ref="N569"/>
    <hyperlink r:id="rId1545" location=":~:text=English%20language%20requirements,3%2C%20LanguageCert%20IESOL%20B1%20Achiever." ref="O569"/>
    <hyperlink r:id="rId1546" location=":~:text=We%20offer%20Bachelor%20level%20courses,to%20the%20European%20language%20levels." ref="N570"/>
    <hyperlink r:id="rId1547" location=":~:text=We%20offer%20Bachelor%20level%20courses,to%20the%20European%20language%20levels." ref="O570"/>
    <hyperlink r:id="rId1548" ref="C571"/>
    <hyperlink r:id="rId1549" location=":~:text=We%20offer%20Bachelor%20level%20courses,at%20the%20SMK%20Vilnius%20branch." ref="N571"/>
    <hyperlink r:id="rId1550" ref="C572"/>
    <hyperlink r:id="rId1551" location=":~:text=We%20offer%20Bachelor%20level%20courses,at%20the%20SMK%20Vilnius%20branch." ref="N572"/>
    <hyperlink r:id="rId1552" ref="C573"/>
    <hyperlink r:id="rId1553" ref="N573"/>
    <hyperlink r:id="rId1554" ref="C574"/>
    <hyperlink r:id="rId1555" location=":~:text=TOEFL%20(Test%20of%20English%20as,Reading%2C%20Writing)%3A%20Communicator%20B2." ref="N574"/>
    <hyperlink r:id="rId1556" ref="C575"/>
    <hyperlink r:id="rId1557" location=":~:text=TOEFL%20(Test%20of%20English%20as,Reading%2C%20Writing)%3A%20Communicator%20B2." ref="N575"/>
    <hyperlink r:id="rId1558" ref="C576"/>
    <hyperlink r:id="rId1559" ref="N576"/>
    <hyperlink r:id="rId1560" ref="O576"/>
    <hyperlink r:id="rId1561" ref="C577"/>
    <hyperlink r:id="rId1562" location=":~:text=Exchange%20students%20must%20demonstrate%20a,original%20signature%20and%20stamp%2Fseal" ref="N577"/>
    <hyperlink r:id="rId1563" location=":~:text=Exchange%20students%20must%20demonstrate%20a,original%20signature%20and%20stamp%2Fseal" ref="O577"/>
    <hyperlink r:id="rId1564" ref="C578"/>
    <hyperlink r:id="rId1565" ref="N578"/>
    <hyperlink r:id="rId1566" ref="O578"/>
    <hyperlink r:id="rId1567" ref="C579"/>
    <hyperlink r:id="rId1568" ref="N579"/>
    <hyperlink r:id="rId1569" ref="O579"/>
    <hyperlink r:id="rId1570" ref="C580"/>
    <hyperlink r:id="rId1571" ref="N580"/>
    <hyperlink r:id="rId1572" ref="O580"/>
    <hyperlink r:id="rId1573" ref="C581"/>
    <hyperlink r:id="rId1574" location="tab2" ref="N581"/>
    <hyperlink r:id="rId1575" ref="C582"/>
    <hyperlink r:id="rId1576" ref="N582"/>
    <hyperlink r:id="rId1577" ref="C583"/>
    <hyperlink r:id="rId1578" ref="C584"/>
    <hyperlink r:id="rId1579" ref="N584"/>
    <hyperlink r:id="rId1580" ref="N585"/>
    <hyperlink r:id="rId1581" ref="C586"/>
    <hyperlink r:id="rId1582" ref="N586"/>
    <hyperlink r:id="rId1583" ref="C587"/>
    <hyperlink r:id="rId1584" ref="N587"/>
    <hyperlink r:id="rId1585" ref="C588"/>
    <hyperlink r:id="rId1586" ref="N588"/>
    <hyperlink r:id="rId1587" ref="C589"/>
    <hyperlink r:id="rId1588" ref="N589"/>
    <hyperlink r:id="rId1589" ref="N590"/>
    <hyperlink r:id="rId1590" ref="N591"/>
    <hyperlink r:id="rId1591" ref="C592"/>
    <hyperlink r:id="rId1592" ref="N592"/>
    <hyperlink r:id="rId1593" ref="C593"/>
    <hyperlink r:id="rId1594" ref="C594"/>
    <hyperlink r:id="rId1595" ref="C595"/>
    <hyperlink r:id="rId1596" ref="N595"/>
    <hyperlink r:id="rId1597" ref="C596"/>
    <hyperlink r:id="rId1598" ref="N596"/>
    <hyperlink r:id="rId1599" ref="C597"/>
    <hyperlink r:id="rId1600" ref="C598"/>
    <hyperlink r:id="rId1601" ref="C599"/>
    <hyperlink r:id="rId1602" ref="O599"/>
    <hyperlink r:id="rId1603" ref="C600"/>
    <hyperlink r:id="rId1604" ref="O600"/>
    <hyperlink r:id="rId1605" ref="C601"/>
    <hyperlink r:id="rId1606" ref="N601"/>
    <hyperlink r:id="rId1607" ref="O601"/>
    <hyperlink r:id="rId1608" ref="C602"/>
    <hyperlink r:id="rId1609" ref="N602"/>
    <hyperlink r:id="rId1610" ref="O602"/>
    <hyperlink r:id="rId1611" ref="C603"/>
    <hyperlink r:id="rId1612" ref="O603"/>
    <hyperlink r:id="rId1613" ref="C604"/>
    <hyperlink r:id="rId1614" ref="O604"/>
    <hyperlink r:id="rId1615" ref="C605"/>
    <hyperlink r:id="rId1616" ref="N605"/>
    <hyperlink r:id="rId1617" ref="O605"/>
    <hyperlink r:id="rId1618" ref="C606"/>
    <hyperlink r:id="rId1619" ref="O606"/>
    <hyperlink r:id="rId1620" ref="C607"/>
    <hyperlink r:id="rId1621" ref="N607"/>
    <hyperlink r:id="rId1622" ref="O607"/>
    <hyperlink r:id="rId1623" ref="C608"/>
    <hyperlink r:id="rId1624" ref="N608"/>
    <hyperlink r:id="rId1625" ref="O608"/>
    <hyperlink r:id="rId1626" ref="C609"/>
    <hyperlink r:id="rId1627" ref="O609"/>
    <hyperlink r:id="rId1628" ref="C610"/>
    <hyperlink r:id="rId1629" ref="O610"/>
    <hyperlink r:id="rId1630" ref="C611"/>
    <hyperlink r:id="rId1631" ref="N611"/>
    <hyperlink r:id="rId1632" ref="O611"/>
    <hyperlink r:id="rId1633" ref="C612"/>
    <hyperlink r:id="rId1634" ref="O612"/>
    <hyperlink r:id="rId1635" ref="C613"/>
    <hyperlink r:id="rId1636" ref="N613"/>
    <hyperlink r:id="rId1637" ref="O613"/>
    <hyperlink r:id="rId1638" ref="C614"/>
    <hyperlink r:id="rId1639" ref="N614"/>
    <hyperlink r:id="rId1640" ref="O614"/>
    <hyperlink r:id="rId1641" ref="C615"/>
    <hyperlink r:id="rId1642" ref="C616"/>
    <hyperlink r:id="rId1643" ref="N616"/>
    <hyperlink r:id="rId1644" ref="O616"/>
    <hyperlink r:id="rId1645" ref="C617"/>
    <hyperlink r:id="rId1646" ref="N617"/>
    <hyperlink r:id="rId1647" ref="O617"/>
    <hyperlink r:id="rId1648" ref="C618"/>
    <hyperlink r:id="rId1649" ref="C619"/>
    <hyperlink r:id="rId1650" ref="N619"/>
    <hyperlink r:id="rId1651" ref="O619"/>
    <hyperlink r:id="rId1652" ref="C620"/>
    <hyperlink r:id="rId1653" ref="O620"/>
    <hyperlink r:id="rId1654" ref="C621"/>
    <hyperlink r:id="rId1655" location=":~:text=Erasmus%2B%20%26%20EEA%2FNorway%20grant%20students,Reference%20for%20Languages%20(CEFR)." ref="N621"/>
    <hyperlink r:id="rId1656" location=":~:text=Erasmus%2B%20%26%20EEA%2FNorway%20grant%20students,Reference%20for%20Languages%20(CEFR)." ref="O621"/>
    <hyperlink r:id="rId1657" ref="C622"/>
    <hyperlink r:id="rId1658" location=":~:text=Erasmus%2B%20%26%20EEA%2FNorway%20grant%20students,Reference%20for%20Languages%20(CEFR)." ref="N622"/>
    <hyperlink r:id="rId1659" location=":~:text=Erasmus%2B%20%26%20EEA%2FNorway%20grant%20students,Reference%20for%20Languages%20(CEFR)." ref="O622"/>
    <hyperlink r:id="rId1660" ref="C623"/>
    <hyperlink r:id="rId1661" ref="N623"/>
    <hyperlink r:id="rId1662" ref="O623"/>
    <hyperlink r:id="rId1663" ref="C624"/>
    <hyperlink r:id="rId1664" location=":~:text=Exchange%20students%20from%20outside%20the,overall%20band%20score%20of%206.5" ref="N624"/>
    <hyperlink r:id="rId1665" location=":~:text=Exchange%20students%20from%20outside%20the,overall%20band%20score%20of%206.5" ref="O624"/>
    <hyperlink r:id="rId1666" ref="C625"/>
    <hyperlink r:id="rId1667" ref="N625"/>
    <hyperlink r:id="rId1668" ref="O625"/>
    <hyperlink r:id="rId1669" ref="C626"/>
    <hyperlink r:id="rId1670" ref="N626"/>
    <hyperlink r:id="rId1671" ref="O626"/>
    <hyperlink r:id="rId1672" ref="C627"/>
    <hyperlink r:id="rId1673" ref="N627"/>
    <hyperlink r:id="rId1674" ref="O627"/>
    <hyperlink r:id="rId1675" ref="C628"/>
    <hyperlink r:id="rId1676" ref="N628"/>
    <hyperlink r:id="rId1677" ref="O628"/>
    <hyperlink r:id="rId1678" ref="C629"/>
    <hyperlink r:id="rId1679" ref="N629"/>
    <hyperlink r:id="rId1680" ref="O629"/>
    <hyperlink r:id="rId1681" ref="C630"/>
    <hyperlink r:id="rId1682" ref="N630"/>
    <hyperlink r:id="rId1683" ref="O630"/>
    <hyperlink r:id="rId1684" ref="C631"/>
    <hyperlink r:id="rId1685" ref="N631"/>
    <hyperlink r:id="rId1686" ref="O631"/>
    <hyperlink r:id="rId1687" ref="C632"/>
    <hyperlink r:id="rId1688" ref="N632"/>
    <hyperlink r:id="rId1689" ref="O632"/>
    <hyperlink r:id="rId1690" ref="C633"/>
    <hyperlink r:id="rId1691" location=":~:text=The%20minimum%20English%20language%20requirement,as%20described%20for%20each%20course.&amp;text=List%20of%20courses%20open%20for%20exchange%20students." ref="N633"/>
    <hyperlink r:id="rId1692" location=":~:text=The%20minimum%20English%20language%20requirement,as%20described%20for%20each%20course.&amp;text=List%20of%20courses%20open%20for%20exchange%20students." ref="O633"/>
    <hyperlink r:id="rId1693" ref="C634"/>
    <hyperlink r:id="rId1694" location=":~:text=The%20minimum%20English%20language%20requirement,as%20described%20for%20each%20course.&amp;text=List%20of%20courses%20open%20for%20exchange%20students." ref="N634"/>
    <hyperlink r:id="rId1695" location=":~:text=The%20minimum%20English%20language%20requirement,as%20described%20for%20each%20course.&amp;text=List%20of%20courses%20open%20for%20exchange%20students." ref="O634"/>
    <hyperlink r:id="rId1696" ref="C635"/>
    <hyperlink r:id="rId1697" location=":~:text=The%20minimum%20English%20language%20requirement,as%20described%20for%20each%20course.&amp;text=List%20of%20courses%20open%20for%20exchange%20students." ref="N635"/>
    <hyperlink r:id="rId1698" location=":~:text=The%20minimum%20English%20language%20requirement,as%20described%20for%20each%20course.&amp;text=List%20of%20courses%20open%20for%20exchange%20students." ref="O635"/>
    <hyperlink r:id="rId1699" ref="C636"/>
    <hyperlink r:id="rId1700" location=":~:text=A%20high%20level%20of%20English,language%20competence%20that%20is%20documented." ref="N636"/>
    <hyperlink r:id="rId1701" location=":~:text=A%20high%20level%20of%20English,language%20competence%20that%20is%20documented." ref="O636"/>
    <hyperlink r:id="rId1702" ref="C637"/>
    <hyperlink r:id="rId1703" ref="N637"/>
    <hyperlink r:id="rId1704" ref="O637"/>
    <hyperlink r:id="rId1705" ref="C638"/>
    <hyperlink r:id="rId1706" location="application%20requirements" ref="N638"/>
    <hyperlink r:id="rId1707" location="application%20requirements" ref="O638"/>
    <hyperlink r:id="rId1708" ref="C639"/>
    <hyperlink r:id="rId1709" location="application%20requirements" ref="N639"/>
    <hyperlink r:id="rId1710" location="application%20requirements" ref="O639"/>
    <hyperlink r:id="rId1711" ref="C640"/>
    <hyperlink r:id="rId1712" location="application%20requirements" ref="N640"/>
    <hyperlink r:id="rId1713" location="application%20requirements" ref="O640"/>
    <hyperlink r:id="rId1714" ref="C641"/>
    <hyperlink r:id="rId1715" location=":~:text=Test%20of%20English%20as%20a%20foreign%20language&amp;text=CAE%20(Cambridge%20Advanced%20Certificate)%20or,subscore%20of%2020%20for%20speaking)" ref="N641"/>
    <hyperlink r:id="rId1716" location=":~:text=Test%20of%20English%20as%20a%20foreign%20language&amp;text=CAE%20(Cambridge%20Advanced%20Certificate)%20or,subscore%20of%2020%20for%20speaking)" ref="O641"/>
    <hyperlink r:id="rId1717" ref="C642"/>
    <hyperlink r:id="rId1718" location=":~:text=All%20exchange%20programs%20at%20HAN,classmates%2C%20lecturers%20and%20the%20locals." ref="N642"/>
    <hyperlink r:id="rId1719" location=":~:text=All%20exchange%20programs%20at%20HAN,classmates%2C%20lecturers%20and%20the%20locals." ref="O642"/>
    <hyperlink r:id="rId1720" ref="C643"/>
    <hyperlink r:id="rId1721" location=":~:text=All%20exchange%20programs%20at%20HAN,classmates%2C%20lecturers%20and%20the%20locals." ref="N643"/>
    <hyperlink r:id="rId1722" location=":~:text=All%20exchange%20programs%20at%20HAN,classmates%2C%20lecturers%20and%20the%20locals." ref="O643"/>
    <hyperlink r:id="rId1723" ref="C644"/>
    <hyperlink r:id="rId1724" location=":~:text=Language%20requirement,(minimum%20of%20B2%20CEFR)." ref="N644"/>
    <hyperlink r:id="rId1725" location=":~:text=Language%20requirement,(minimum%20of%20B2%20CEFR)." ref="O644"/>
    <hyperlink r:id="rId1726" ref="C645"/>
    <hyperlink r:id="rId1727" location=":~:text=Language%20requirement,(minimum%20of%20B2%20CEFR)." ref="N645"/>
    <hyperlink r:id="rId1728" location=":~:text=Language%20requirement,(minimum%20of%20B2%20CEFR)." ref="O645"/>
    <hyperlink r:id="rId1729" ref="C646"/>
    <hyperlink r:id="rId1730" location=":~:text=Language%20requirement,(minimum%20of%20B2%20CEFR)." ref="N646"/>
    <hyperlink r:id="rId1731" location=":~:text=Language%20requirement,(minimum%20of%20B2%20CEFR)." ref="O646"/>
    <hyperlink r:id="rId1732" ref="C647"/>
    <hyperlink r:id="rId1733" ref="N647"/>
    <hyperlink r:id="rId1734" ref="O647"/>
    <hyperlink r:id="rId1735" ref="C648"/>
    <hyperlink r:id="rId1736" ref="N648"/>
    <hyperlink r:id="rId1737" ref="O648"/>
    <hyperlink r:id="rId1738" ref="C649"/>
    <hyperlink r:id="rId1739" location=":~:text=Since%20the%20official%20language%20at,courses%20at%20our%20faculty%20(note" ref="N649"/>
    <hyperlink r:id="rId1740" location=":~:text=Since%20the%20official%20language%20at,courses%20at%20our%20faculty%20(note" ref="O649"/>
    <hyperlink r:id="rId1741" ref="C650"/>
    <hyperlink r:id="rId1742" ref="N650"/>
    <hyperlink r:id="rId1743" ref="O650"/>
    <hyperlink r:id="rId1744" ref="C651"/>
    <hyperlink r:id="rId1745" ref="N651"/>
    <hyperlink r:id="rId1746" ref="O651"/>
    <hyperlink r:id="rId1747" ref="C652"/>
    <hyperlink r:id="rId1748" ref="N652"/>
    <hyperlink r:id="rId1749" ref="C653"/>
    <hyperlink r:id="rId1750" ref="N653"/>
    <hyperlink r:id="rId1751" ref="C654"/>
    <hyperlink r:id="rId1752" ref="N654"/>
    <hyperlink r:id="rId1753" ref="C655"/>
    <hyperlink r:id="rId1754" ref="N655"/>
    <hyperlink r:id="rId1755" ref="C656"/>
    <hyperlink r:id="rId1756" ref="N656"/>
    <hyperlink r:id="rId1757" ref="C657"/>
    <hyperlink r:id="rId1758" ref="N657"/>
    <hyperlink r:id="rId1759" ref="C658"/>
    <hyperlink r:id="rId1760" ref="N658"/>
    <hyperlink r:id="rId1761" ref="C659"/>
    <hyperlink r:id="rId1762" ref="N659"/>
    <hyperlink r:id="rId1763" ref="C660"/>
    <hyperlink r:id="rId1764" ref="N660"/>
    <hyperlink r:id="rId1765" ref="C661"/>
    <hyperlink r:id="rId1766" ref="N661"/>
    <hyperlink r:id="rId1767" ref="C662"/>
    <hyperlink r:id="rId1768" ref="N662"/>
    <hyperlink r:id="rId1769" ref="C663"/>
    <hyperlink r:id="rId1770" location=":~:text=IELTS%20(academic)%20with%20an%20overall,program)%20minimum%20score%20of%20543." ref="N663"/>
    <hyperlink r:id="rId1771" ref="C664"/>
    <hyperlink r:id="rId1772" location=":~:text=The%20minimum%20requirement%20for%20incoming,English%20level%20cannot%20be%20accepted." ref="N664"/>
    <hyperlink r:id="rId1773" ref="C665"/>
    <hyperlink r:id="rId1774" location="!requirements" ref="N665"/>
    <hyperlink r:id="rId1775" ref="C666"/>
    <hyperlink r:id="rId1776" location=":~:text=Required%20level%20of%20English,English%20level%20cannot%20be%20accepted." ref="N666"/>
    <hyperlink r:id="rId1777" ref="C667"/>
    <hyperlink r:id="rId1778" location=":~:text=Required%20level%20of%20English,English%20level%20cannot%20be%20accepted." ref="N667"/>
    <hyperlink r:id="rId1779" ref="C668"/>
    <hyperlink r:id="rId1780" location=":~:text=Required%20level%20of%20English,English%20level%20cannot%20be%20accepted." ref="N668"/>
    <hyperlink r:id="rId1781" ref="C669"/>
    <hyperlink r:id="rId1782" location=":~:text=Required%20level%20of%20English,English%20level%20cannot%20be%20accepted." ref="N669"/>
    <hyperlink r:id="rId1783" ref="C670"/>
    <hyperlink r:id="rId1784" ref="N670"/>
    <hyperlink r:id="rId1785" ref="O670"/>
    <hyperlink r:id="rId1786" ref="C671"/>
    <hyperlink r:id="rId1787" ref="N671"/>
    <hyperlink r:id="rId1788" ref="O671"/>
    <hyperlink r:id="rId1789" ref="C672"/>
    <hyperlink r:id="rId1790" location=":~:text=You%20are%20required%20to%20have,programme%20pages%20of%20your%20choice." ref="N672"/>
    <hyperlink r:id="rId1791" location=":~:text=You%20are%20required%20to%20have,programme%20pages%20of%20your%20choice." ref="O672"/>
    <hyperlink r:id="rId1792" ref="C673"/>
    <hyperlink r:id="rId1793" ref="O673"/>
    <hyperlink r:id="rId1794" ref="C674"/>
    <hyperlink r:id="rId1795" ref="O674"/>
    <hyperlink r:id="rId1796" ref="C675"/>
    <hyperlink r:id="rId1797" ref="N675"/>
    <hyperlink r:id="rId1798" ref="O675"/>
    <hyperlink r:id="rId1799" ref="C676"/>
    <hyperlink r:id="rId1800" ref="N676"/>
    <hyperlink r:id="rId1801" ref="O676"/>
    <hyperlink r:id="rId1802" ref="C677"/>
    <hyperlink r:id="rId1803" ref="O677"/>
    <hyperlink r:id="rId1804" ref="C678"/>
    <hyperlink r:id="rId1805" ref="O678"/>
    <hyperlink r:id="rId1806" ref="C679"/>
    <hyperlink r:id="rId1807" ref="O679"/>
    <hyperlink r:id="rId1808" ref="C680"/>
    <hyperlink r:id="rId1809" ref="O680"/>
    <hyperlink r:id="rId1810" ref="C681"/>
    <hyperlink r:id="rId1811" ref="N681"/>
    <hyperlink r:id="rId1812" ref="O681"/>
    <hyperlink r:id="rId1813" ref="C682"/>
    <hyperlink r:id="rId1814" ref="O682"/>
    <hyperlink r:id="rId1815" ref="C683"/>
    <hyperlink r:id="rId1816" ref="O683"/>
    <hyperlink r:id="rId1817" ref="C684"/>
    <hyperlink r:id="rId1818" ref="O684"/>
    <hyperlink r:id="rId1819" ref="C685"/>
    <hyperlink r:id="rId1820" ref="N685"/>
    <hyperlink r:id="rId1821" ref="O685"/>
    <hyperlink r:id="rId1822" ref="C686"/>
    <hyperlink r:id="rId1823" ref="N686"/>
    <hyperlink r:id="rId1824" ref="O686"/>
    <hyperlink r:id="rId1825" ref="C687"/>
    <hyperlink r:id="rId1826" ref="O687"/>
    <hyperlink r:id="rId1827" ref="C688"/>
    <hyperlink r:id="rId1828" ref="O688"/>
    <hyperlink r:id="rId1829" ref="C689"/>
    <hyperlink r:id="rId1830" ref="O689"/>
    <hyperlink r:id="rId1831" ref="C690"/>
    <hyperlink r:id="rId1832" ref="N690"/>
    <hyperlink r:id="rId1833" ref="O690"/>
    <hyperlink r:id="rId1834" ref="C691"/>
    <hyperlink r:id="rId1835" ref="N691"/>
    <hyperlink r:id="rId1836" ref="O691"/>
    <hyperlink r:id="rId1837" ref="C692"/>
    <hyperlink r:id="rId1838" ref="O692"/>
    <hyperlink r:id="rId1839" ref="C693"/>
    <hyperlink r:id="rId1840" ref="O693"/>
    <hyperlink r:id="rId1841" ref="C694"/>
    <hyperlink r:id="rId1842" ref="N694"/>
    <hyperlink r:id="rId1843" ref="O694"/>
    <hyperlink r:id="rId1844" ref="C695"/>
    <hyperlink r:id="rId1845" ref="N695"/>
    <hyperlink r:id="rId1846" ref="O695"/>
    <hyperlink r:id="rId1847" ref="C696"/>
    <hyperlink r:id="rId1848" ref="N696"/>
    <hyperlink r:id="rId1849" ref="O696"/>
    <hyperlink r:id="rId1850" ref="C697"/>
    <hyperlink r:id="rId1851" ref="N697"/>
    <hyperlink r:id="rId1852" ref="O697"/>
    <hyperlink r:id="rId1853" ref="C698"/>
    <hyperlink r:id="rId1854" ref="N698"/>
    <hyperlink r:id="rId1855" ref="O698"/>
    <hyperlink r:id="rId1856" ref="C699"/>
    <hyperlink r:id="rId1857" ref="N699"/>
    <hyperlink r:id="rId1858" ref="O699"/>
    <hyperlink r:id="rId1859" ref="C700"/>
    <hyperlink r:id="rId1860" ref="N700"/>
    <hyperlink r:id="rId1861" ref="O700"/>
    <hyperlink r:id="rId1862" ref="C701"/>
    <hyperlink r:id="rId1863" ref="N701"/>
    <hyperlink r:id="rId1864" ref="O701"/>
    <hyperlink r:id="rId1865" ref="C702"/>
    <hyperlink r:id="rId1866" ref="O702"/>
    <hyperlink r:id="rId1867" ref="C703"/>
    <hyperlink r:id="rId1868" ref="N703"/>
    <hyperlink r:id="rId1869" ref="O703"/>
    <hyperlink r:id="rId1870" ref="C704"/>
    <hyperlink r:id="rId1871" ref="N704"/>
    <hyperlink r:id="rId1872" ref="O704"/>
    <hyperlink r:id="rId1873" ref="C705"/>
    <hyperlink r:id="rId1874" ref="N705"/>
    <hyperlink r:id="rId1875" ref="O705"/>
    <hyperlink r:id="rId1876" ref="C706"/>
    <hyperlink r:id="rId1877" ref="N706"/>
    <hyperlink r:id="rId1878" ref="O706"/>
    <hyperlink r:id="rId1879" ref="C707"/>
    <hyperlink r:id="rId1880" ref="N707"/>
    <hyperlink r:id="rId1881" ref="O707"/>
    <hyperlink r:id="rId1882" ref="C708"/>
    <hyperlink r:id="rId1883" ref="N708"/>
    <hyperlink r:id="rId1884" ref="O708"/>
    <hyperlink r:id="rId1885" ref="C709"/>
    <hyperlink r:id="rId1886" ref="N709"/>
    <hyperlink r:id="rId1887" ref="O709"/>
    <hyperlink r:id="rId1888" ref="C710"/>
    <hyperlink r:id="rId1889" ref="N710"/>
    <hyperlink r:id="rId1890" ref="O710"/>
    <hyperlink r:id="rId1891" ref="C711"/>
    <hyperlink r:id="rId1892" ref="N711"/>
    <hyperlink r:id="rId1893" ref="O711"/>
    <hyperlink r:id="rId1894" ref="C712"/>
    <hyperlink r:id="rId1895" ref="N712"/>
    <hyperlink r:id="rId1896" ref="O712"/>
    <hyperlink r:id="rId1897" ref="C713"/>
    <hyperlink r:id="rId1898" ref="N713"/>
    <hyperlink r:id="rId1899" ref="O713"/>
    <hyperlink r:id="rId1900" ref="C714"/>
    <hyperlink r:id="rId1901" ref="N714"/>
    <hyperlink r:id="rId1902" ref="O714"/>
    <hyperlink r:id="rId1903" ref="C715"/>
    <hyperlink r:id="rId1904" ref="N715"/>
    <hyperlink r:id="rId1905" ref="O715"/>
    <hyperlink r:id="rId1906" ref="C716"/>
    <hyperlink r:id="rId1907" ref="N716"/>
    <hyperlink r:id="rId1908" ref="O716"/>
    <hyperlink r:id="rId1909" ref="C717"/>
    <hyperlink r:id="rId1910" ref="N717"/>
    <hyperlink r:id="rId1911" ref="O717"/>
    <hyperlink r:id="rId1912" ref="C718"/>
    <hyperlink r:id="rId1913" ref="C719"/>
    <hyperlink r:id="rId1914" ref="N719"/>
    <hyperlink r:id="rId1915" ref="O719"/>
    <hyperlink r:id="rId1916" ref="C720"/>
    <hyperlink r:id="rId1917" ref="N720"/>
    <hyperlink r:id="rId1918" ref="O720"/>
    <hyperlink r:id="rId1919" ref="C721"/>
    <hyperlink r:id="rId1920" ref="N721"/>
    <hyperlink r:id="rId1921" ref="O721"/>
    <hyperlink r:id="rId1922" ref="C722"/>
    <hyperlink r:id="rId1923" ref="C723"/>
    <hyperlink r:id="rId1924" ref="C724"/>
    <hyperlink r:id="rId1925" ref="N724"/>
    <hyperlink r:id="rId1926" ref="O724"/>
    <hyperlink r:id="rId1927" ref="C725"/>
    <hyperlink r:id="rId1928" ref="N725"/>
    <hyperlink r:id="rId1929" ref="O725"/>
    <hyperlink r:id="rId1930" ref="C726"/>
    <hyperlink r:id="rId1931" ref="N726"/>
    <hyperlink r:id="rId1932" ref="O726"/>
    <hyperlink r:id="rId1933" ref="C727"/>
    <hyperlink r:id="rId1934" ref="N727"/>
    <hyperlink r:id="rId1935" ref="O727"/>
    <hyperlink r:id="rId1936" ref="C728"/>
    <hyperlink r:id="rId1937" ref="N728"/>
    <hyperlink r:id="rId1938" ref="O728"/>
    <hyperlink r:id="rId1939" ref="C729"/>
    <hyperlink r:id="rId1940" ref="N729"/>
    <hyperlink r:id="rId1941" ref="O729"/>
    <hyperlink r:id="rId1942" ref="C730"/>
    <hyperlink r:id="rId1943" ref="N730"/>
    <hyperlink r:id="rId1944" ref="O730"/>
    <hyperlink r:id="rId1945" ref="C731"/>
    <hyperlink r:id="rId1946" ref="N731"/>
    <hyperlink r:id="rId1947" ref="O731"/>
    <hyperlink r:id="rId1948" ref="C732"/>
    <hyperlink r:id="rId1949" ref="N732"/>
    <hyperlink r:id="rId1950" ref="O732"/>
    <hyperlink r:id="rId1951" ref="C733"/>
    <hyperlink r:id="rId1952" ref="N733"/>
    <hyperlink r:id="rId1953" ref="O733"/>
    <hyperlink r:id="rId1954" ref="C734"/>
    <hyperlink r:id="rId1955" ref="N734"/>
    <hyperlink r:id="rId1956" ref="O734"/>
    <hyperlink r:id="rId1957" ref="C735"/>
    <hyperlink r:id="rId1958" ref="N735"/>
    <hyperlink r:id="rId1959" ref="O735"/>
    <hyperlink r:id="rId1960" ref="C736"/>
    <hyperlink r:id="rId1961" ref="N736"/>
    <hyperlink r:id="rId1962" ref="O736"/>
    <hyperlink r:id="rId1963" ref="C737"/>
    <hyperlink r:id="rId1964" ref="N737"/>
    <hyperlink r:id="rId1965" ref="O737"/>
    <hyperlink r:id="rId1966" ref="C738"/>
    <hyperlink r:id="rId1967" ref="N738"/>
    <hyperlink r:id="rId1968" ref="O738"/>
    <hyperlink r:id="rId1969" ref="C739"/>
    <hyperlink r:id="rId1970" ref="N739"/>
    <hyperlink r:id="rId1971" ref="O739"/>
    <hyperlink r:id="rId1972" ref="C740"/>
    <hyperlink r:id="rId1973" ref="N740"/>
    <hyperlink r:id="rId1974" ref="C741"/>
    <hyperlink r:id="rId1975" ref="N741"/>
    <hyperlink r:id="rId1976" ref="C743"/>
    <hyperlink r:id="rId1977" ref="C744"/>
    <hyperlink r:id="rId1978" ref="N744"/>
    <hyperlink r:id="rId1979" ref="C745"/>
    <hyperlink r:id="rId1980" ref="N745"/>
    <hyperlink r:id="rId1981" ref="C746"/>
    <hyperlink r:id="rId1982" ref="N746"/>
    <hyperlink r:id="rId1983" ref="O746"/>
    <hyperlink r:id="rId1984" ref="C747"/>
    <hyperlink r:id="rId1985" ref="N747"/>
    <hyperlink r:id="rId1986" ref="O747"/>
    <hyperlink r:id="rId1987" ref="C748"/>
    <hyperlink r:id="rId1988" ref="N748"/>
    <hyperlink r:id="rId1989" ref="O748"/>
    <hyperlink r:id="rId1990" ref="C749"/>
    <hyperlink r:id="rId1991" ref="N749"/>
    <hyperlink r:id="rId1992" ref="O749"/>
    <hyperlink r:id="rId1993" ref="C750"/>
    <hyperlink r:id="rId1994" ref="N750"/>
    <hyperlink r:id="rId1995" ref="O750"/>
    <hyperlink r:id="rId1996" ref="C751"/>
    <hyperlink r:id="rId1997" ref="N751"/>
    <hyperlink r:id="rId1998" ref="O751"/>
    <hyperlink r:id="rId1999" ref="C752"/>
    <hyperlink r:id="rId2000" ref="N752"/>
    <hyperlink r:id="rId2001" ref="O752"/>
    <hyperlink r:id="rId2002" ref="C753"/>
    <hyperlink r:id="rId2003" ref="N753"/>
    <hyperlink r:id="rId2004" ref="O753"/>
    <hyperlink r:id="rId2005" ref="C754"/>
    <hyperlink r:id="rId2006" ref="N754"/>
    <hyperlink r:id="rId2007" ref="O754"/>
    <hyperlink r:id="rId2008" ref="C755"/>
    <hyperlink r:id="rId2009" ref="N755"/>
    <hyperlink r:id="rId2010" ref="O755"/>
    <hyperlink r:id="rId2011" ref="C756"/>
    <hyperlink r:id="rId2012" ref="N756"/>
    <hyperlink r:id="rId2013" ref="O756"/>
    <hyperlink r:id="rId2014" ref="C757"/>
    <hyperlink r:id="rId2015" ref="N757"/>
    <hyperlink r:id="rId2016" ref="O757"/>
    <hyperlink r:id="rId2017" ref="C758"/>
    <hyperlink r:id="rId2018" ref="N758"/>
    <hyperlink r:id="rId2019" ref="O758"/>
    <hyperlink r:id="rId2020" ref="C759"/>
    <hyperlink r:id="rId2021" ref="N759"/>
    <hyperlink r:id="rId2022" ref="O759"/>
    <hyperlink r:id="rId2023" ref="C760"/>
    <hyperlink r:id="rId2024" ref="N760"/>
    <hyperlink r:id="rId2025" ref="O760"/>
    <hyperlink r:id="rId2026" ref="C761"/>
    <hyperlink r:id="rId2027" ref="N761"/>
    <hyperlink r:id="rId2028" ref="O761"/>
    <hyperlink r:id="rId2029" ref="C762"/>
    <hyperlink r:id="rId2030" ref="N762"/>
    <hyperlink r:id="rId2031" ref="O762"/>
    <hyperlink r:id="rId2032" ref="C763"/>
    <hyperlink r:id="rId2033" ref="N763"/>
    <hyperlink r:id="rId2034" ref="O763"/>
    <hyperlink r:id="rId2035" ref="C764"/>
    <hyperlink r:id="rId2036" ref="N764"/>
    <hyperlink r:id="rId2037" ref="O764"/>
    <hyperlink r:id="rId2038" ref="C765"/>
    <hyperlink r:id="rId2039" ref="N765"/>
    <hyperlink r:id="rId2040" ref="O765"/>
    <hyperlink r:id="rId2041" ref="C766"/>
    <hyperlink r:id="rId2042" ref="N766"/>
    <hyperlink r:id="rId2043" ref="O766"/>
    <hyperlink r:id="rId2044" ref="C767"/>
    <hyperlink r:id="rId2045" ref="N767"/>
    <hyperlink r:id="rId2046" ref="O767"/>
    <hyperlink r:id="rId2047" ref="C768"/>
    <hyperlink r:id="rId2048" ref="N768"/>
    <hyperlink r:id="rId2049" ref="O768"/>
    <hyperlink r:id="rId2050" ref="C769"/>
    <hyperlink r:id="rId2051" ref="N769"/>
    <hyperlink r:id="rId2052" ref="O769"/>
    <hyperlink r:id="rId2053" ref="C770"/>
    <hyperlink r:id="rId2054" ref="N770"/>
    <hyperlink r:id="rId2055" ref="O770"/>
    <hyperlink r:id="rId2056" ref="C771"/>
    <hyperlink r:id="rId2057" ref="N771"/>
    <hyperlink r:id="rId2058" ref="O771"/>
    <hyperlink r:id="rId2059" ref="C772"/>
    <hyperlink r:id="rId2060" ref="N772"/>
    <hyperlink r:id="rId2061" ref="O772"/>
    <hyperlink r:id="rId2062" ref="C773"/>
    <hyperlink r:id="rId2063" ref="N773"/>
    <hyperlink r:id="rId2064" ref="O773"/>
    <hyperlink r:id="rId2065" ref="C774"/>
    <hyperlink r:id="rId2066" ref="N774"/>
    <hyperlink r:id="rId2067" ref="O774"/>
    <hyperlink r:id="rId2068" ref="C775"/>
    <hyperlink r:id="rId2069" ref="N775"/>
    <hyperlink r:id="rId2070" ref="O775"/>
    <hyperlink r:id="rId2071" ref="C776"/>
    <hyperlink r:id="rId2072" ref="N776"/>
    <hyperlink r:id="rId2073" ref="O776"/>
    <hyperlink r:id="rId2074" ref="C777"/>
    <hyperlink r:id="rId2075" ref="N777"/>
    <hyperlink r:id="rId2076" ref="O777"/>
    <hyperlink r:id="rId2077" ref="C778"/>
    <hyperlink r:id="rId2078" ref="N778"/>
    <hyperlink r:id="rId2079" ref="O778"/>
    <hyperlink r:id="rId2080" ref="C779"/>
    <hyperlink r:id="rId2081" ref="N779"/>
    <hyperlink r:id="rId2082" ref="O779"/>
    <hyperlink r:id="rId2083" ref="C780"/>
    <hyperlink r:id="rId2084" ref="N780"/>
    <hyperlink r:id="rId2085" ref="O780"/>
    <hyperlink r:id="rId2086" ref="C781"/>
    <hyperlink r:id="rId2087" ref="N781"/>
    <hyperlink r:id="rId2088" ref="O781"/>
    <hyperlink r:id="rId2089" ref="C782"/>
    <hyperlink r:id="rId2090" ref="N782"/>
    <hyperlink r:id="rId2091" ref="O782"/>
    <hyperlink r:id="rId2092" ref="C783"/>
    <hyperlink r:id="rId2093" ref="N783"/>
    <hyperlink r:id="rId2094" ref="O783"/>
    <hyperlink r:id="rId2095" ref="C784"/>
    <hyperlink r:id="rId2096" ref="C785"/>
    <hyperlink r:id="rId2097" ref="C786"/>
    <hyperlink r:id="rId2098" ref="N786"/>
    <hyperlink r:id="rId2099" ref="O786"/>
    <hyperlink r:id="rId2100" ref="C787"/>
    <hyperlink r:id="rId2101" location=":~:text=Pearson%20English%20Language%20Test%20(PTE,or%20above%20in%20each%20component.&amp;text=IELTS%20%E2%80%93%20minimum%20score%206%20with,to%20determine%20their%20language%20level." ref="N787"/>
    <hyperlink r:id="rId2102" location=":~:text=Pearson%20English%20Language%20Test%20(PTE,or%20above%20in%20each%20component.&amp;text=IELTS%20%E2%80%93%20minimum%20score%206%20with,to%20determine%20their%20language%20level." ref="O787"/>
    <hyperlink r:id="rId2103" ref="C788"/>
    <hyperlink r:id="rId2104" location=":~:text=Pearson%20English%20Language%20Test%20(PTE,or%20above%20in%20each%20component.&amp;text=IELTS%20%E2%80%93%20minimum%20score%206%20with,to%20determine%20their%20language%20level." ref="N788"/>
    <hyperlink r:id="rId2105" location=":~:text=Pearson%20English%20Language%20Test%20(PTE,or%20above%20in%20each%20component.&amp;text=IELTS%20%E2%80%93%20minimum%20score%206%20with,to%20determine%20their%20language%20level." ref="O788"/>
    <hyperlink r:id="rId2106" ref="C789"/>
    <hyperlink r:id="rId2107" location=":~:text=Pearson%20English%20Language%20Test%20(PTE,or%20above%20in%20each%20component.&amp;text=IELTS%20%E2%80%93%20minimum%20score%206%20with,to%20determine%20their%20language%20level." ref="N789"/>
    <hyperlink r:id="rId2108" location=":~:text=Pearson%20English%20Language%20Test%20(PTE,or%20above%20in%20each%20component.&amp;text=IELTS%20%E2%80%93%20minimum%20score%206%20with,to%20determine%20their%20language%20level." ref="O789"/>
    <hyperlink r:id="rId2109" ref="C790"/>
    <hyperlink r:id="rId2110" ref="N790"/>
    <hyperlink r:id="rId2111" ref="O790"/>
    <hyperlink r:id="rId2112" ref="C791"/>
    <hyperlink r:id="rId2113" ref="N791"/>
    <hyperlink r:id="rId2114" ref="O791"/>
    <hyperlink r:id="rId2115" ref="C792"/>
    <hyperlink r:id="rId2116" location="course-entry" ref="N792"/>
    <hyperlink r:id="rId2117" location="course-entry" ref="O792"/>
    <hyperlink r:id="rId2118" ref="C793"/>
    <hyperlink r:id="rId2119" ref="N793"/>
    <hyperlink r:id="rId2120" ref="O793"/>
    <hyperlink r:id="rId2121" ref="C794"/>
    <hyperlink r:id="rId2122" ref="N794"/>
    <hyperlink r:id="rId2123" ref="O794"/>
    <hyperlink r:id="rId2124" ref="C795"/>
    <hyperlink r:id="rId2125" ref="N795"/>
    <hyperlink r:id="rId2126" ref="O795"/>
    <hyperlink r:id="rId2127" ref="C796"/>
    <hyperlink r:id="rId2128" ref="N796"/>
    <hyperlink r:id="rId2129" ref="O796"/>
    <hyperlink r:id="rId2130" ref="C797"/>
    <hyperlink r:id="rId2131" ref="N797"/>
    <hyperlink r:id="rId2132" ref="O797"/>
    <hyperlink r:id="rId2133" ref="C798"/>
    <hyperlink r:id="rId2134" ref="N798"/>
    <hyperlink r:id="rId2135" ref="O798"/>
    <hyperlink r:id="rId2136" ref="C799"/>
    <hyperlink r:id="rId2137" ref="N799"/>
    <hyperlink r:id="rId2138" ref="O799"/>
    <hyperlink r:id="rId2139" ref="C800"/>
    <hyperlink r:id="rId2140" ref="N800"/>
    <hyperlink r:id="rId2141" ref="O800"/>
    <hyperlink r:id="rId2142" ref="C801"/>
    <hyperlink r:id="rId2143" ref="N801"/>
    <hyperlink r:id="rId2144" ref="O801"/>
    <hyperlink r:id="rId2145" ref="C802"/>
    <hyperlink r:id="rId2146" ref="N802"/>
    <hyperlink r:id="rId2147" ref="O802"/>
    <hyperlink r:id="rId2148" ref="C803"/>
    <hyperlink r:id="rId2149" ref="N803"/>
    <hyperlink r:id="rId2150" ref="O803"/>
    <hyperlink r:id="rId2151" ref="C804"/>
    <hyperlink r:id="rId2152" ref="N804"/>
    <hyperlink r:id="rId2153" ref="O804"/>
    <hyperlink r:id="rId2154" ref="C805"/>
    <hyperlink r:id="rId2155" ref="N805"/>
    <hyperlink r:id="rId2156" ref="O805"/>
    <hyperlink r:id="rId2157" ref="C806"/>
    <hyperlink r:id="rId2158" ref="N806"/>
    <hyperlink r:id="rId2159" ref="O806"/>
    <hyperlink r:id="rId2160" ref="C807"/>
    <hyperlink r:id="rId2161" ref="N807"/>
    <hyperlink r:id="rId2162" ref="O807"/>
    <hyperlink r:id="rId2163" ref="C808"/>
    <hyperlink r:id="rId2164" ref="N808"/>
    <hyperlink r:id="rId2165" ref="O808"/>
    <hyperlink r:id="rId2166" ref="C809"/>
    <hyperlink r:id="rId2167" location=":~:text=English%20Language&amp;text=Applicants%20with%20IELTS%206.0%20or,and%20Language%20and%20Communication%20Studies." ref="N809"/>
    <hyperlink r:id="rId2168" location=":~:text=English%20Language&amp;text=Applicants%20with%20IELTS%206.0%20or,and%20Language%20and%20Communication%20Studies." ref="O809"/>
    <hyperlink r:id="rId2169" ref="C810"/>
    <hyperlink r:id="rId2170" location=":~:text=English%20Language&amp;text=Applicants%20with%20IELTS%206.0%20or,and%20Language%20and%20Communication%20Studies." ref="N810"/>
    <hyperlink r:id="rId2171" location=":~:text=English%20Language&amp;text=Applicants%20with%20IELTS%206.0%20or,and%20Language%20and%20Communication%20Studies." ref="O810"/>
    <hyperlink r:id="rId2172" ref="C811"/>
    <hyperlink r:id="rId2173" location=":~:text=English%20Language&amp;text=Applicants%20with%20IELTS%206.0%20or,and%20Language%20and%20Communication%20Studies." ref="N811"/>
    <hyperlink r:id="rId2174" location=":~:text=English%20Language&amp;text=Applicants%20with%20IELTS%206.0%20or,and%20Language%20and%20Communication%20Studies." ref="O811"/>
    <hyperlink r:id="rId2175" ref="C812"/>
    <hyperlink r:id="rId2176" location=":~:text=The%20B2%20language%20level%20requirement,April%20before%20your%20exchange%20begins." ref="N812"/>
    <hyperlink r:id="rId2177" location=":~:text=The%20B2%20language%20level%20requirement,April%20before%20your%20exchange%20begins." ref="O812"/>
    <hyperlink r:id="rId2178" ref="C813"/>
    <hyperlink r:id="rId2179" location=":~:text=The%20B2%20language%20level%20requirement,April%20before%20your%20exchange%20begins." ref="N813"/>
    <hyperlink r:id="rId2180" location=":~:text=The%20B2%20language%20level%20requirement,April%20before%20your%20exchange%20begins." ref="O813"/>
    <hyperlink r:id="rId2181" ref="C814"/>
    <hyperlink r:id="rId2182" location=":~:text=The%20B2%20language%20level%20requirement,April%20before%20your%20exchange%20begins." ref="N814"/>
    <hyperlink r:id="rId2183" location=":~:text=The%20B2%20language%20level%20requirement,April%20before%20your%20exchange%20begins." ref="O814"/>
    <hyperlink r:id="rId2184" ref="C815"/>
    <hyperlink r:id="rId2185" ref="N815"/>
    <hyperlink r:id="rId2186" ref="O815"/>
    <hyperlink r:id="rId2187" ref="C816"/>
    <hyperlink r:id="rId2188" ref="N816"/>
    <hyperlink r:id="rId2189" ref="O816"/>
    <hyperlink r:id="rId2190" ref="C817"/>
    <hyperlink r:id="rId2191" location="entry-requirements" ref="N817"/>
    <hyperlink r:id="rId2192" location="entry-requirements" ref="O817"/>
    <hyperlink r:id="rId2193" ref="C818"/>
    <hyperlink r:id="rId2194" location="entry-requirements" ref="N818"/>
    <hyperlink r:id="rId2195" location="entry-requirements" ref="O818"/>
    <hyperlink r:id="rId2196" ref="C819"/>
    <hyperlink r:id="rId2197" location=":~:text=an%20English%20language%20test%20(IELTS,or%20higher%20in%20every%20component." ref="N819"/>
    <hyperlink r:id="rId2198" location=":~:text=an%20English%20language%20test%20(IELTS,or%20higher%20in%20every%20component." ref="O819"/>
    <hyperlink r:id="rId2199" ref="C820"/>
    <hyperlink r:id="rId2200" location=":~:text=an%20English%20language%20test%20(IELTS,or%20higher%20in%20every%20component." ref="N820"/>
    <hyperlink r:id="rId2201" location=":~:text=an%20English%20language%20test%20(IELTS,or%20higher%20in%20every%20component." ref="O820"/>
    <hyperlink r:id="rId2202" ref="C821"/>
    <hyperlink r:id="rId2203" location=":~:text=This%20certificate%20serves%20as%20evidence,writing%2C%20speaking%2C%20and%20listening." ref="N821"/>
    <hyperlink r:id="rId2204" location=":~:text=This%20certificate%20serves%20as%20evidence,writing%2C%20speaking%2C%20and%20listening." ref="O821"/>
    <hyperlink r:id="rId2205" ref="C822"/>
    <hyperlink r:id="rId2206" location=":~:text=This%20certificate%20serves%20as%20evidence,writing%2C%20speaking%2C%20and%20listening." ref="N822"/>
    <hyperlink r:id="rId2207" location=":~:text=This%20certificate%20serves%20as%20evidence,writing%2C%20speaking%2C%20and%20listening." ref="O822"/>
    <hyperlink r:id="rId2208" ref="C823"/>
    <hyperlink r:id="rId2209" location=":~:text=This%20certificate%20serves%20as%20evidence,writing%2C%20speaking%2C%20and%20listening." ref="N823"/>
    <hyperlink r:id="rId2210" location=":~:text=This%20certificate%20serves%20as%20evidence,writing%2C%20speaking%2C%20and%20listening." ref="O823"/>
    <hyperlink r:id="rId2211" ref="C824"/>
    <hyperlink r:id="rId2212" location=":~:text=This%20certificate%20serves%20as%20evidence,writing%2C%20speaking%2C%20and%20listening." ref="N824"/>
    <hyperlink r:id="rId2213" location=":~:text=This%20certificate%20serves%20as%20evidence,writing%2C%20speaking%2C%20and%20listening." ref="O824"/>
    <hyperlink r:id="rId2214" ref="C825"/>
    <hyperlink r:id="rId2215" location=":~:text=be%20found%20here.-,Language%20Requirements,individual%20test%20score%20below%205.5)." ref="N825"/>
    <hyperlink r:id="rId2216" location=":~:text=be%20found%20here.-,Language%20Requirements,individual%20test%20score%20below%205.5)." ref="O825"/>
    <hyperlink r:id="rId2217" ref="C826"/>
    <hyperlink r:id="rId2218" location=":~:text=be%20found%20here.-,Language%20Requirements,individual%20test%20score%20below%205.5)." ref="N826"/>
    <hyperlink r:id="rId2219" location=":~:text=be%20found%20here.-,Language%20Requirements,individual%20test%20score%20below%205.5)." ref="O826"/>
    <hyperlink r:id="rId2220" ref="C827"/>
    <hyperlink r:id="rId2221" location=":~:text=be%20found%20here.-,Language%20Requirements,individual%20test%20score%20below%205.5)." ref="N827"/>
    <hyperlink r:id="rId2222" location=":~:text=be%20found%20here.-,Language%20Requirements,individual%20test%20score%20below%205.5)." ref="O827"/>
    <hyperlink r:id="rId2223" ref="C828"/>
    <hyperlink r:id="rId2224" ref="N828"/>
    <hyperlink r:id="rId2225" ref="O828"/>
    <hyperlink r:id="rId2226" ref="C829"/>
    <hyperlink r:id="rId2227" ref="C830"/>
    <hyperlink r:id="rId2228" ref="C831"/>
    <hyperlink r:id="rId2229" ref="C832"/>
    <hyperlink r:id="rId2230" ref="C833"/>
    <hyperlink r:id="rId2231" ref="C834"/>
    <hyperlink r:id="rId2232" ref="N834"/>
    <hyperlink r:id="rId2233" ref="O834"/>
    <hyperlink r:id="rId2234" ref="C835"/>
    <hyperlink r:id="rId2235" ref="N835"/>
    <hyperlink r:id="rId2236" ref="O835"/>
    <hyperlink r:id="rId2237" ref="C836"/>
    <hyperlink r:id="rId2238" ref="N836"/>
    <hyperlink r:id="rId2239" ref="O836"/>
    <hyperlink r:id="rId2240" ref="C837"/>
    <hyperlink r:id="rId2241" ref="N837"/>
    <hyperlink r:id="rId2242" ref="O837"/>
    <hyperlink r:id="rId2243" ref="C838"/>
    <hyperlink r:id="rId2244" ref="N838"/>
    <hyperlink r:id="rId2245" ref="O838"/>
    <hyperlink r:id="rId2246" ref="C839"/>
    <hyperlink r:id="rId2247" ref="N839"/>
    <hyperlink r:id="rId2248" ref="O839"/>
    <hyperlink r:id="rId2249" ref="C840"/>
    <hyperlink r:id="rId2250" location="language-requirements" ref="N840"/>
    <hyperlink r:id="rId2251" location="language-requirements" ref="O840"/>
    <hyperlink r:id="rId2252" ref="C841"/>
    <hyperlink r:id="rId2253" location="language-requirements" ref="N841"/>
    <hyperlink r:id="rId2254" location="language-requirements" ref="O841"/>
    <hyperlink r:id="rId2255" ref="C842"/>
    <hyperlink r:id="rId2256" ref="N842"/>
    <hyperlink r:id="rId2257" ref="O842"/>
    <hyperlink r:id="rId2258" ref="C843"/>
    <hyperlink r:id="rId2259" ref="N843"/>
    <hyperlink r:id="rId2260" ref="O843"/>
    <hyperlink r:id="rId2261" ref="C844"/>
    <hyperlink r:id="rId2262" ref="N844"/>
    <hyperlink r:id="rId2263" ref="O844"/>
    <hyperlink r:id="rId2264" ref="C845"/>
    <hyperlink r:id="rId2265" ref="N845"/>
    <hyperlink r:id="rId2266" ref="O845"/>
    <hyperlink r:id="rId2267" ref="C846"/>
    <hyperlink r:id="rId2268" ref="N846"/>
    <hyperlink r:id="rId2269" ref="O846"/>
    <hyperlink r:id="rId2270" ref="C847"/>
    <hyperlink r:id="rId2271" ref="N847"/>
    <hyperlink r:id="rId2272" ref="O847"/>
    <hyperlink r:id="rId2273" ref="C848"/>
    <hyperlink r:id="rId2274" ref="N848"/>
    <hyperlink r:id="rId2275" ref="O848"/>
    <hyperlink r:id="rId2276" ref="C849"/>
    <hyperlink r:id="rId2277" ref="N849"/>
    <hyperlink r:id="rId2278" ref="O849"/>
    <hyperlink r:id="rId2279" ref="C850"/>
    <hyperlink r:id="rId2280" ref="N850"/>
    <hyperlink r:id="rId2281" ref="O850"/>
    <hyperlink r:id="rId2282" ref="C851"/>
    <hyperlink r:id="rId2283" ref="N851"/>
    <hyperlink r:id="rId2284" ref="O851"/>
    <hyperlink r:id="rId2285" ref="C852"/>
    <hyperlink r:id="rId2286" ref="N852"/>
    <hyperlink r:id="rId2287" ref="O852"/>
    <hyperlink r:id="rId2288" ref="C853"/>
    <hyperlink r:id="rId2289" ref="N853"/>
    <hyperlink r:id="rId2290" ref="O853"/>
    <hyperlink r:id="rId2291" ref="C854"/>
    <hyperlink r:id="rId2292" ref="N854"/>
    <hyperlink r:id="rId2293" ref="O854"/>
    <hyperlink r:id="rId2294" ref="C855"/>
    <hyperlink r:id="rId2295" ref="N855"/>
    <hyperlink r:id="rId2296" ref="O855"/>
    <hyperlink r:id="rId2297" ref="C856"/>
    <hyperlink r:id="rId2298" ref="N856"/>
    <hyperlink r:id="rId2299" ref="O856"/>
    <hyperlink r:id="rId2300" ref="C857"/>
    <hyperlink r:id="rId2301" ref="N857"/>
    <hyperlink r:id="rId2302" ref="O857"/>
    <hyperlink r:id="rId2303" ref="C858"/>
    <hyperlink r:id="rId2304" ref="N858"/>
    <hyperlink r:id="rId2305" ref="O858"/>
    <hyperlink r:id="rId2306" ref="C859"/>
    <hyperlink r:id="rId2307" ref="C860"/>
    <hyperlink r:id="rId2308" ref="N860"/>
    <hyperlink r:id="rId2309" ref="O860"/>
    <hyperlink r:id="rId2310" ref="C861"/>
    <hyperlink r:id="rId2311" ref="N861"/>
    <hyperlink r:id="rId2312" ref="O861"/>
    <hyperlink r:id="rId2313" ref="C862"/>
    <hyperlink r:id="rId2314" ref="N862"/>
    <hyperlink r:id="rId2315" ref="O862"/>
    <hyperlink r:id="rId2316" ref="C863"/>
    <hyperlink r:id="rId2317" ref="N863"/>
    <hyperlink r:id="rId2318" ref="O863"/>
    <hyperlink r:id="rId2319" ref="C864"/>
    <hyperlink r:id="rId2320" ref="N864"/>
    <hyperlink r:id="rId2321" ref="O864"/>
    <hyperlink r:id="rId2322" ref="C865"/>
    <hyperlink r:id="rId2323" ref="N865"/>
    <hyperlink r:id="rId2324" ref="O865"/>
    <hyperlink r:id="rId2325" ref="C866"/>
    <hyperlink r:id="rId2326" ref="N866"/>
    <hyperlink r:id="rId2327" ref="O866"/>
    <hyperlink r:id="rId2328" ref="C867"/>
    <hyperlink r:id="rId2329" location="collapseExample2014" ref="N867"/>
    <hyperlink r:id="rId2330" ref="O867"/>
    <hyperlink r:id="rId2331" ref="C868"/>
    <hyperlink r:id="rId2332" ref="N868"/>
    <hyperlink r:id="rId2333" ref="O868"/>
    <hyperlink r:id="rId2334" ref="C869"/>
    <hyperlink r:id="rId2335" ref="N869"/>
    <hyperlink r:id="rId2336" ref="O869"/>
    <hyperlink r:id="rId2337" ref="C870"/>
    <hyperlink r:id="rId2338" location=":~:text=We%20do%20not%20require%20certification,write%20essays%2C%20and%20take%20exams." ref="N870"/>
    <hyperlink r:id="rId2339" location=":~:text=We%20do%20not%20require%20certification,write%20essays%2C%20and%20take%20exams." ref="O870"/>
    <hyperlink r:id="rId2340" ref="C871"/>
    <hyperlink r:id="rId2341" ref="N871"/>
    <hyperlink r:id="rId2342" ref="O871"/>
    <hyperlink r:id="rId2343" ref="C872"/>
    <hyperlink r:id="rId2344" ref="N872"/>
    <hyperlink r:id="rId2345" ref="O872"/>
    <hyperlink r:id="rId2346" ref="C873"/>
    <hyperlink r:id="rId2347" location="accordion-6676" ref="N873"/>
    <hyperlink r:id="rId2348" location="accordion-6676" ref="O873"/>
    <hyperlink r:id="rId2349" ref="C874"/>
    <hyperlink r:id="rId2350" ref="N874"/>
    <hyperlink r:id="rId2351" ref="O874"/>
    <hyperlink r:id="rId2352" ref="C875"/>
    <hyperlink r:id="rId2353" ref="N875"/>
    <hyperlink r:id="rId2354" ref="O875"/>
    <hyperlink r:id="rId2355" ref="C876"/>
    <hyperlink r:id="rId2356" ref="N876"/>
    <hyperlink r:id="rId2357" ref="O876"/>
    <hyperlink r:id="rId2358" ref="C877"/>
    <hyperlink r:id="rId2359" ref="N877"/>
    <hyperlink r:id="rId2360" ref="O877"/>
    <hyperlink r:id="rId2361" ref="C878"/>
    <hyperlink r:id="rId2362" ref="N878"/>
    <hyperlink r:id="rId2363" ref="O878"/>
    <hyperlink r:id="rId2364" ref="C879"/>
    <hyperlink r:id="rId2365" ref="N879"/>
    <hyperlink r:id="rId2366" ref="O879"/>
    <hyperlink r:id="rId2367" ref="C880"/>
    <hyperlink r:id="rId2368" ref="N880"/>
    <hyperlink r:id="rId2369" ref="O880"/>
    <hyperlink r:id="rId2370" ref="C881"/>
    <hyperlink r:id="rId2371" ref="N881"/>
    <hyperlink r:id="rId2372" ref="O881"/>
    <hyperlink r:id="rId2373" ref="C882"/>
    <hyperlink r:id="rId2374" ref="N882"/>
    <hyperlink r:id="rId2375" ref="O882"/>
    <hyperlink r:id="rId2376" ref="C883"/>
    <hyperlink r:id="rId2377" ref="N883"/>
    <hyperlink r:id="rId2378" ref="O883"/>
    <hyperlink r:id="rId2379" ref="C884"/>
    <hyperlink r:id="rId2380" ref="N884"/>
    <hyperlink r:id="rId2381" ref="C885"/>
    <hyperlink r:id="rId2382" ref="C886"/>
    <hyperlink r:id="rId2383" location=":~:text=Uppsala%20University%20expects%20exchange%20students,or%20language%20exam%20is%20required." ref="N886"/>
    <hyperlink r:id="rId2384" location=":~:text=Uppsala%20University%20expects%20exchange%20students,or%20language%20exam%20is%20required." ref="O886"/>
    <hyperlink r:id="rId2385" ref="C887"/>
    <hyperlink r:id="rId2386" location=":~:text=Uppsala%20University%20expects%20exchange%20students,or%20language%20exam%20is%20required." ref="N887"/>
    <hyperlink r:id="rId2387" ref="C888"/>
    <hyperlink r:id="rId2388" location=":~:text=Uppsala%20University%20expects%20exchange%20students,or%20language%20exam%20is%20required." ref="N888"/>
    <hyperlink r:id="rId2389" ref="C889"/>
    <hyperlink r:id="rId2390" ref="N889"/>
    <hyperlink r:id="rId2391" ref="C890"/>
    <hyperlink r:id="rId2392" ref="N890"/>
    <hyperlink r:id="rId2393" ref="C891"/>
    <hyperlink r:id="rId2394" ref="N891"/>
    <hyperlink r:id="rId2395" ref="C892"/>
    <hyperlink r:id="rId2396" ref="N892"/>
    <hyperlink r:id="rId2397" ref="C893"/>
    <hyperlink r:id="rId2398" ref="C894"/>
    <hyperlink r:id="rId2399" ref="N894"/>
    <hyperlink r:id="rId2400" ref="O894"/>
    <hyperlink r:id="rId2401" ref="C895"/>
    <hyperlink r:id="rId2402" ref="N895"/>
    <hyperlink r:id="rId2403" ref="O895"/>
    <hyperlink r:id="rId2404" ref="C896"/>
    <hyperlink r:id="rId2405" ref="N896"/>
    <hyperlink r:id="rId2406" ref="O896"/>
    <hyperlink r:id="rId2407" ref="C897"/>
    <hyperlink r:id="rId2408" ref="N897"/>
    <hyperlink r:id="rId2409" ref="O897"/>
    <hyperlink r:id="rId2410" ref="C898"/>
    <hyperlink r:id="rId2411" ref="N898"/>
    <hyperlink r:id="rId2412" ref="O898"/>
    <hyperlink r:id="rId2413" ref="C899"/>
    <hyperlink r:id="rId2414" ref="N899"/>
    <hyperlink r:id="rId2415" ref="O899"/>
    <hyperlink r:id="rId2416" ref="C900"/>
    <hyperlink r:id="rId2417" ref="C901"/>
    <hyperlink r:id="rId2418" ref="N901"/>
    <hyperlink r:id="rId2419" ref="O901"/>
    <hyperlink r:id="rId2420" ref="C902"/>
    <hyperlink r:id="rId2421" ref="N902"/>
    <hyperlink r:id="rId2422" ref="O902"/>
    <hyperlink r:id="rId2423" ref="C903"/>
    <hyperlink r:id="rId2424" ref="N903"/>
    <hyperlink r:id="rId2425" ref="O903"/>
    <hyperlink r:id="rId2426" ref="N904"/>
    <hyperlink r:id="rId2427" ref="O904"/>
    <hyperlink r:id="rId2428" ref="C905"/>
    <hyperlink r:id="rId2429" ref="C906"/>
    <hyperlink r:id="rId2430" ref="C907"/>
    <hyperlink r:id="rId2431" ref="N907"/>
    <hyperlink r:id="rId2432" ref="O907"/>
    <hyperlink r:id="rId2433" ref="C908"/>
    <hyperlink r:id="rId2434" ref="N908"/>
    <hyperlink r:id="rId2435" ref="O908"/>
    <hyperlink r:id="rId2436" ref="C909"/>
    <hyperlink r:id="rId2437" ref="N909"/>
    <hyperlink r:id="rId2438" ref="O909"/>
    <hyperlink r:id="rId2439" ref="C910"/>
    <hyperlink r:id="rId2440" ref="N910"/>
    <hyperlink r:id="rId2441" ref="O910"/>
    <hyperlink r:id="rId2442" ref="C911"/>
    <hyperlink r:id="rId2443" ref="N911"/>
    <hyperlink r:id="rId2444" ref="O911"/>
    <hyperlink r:id="rId2445" ref="C912"/>
    <hyperlink r:id="rId2446" ref="C913"/>
    <hyperlink r:id="rId2447" ref="N913"/>
    <hyperlink r:id="rId2448" ref="O913"/>
    <hyperlink r:id="rId2449" ref="C914"/>
    <hyperlink r:id="rId2450" ref="N914"/>
    <hyperlink r:id="rId2451" ref="O914"/>
    <hyperlink r:id="rId2452" ref="C915"/>
    <hyperlink r:id="rId2453" ref="N915"/>
    <hyperlink r:id="rId2454" ref="O915"/>
    <hyperlink r:id="rId2455" ref="C916"/>
    <hyperlink r:id="rId2456" ref="N916"/>
    <hyperlink r:id="rId2457" ref="O916"/>
    <hyperlink r:id="rId2458" ref="C917"/>
    <hyperlink r:id="rId2459" ref="N917"/>
    <hyperlink r:id="rId2460" ref="O917"/>
    <hyperlink r:id="rId2461" ref="C918"/>
    <hyperlink r:id="rId2462" ref="N918"/>
    <hyperlink r:id="rId2463" ref="O918"/>
    <hyperlink r:id="rId2464" ref="C919"/>
    <hyperlink r:id="rId2465" ref="N919"/>
    <hyperlink r:id="rId2466" ref="O919"/>
    <hyperlink r:id="rId2467" ref="C920"/>
    <hyperlink r:id="rId2468" ref="N920"/>
    <hyperlink r:id="rId2469" ref="O920"/>
    <hyperlink r:id="rId2470" ref="C921"/>
    <hyperlink r:id="rId2471" ref="N921"/>
    <hyperlink r:id="rId2472" ref="O921"/>
    <hyperlink r:id="rId2473" ref="C922"/>
    <hyperlink r:id="rId2474" ref="N922"/>
    <hyperlink r:id="rId2475" ref="O922"/>
    <hyperlink r:id="rId2476" ref="C923"/>
    <hyperlink r:id="rId2477" ref="N923"/>
    <hyperlink r:id="rId2478" ref="O923"/>
    <hyperlink r:id="rId2479" ref="C924"/>
    <hyperlink r:id="rId2480" ref="N924"/>
    <hyperlink r:id="rId2481" ref="O924"/>
    <hyperlink r:id="rId2482" ref="C925"/>
    <hyperlink r:id="rId2483" location="tab_html_9265938e53ddf84f37da6128635688f0" ref="N925"/>
    <hyperlink r:id="rId2484" location="tab_html_9265938e53ddf84f37da6128635688f0" ref="O925"/>
    <hyperlink r:id="rId2485" ref="C926"/>
    <hyperlink r:id="rId2486" location="tab_html_9265938e53ddf84f37da6128635688f0" ref="N926"/>
    <hyperlink r:id="rId2487" location="tab_html_9265938e53ddf84f37da6128635688f0" ref="O926"/>
    <hyperlink r:id="rId2488" ref="C927"/>
    <hyperlink r:id="rId2489" location="tab_html_9265938e53ddf84f37da6128635688f0" ref="N927"/>
    <hyperlink r:id="rId2490" location="tab_html_9265938e53ddf84f37da6128635688f0" ref="O927"/>
    <hyperlink r:id="rId2491" ref="C928"/>
    <hyperlink r:id="rId2492" location="tab_html_9265938e53ddf84f37da6128635688f0" ref="N928"/>
    <hyperlink r:id="rId2493" location="tab_html_9265938e53ddf84f37da6128635688f0" ref="O928"/>
    <hyperlink r:id="rId2494" ref="C929"/>
    <hyperlink r:id="rId2495" ref="N929"/>
    <hyperlink r:id="rId2496" ref="O929"/>
    <hyperlink r:id="rId2497" ref="C930"/>
    <hyperlink r:id="rId2498" ref="N930"/>
    <hyperlink r:id="rId2499" ref="O930"/>
    <hyperlink r:id="rId2500" ref="C931"/>
    <hyperlink r:id="rId2501" ref="N931"/>
    <hyperlink r:id="rId2502" ref="O931"/>
    <hyperlink r:id="rId2503" ref="C932"/>
    <hyperlink r:id="rId2504" ref="N932"/>
    <hyperlink r:id="rId2505" ref="C933"/>
    <hyperlink r:id="rId2506" ref="N933"/>
    <hyperlink r:id="rId2507" ref="C934"/>
    <hyperlink r:id="rId2508" ref="N934"/>
    <hyperlink r:id="rId2509" ref="C935"/>
    <hyperlink r:id="rId2510" ref="N935"/>
    <hyperlink r:id="rId2511" ref="C936"/>
    <hyperlink r:id="rId2512" location=":~:text=The%20minimum%20successful%20score%20for,to%20benefit%20from%20the%20program." ref="N936"/>
    <hyperlink r:id="rId2513" ref="C937"/>
    <hyperlink r:id="rId2514" location=":~:text=The%20minimum%20successful%20score%20for,to%20benefit%20from%20the%20program." ref="N937"/>
    <hyperlink r:id="rId2515" ref="C938"/>
    <hyperlink r:id="rId2516" location=":~:text=The%20minimum%20successful%20score%20for,to%20benefit%20from%20the%20program." ref="N938"/>
    <hyperlink r:id="rId2517" ref="C939"/>
    <hyperlink r:id="rId2518" ref="N939"/>
    <hyperlink r:id="rId2519" ref="C940"/>
    <hyperlink r:id="rId2520" ref="N940"/>
    <hyperlink r:id="rId2521" ref="C941"/>
    <hyperlink r:id="rId2522" ref="N941"/>
    <hyperlink r:id="rId2523" ref="C942"/>
    <hyperlink r:id="rId2524" ref="N942"/>
    <hyperlink r:id="rId2525" ref="C943"/>
    <hyperlink r:id="rId2526" ref="C944"/>
    <hyperlink r:id="rId2527" ref="C945"/>
    <hyperlink r:id="rId2528" ref="N945"/>
    <hyperlink r:id="rId2529" ref="C946"/>
  </hyperlinks>
  <drawing r:id="rId2530"/>
</worksheet>
</file>