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ovanni\Desktop\Maestría\Git\Archivos_publicos\"/>
    </mc:Choice>
  </mc:AlternateContent>
  <xr:revisionPtr revIDLastSave="0" documentId="13_ncr:1_{AAF43DFA-AE57-4C7E-83DC-CB73D93302F3}" xr6:coauthVersionLast="47" xr6:coauthVersionMax="47" xr10:uidLastSave="{00000000-0000-0000-0000-000000000000}"/>
  <bookViews>
    <workbookView xWindow="-120" yWindow="-120" windowWidth="29040" windowHeight="15840" activeTab="1" xr2:uid="{D9983384-8BAA-40C3-B0EE-05C3381FFA08}"/>
  </bookViews>
  <sheets>
    <sheet name="Personajes y armas" sheetId="2" r:id="rId1"/>
    <sheet name="Datos" sheetId="1" r:id="rId2"/>
    <sheet name="Pl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22" i="1"/>
  <c r="I3" i="1"/>
  <c r="I129" i="1"/>
  <c r="I121" i="1"/>
  <c r="I16" i="1"/>
  <c r="I128" i="1"/>
  <c r="D3" i="1"/>
  <c r="I70" i="1"/>
  <c r="I71" i="1"/>
  <c r="J3" i="1"/>
  <c r="J66" i="1"/>
  <c r="D66" i="1"/>
  <c r="J52" i="1"/>
  <c r="D52" i="1"/>
  <c r="J40" i="1"/>
  <c r="J25" i="1"/>
  <c r="I13" i="1"/>
  <c r="I19" i="1"/>
  <c r="I40" i="1"/>
  <c r="I25" i="1"/>
  <c r="J75" i="1"/>
  <c r="J51" i="1"/>
  <c r="J39" i="1"/>
  <c r="J22" i="1"/>
  <c r="I51" i="1"/>
  <c r="I39" i="1"/>
  <c r="I10" i="1"/>
  <c r="I22" i="1"/>
  <c r="C281" i="2"/>
  <c r="J9" i="1"/>
  <c r="J74" i="1"/>
  <c r="J83" i="1"/>
  <c r="J157" i="1"/>
  <c r="J156" i="1"/>
  <c r="D7" i="1"/>
  <c r="J73" i="1"/>
  <c r="J82" i="1"/>
  <c r="I9" i="1"/>
  <c r="J155" i="1"/>
  <c r="C291" i="2"/>
  <c r="C290" i="2"/>
  <c r="C289" i="2"/>
  <c r="C288" i="2"/>
  <c r="C287" i="2"/>
  <c r="C286" i="2"/>
  <c r="C285" i="2"/>
  <c r="C284" i="2"/>
  <c r="C283" i="2"/>
  <c r="C282" i="2"/>
  <c r="C280" i="2"/>
  <c r="A13" i="3"/>
  <c r="A2" i="3"/>
  <c r="I155" i="1"/>
  <c r="D155" i="1" s="1"/>
  <c r="I130" i="1"/>
  <c r="D94" i="1"/>
  <c r="D85" i="1"/>
  <c r="D82" i="1"/>
  <c r="D79" i="1"/>
  <c r="D76" i="1"/>
  <c r="D73" i="1"/>
  <c r="D70" i="1"/>
  <c r="D67" i="1"/>
  <c r="D64" i="1"/>
  <c r="D61" i="1"/>
  <c r="I58" i="1"/>
  <c r="D54" i="1"/>
  <c r="D53" i="1"/>
  <c r="D50" i="1"/>
  <c r="I49" i="1"/>
  <c r="I48" i="1"/>
  <c r="D47" i="1"/>
  <c r="I44" i="1"/>
  <c r="D44" i="1" s="1"/>
  <c r="I38" i="1"/>
  <c r="I15" i="1"/>
  <c r="D15" i="1"/>
  <c r="I14" i="1"/>
  <c r="D14" i="1" s="1"/>
  <c r="I12" i="1"/>
  <c r="D12" i="1" s="1"/>
  <c r="I11" i="1"/>
  <c r="D11" i="1" s="1"/>
  <c r="D10" i="1"/>
  <c r="D4" i="1"/>
  <c r="I158" i="1"/>
  <c r="I157" i="1"/>
  <c r="I156" i="1"/>
  <c r="I17" i="1"/>
  <c r="I141" i="1"/>
  <c r="I139" i="1"/>
  <c r="I31" i="1"/>
  <c r="I18" i="1"/>
  <c r="I144" i="1"/>
  <c r="I147" i="1"/>
  <c r="I145" i="1"/>
  <c r="I27" i="1"/>
  <c r="I151" i="1"/>
  <c r="I152" i="1"/>
  <c r="I153" i="1"/>
  <c r="I149" i="1"/>
  <c r="I148" i="1"/>
  <c r="J6" i="1"/>
  <c r="J68" i="1"/>
  <c r="J49" i="1"/>
  <c r="J34" i="1"/>
  <c r="J126" i="1"/>
  <c r="D51" i="1"/>
  <c r="J142" i="1"/>
  <c r="D142" i="1" s="1"/>
  <c r="J63" i="1"/>
  <c r="J131" i="1"/>
  <c r="J62" i="1"/>
  <c r="J122" i="1"/>
  <c r="J59" i="1"/>
  <c r="J121" i="1"/>
  <c r="J71" i="1"/>
  <c r="J123" i="1"/>
  <c r="D187" i="1"/>
  <c r="D183" i="1"/>
  <c r="D179" i="1"/>
  <c r="D171" i="1"/>
  <c r="I165" i="1"/>
  <c r="I164" i="1"/>
  <c r="D163" i="1"/>
  <c r="D159" i="1"/>
  <c r="I150" i="1"/>
  <c r="I140" i="1"/>
  <c r="D120" i="1"/>
  <c r="D119" i="1"/>
  <c r="D118" i="1"/>
  <c r="D117" i="1"/>
  <c r="D116" i="1"/>
  <c r="D115" i="1"/>
  <c r="D114" i="1"/>
  <c r="D113" i="1"/>
  <c r="D112" i="1"/>
  <c r="D109" i="1"/>
  <c r="D106" i="1"/>
  <c r="D103" i="1"/>
  <c r="D100" i="1"/>
  <c r="D97" i="1"/>
  <c r="D91" i="1"/>
  <c r="D88" i="1"/>
  <c r="I72" i="1"/>
  <c r="D58" i="1"/>
  <c r="D57" i="1"/>
  <c r="D56" i="1"/>
  <c r="D55" i="1"/>
  <c r="I54" i="1"/>
  <c r="D49" i="1"/>
  <c r="D48" i="1"/>
  <c r="D46" i="1"/>
  <c r="D45" i="1"/>
  <c r="D43" i="1"/>
  <c r="I41" i="1"/>
  <c r="D41" i="1" s="1"/>
  <c r="D40" i="1"/>
  <c r="D38" i="1"/>
  <c r="D37" i="1"/>
  <c r="D36" i="1"/>
  <c r="D35" i="1"/>
  <c r="I23" i="1"/>
  <c r="D13" i="1"/>
  <c r="I8" i="1"/>
  <c r="I7" i="1"/>
  <c r="I5" i="1"/>
  <c r="I4" i="1"/>
  <c r="J77" i="1"/>
  <c r="J127" i="1"/>
  <c r="J124" i="1"/>
  <c r="J125" i="1"/>
  <c r="J128" i="1"/>
  <c r="J86" i="1"/>
  <c r="J72" i="1"/>
  <c r="J47" i="1"/>
  <c r="J37" i="1"/>
  <c r="C406" i="2"/>
  <c r="J160" i="1"/>
  <c r="J106" i="1"/>
  <c r="J58" i="1"/>
  <c r="J159" i="1"/>
  <c r="I162" i="1"/>
  <c r="I161" i="1"/>
  <c r="I160" i="1"/>
  <c r="I159" i="1"/>
  <c r="J23" i="1"/>
  <c r="J35" i="1"/>
  <c r="J44" i="1"/>
  <c r="J164" i="1"/>
  <c r="J85" i="1"/>
  <c r="J67" i="1"/>
  <c r="J163" i="1"/>
  <c r="I163" i="1"/>
  <c r="D141" i="1"/>
  <c r="D140" i="1"/>
  <c r="I142" i="1"/>
  <c r="I146" i="1"/>
  <c r="J65" i="1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I143" i="1"/>
  <c r="D152" i="1"/>
  <c r="D146" i="1"/>
  <c r="I20" i="1"/>
  <c r="J19" i="1"/>
  <c r="D42" i="1"/>
  <c r="D154" i="1"/>
  <c r="D143" i="1"/>
  <c r="D34" i="1"/>
  <c r="C120" i="1"/>
  <c r="C129" i="1"/>
  <c r="C119" i="1"/>
  <c r="C187" i="1"/>
  <c r="C175" i="1"/>
  <c r="C152" i="1"/>
  <c r="C149" i="1"/>
  <c r="C114" i="1"/>
  <c r="C115" i="1"/>
  <c r="C16" i="1"/>
  <c r="C13" i="1"/>
  <c r="C10" i="1"/>
  <c r="C7" i="1"/>
  <c r="C8" i="1"/>
  <c r="C117" i="1"/>
  <c r="C118" i="1"/>
  <c r="D175" i="1"/>
  <c r="D167" i="1"/>
  <c r="D153" i="1"/>
  <c r="D151" i="1"/>
  <c r="D150" i="1"/>
  <c r="D149" i="1"/>
  <c r="D148" i="1"/>
  <c r="D147" i="1"/>
  <c r="D145" i="1"/>
  <c r="D144" i="1"/>
  <c r="D139" i="1"/>
  <c r="D39" i="1"/>
  <c r="C150" i="1"/>
  <c r="E120" i="1" l="1"/>
  <c r="D129" i="1" s="1"/>
  <c r="E119" i="1"/>
  <c r="D128" i="1" s="1"/>
  <c r="E118" i="1"/>
  <c r="D127" i="1" s="1"/>
  <c r="E117" i="1"/>
  <c r="D126" i="1" s="1"/>
  <c r="E115" i="1"/>
  <c r="D124" i="1" s="1"/>
  <c r="E114" i="1"/>
  <c r="D123" i="1" s="1"/>
  <c r="E150" i="1"/>
  <c r="H150" i="1" s="1"/>
  <c r="E175" i="1"/>
  <c r="E187" i="1"/>
  <c r="E152" i="1"/>
  <c r="H152" i="1" s="1"/>
  <c r="E149" i="1"/>
  <c r="H149" i="1" s="1"/>
  <c r="E13" i="1"/>
  <c r="D19" i="1" s="1"/>
  <c r="E10" i="1"/>
  <c r="D16" i="1" s="1"/>
  <c r="H10" i="1" l="1"/>
  <c r="E16" i="1"/>
  <c r="H13" i="1"/>
  <c r="H175" i="1"/>
  <c r="D176" i="1"/>
  <c r="D188" i="1"/>
  <c r="H187" i="1"/>
  <c r="H120" i="1"/>
  <c r="H119" i="1"/>
  <c r="H118" i="1"/>
  <c r="H117" i="1"/>
  <c r="H115" i="1"/>
  <c r="H114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E34" i="1" s="1"/>
  <c r="H34" i="1" s="1"/>
  <c r="C35" i="1"/>
  <c r="E35" i="1" s="1"/>
  <c r="H35" i="1" s="1"/>
  <c r="C36" i="1"/>
  <c r="E36" i="1" s="1"/>
  <c r="H36" i="1" s="1"/>
  <c r="C37" i="1"/>
  <c r="E37" i="1" s="1"/>
  <c r="H37" i="1" s="1"/>
  <c r="C39" i="1"/>
  <c r="E39" i="1" s="1"/>
  <c r="H39" i="1" s="1"/>
  <c r="C40" i="1"/>
  <c r="E40" i="1" s="1"/>
  <c r="H40" i="1" s="1"/>
  <c r="C41" i="1"/>
  <c r="E41" i="1" s="1"/>
  <c r="H41" i="1" s="1"/>
  <c r="C42" i="1"/>
  <c r="E42" i="1" s="1"/>
  <c r="H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C58" i="1"/>
  <c r="E58" i="1" s="1"/>
  <c r="D59" i="1" s="1"/>
  <c r="C59" i="1"/>
  <c r="C70" i="1"/>
  <c r="E70" i="1" s="1"/>
  <c r="D71" i="1" s="1"/>
  <c r="C73" i="1"/>
  <c r="E73" i="1" s="1"/>
  <c r="D74" i="1" s="1"/>
  <c r="C76" i="1"/>
  <c r="E76" i="1" s="1"/>
  <c r="D77" i="1" s="1"/>
  <c r="C82" i="1"/>
  <c r="E82" i="1" s="1"/>
  <c r="D83" i="1" s="1"/>
  <c r="C83" i="1"/>
  <c r="C84" i="1"/>
  <c r="C85" i="1"/>
  <c r="E85" i="1" s="1"/>
  <c r="D86" i="1" s="1"/>
  <c r="C86" i="1"/>
  <c r="C87" i="1"/>
  <c r="C88" i="1"/>
  <c r="E88" i="1" s="1"/>
  <c r="D89" i="1" s="1"/>
  <c r="C89" i="1"/>
  <c r="C90" i="1"/>
  <c r="C91" i="1"/>
  <c r="E91" i="1" s="1"/>
  <c r="D92" i="1" s="1"/>
  <c r="C92" i="1"/>
  <c r="C93" i="1"/>
  <c r="C94" i="1"/>
  <c r="E94" i="1" s="1"/>
  <c r="D95" i="1" s="1"/>
  <c r="C95" i="1"/>
  <c r="C96" i="1"/>
  <c r="C97" i="1"/>
  <c r="E97" i="1" s="1"/>
  <c r="D98" i="1" s="1"/>
  <c r="C98" i="1"/>
  <c r="C99" i="1"/>
  <c r="C100" i="1"/>
  <c r="E100" i="1" s="1"/>
  <c r="D101" i="1" s="1"/>
  <c r="C101" i="1"/>
  <c r="C102" i="1"/>
  <c r="C103" i="1"/>
  <c r="E103" i="1" s="1"/>
  <c r="D104" i="1" s="1"/>
  <c r="C104" i="1"/>
  <c r="C105" i="1"/>
  <c r="C106" i="1"/>
  <c r="E106" i="1" s="1"/>
  <c r="D107" i="1" s="1"/>
  <c r="C107" i="1"/>
  <c r="C108" i="1"/>
  <c r="C109" i="1"/>
  <c r="E109" i="1" s="1"/>
  <c r="D110" i="1" s="1"/>
  <c r="C110" i="1"/>
  <c r="C111" i="1"/>
  <c r="C113" i="1"/>
  <c r="E113" i="1" s="1"/>
  <c r="D122" i="1" s="1"/>
  <c r="C140" i="1"/>
  <c r="E140" i="1" s="1"/>
  <c r="H140" i="1" s="1"/>
  <c r="C143" i="1"/>
  <c r="E143" i="1" s="1"/>
  <c r="H143" i="1" s="1"/>
  <c r="C144" i="1"/>
  <c r="E144" i="1" s="1"/>
  <c r="H144" i="1" s="1"/>
  <c r="C145" i="1"/>
  <c r="E145" i="1" s="1"/>
  <c r="H145" i="1" s="1"/>
  <c r="C146" i="1"/>
  <c r="E146" i="1" s="1"/>
  <c r="H146" i="1" s="1"/>
  <c r="C147" i="1"/>
  <c r="E147" i="1" s="1"/>
  <c r="H147" i="1" s="1"/>
  <c r="C148" i="1"/>
  <c r="E148" i="1" s="1"/>
  <c r="H148" i="1" s="1"/>
  <c r="C151" i="1"/>
  <c r="E151" i="1" s="1"/>
  <c r="H151" i="1" s="1"/>
  <c r="C153" i="1"/>
  <c r="E153" i="1" s="1"/>
  <c r="H153" i="1" s="1"/>
  <c r="C154" i="1"/>
  <c r="E154" i="1" s="1"/>
  <c r="C155" i="1"/>
  <c r="E155" i="1" s="1"/>
  <c r="D156" i="1" s="1"/>
  <c r="C156" i="1"/>
  <c r="C157" i="1"/>
  <c r="C158" i="1"/>
  <c r="C159" i="1"/>
  <c r="E159" i="1" s="1"/>
  <c r="D160" i="1" s="1"/>
  <c r="C160" i="1"/>
  <c r="C161" i="1"/>
  <c r="C162" i="1"/>
  <c r="C163" i="1"/>
  <c r="E163" i="1" s="1"/>
  <c r="D164" i="1" s="1"/>
  <c r="C164" i="1"/>
  <c r="C165" i="1"/>
  <c r="C166" i="1"/>
  <c r="C167" i="1"/>
  <c r="E167" i="1" s="1"/>
  <c r="C168" i="1"/>
  <c r="C169" i="1"/>
  <c r="C170" i="1"/>
  <c r="C171" i="1"/>
  <c r="E171" i="1" s="1"/>
  <c r="C172" i="1"/>
  <c r="C173" i="1"/>
  <c r="C174" i="1"/>
  <c r="C176" i="1"/>
  <c r="E176" i="1" s="1"/>
  <c r="C177" i="1"/>
  <c r="C178" i="1"/>
  <c r="C179" i="1"/>
  <c r="E179" i="1" s="1"/>
  <c r="C180" i="1"/>
  <c r="C181" i="1"/>
  <c r="C182" i="1"/>
  <c r="C183" i="1"/>
  <c r="E183" i="1" s="1"/>
  <c r="C184" i="1"/>
  <c r="C185" i="1"/>
  <c r="C186" i="1"/>
  <c r="C188" i="1"/>
  <c r="C189" i="1"/>
  <c r="C190" i="1"/>
  <c r="C11" i="1"/>
  <c r="E11" i="1" s="1"/>
  <c r="D17" i="1" s="1"/>
  <c r="C12" i="1"/>
  <c r="E12" i="1" s="1"/>
  <c r="D18" i="1" s="1"/>
  <c r="C14" i="1"/>
  <c r="E14" i="1" s="1"/>
  <c r="D20" i="1" s="1"/>
  <c r="C15" i="1"/>
  <c r="E15" i="1" s="1"/>
  <c r="D21" i="1" s="1"/>
  <c r="C17" i="1"/>
  <c r="C18" i="1"/>
  <c r="C9" i="1"/>
  <c r="E57" i="1"/>
  <c r="C5" i="1"/>
  <c r="C4" i="1"/>
  <c r="H16" i="1" l="1"/>
  <c r="D22" i="1"/>
  <c r="E22" i="1" s="1"/>
  <c r="D28" i="1" s="1"/>
  <c r="E188" i="1"/>
  <c r="H188" i="1" s="1"/>
  <c r="E19" i="1"/>
  <c r="D25" i="1" s="1"/>
  <c r="D177" i="1"/>
  <c r="E177" i="1" s="1"/>
  <c r="H176" i="1"/>
  <c r="D172" i="1"/>
  <c r="E172" i="1" s="1"/>
  <c r="H171" i="1"/>
  <c r="H167" i="1"/>
  <c r="D168" i="1"/>
  <c r="E168" i="1" s="1"/>
  <c r="H163" i="1"/>
  <c r="E164" i="1"/>
  <c r="D165" i="1" s="1"/>
  <c r="H159" i="1"/>
  <c r="E160" i="1"/>
  <c r="H155" i="1"/>
  <c r="E156" i="1"/>
  <c r="D157" i="1" s="1"/>
  <c r="H113" i="1"/>
  <c r="H183" i="1"/>
  <c r="D184" i="1"/>
  <c r="E184" i="1" s="1"/>
  <c r="H179" i="1"/>
  <c r="D180" i="1"/>
  <c r="E180" i="1" s="1"/>
  <c r="E110" i="1"/>
  <c r="D111" i="1" s="1"/>
  <c r="E107" i="1"/>
  <c r="D108" i="1" s="1"/>
  <c r="E95" i="1"/>
  <c r="D96" i="1" s="1"/>
  <c r="E83" i="1"/>
  <c r="D84" i="1" s="1"/>
  <c r="E59" i="1"/>
  <c r="D60" i="1" s="1"/>
  <c r="E98" i="1"/>
  <c r="E86" i="1"/>
  <c r="D87" i="1" s="1"/>
  <c r="E4" i="1"/>
  <c r="D5" i="1" s="1"/>
  <c r="E101" i="1"/>
  <c r="D102" i="1" s="1"/>
  <c r="E89" i="1"/>
  <c r="D90" i="1" s="1"/>
  <c r="E104" i="1"/>
  <c r="E92" i="1"/>
  <c r="E18" i="1"/>
  <c r="D24" i="1" s="1"/>
  <c r="H12" i="1"/>
  <c r="H15" i="1"/>
  <c r="E21" i="1"/>
  <c r="D27" i="1" s="1"/>
  <c r="H11" i="1"/>
  <c r="E17" i="1"/>
  <c r="D23" i="1" s="1"/>
  <c r="H14" i="1"/>
  <c r="E20" i="1"/>
  <c r="D26" i="1" s="1"/>
  <c r="C20" i="2"/>
  <c r="C439" i="2"/>
  <c r="C400" i="2"/>
  <c r="C391" i="2"/>
  <c r="C369" i="2"/>
  <c r="C313" i="2"/>
  <c r="C304" i="2"/>
  <c r="C256" i="2"/>
  <c r="C379" i="2"/>
  <c r="C357" i="2"/>
  <c r="C333" i="2"/>
  <c r="C321" i="2"/>
  <c r="C292" i="2"/>
  <c r="C268" i="2"/>
  <c r="C251" i="2"/>
  <c r="C246" i="2"/>
  <c r="C234" i="2"/>
  <c r="C229" i="2"/>
  <c r="C224" i="2"/>
  <c r="C197" i="2"/>
  <c r="C203" i="2"/>
  <c r="C202" i="2"/>
  <c r="C217" i="2"/>
  <c r="C215" i="2"/>
  <c r="C213" i="2"/>
  <c r="C216" i="2"/>
  <c r="C214" i="2"/>
  <c r="C212" i="2"/>
  <c r="C220" i="2"/>
  <c r="C142" i="1" s="1"/>
  <c r="E142" i="1" s="1"/>
  <c r="H142" i="1" s="1"/>
  <c r="C201" i="2"/>
  <c r="C211" i="2"/>
  <c r="C219" i="2"/>
  <c r="C138" i="1" s="1"/>
  <c r="C218" i="2"/>
  <c r="C200" i="2"/>
  <c r="C210" i="2"/>
  <c r="C221" i="2"/>
  <c r="C141" i="1" s="1"/>
  <c r="E141" i="1" s="1"/>
  <c r="H141" i="1" s="1"/>
  <c r="C207" i="2"/>
  <c r="C205" i="2"/>
  <c r="C204" i="2"/>
  <c r="C199" i="2"/>
  <c r="C209" i="2"/>
  <c r="C206" i="2"/>
  <c r="C198" i="2"/>
  <c r="C208" i="2"/>
  <c r="C188" i="2"/>
  <c r="C194" i="2"/>
  <c r="C195" i="2"/>
  <c r="C189" i="2"/>
  <c r="C177" i="2"/>
  <c r="C184" i="2"/>
  <c r="C183" i="2"/>
  <c r="C186" i="2"/>
  <c r="C137" i="1" s="1"/>
  <c r="C185" i="2"/>
  <c r="C178" i="2"/>
  <c r="C175" i="2"/>
  <c r="C174" i="2"/>
  <c r="C173" i="2"/>
  <c r="C172" i="2"/>
  <c r="C171" i="2"/>
  <c r="C170" i="2"/>
  <c r="C162" i="2"/>
  <c r="C157" i="2"/>
  <c r="C81" i="1" s="1"/>
  <c r="C156" i="2"/>
  <c r="C80" i="1" s="1"/>
  <c r="C155" i="2"/>
  <c r="C79" i="1" s="1"/>
  <c r="E79" i="1" s="1"/>
  <c r="D80" i="1" s="1"/>
  <c r="C160" i="2"/>
  <c r="C159" i="2"/>
  <c r="C158" i="2"/>
  <c r="C116" i="1" s="1"/>
  <c r="E116" i="1" s="1"/>
  <c r="C147" i="2"/>
  <c r="C142" i="2"/>
  <c r="C145" i="2"/>
  <c r="C141" i="2"/>
  <c r="C144" i="2"/>
  <c r="C140" i="2"/>
  <c r="C61" i="1" s="1"/>
  <c r="E61" i="1" s="1"/>
  <c r="D62" i="1" s="1"/>
  <c r="C143" i="2"/>
  <c r="C132" i="2"/>
  <c r="C120" i="2"/>
  <c r="C128" i="2"/>
  <c r="C78" i="1" s="1"/>
  <c r="C130" i="2"/>
  <c r="C127" i="2"/>
  <c r="C77" i="1" s="1"/>
  <c r="E77" i="1" s="1"/>
  <c r="D78" i="1" s="1"/>
  <c r="C129" i="2"/>
  <c r="C127" i="1" s="1"/>
  <c r="E127" i="1" s="1"/>
  <c r="H127" i="1" s="1"/>
  <c r="C121" i="2"/>
  <c r="C99" i="2"/>
  <c r="C109" i="2"/>
  <c r="C116" i="2"/>
  <c r="C115" i="2"/>
  <c r="C118" i="2"/>
  <c r="C117" i="2"/>
  <c r="C110" i="2"/>
  <c r="C98" i="2"/>
  <c r="C105" i="2"/>
  <c r="C107" i="2"/>
  <c r="C104" i="2"/>
  <c r="C74" i="1" s="1"/>
  <c r="E74" i="1" s="1"/>
  <c r="D75" i="1" s="1"/>
  <c r="C106" i="2"/>
  <c r="C93" i="2"/>
  <c r="C92" i="2"/>
  <c r="C91" i="2"/>
  <c r="C64" i="1" s="1"/>
  <c r="E64" i="1" s="1"/>
  <c r="D65" i="1" s="1"/>
  <c r="C96" i="2"/>
  <c r="C95" i="2"/>
  <c r="C89" i="2"/>
  <c r="C38" i="1" s="1"/>
  <c r="E38" i="1" s="1"/>
  <c r="H38" i="1" s="1"/>
  <c r="C83" i="2"/>
  <c r="C34" i="2"/>
  <c r="C72" i="2"/>
  <c r="C79" i="2"/>
  <c r="C81" i="2"/>
  <c r="C78" i="2"/>
  <c r="C80" i="2"/>
  <c r="C73" i="2"/>
  <c r="C60" i="2"/>
  <c r="C68" i="2"/>
  <c r="C70" i="2"/>
  <c r="C67" i="2"/>
  <c r="C69" i="2"/>
  <c r="C124" i="1" s="1"/>
  <c r="E124" i="1" s="1"/>
  <c r="C61" i="2"/>
  <c r="C49" i="2"/>
  <c r="C56" i="2"/>
  <c r="C58" i="2"/>
  <c r="C132" i="1" s="1"/>
  <c r="C55" i="2"/>
  <c r="C71" i="1" s="1"/>
  <c r="C57" i="2"/>
  <c r="C51" i="2"/>
  <c r="C25" i="1" s="1"/>
  <c r="C50" i="2"/>
  <c r="C24" i="2"/>
  <c r="C44" i="2"/>
  <c r="C47" i="2"/>
  <c r="C43" i="2"/>
  <c r="C46" i="2"/>
  <c r="C42" i="2"/>
  <c r="C67" i="1" s="1"/>
  <c r="E67" i="1" s="1"/>
  <c r="D68" i="1" s="1"/>
  <c r="C30" i="2"/>
  <c r="C32" i="2"/>
  <c r="C29" i="2"/>
  <c r="C31" i="2"/>
  <c r="C13" i="2"/>
  <c r="C22" i="2"/>
  <c r="C19" i="2"/>
  <c r="C21" i="2"/>
  <c r="C14" i="2"/>
  <c r="C3" i="2"/>
  <c r="C12" i="2"/>
  <c r="C139" i="1" s="1"/>
  <c r="E139" i="1" s="1"/>
  <c r="H139" i="1" s="1"/>
  <c r="C9" i="2"/>
  <c r="C60" i="1" s="1"/>
  <c r="C11" i="2"/>
  <c r="D189" i="1" l="1"/>
  <c r="E189" i="1" s="1"/>
  <c r="C133" i="1"/>
  <c r="C125" i="1"/>
  <c r="C62" i="1"/>
  <c r="E62" i="1" s="1"/>
  <c r="D63" i="1" s="1"/>
  <c r="C65" i="1"/>
  <c r="E65" i="1" s="1"/>
  <c r="C126" i="1"/>
  <c r="E126" i="1" s="1"/>
  <c r="H126" i="1" s="1"/>
  <c r="C128" i="1"/>
  <c r="E128" i="1" s="1"/>
  <c r="H128" i="1" s="1"/>
  <c r="H124" i="1"/>
  <c r="D133" i="1"/>
  <c r="H116" i="1"/>
  <c r="D125" i="1"/>
  <c r="H19" i="1"/>
  <c r="C131" i="1"/>
  <c r="C68" i="1"/>
  <c r="E68" i="1" s="1"/>
  <c r="D69" i="1" s="1"/>
  <c r="C134" i="1"/>
  <c r="C66" i="1"/>
  <c r="C72" i="1"/>
  <c r="C135" i="1"/>
  <c r="E80" i="1"/>
  <c r="D81" i="1" s="1"/>
  <c r="C3" i="1"/>
  <c r="C122" i="1"/>
  <c r="E122" i="1" s="1"/>
  <c r="D131" i="1" s="1"/>
  <c r="C121" i="1"/>
  <c r="C69" i="1"/>
  <c r="C123" i="1"/>
  <c r="E123" i="1" s="1"/>
  <c r="D132" i="1" s="1"/>
  <c r="C75" i="1"/>
  <c r="E75" i="1" s="1"/>
  <c r="C136" i="1"/>
  <c r="E71" i="1"/>
  <c r="D72" i="1" s="1"/>
  <c r="C130" i="1"/>
  <c r="C6" i="1"/>
  <c r="C112" i="1"/>
  <c r="E112" i="1" s="1"/>
  <c r="D121" i="1" s="1"/>
  <c r="C63" i="1"/>
  <c r="E5" i="1"/>
  <c r="D6" i="1" s="1"/>
  <c r="E133" i="1"/>
  <c r="H133" i="1" s="1"/>
  <c r="E25" i="1"/>
  <c r="D31" i="1" s="1"/>
  <c r="E31" i="1" s="1"/>
  <c r="H31" i="1" s="1"/>
  <c r="D136" i="1"/>
  <c r="H184" i="1"/>
  <c r="D185" i="1"/>
  <c r="E185" i="1" s="1"/>
  <c r="H156" i="1"/>
  <c r="E157" i="1"/>
  <c r="D181" i="1"/>
  <c r="E181" i="1" s="1"/>
  <c r="H180" i="1"/>
  <c r="H189" i="1"/>
  <c r="D190" i="1"/>
  <c r="E190" i="1" s="1"/>
  <c r="H190" i="1" s="1"/>
  <c r="H168" i="1"/>
  <c r="D169" i="1"/>
  <c r="E169" i="1" s="1"/>
  <c r="H177" i="1"/>
  <c r="D178" i="1"/>
  <c r="E178" i="1" s="1"/>
  <c r="H178" i="1" s="1"/>
  <c r="H172" i="1"/>
  <c r="D173" i="1"/>
  <c r="E173" i="1" s="1"/>
  <c r="E165" i="1"/>
  <c r="D166" i="1" s="1"/>
  <c r="H164" i="1"/>
  <c r="D161" i="1"/>
  <c r="E161" i="1" s="1"/>
  <c r="H160" i="1"/>
  <c r="E129" i="1"/>
  <c r="D138" i="1" s="1"/>
  <c r="E28" i="1"/>
  <c r="H28" i="1" s="1"/>
  <c r="H22" i="1"/>
  <c r="E90" i="1"/>
  <c r="D105" i="1"/>
  <c r="E105" i="1" s="1"/>
  <c r="D93" i="1"/>
  <c r="E93" i="1" s="1"/>
  <c r="E96" i="1"/>
  <c r="E102" i="1"/>
  <c r="E108" i="1"/>
  <c r="E111" i="1"/>
  <c r="E78" i="1"/>
  <c r="E60" i="1"/>
  <c r="E87" i="1"/>
  <c r="D99" i="1"/>
  <c r="E99" i="1" s="1"/>
  <c r="E84" i="1"/>
  <c r="E26" i="1"/>
  <c r="D32" i="1" s="1"/>
  <c r="H20" i="1"/>
  <c r="H18" i="1"/>
  <c r="E24" i="1"/>
  <c r="D30" i="1" s="1"/>
  <c r="E23" i="1"/>
  <c r="D29" i="1" s="1"/>
  <c r="H17" i="1"/>
  <c r="E27" i="1"/>
  <c r="D33" i="1" s="1"/>
  <c r="H21" i="1"/>
  <c r="E7" i="1"/>
  <c r="D8" i="1" s="1"/>
  <c r="D137" i="1" l="1"/>
  <c r="E137" i="1" s="1"/>
  <c r="H137" i="1" s="1"/>
  <c r="E125" i="1"/>
  <c r="H125" i="1" s="1"/>
  <c r="D135" i="1"/>
  <c r="E135" i="1" s="1"/>
  <c r="H135" i="1" s="1"/>
  <c r="E81" i="1"/>
  <c r="E66" i="1"/>
  <c r="H122" i="1"/>
  <c r="E131" i="1"/>
  <c r="H131" i="1" s="1"/>
  <c r="H123" i="1"/>
  <c r="E132" i="1"/>
  <c r="H132" i="1" s="1"/>
  <c r="E63" i="1"/>
  <c r="E72" i="1"/>
  <c r="E69" i="1"/>
  <c r="H25" i="1"/>
  <c r="D134" i="1"/>
  <c r="E134" i="1" s="1"/>
  <c r="H134" i="1" s="1"/>
  <c r="E136" i="1"/>
  <c r="H136" i="1" s="1"/>
  <c r="E6" i="1"/>
  <c r="H6" i="1" s="1"/>
  <c r="E121" i="1"/>
  <c r="H112" i="1"/>
  <c r="H157" i="1"/>
  <c r="D158" i="1"/>
  <c r="E158" i="1" s="1"/>
  <c r="H158" i="1" s="1"/>
  <c r="E166" i="1"/>
  <c r="H166" i="1" s="1"/>
  <c r="H165" i="1"/>
  <c r="H173" i="1"/>
  <c r="D174" i="1"/>
  <c r="E174" i="1" s="1"/>
  <c r="H174" i="1" s="1"/>
  <c r="H169" i="1"/>
  <c r="D170" i="1"/>
  <c r="E170" i="1" s="1"/>
  <c r="H170" i="1" s="1"/>
  <c r="H185" i="1"/>
  <c r="D186" i="1"/>
  <c r="E186" i="1" s="1"/>
  <c r="H186" i="1" s="1"/>
  <c r="H161" i="1"/>
  <c r="D162" i="1"/>
  <c r="E162" i="1" s="1"/>
  <c r="H162" i="1" s="1"/>
  <c r="D182" i="1"/>
  <c r="E182" i="1" s="1"/>
  <c r="H182" i="1" s="1"/>
  <c r="H181" i="1"/>
  <c r="E138" i="1"/>
  <c r="H138" i="1" s="1"/>
  <c r="H129" i="1"/>
  <c r="H23" i="1"/>
  <c r="E29" i="1"/>
  <c r="H29" i="1" s="1"/>
  <c r="H24" i="1"/>
  <c r="E30" i="1"/>
  <c r="H30" i="1" s="1"/>
  <c r="E33" i="1"/>
  <c r="H33" i="1" s="1"/>
  <c r="H27" i="1"/>
  <c r="H26" i="1"/>
  <c r="E32" i="1"/>
  <c r="H32" i="1" s="1"/>
  <c r="E8" i="1"/>
  <c r="D9" i="1" s="1"/>
  <c r="E3" i="1"/>
  <c r="H3" i="1" s="1"/>
  <c r="H121" i="1" l="1"/>
  <c r="D130" i="1"/>
  <c r="E130" i="1" s="1"/>
  <c r="H130" i="1" s="1"/>
  <c r="E9" i="1"/>
  <c r="N6" i="1" s="1"/>
  <c r="N8" i="1" s="1"/>
  <c r="N2" i="1" l="1"/>
  <c r="N4" i="1" s="1"/>
</calcChain>
</file>

<file path=xl/sharedStrings.xml><?xml version="1.0" encoding="utf-8"?>
<sst xmlns="http://schemas.openxmlformats.org/spreadsheetml/2006/main" count="1008" uniqueCount="305">
  <si>
    <t>Material</t>
  </si>
  <si>
    <t>Cantidad</t>
  </si>
  <si>
    <t>Días de farmeo</t>
  </si>
  <si>
    <t>Resina</t>
  </si>
  <si>
    <t>Donde conseguir</t>
  </si>
  <si>
    <t>Semilla de fuego eterno</t>
  </si>
  <si>
    <t>Regisvid Pyro</t>
  </si>
  <si>
    <t>Ingenio del héroe</t>
  </si>
  <si>
    <t>Flor de revelación</t>
  </si>
  <si>
    <t>Mora</t>
  </si>
  <si>
    <t>Diluc</t>
  </si>
  <si>
    <t>Lucetta</t>
  </si>
  <si>
    <t>Guía de la resistencia</t>
  </si>
  <si>
    <t>Filosofía de la resistencia</t>
  </si>
  <si>
    <t>Pluma de Stormterror</t>
  </si>
  <si>
    <t>Xingchiu</t>
  </si>
  <si>
    <t>Trozo de lazurita varunada</t>
  </si>
  <si>
    <t>Lazurita varunada</t>
  </si>
  <si>
    <t>Corazón purificador</t>
  </si>
  <si>
    <t>Flor de seda</t>
  </si>
  <si>
    <t>Máscara amenazante</t>
  </si>
  <si>
    <t>Guía del oro</t>
  </si>
  <si>
    <t>Máscara sucia</t>
  </si>
  <si>
    <t>Filosofía del oro</t>
  </si>
  <si>
    <t>Cola de Boreas</t>
  </si>
  <si>
    <t>Bennett</t>
  </si>
  <si>
    <t>Margarita voladora</t>
  </si>
  <si>
    <t>Insignia de cuervo dorada</t>
  </si>
  <si>
    <t>Insignia de cuervo plateada</t>
  </si>
  <si>
    <t>Zhongli</t>
  </si>
  <si>
    <t>Pedacito de topacio prithiva</t>
  </si>
  <si>
    <t>Fragmento de topacio prithiva</t>
  </si>
  <si>
    <t>Trozo de topacio prithiva</t>
  </si>
  <si>
    <t>Topacio prithiva</t>
  </si>
  <si>
    <t>Cor lapis</t>
  </si>
  <si>
    <t>Pilar de basalto</t>
  </si>
  <si>
    <t>Condensado de Slime</t>
  </si>
  <si>
    <t>Babas de Slime</t>
  </si>
  <si>
    <t>Esencia de Slime</t>
  </si>
  <si>
    <t>Enseñanzas del oro</t>
  </si>
  <si>
    <t>Cuerno de Monoceros Caeli</t>
  </si>
  <si>
    <t>Shogun Raiden</t>
  </si>
  <si>
    <t>Trozo de amatista vajrada</t>
  </si>
  <si>
    <t>Amatista vajrada</t>
  </si>
  <si>
    <t>Abalorio de la tempestad</t>
  </si>
  <si>
    <t>Fruto amakumo</t>
  </si>
  <si>
    <t>Guardamano célebre</t>
  </si>
  <si>
    <t>Guía de la luz</t>
  </si>
  <si>
    <t>Guardamano gemelo</t>
  </si>
  <si>
    <t>Filosofía de la luz</t>
  </si>
  <si>
    <t>Momento del derretimiento</t>
  </si>
  <si>
    <t>Kujou Sara</t>
  </si>
  <si>
    <t>Fragmento de amatista vajrada</t>
  </si>
  <si>
    <t>Dendrobio</t>
  </si>
  <si>
    <t>Guía de la elegancia</t>
  </si>
  <si>
    <t>Filosofía de la elegancia</t>
  </si>
  <si>
    <t>Corazón de las cenizas</t>
  </si>
  <si>
    <t>Chile de Jueyun</t>
  </si>
  <si>
    <t>Guía del esfuerzo</t>
  </si>
  <si>
    <t>Filosofía del esfuerzo</t>
  </si>
  <si>
    <t>Garra de Stormterror</t>
  </si>
  <si>
    <t>Xiangling</t>
  </si>
  <si>
    <t>Pedacito de turquesa vayuda</t>
  </si>
  <si>
    <t>Fragmento de turquesa vayuda</t>
  </si>
  <si>
    <t>Trozo de turquesa vayuda</t>
  </si>
  <si>
    <t>Turquesa vayuda</t>
  </si>
  <si>
    <t>Hongo marino</t>
  </si>
  <si>
    <t>Engranaje Oni</t>
  </si>
  <si>
    <t>Insignia de cuervo de bronce</t>
  </si>
  <si>
    <t>Enseñanzas del esfuerzo</t>
  </si>
  <si>
    <t>Escama dorada</t>
  </si>
  <si>
    <t>Kaedehara Kazuha</t>
  </si>
  <si>
    <t>Perla abrasante</t>
  </si>
  <si>
    <t>Percibetormentas</t>
  </si>
  <si>
    <t>Pergamino hechizado</t>
  </si>
  <si>
    <t>Pergamino maldito</t>
  </si>
  <si>
    <t>Guía de la transitoriedad</t>
  </si>
  <si>
    <t>Filosofía de la transitoriedad</t>
  </si>
  <si>
    <t>Corona del rey dragón</t>
  </si>
  <si>
    <t>Yoimiya</t>
  </si>
  <si>
    <t>Jade noctilucoso</t>
  </si>
  <si>
    <t>Prisma del relámpago</t>
  </si>
  <si>
    <t>Suspiro de Stormterror</t>
  </si>
  <si>
    <t>Beidou</t>
  </si>
  <si>
    <t>Flecha afilada</t>
  </si>
  <si>
    <t>Flecha veterana</t>
  </si>
  <si>
    <t>Guía de la poesía</t>
  </si>
  <si>
    <t>Filosofía de la poesía</t>
  </si>
  <si>
    <t>Alma de Boreas</t>
  </si>
  <si>
    <t>Fischl</t>
  </si>
  <si>
    <t>Semilla de diente de león</t>
  </si>
  <si>
    <t>Semilla de huracán</t>
  </si>
  <si>
    <t>Enseñanzas de la resistencia</t>
  </si>
  <si>
    <t>Jean</t>
  </si>
  <si>
    <t>Pedacito de jade shivada</t>
  </si>
  <si>
    <t>Fragmento de jade shivada</t>
  </si>
  <si>
    <t>Trozo de jade shivada</t>
  </si>
  <si>
    <t>Jade shivada</t>
  </si>
  <si>
    <t>Flor chingxin</t>
  </si>
  <si>
    <t>Núcleo de escarcha</t>
  </si>
  <si>
    <t>Néctar de Megaflora</t>
  </si>
  <si>
    <t>Néctar brillante</t>
  </si>
  <si>
    <t>Néctar energético</t>
  </si>
  <si>
    <t>Sombra del guerrero</t>
  </si>
  <si>
    <t>Ganyu</t>
  </si>
  <si>
    <t>Pedacito de lazurita varunada</t>
  </si>
  <si>
    <t>Fragmento de lazurita varunada</t>
  </si>
  <si>
    <t>Seta filanemo</t>
  </si>
  <si>
    <t>Anillo de Boreas</t>
  </si>
  <si>
    <t>Mona</t>
  </si>
  <si>
    <t>Lirio cala</t>
  </si>
  <si>
    <t>Guía de la libertad</t>
  </si>
  <si>
    <t>Filosofía de la libertad</t>
  </si>
  <si>
    <t>Fragmento de espada de Legado del mal</t>
  </si>
  <si>
    <t>Diona</t>
  </si>
  <si>
    <t>Cecilia</t>
  </si>
  <si>
    <t>Venti</t>
  </si>
  <si>
    <t>Filosofía de la prosperidad</t>
  </si>
  <si>
    <t>Corona de la sabiduría</t>
  </si>
  <si>
    <t>Astrid</t>
  </si>
  <si>
    <t>Hoja Afilada Celestial</t>
  </si>
  <si>
    <t>Lápida del Lobo</t>
  </si>
  <si>
    <t>Espada de Sacrificio</t>
  </si>
  <si>
    <t>Báculo de Homa</t>
  </si>
  <si>
    <t>Luz del Segador</t>
  </si>
  <si>
    <t>Alas Celestiales</t>
  </si>
  <si>
    <t>La Captura</t>
  </si>
  <si>
    <t>Último Acorde</t>
  </si>
  <si>
    <t>Arco de Amos</t>
  </si>
  <si>
    <t>Sinfonía de los Merodeadores</t>
  </si>
  <si>
    <t>Arco del Sacrificio</t>
  </si>
  <si>
    <t>Rugido de León</t>
  </si>
  <si>
    <t>Juramento por la Libertad
o
Espina de Hierro</t>
  </si>
  <si>
    <t>Agitador del Relámpago
o
Herrumbre</t>
  </si>
  <si>
    <t>Médula de la Serpiente
Marina</t>
  </si>
  <si>
    <t>Aquila Favonia
o
Prototipo Rencor</t>
  </si>
  <si>
    <t>Elegía del Fin
o
Último Acorde
o
Oda a las Flores de Viento</t>
  </si>
  <si>
    <t>Personaje</t>
  </si>
  <si>
    <t>Arma</t>
  </si>
  <si>
    <t>Mineral de refinamiento místico</t>
  </si>
  <si>
    <t>Ideales de Diente de León</t>
  </si>
  <si>
    <t>Caldera del caos</t>
  </si>
  <si>
    <t>Espada de
Sacrificio</t>
  </si>
  <si>
    <t>Nostalgia del lobo boreal</t>
  </si>
  <si>
    <t>Brotes de líneas ley</t>
  </si>
  <si>
    <t>Hoja Afilada
Celestial</t>
  </si>
  <si>
    <t>Grano de siderita oscura</t>
  </si>
  <si>
    <t>Lámina de siderita oscura</t>
  </si>
  <si>
    <t>Fragmento de siderita oscura</t>
  </si>
  <si>
    <t>Trozo de siderita oscura</t>
  </si>
  <si>
    <t>Rama seca de líneas ley</t>
  </si>
  <si>
    <t>Hojas secas de líneas ley</t>
  </si>
  <si>
    <t>Máscara fantasmagórica</t>
  </si>
  <si>
    <t>Ojo del caos</t>
  </si>
  <si>
    <t>Shogun
Raiden</t>
  </si>
  <si>
    <t>Luz del
Segador</t>
  </si>
  <si>
    <t>Alas
Celestiales</t>
  </si>
  <si>
    <t>Máscara del teniente maligno</t>
  </si>
  <si>
    <t>Máscara del mordisco de tigre</t>
  </si>
  <si>
    <t>Máscara del cuerno</t>
  </si>
  <si>
    <t>Engranaje del caos</t>
  </si>
  <si>
    <t>Eje del caos</t>
  </si>
  <si>
    <t>Caparazón espectral</t>
  </si>
  <si>
    <t>Corazón espectral</t>
  </si>
  <si>
    <t>Núcleo espectral</t>
  </si>
  <si>
    <t>Grilletes de Diente de León</t>
  </si>
  <si>
    <t>Cadena de Diente de León</t>
  </si>
  <si>
    <t>Esposas de Diente de León</t>
  </si>
  <si>
    <t>Dispositivo del caos</t>
  </si>
  <si>
    <t>Circuito del caos</t>
  </si>
  <si>
    <t>Pergamino guía</t>
  </si>
  <si>
    <t>Juramento por la Libertad</t>
  </si>
  <si>
    <t>Fragmento de hueso frágil</t>
  </si>
  <si>
    <t>Fragmento de hueso fosilizado</t>
  </si>
  <si>
    <t>Fragmento de hueso sólido</t>
  </si>
  <si>
    <t>Espina de Hierro</t>
  </si>
  <si>
    <t>Sabiduría de Narukami</t>
  </si>
  <si>
    <t>Júbilo de Narukami</t>
  </si>
  <si>
    <t>Afecto de Narukami</t>
  </si>
  <si>
    <t>Valentía de Narukami</t>
  </si>
  <si>
    <t>Prisma oscuro</t>
  </si>
  <si>
    <t>Prisma de cristal</t>
  </si>
  <si>
    <t>Prisma polarizador</t>
  </si>
  <si>
    <t>Flecha robusta</t>
  </si>
  <si>
    <t>Agitador del Relámpago</t>
  </si>
  <si>
    <t>Herrumbre</t>
  </si>
  <si>
    <t>Piedra reluciente de Guyun</t>
  </si>
  <si>
    <t>Reliquia de Guyun</t>
  </si>
  <si>
    <t>Cuerpo divino de Guyun</t>
  </si>
  <si>
    <t>Daga del agente</t>
  </si>
  <si>
    <t>Daga larga del inspector</t>
  </si>
  <si>
    <t>Médula de la Serpiente
Marina
o
Rey del Mal</t>
  </si>
  <si>
    <t>Rey del Mal</t>
  </si>
  <si>
    <t>Rama de coral del mar distante</t>
  </si>
  <si>
    <t>Rama enjoyada del mar distante</t>
  </si>
  <si>
    <t>Rama de jade del mar distante</t>
  </si>
  <si>
    <t>Rama dorada del mar distante</t>
  </si>
  <si>
    <t>Garra oculta</t>
  </si>
  <si>
    <t>Garra afilada oculta</t>
  </si>
  <si>
    <t>Garra fantasmal oculta</t>
  </si>
  <si>
    <t>Guardamano viejo</t>
  </si>
  <si>
    <t>Fragmento de azulejo de Decarabian</t>
  </si>
  <si>
    <t>Escombro de la ciudad de Decarabian</t>
  </si>
  <si>
    <t>Fragmento de epopeya de Decarabian</t>
  </si>
  <si>
    <t>Fragmento de sueño de Decarabian</t>
  </si>
  <si>
    <t>Cuerno pesado</t>
  </si>
  <si>
    <t>Cuerno de bronce negro</t>
  </si>
  <si>
    <t>Cuerno con cristal negro</t>
  </si>
  <si>
    <t>Aquila Favonia</t>
  </si>
  <si>
    <t>Prototipo Rencor</t>
  </si>
  <si>
    <t>Perdigones de mercurio</t>
  </si>
  <si>
    <t>Hierba brumosa</t>
  </si>
  <si>
    <t>Perdigones de oro</t>
  </si>
  <si>
    <t>Perdigones primordiales</t>
  </si>
  <si>
    <t>Estambre de hierba brumosa</t>
  </si>
  <si>
    <t>Insignia del recluta</t>
  </si>
  <si>
    <t>Insignia del sargento</t>
  </si>
  <si>
    <t>Insignia del oficial</t>
  </si>
  <si>
    <t>Diente roto de lobo boreal</t>
  </si>
  <si>
    <t>Colmillo roto de lobo boreal</t>
  </si>
  <si>
    <t>Sinfonía de los
Merodeadores</t>
  </si>
  <si>
    <t>Arco del
Sacrificio</t>
  </si>
  <si>
    <t>Diente de leche de lobo boreal</t>
  </si>
  <si>
    <t>Elegía del Fin</t>
  </si>
  <si>
    <t>Oda a las Flores
de Viento</t>
  </si>
  <si>
    <t>Máscara dañada</t>
  </si>
  <si>
    <t>Varios</t>
  </si>
  <si>
    <t>Oceánida o Hipostasis Hydro</t>
  </si>
  <si>
    <t>Hipostasis Geo</t>
  </si>
  <si>
    <t>Hipostasis Anemo</t>
  </si>
  <si>
    <t>Regisvid Cryo o Hipostasis Cryo</t>
  </si>
  <si>
    <t>Hipostasis Electro o Manifestación del Trueno</t>
  </si>
  <si>
    <t>Regisvid Pyro o Hipostasis Pyro</t>
  </si>
  <si>
    <t>Oceánida</t>
  </si>
  <si>
    <t>Manifestación del Trueno</t>
  </si>
  <si>
    <t>Oni Espadachín</t>
  </si>
  <si>
    <t>Hipostasis Pyro</t>
  </si>
  <si>
    <t>Hipostasis Electro</t>
  </si>
  <si>
    <t>Regisvid Cryo</t>
  </si>
  <si>
    <t>Teyvat</t>
  </si>
  <si>
    <t>Soldados Fatui (Recaudadores o Magas de Cicin de Electro)</t>
  </si>
  <si>
    <t>Hilichurls (Hilichurls Ballesteros, Samachurls) [Hilichurls grandes]</t>
  </si>
  <si>
    <t>Ladrones de Tesoros</t>
  </si>
  <si>
    <t>Slimes</t>
  </si>
  <si>
    <t>Nobushis</t>
  </si>
  <si>
    <t>Samachurls</t>
  </si>
  <si>
    <t>Hilichurls Ballesteros</t>
  </si>
  <si>
    <t>Guardianes de las Ruinas o Cazadores de las Ruinas</t>
  </si>
  <si>
    <t>Magos del Abismo</t>
  </si>
  <si>
    <t>Centinelas de las Ruinas</t>
  </si>
  <si>
    <t>Espectros</t>
  </si>
  <si>
    <t>Megafloras</t>
  </si>
  <si>
    <t>Crías de Dragarto Geo o Dragartos Geo</t>
  </si>
  <si>
    <t>Doncellas de Snezhnaya</t>
  </si>
  <si>
    <t>Recaudadores</t>
  </si>
  <si>
    <t>Cachorros Acechadores o Sabuesos Acechadores</t>
  </si>
  <si>
    <t>Mitachurls o Reyes de los Hilichurls</t>
  </si>
  <si>
    <t>Magas de Cicin</t>
  </si>
  <si>
    <t>Inventario</t>
  </si>
  <si>
    <t>Polen de neblina</t>
  </si>
  <si>
    <t>Daga de cacería</t>
  </si>
  <si>
    <t>Mineral de refinamiento fino</t>
  </si>
  <si>
    <t>Mineral de refinamiento</t>
  </si>
  <si>
    <t>Experencia del aventurero</t>
  </si>
  <si>
    <t>Consejo del errante</t>
  </si>
  <si>
    <t>Exploración</t>
  </si>
  <si>
    <t>Farmeo</t>
  </si>
  <si>
    <t>Inversión</t>
  </si>
  <si>
    <t>Necesario</t>
  </si>
  <si>
    <t>Resina total</t>
  </si>
  <si>
    <t>Pedacito de ágata agnidus</t>
  </si>
  <si>
    <t>Fragmento de ágata agnidus</t>
  </si>
  <si>
    <t>Trozo de ágata agnidus</t>
  </si>
  <si>
    <t>Ágata agnidus</t>
  </si>
  <si>
    <t>Pedacito de amatista vajrada</t>
  </si>
  <si>
    <t>Rama de jade carmesí</t>
  </si>
  <si>
    <t>Mariposa del fuego infernal</t>
  </si>
  <si>
    <t>Arena brillante de Guyun</t>
  </si>
  <si>
    <t>Perdigones de plomo</t>
  </si>
  <si>
    <t>Enseñanzas de la luz</t>
  </si>
  <si>
    <t>Enseñanzas de la elegancia</t>
  </si>
  <si>
    <t>Enseñanzas de la transitoriedad</t>
  </si>
  <si>
    <t>Enseñanzas de la poesía</t>
  </si>
  <si>
    <t>Enseñanzas de la libertad</t>
  </si>
  <si>
    <t>Guía de la prosperidad</t>
  </si>
  <si>
    <t>Enseñanzas de la prosperidad</t>
  </si>
  <si>
    <t>MVD</t>
  </si>
  <si>
    <t>XSD</t>
  </si>
  <si>
    <t>LJD</t>
  </si>
  <si>
    <t>N</t>
  </si>
  <si>
    <t>LMXJVSD</t>
  </si>
  <si>
    <t>Tiempo</t>
  </si>
  <si>
    <t>Mineral total</t>
  </si>
  <si>
    <t>Completar encargos diarios</t>
  </si>
  <si>
    <t>Derrotar 10 jefes por semana</t>
  </si>
  <si>
    <t>20 líneas ley por semana</t>
  </si>
  <si>
    <t>20 platos por semana</t>
  </si>
  <si>
    <t>3 peticiones ciudadanas</t>
  </si>
  <si>
    <t>3 cacerías recompensadas</t>
  </si>
  <si>
    <t>10 piezas de decoración</t>
  </si>
  <si>
    <t>15 dominios</t>
  </si>
  <si>
    <t>20 encargos de forja</t>
  </si>
  <si>
    <t>1000 intramoras</t>
  </si>
  <si>
    <t>5 jefes semanales</t>
  </si>
  <si>
    <t>Arco de la Cazadora
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</si>
</sst>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/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ADBCD-BB26-402B-AAE9-C060D80B27BC}" name="Tabla1" displayName="Tabla1" ref="B2:C446" totalsRowShown="0" headerRowDxfId="18" dataDxfId="17">
  <autoFilter ref="B2:C446" xr:uid="{279ADBCD-BB26-402B-AAE9-C060D80B27BC}"/>
  <tableColumns count="2">
    <tableColumn id="1" xr3:uid="{AE56AA23-0831-4871-97DA-CCAFFAC51AB9}" name="Material" dataDxfId="16"/>
    <tableColumn id="2" xr3:uid="{AADF59F2-6477-4DF1-B64E-C9F196F7D95D}" name="Cantidad" dataDxfId="1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2BDAE-2D7E-4873-BCDD-ED55B1FA5209}" name="Tabla2" displayName="Tabla2" ref="B2:K190" totalsRowShown="0" headerRowDxfId="11" dataDxfId="10">
  <autoFilter ref="B2:K190" xr:uid="{8192BDAE-2D7E-4873-BCDD-ED55B1FA5209}"/>
  <tableColumns count="10">
    <tableColumn id="1" xr3:uid="{5F77C36A-483C-4E46-9DD5-4643ED887F2C}" name="Material" dataDxfId="9"/>
    <tableColumn id="2" xr3:uid="{A59CBB83-7569-4AE3-847E-7DED03A3AA8E}" name="Cantidad" dataDxfId="8"/>
    <tableColumn id="8" xr3:uid="{5DC94487-9397-486A-A92C-100C772E3310}" name="Inventario" dataDxfId="7"/>
    <tableColumn id="12" xr3:uid="{8170C952-01B5-47CD-BC85-EF93FB795440}" name="Necesario" dataDxfId="6">
      <calculatedColumnFormula>Tabla2[[#This Row],[Cantidad]]-Tabla2[[#This Row],[Inventario]]</calculatedColumnFormula>
    </tableColumn>
    <tableColumn id="3" xr3:uid="{C056F6E3-398A-40B7-9D36-106CB9C2E415}" name="Días de farmeo" dataDxfId="5"/>
    <tableColumn id="4" xr3:uid="{5F3925B2-A7BD-4A2B-9EAF-23BCB6CA9B43}" name="Resina" dataDxfId="4"/>
    <tableColumn id="13" xr3:uid="{69D04F14-6AAC-4B2E-B388-396CCDF3A1F8}" name="Resina total" dataDxfId="3"/>
    <tableColumn id="11" xr3:uid="{2BC8C4F1-CFA4-4707-8B33-88D8A1861B38}" name="Farmeo" dataDxfId="2"/>
    <tableColumn id="10" xr3:uid="{56EFF590-C317-40C4-A36F-C5C27C91415B}" name="Inversión" dataDxfId="1"/>
    <tableColumn id="5" xr3:uid="{5BBB3B3D-8E8E-414C-88ED-617C49494962}" name="Donde conseguir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AD05-E9D7-4C6A-B33A-AF035FA29362}">
  <dimension ref="B2:G446"/>
  <sheetViews>
    <sheetView topLeftCell="A422" zoomScaleNormal="100" workbookViewId="0">
      <selection activeCell="C282" sqref="C282"/>
    </sheetView>
  </sheetViews>
  <sheetFormatPr baseColWidth="10" defaultRowHeight="15.75" x14ac:dyDescent="0.25"/>
  <cols>
    <col min="1" max="1" width="11.42578125" style="1"/>
    <col min="2" max="2" width="43.42578125" style="1" bestFit="1" customWidth="1"/>
    <col min="3" max="3" width="15.7109375" style="1" bestFit="1" customWidth="1"/>
    <col min="4" max="4" width="12.85546875" style="2" customWidth="1"/>
    <col min="5" max="5" width="21.42578125" style="2" customWidth="1"/>
    <col min="6" max="6" width="11.42578125" style="1"/>
    <col min="7" max="7" width="11.42578125" style="1" customWidth="1"/>
    <col min="8" max="16384" width="11.42578125" style="1"/>
  </cols>
  <sheetData>
    <row r="2" spans="2:7" x14ac:dyDescent="0.25">
      <c r="B2" s="3" t="s">
        <v>0</v>
      </c>
      <c r="C2" s="3" t="s">
        <v>1</v>
      </c>
      <c r="D2" s="4" t="s">
        <v>137</v>
      </c>
      <c r="E2" s="4" t="s">
        <v>138</v>
      </c>
      <c r="G2" s="6"/>
    </row>
    <row r="3" spans="2:7" ht="15" x14ac:dyDescent="0.2">
      <c r="B3" s="1" t="s">
        <v>9</v>
      </c>
      <c r="C3" s="1">
        <f>804600+37500+(120000+260000+450000)*3</f>
        <v>3332100</v>
      </c>
      <c r="D3" s="13" t="s">
        <v>10</v>
      </c>
      <c r="E3" s="9" t="s">
        <v>121</v>
      </c>
    </row>
    <row r="4" spans="2:7" ht="15" x14ac:dyDescent="0.2">
      <c r="B4" s="1" t="s">
        <v>7</v>
      </c>
      <c r="C4" s="1">
        <v>192</v>
      </c>
      <c r="D4" s="13"/>
      <c r="E4" s="9"/>
    </row>
    <row r="5" spans="2:7" ht="15" x14ac:dyDescent="0.2">
      <c r="B5" s="1" t="s">
        <v>273</v>
      </c>
      <c r="C5" s="1">
        <v>6</v>
      </c>
      <c r="D5" s="13"/>
      <c r="E5" s="9"/>
    </row>
    <row r="6" spans="2:7" ht="15" x14ac:dyDescent="0.2">
      <c r="B6" s="1" t="s">
        <v>5</v>
      </c>
      <c r="C6" s="1">
        <v>20</v>
      </c>
      <c r="D6" s="13"/>
      <c r="E6" s="9"/>
    </row>
    <row r="7" spans="2:7" ht="15" x14ac:dyDescent="0.2">
      <c r="B7" s="1" t="s">
        <v>11</v>
      </c>
      <c r="C7" s="1">
        <v>60</v>
      </c>
      <c r="D7" s="13"/>
      <c r="E7" s="9"/>
    </row>
    <row r="8" spans="2:7" ht="15" x14ac:dyDescent="0.2">
      <c r="B8" s="1" t="s">
        <v>216</v>
      </c>
      <c r="C8" s="1">
        <v>9</v>
      </c>
      <c r="D8" s="13"/>
      <c r="E8" s="9"/>
    </row>
    <row r="9" spans="2:7" ht="15" x14ac:dyDescent="0.2">
      <c r="B9" s="1" t="s">
        <v>217</v>
      </c>
      <c r="C9" s="1">
        <f>24+19*3</f>
        <v>81</v>
      </c>
      <c r="D9" s="13"/>
      <c r="E9" s="9"/>
    </row>
    <row r="10" spans="2:7" ht="15" x14ac:dyDescent="0.2">
      <c r="B10" s="1" t="s">
        <v>12</v>
      </c>
      <c r="C10" s="1">
        <v>9</v>
      </c>
      <c r="D10" s="13"/>
      <c r="E10" s="9"/>
    </row>
    <row r="11" spans="2:7" ht="15" x14ac:dyDescent="0.2">
      <c r="B11" s="1" t="s">
        <v>13</v>
      </c>
      <c r="C11" s="1">
        <f>22*3</f>
        <v>66</v>
      </c>
      <c r="D11" s="13"/>
      <c r="E11" s="9"/>
    </row>
    <row r="12" spans="2:7" ht="15" x14ac:dyDescent="0.2">
      <c r="B12" s="1" t="s">
        <v>14</v>
      </c>
      <c r="C12" s="1">
        <f>4*3</f>
        <v>12</v>
      </c>
      <c r="D12" s="13"/>
      <c r="E12" s="9"/>
    </row>
    <row r="13" spans="2:7" ht="15.75" customHeight="1" x14ac:dyDescent="0.2">
      <c r="B13" s="1" t="s">
        <v>9</v>
      </c>
      <c r="C13" s="1">
        <f>422200+804600+30000+(37500+120000+260000+450000)*3</f>
        <v>3859300</v>
      </c>
      <c r="D13" s="13" t="s">
        <v>15</v>
      </c>
      <c r="E13" s="9" t="s">
        <v>122</v>
      </c>
    </row>
    <row r="14" spans="2:7" ht="15.75" customHeight="1" x14ac:dyDescent="0.2">
      <c r="B14" s="1" t="s">
        <v>7</v>
      </c>
      <c r="C14" s="1">
        <f>81+192</f>
        <v>273</v>
      </c>
      <c r="D14" s="13"/>
      <c r="E14" s="9"/>
    </row>
    <row r="15" spans="2:7" ht="15.75" customHeight="1" x14ac:dyDescent="0.2">
      <c r="B15" s="1" t="s">
        <v>16</v>
      </c>
      <c r="C15" s="1">
        <v>6</v>
      </c>
      <c r="D15" s="13"/>
      <c r="E15" s="9"/>
    </row>
    <row r="16" spans="2:7" ht="15.75" customHeight="1" x14ac:dyDescent="0.2">
      <c r="B16" s="1" t="s">
        <v>17</v>
      </c>
      <c r="C16" s="1">
        <v>6</v>
      </c>
      <c r="D16" s="13"/>
      <c r="E16" s="9"/>
    </row>
    <row r="17" spans="2:5" ht="15.75" customHeight="1" x14ac:dyDescent="0.2">
      <c r="B17" s="1" t="s">
        <v>18</v>
      </c>
      <c r="C17" s="1">
        <v>32</v>
      </c>
      <c r="D17" s="13"/>
      <c r="E17" s="9"/>
    </row>
    <row r="18" spans="2:5" ht="15.75" customHeight="1" x14ac:dyDescent="0.2">
      <c r="B18" s="1" t="s">
        <v>19</v>
      </c>
      <c r="C18" s="1">
        <v>105</v>
      </c>
      <c r="D18" s="13"/>
      <c r="E18" s="9"/>
    </row>
    <row r="19" spans="2:5" ht="15.75" customHeight="1" x14ac:dyDescent="0.2">
      <c r="B19" s="1" t="s">
        <v>22</v>
      </c>
      <c r="C19" s="1">
        <f>6+9*3</f>
        <v>33</v>
      </c>
      <c r="D19" s="13"/>
      <c r="E19" s="9"/>
    </row>
    <row r="20" spans="2:5" ht="15.75" customHeight="1" x14ac:dyDescent="0.2">
      <c r="B20" s="1" t="s">
        <v>20</v>
      </c>
      <c r="C20" s="1">
        <f>36+19*3</f>
        <v>93</v>
      </c>
      <c r="D20" s="13"/>
      <c r="E20" s="9"/>
    </row>
    <row r="21" spans="2:5" ht="15.75" customHeight="1" x14ac:dyDescent="0.2">
      <c r="B21" s="1" t="s">
        <v>21</v>
      </c>
      <c r="C21" s="1">
        <f>6+9*3</f>
        <v>33</v>
      </c>
      <c r="D21" s="13"/>
      <c r="E21" s="9"/>
    </row>
    <row r="22" spans="2:5" ht="15.75" customHeight="1" x14ac:dyDescent="0.2">
      <c r="B22" s="1" t="s">
        <v>23</v>
      </c>
      <c r="C22" s="1">
        <f>22*3</f>
        <v>66</v>
      </c>
      <c r="D22" s="13"/>
      <c r="E22" s="9"/>
    </row>
    <row r="23" spans="2:5" ht="15.75" customHeight="1" x14ac:dyDescent="0.2">
      <c r="B23" s="1" t="s">
        <v>24</v>
      </c>
      <c r="C23" s="1">
        <v>12</v>
      </c>
      <c r="D23" s="13"/>
      <c r="E23" s="9"/>
    </row>
    <row r="24" spans="2:5" ht="15.75" customHeight="1" x14ac:dyDescent="0.2">
      <c r="B24" s="1" t="s">
        <v>9</v>
      </c>
      <c r="C24" s="1">
        <f>804600+(37500+120000+260000+450000)*3</f>
        <v>3407100</v>
      </c>
      <c r="D24" s="13" t="s">
        <v>25</v>
      </c>
      <c r="E24" s="9" t="s">
        <v>120</v>
      </c>
    </row>
    <row r="25" spans="2:5" ht="15.75" customHeight="1" x14ac:dyDescent="0.2">
      <c r="B25" s="1" t="s">
        <v>7</v>
      </c>
      <c r="C25" s="1">
        <v>192</v>
      </c>
      <c r="D25" s="13"/>
      <c r="E25" s="9"/>
    </row>
    <row r="26" spans="2:5" ht="15.75" customHeight="1" x14ac:dyDescent="0.2">
      <c r="B26" s="1" t="s">
        <v>273</v>
      </c>
      <c r="C26" s="1">
        <v>6</v>
      </c>
      <c r="D26" s="13"/>
      <c r="E26" s="9"/>
    </row>
    <row r="27" spans="2:5" ht="15.75" customHeight="1" x14ac:dyDescent="0.2">
      <c r="B27" s="1" t="s">
        <v>5</v>
      </c>
      <c r="C27" s="1">
        <v>20</v>
      </c>
      <c r="D27" s="13"/>
      <c r="E27" s="9"/>
    </row>
    <row r="28" spans="2:5" ht="15.75" customHeight="1" x14ac:dyDescent="0.2">
      <c r="B28" s="1" t="s">
        <v>26</v>
      </c>
      <c r="C28" s="1">
        <v>60</v>
      </c>
      <c r="D28" s="13"/>
      <c r="E28" s="9"/>
    </row>
    <row r="29" spans="2:5" ht="15.75" customHeight="1" x14ac:dyDescent="0.2">
      <c r="B29" s="1" t="s">
        <v>28</v>
      </c>
      <c r="C29" s="1">
        <f>9*3</f>
        <v>27</v>
      </c>
      <c r="D29" s="13"/>
      <c r="E29" s="9"/>
    </row>
    <row r="30" spans="2:5" ht="15.75" customHeight="1" x14ac:dyDescent="0.2">
      <c r="B30" s="1" t="s">
        <v>27</v>
      </c>
      <c r="C30" s="1">
        <f>24+19*3</f>
        <v>81</v>
      </c>
      <c r="D30" s="13"/>
      <c r="E30" s="9"/>
    </row>
    <row r="31" spans="2:5" ht="15.75" customHeight="1" x14ac:dyDescent="0.2">
      <c r="B31" s="1" t="s">
        <v>12</v>
      </c>
      <c r="C31" s="1">
        <f>9*3</f>
        <v>27</v>
      </c>
      <c r="D31" s="13"/>
      <c r="E31" s="9"/>
    </row>
    <row r="32" spans="2:5" ht="15.75" customHeight="1" x14ac:dyDescent="0.2">
      <c r="B32" s="1" t="s">
        <v>13</v>
      </c>
      <c r="C32" s="1">
        <f>22*3</f>
        <v>66</v>
      </c>
      <c r="D32" s="13"/>
      <c r="E32" s="9"/>
    </row>
    <row r="33" spans="2:5" ht="15.75" customHeight="1" x14ac:dyDescent="0.2">
      <c r="B33" s="1" t="s">
        <v>14</v>
      </c>
      <c r="C33" s="1">
        <v>12</v>
      </c>
      <c r="D33" s="13"/>
      <c r="E33" s="9"/>
    </row>
    <row r="34" spans="2:5" ht="15.75" customHeight="1" x14ac:dyDescent="0.2">
      <c r="B34" s="1" t="s">
        <v>9</v>
      </c>
      <c r="C34" s="1">
        <f>2092200+(12500+17500+25000+30000+37500+120000+260000+450000)*3</f>
        <v>4949700</v>
      </c>
      <c r="D34" s="13" t="s">
        <v>29</v>
      </c>
      <c r="E34" s="9" t="s">
        <v>123</v>
      </c>
    </row>
    <row r="35" spans="2:5" ht="15.75" customHeight="1" x14ac:dyDescent="0.2">
      <c r="B35" s="1" t="s">
        <v>7</v>
      </c>
      <c r="C35" s="1">
        <v>450</v>
      </c>
      <c r="D35" s="13"/>
      <c r="E35" s="9"/>
    </row>
    <row r="36" spans="2:5" ht="15.75" customHeight="1" x14ac:dyDescent="0.2">
      <c r="B36" s="1" t="s">
        <v>30</v>
      </c>
      <c r="C36" s="1">
        <v>1</v>
      </c>
      <c r="D36" s="13"/>
      <c r="E36" s="9"/>
    </row>
    <row r="37" spans="2:5" ht="15.75" customHeight="1" x14ac:dyDescent="0.2">
      <c r="B37" s="1" t="s">
        <v>31</v>
      </c>
      <c r="C37" s="1">
        <v>9</v>
      </c>
      <c r="D37" s="13"/>
      <c r="E37" s="9"/>
    </row>
    <row r="38" spans="2:5" ht="15.75" customHeight="1" x14ac:dyDescent="0.2">
      <c r="B38" s="1" t="s">
        <v>32</v>
      </c>
      <c r="C38" s="1">
        <v>9</v>
      </c>
      <c r="D38" s="13"/>
      <c r="E38" s="9"/>
    </row>
    <row r="39" spans="2:5" ht="15.75" customHeight="1" x14ac:dyDescent="0.2">
      <c r="B39" s="1" t="s">
        <v>33</v>
      </c>
      <c r="C39" s="1">
        <v>6</v>
      </c>
      <c r="D39" s="13"/>
      <c r="E39" s="9"/>
    </row>
    <row r="40" spans="2:5" ht="15.75" customHeight="1" x14ac:dyDescent="0.2">
      <c r="B40" s="1" t="s">
        <v>35</v>
      </c>
      <c r="C40" s="1">
        <v>46</v>
      </c>
      <c r="D40" s="13"/>
      <c r="E40" s="9"/>
    </row>
    <row r="41" spans="2:5" ht="15.75" customHeight="1" x14ac:dyDescent="0.2">
      <c r="B41" s="1" t="s">
        <v>34</v>
      </c>
      <c r="C41" s="1">
        <v>168</v>
      </c>
      <c r="D41" s="13"/>
      <c r="E41" s="9"/>
    </row>
    <row r="42" spans="2:5" ht="15.75" customHeight="1" x14ac:dyDescent="0.2">
      <c r="B42" s="1" t="s">
        <v>36</v>
      </c>
      <c r="C42" s="1">
        <f>18+18</f>
        <v>36</v>
      </c>
      <c r="D42" s="13"/>
      <c r="E42" s="9"/>
    </row>
    <row r="43" spans="2:5" ht="15.75" customHeight="1" x14ac:dyDescent="0.2">
      <c r="B43" s="1" t="s">
        <v>37</v>
      </c>
      <c r="C43" s="1">
        <f>30+22*3</f>
        <v>96</v>
      </c>
      <c r="D43" s="13"/>
      <c r="E43" s="9"/>
    </row>
    <row r="44" spans="2:5" ht="15.75" customHeight="1" x14ac:dyDescent="0.2">
      <c r="B44" s="1" t="s">
        <v>38</v>
      </c>
      <c r="C44" s="1">
        <f>36+19*3</f>
        <v>93</v>
      </c>
      <c r="D44" s="13"/>
      <c r="E44" s="9"/>
    </row>
    <row r="45" spans="2:5" ht="15.75" customHeight="1" x14ac:dyDescent="0.2">
      <c r="B45" s="1" t="s">
        <v>39</v>
      </c>
      <c r="C45" s="1">
        <v>9</v>
      </c>
      <c r="D45" s="13"/>
      <c r="E45" s="9"/>
    </row>
    <row r="46" spans="2:5" ht="15.75" customHeight="1" x14ac:dyDescent="0.2">
      <c r="B46" s="1" t="s">
        <v>21</v>
      </c>
      <c r="C46" s="1">
        <f>21*3</f>
        <v>63</v>
      </c>
      <c r="D46" s="13"/>
      <c r="E46" s="9"/>
    </row>
    <row r="47" spans="2:5" ht="15.75" customHeight="1" x14ac:dyDescent="0.2">
      <c r="B47" s="1" t="s">
        <v>23</v>
      </c>
      <c r="C47" s="1">
        <f>22*3</f>
        <v>66</v>
      </c>
      <c r="D47" s="13"/>
      <c r="E47" s="9"/>
    </row>
    <row r="48" spans="2:5" ht="15.75" customHeight="1" x14ac:dyDescent="0.2">
      <c r="B48" s="1" t="s">
        <v>40</v>
      </c>
      <c r="C48" s="1">
        <v>12</v>
      </c>
      <c r="D48" s="13"/>
      <c r="E48" s="9"/>
    </row>
    <row r="49" spans="2:5" ht="15.75" customHeight="1" x14ac:dyDescent="0.2">
      <c r="B49" s="1" t="s">
        <v>9</v>
      </c>
      <c r="C49" s="1">
        <f>422200+804600+30000*2+(37500+120000+260000+450000)*3</f>
        <v>3889300</v>
      </c>
      <c r="D49" s="13" t="s">
        <v>41</v>
      </c>
      <c r="E49" s="9" t="s">
        <v>124</v>
      </c>
    </row>
    <row r="50" spans="2:5" ht="15.75" customHeight="1" x14ac:dyDescent="0.2">
      <c r="B50" s="1" t="s">
        <v>7</v>
      </c>
      <c r="C50" s="1">
        <f>81+192</f>
        <v>273</v>
      </c>
      <c r="D50" s="13"/>
      <c r="E50" s="9"/>
    </row>
    <row r="51" spans="2:5" ht="15.75" customHeight="1" x14ac:dyDescent="0.2">
      <c r="B51" s="1" t="s">
        <v>42</v>
      </c>
      <c r="C51" s="1">
        <f>6</f>
        <v>6</v>
      </c>
      <c r="D51" s="13"/>
      <c r="E51" s="9"/>
    </row>
    <row r="52" spans="2:5" ht="15.75" customHeight="1" x14ac:dyDescent="0.2">
      <c r="B52" s="1" t="s">
        <v>43</v>
      </c>
      <c r="C52" s="1">
        <v>6</v>
      </c>
      <c r="D52" s="13"/>
      <c r="E52" s="9"/>
    </row>
    <row r="53" spans="2:5" ht="15.75" customHeight="1" x14ac:dyDescent="0.2">
      <c r="B53" s="1" t="s">
        <v>44</v>
      </c>
      <c r="C53" s="1">
        <v>32</v>
      </c>
      <c r="D53" s="13"/>
      <c r="E53" s="9"/>
    </row>
    <row r="54" spans="2:5" ht="15.75" customHeight="1" x14ac:dyDescent="0.2">
      <c r="B54" s="1" t="s">
        <v>45</v>
      </c>
      <c r="C54" s="1">
        <v>105</v>
      </c>
      <c r="D54" s="13"/>
      <c r="E54" s="9"/>
    </row>
    <row r="55" spans="2:5" ht="15.75" customHeight="1" x14ac:dyDescent="0.2">
      <c r="B55" s="1" t="s">
        <v>48</v>
      </c>
      <c r="C55" s="1">
        <f>12+9*3</f>
        <v>39</v>
      </c>
      <c r="D55" s="13"/>
      <c r="E55" s="9"/>
    </row>
    <row r="56" spans="2:5" ht="15.75" customHeight="1" x14ac:dyDescent="0.2">
      <c r="B56" s="1" t="s">
        <v>46</v>
      </c>
      <c r="C56" s="1">
        <f>36+19*3</f>
        <v>93</v>
      </c>
      <c r="D56" s="13"/>
      <c r="E56" s="9"/>
    </row>
    <row r="57" spans="2:5" ht="15.75" customHeight="1" x14ac:dyDescent="0.2">
      <c r="B57" s="1" t="s">
        <v>47</v>
      </c>
      <c r="C57" s="1">
        <f>12+9*3</f>
        <v>39</v>
      </c>
      <c r="D57" s="13"/>
      <c r="E57" s="9"/>
    </row>
    <row r="58" spans="2:5" ht="15.75" customHeight="1" x14ac:dyDescent="0.2">
      <c r="B58" s="1" t="s">
        <v>49</v>
      </c>
      <c r="C58" s="1">
        <f>22*3</f>
        <v>66</v>
      </c>
      <c r="D58" s="13"/>
      <c r="E58" s="9"/>
    </row>
    <row r="59" spans="2:5" ht="15.75" customHeight="1" x14ac:dyDescent="0.2">
      <c r="B59" s="1" t="s">
        <v>50</v>
      </c>
      <c r="C59" s="1">
        <v>12</v>
      </c>
      <c r="D59" s="13"/>
      <c r="E59" s="9"/>
    </row>
    <row r="60" spans="2:5" ht="15.75" customHeight="1" x14ac:dyDescent="0.2">
      <c r="B60" s="1" t="s">
        <v>9</v>
      </c>
      <c r="C60" s="1">
        <f>230800+319000+422200+804600+(17500+25000+30000+37500+120000+260000+450000)*3</f>
        <v>4596600</v>
      </c>
      <c r="D60" s="13" t="s">
        <v>51</v>
      </c>
      <c r="E60" s="9" t="s">
        <v>125</v>
      </c>
    </row>
    <row r="61" spans="2:5" ht="15.75" customHeight="1" x14ac:dyDescent="0.2">
      <c r="B61" s="1" t="s">
        <v>7</v>
      </c>
      <c r="C61" s="1">
        <f>43+60+81+192</f>
        <v>376</v>
      </c>
      <c r="D61" s="13"/>
      <c r="E61" s="9"/>
    </row>
    <row r="62" spans="2:5" ht="15.75" customHeight="1" x14ac:dyDescent="0.2">
      <c r="B62" s="1" t="s">
        <v>52</v>
      </c>
      <c r="C62" s="1">
        <v>6</v>
      </c>
      <c r="D62" s="13"/>
      <c r="E62" s="9"/>
    </row>
    <row r="63" spans="2:5" ht="15.75" customHeight="1" x14ac:dyDescent="0.2">
      <c r="B63" s="1" t="s">
        <v>42</v>
      </c>
      <c r="C63" s="1">
        <v>9</v>
      </c>
      <c r="D63" s="13"/>
      <c r="E63" s="9"/>
    </row>
    <row r="64" spans="2:5" ht="15.75" customHeight="1" x14ac:dyDescent="0.2">
      <c r="B64" s="1" t="s">
        <v>43</v>
      </c>
      <c r="C64" s="1">
        <v>6</v>
      </c>
      <c r="D64" s="13"/>
      <c r="E64" s="9"/>
    </row>
    <row r="65" spans="2:5" ht="15.75" customHeight="1" x14ac:dyDescent="0.2">
      <c r="B65" s="1" t="s">
        <v>44</v>
      </c>
      <c r="C65" s="1">
        <v>44</v>
      </c>
      <c r="D65" s="13"/>
      <c r="E65" s="9"/>
    </row>
    <row r="66" spans="2:5" ht="15.75" customHeight="1" x14ac:dyDescent="0.2">
      <c r="B66" s="1" t="s">
        <v>53</v>
      </c>
      <c r="C66" s="1">
        <v>155</v>
      </c>
      <c r="D66" s="13"/>
      <c r="E66" s="9"/>
    </row>
    <row r="67" spans="2:5" ht="15.75" customHeight="1" x14ac:dyDescent="0.2">
      <c r="B67" s="1" t="s">
        <v>22</v>
      </c>
      <c r="C67" s="1">
        <f>30+66</f>
        <v>96</v>
      </c>
      <c r="D67" s="13"/>
      <c r="E67" s="9"/>
    </row>
    <row r="68" spans="2:5" ht="15.75" customHeight="1" x14ac:dyDescent="0.2">
      <c r="B68" s="1" t="s">
        <v>20</v>
      </c>
      <c r="C68" s="1">
        <f>36+19*3</f>
        <v>93</v>
      </c>
      <c r="D68" s="13"/>
      <c r="E68" s="9"/>
    </row>
    <row r="69" spans="2:5" ht="15.75" customHeight="1" x14ac:dyDescent="0.2">
      <c r="B69" s="1" t="s">
        <v>54</v>
      </c>
      <c r="C69" s="1">
        <f>21*3</f>
        <v>63</v>
      </c>
      <c r="D69" s="13"/>
      <c r="E69" s="9"/>
    </row>
    <row r="70" spans="2:5" ht="15.75" customHeight="1" x14ac:dyDescent="0.2">
      <c r="B70" s="1" t="s">
        <v>55</v>
      </c>
      <c r="C70" s="1">
        <f>22*3</f>
        <v>66</v>
      </c>
      <c r="D70" s="13"/>
      <c r="E70" s="9"/>
    </row>
    <row r="71" spans="2:5" ht="15.75" customHeight="1" x14ac:dyDescent="0.2">
      <c r="B71" s="1" t="s">
        <v>56</v>
      </c>
      <c r="C71" s="1">
        <v>12</v>
      </c>
      <c r="D71" s="13"/>
      <c r="E71" s="9"/>
    </row>
    <row r="72" spans="2:5" ht="15.75" customHeight="1" x14ac:dyDescent="0.2">
      <c r="B72" s="1" t="s">
        <v>9</v>
      </c>
      <c r="C72" s="1">
        <f>319000+422200+804600+17500+(25000+30000+37500+120000+260000+450000)*3</f>
        <v>4330800</v>
      </c>
      <c r="D72" s="13" t="s">
        <v>61</v>
      </c>
      <c r="E72" s="9" t="s">
        <v>126</v>
      </c>
    </row>
    <row r="73" spans="2:5" ht="15.75" customHeight="1" x14ac:dyDescent="0.2">
      <c r="B73" s="1" t="s">
        <v>7</v>
      </c>
      <c r="C73" s="1">
        <f>60+81+192</f>
        <v>333</v>
      </c>
      <c r="D73" s="13"/>
      <c r="E73" s="9"/>
    </row>
    <row r="74" spans="2:5" ht="15.75" customHeight="1" x14ac:dyDescent="0.2">
      <c r="B74" s="1" t="s">
        <v>272</v>
      </c>
      <c r="C74" s="1">
        <v>9</v>
      </c>
      <c r="D74" s="13"/>
      <c r="E74" s="9"/>
    </row>
    <row r="75" spans="2:5" ht="15.75" customHeight="1" x14ac:dyDescent="0.2">
      <c r="B75" s="1" t="s">
        <v>273</v>
      </c>
      <c r="C75" s="1">
        <v>6</v>
      </c>
      <c r="D75" s="13"/>
      <c r="E75" s="9"/>
    </row>
    <row r="76" spans="2:5" ht="15.75" customHeight="1" x14ac:dyDescent="0.2">
      <c r="B76" s="1" t="s">
        <v>5</v>
      </c>
      <c r="C76" s="1">
        <v>40</v>
      </c>
      <c r="D76" s="13"/>
      <c r="E76" s="9"/>
    </row>
    <row r="77" spans="2:5" ht="15.75" customHeight="1" x14ac:dyDescent="0.2">
      <c r="B77" s="1" t="s">
        <v>57</v>
      </c>
      <c r="C77" s="1">
        <v>135</v>
      </c>
      <c r="D77" s="13"/>
      <c r="E77" s="9"/>
    </row>
    <row r="78" spans="2:5" ht="15.75" customHeight="1" x14ac:dyDescent="0.2">
      <c r="B78" s="1" t="s">
        <v>37</v>
      </c>
      <c r="C78" s="1">
        <f>18+3+19*3</f>
        <v>78</v>
      </c>
      <c r="D78" s="13"/>
      <c r="E78" s="9"/>
    </row>
    <row r="79" spans="2:5" ht="15.75" customHeight="1" x14ac:dyDescent="0.2">
      <c r="B79" s="1" t="s">
        <v>38</v>
      </c>
      <c r="C79" s="1">
        <f>36+19*3</f>
        <v>93</v>
      </c>
      <c r="D79" s="13"/>
      <c r="E79" s="9"/>
    </row>
    <row r="80" spans="2:5" ht="15.75" customHeight="1" x14ac:dyDescent="0.2">
      <c r="B80" s="1" t="s">
        <v>58</v>
      </c>
      <c r="C80" s="1">
        <f>2+19*3</f>
        <v>59</v>
      </c>
      <c r="D80" s="13"/>
      <c r="E80" s="9"/>
    </row>
    <row r="81" spans="2:5" ht="15.75" customHeight="1" x14ac:dyDescent="0.2">
      <c r="B81" s="1" t="s">
        <v>59</v>
      </c>
      <c r="C81" s="1">
        <f>22*3</f>
        <v>66</v>
      </c>
      <c r="D81" s="13"/>
      <c r="E81" s="9"/>
    </row>
    <row r="82" spans="2:5" ht="15.75" customHeight="1" x14ac:dyDescent="0.2">
      <c r="B82" s="1" t="s">
        <v>60</v>
      </c>
      <c r="C82" s="1">
        <v>12</v>
      </c>
      <c r="D82" s="13"/>
      <c r="E82" s="9"/>
    </row>
    <row r="83" spans="2:5" ht="15.75" customHeight="1" x14ac:dyDescent="0.2">
      <c r="B83" s="1" t="s">
        <v>9</v>
      </c>
      <c r="C83" s="1">
        <f>2092200+(12500+17500+25000+30000+37500+120000+260000+450000)*3</f>
        <v>4949700</v>
      </c>
      <c r="D83" s="13" t="s">
        <v>71</v>
      </c>
      <c r="E83" s="12" t="s">
        <v>132</v>
      </c>
    </row>
    <row r="84" spans="2:5" ht="15.75" customHeight="1" x14ac:dyDescent="0.2">
      <c r="B84" s="1" t="s">
        <v>7</v>
      </c>
      <c r="C84" s="1">
        <v>450</v>
      </c>
      <c r="D84" s="13"/>
      <c r="E84" s="9"/>
    </row>
    <row r="85" spans="2:5" ht="15.75" customHeight="1" x14ac:dyDescent="0.2">
      <c r="B85" s="1" t="s">
        <v>62</v>
      </c>
      <c r="C85" s="1">
        <v>1</v>
      </c>
      <c r="D85" s="13"/>
      <c r="E85" s="9"/>
    </row>
    <row r="86" spans="2:5" ht="15.75" customHeight="1" x14ac:dyDescent="0.2">
      <c r="B86" s="1" t="s">
        <v>63</v>
      </c>
      <c r="C86" s="1">
        <v>9</v>
      </c>
      <c r="D86" s="13"/>
      <c r="E86" s="9"/>
    </row>
    <row r="87" spans="2:5" ht="15.75" customHeight="1" x14ac:dyDescent="0.2">
      <c r="B87" s="1" t="s">
        <v>64</v>
      </c>
      <c r="C87" s="1">
        <v>9</v>
      </c>
      <c r="D87" s="13"/>
      <c r="E87" s="9"/>
    </row>
    <row r="88" spans="2:5" ht="15.75" customHeight="1" x14ac:dyDescent="0.2">
      <c r="B88" s="1" t="s">
        <v>65</v>
      </c>
      <c r="C88" s="1">
        <v>6</v>
      </c>
      <c r="D88" s="13"/>
      <c r="E88" s="9"/>
    </row>
    <row r="89" spans="2:5" ht="15.75" customHeight="1" x14ac:dyDescent="0.2">
      <c r="B89" s="1" t="s">
        <v>67</v>
      </c>
      <c r="C89" s="1">
        <f>46</f>
        <v>46</v>
      </c>
      <c r="D89" s="13"/>
      <c r="E89" s="9"/>
    </row>
    <row r="90" spans="2:5" ht="15.75" customHeight="1" x14ac:dyDescent="0.2">
      <c r="B90" s="1" t="s">
        <v>66</v>
      </c>
      <c r="C90" s="1">
        <v>168</v>
      </c>
      <c r="D90" s="13"/>
      <c r="E90" s="9"/>
    </row>
    <row r="91" spans="2:5" ht="15.75" customHeight="1" x14ac:dyDescent="0.2">
      <c r="B91" s="1" t="s">
        <v>68</v>
      </c>
      <c r="C91" s="1">
        <f>18+6*3</f>
        <v>36</v>
      </c>
      <c r="D91" s="13"/>
      <c r="E91" s="9"/>
    </row>
    <row r="92" spans="2:5" ht="15.75" customHeight="1" x14ac:dyDescent="0.2">
      <c r="B92" s="1" t="s">
        <v>28</v>
      </c>
      <c r="C92" s="1">
        <f>30+22*3</f>
        <v>96</v>
      </c>
      <c r="D92" s="13"/>
      <c r="E92" s="9"/>
    </row>
    <row r="93" spans="2:5" ht="15.75" customHeight="1" x14ac:dyDescent="0.2">
      <c r="B93" s="1" t="s">
        <v>27</v>
      </c>
      <c r="C93" s="1">
        <f>36+19*3</f>
        <v>93</v>
      </c>
      <c r="D93" s="13"/>
      <c r="E93" s="9"/>
    </row>
    <row r="94" spans="2:5" ht="15.75" customHeight="1" x14ac:dyDescent="0.2">
      <c r="B94" s="1" t="s">
        <v>69</v>
      </c>
      <c r="C94" s="1">
        <v>9</v>
      </c>
      <c r="D94" s="13"/>
      <c r="E94" s="9"/>
    </row>
    <row r="95" spans="2:5" ht="15.75" customHeight="1" x14ac:dyDescent="0.2">
      <c r="B95" s="1" t="s">
        <v>58</v>
      </c>
      <c r="C95" s="1">
        <f>21*3</f>
        <v>63</v>
      </c>
      <c r="D95" s="13"/>
      <c r="E95" s="9"/>
    </row>
    <row r="96" spans="2:5" ht="15.75" customHeight="1" x14ac:dyDescent="0.2">
      <c r="B96" s="1" t="s">
        <v>59</v>
      </c>
      <c r="C96" s="1">
        <f>22*3</f>
        <v>66</v>
      </c>
      <c r="D96" s="13"/>
      <c r="E96" s="9"/>
    </row>
    <row r="97" spans="2:5" ht="15.75" customHeight="1" x14ac:dyDescent="0.2">
      <c r="B97" s="1" t="s">
        <v>70</v>
      </c>
      <c r="C97" s="1">
        <v>12</v>
      </c>
      <c r="D97" s="13"/>
      <c r="E97" s="9"/>
    </row>
    <row r="98" spans="2:5" ht="15.75" customHeight="1" x14ac:dyDescent="0.2">
      <c r="B98" s="1" t="s">
        <v>9</v>
      </c>
      <c r="C98" s="1">
        <f>319000+422200+804600+(17500+25000+30000+37500+120000+260000+450000)*3</f>
        <v>4365800</v>
      </c>
      <c r="D98" s="13" t="s">
        <v>79</v>
      </c>
      <c r="E98" s="12" t="s">
        <v>133</v>
      </c>
    </row>
    <row r="99" spans="2:5" ht="15.75" customHeight="1" x14ac:dyDescent="0.2">
      <c r="B99" s="1" t="s">
        <v>7</v>
      </c>
      <c r="C99" s="1">
        <f>60+81+192</f>
        <v>333</v>
      </c>
      <c r="D99" s="13"/>
      <c r="E99" s="9"/>
    </row>
    <row r="100" spans="2:5" ht="15.75" customHeight="1" x14ac:dyDescent="0.2">
      <c r="B100" s="1" t="s">
        <v>272</v>
      </c>
      <c r="C100" s="1">
        <v>9</v>
      </c>
      <c r="D100" s="13"/>
      <c r="E100" s="9"/>
    </row>
    <row r="101" spans="2:5" ht="15.75" customHeight="1" x14ac:dyDescent="0.2">
      <c r="B101" s="1" t="s">
        <v>273</v>
      </c>
      <c r="C101" s="1">
        <v>6</v>
      </c>
      <c r="D101" s="13"/>
      <c r="E101" s="9"/>
    </row>
    <row r="102" spans="2:5" ht="15.75" customHeight="1" x14ac:dyDescent="0.2">
      <c r="B102" s="1" t="s">
        <v>72</v>
      </c>
      <c r="C102" s="1">
        <v>40</v>
      </c>
      <c r="D102" s="13"/>
      <c r="E102" s="9"/>
    </row>
    <row r="103" spans="2:5" ht="15.75" customHeight="1" x14ac:dyDescent="0.2">
      <c r="B103" s="1" t="s">
        <v>73</v>
      </c>
      <c r="C103" s="1">
        <v>135</v>
      </c>
      <c r="D103" s="13"/>
      <c r="E103" s="9"/>
    </row>
    <row r="104" spans="2:5" ht="15.75" customHeight="1" x14ac:dyDescent="0.2">
      <c r="B104" s="1" t="s">
        <v>74</v>
      </c>
      <c r="C104" s="1">
        <f>18+22*3</f>
        <v>84</v>
      </c>
      <c r="D104" s="13"/>
      <c r="E104" s="9"/>
    </row>
    <row r="105" spans="2:5" ht="15.75" customHeight="1" x14ac:dyDescent="0.2">
      <c r="B105" s="1" t="s">
        <v>75</v>
      </c>
      <c r="C105" s="1">
        <f>36+19*3</f>
        <v>93</v>
      </c>
      <c r="D105" s="13"/>
      <c r="E105" s="9"/>
    </row>
    <row r="106" spans="2:5" ht="15.75" customHeight="1" x14ac:dyDescent="0.2">
      <c r="B106" s="1" t="s">
        <v>76</v>
      </c>
      <c r="C106" s="1">
        <f>21*3</f>
        <v>63</v>
      </c>
      <c r="D106" s="13"/>
      <c r="E106" s="9"/>
    </row>
    <row r="107" spans="2:5" ht="15.75" customHeight="1" x14ac:dyDescent="0.2">
      <c r="B107" s="1" t="s">
        <v>77</v>
      </c>
      <c r="C107" s="1">
        <f>22*3</f>
        <v>66</v>
      </c>
      <c r="D107" s="13"/>
      <c r="E107" s="9"/>
    </row>
    <row r="108" spans="2:5" ht="15.75" customHeight="1" x14ac:dyDescent="0.2">
      <c r="B108" s="1" t="s">
        <v>78</v>
      </c>
      <c r="C108" s="1">
        <v>12</v>
      </c>
      <c r="D108" s="13"/>
      <c r="E108" s="9"/>
    </row>
    <row r="109" spans="2:5" ht="15.75" customHeight="1" x14ac:dyDescent="0.2">
      <c r="B109" s="1" t="s">
        <v>9</v>
      </c>
      <c r="C109" s="1">
        <f>319000+422200+804600+(30000+37500+120000+260000+450000)*3</f>
        <v>4238300</v>
      </c>
      <c r="D109" s="13" t="s">
        <v>83</v>
      </c>
      <c r="E109" s="12" t="s">
        <v>191</v>
      </c>
    </row>
    <row r="110" spans="2:5" ht="15.75" customHeight="1" x14ac:dyDescent="0.2">
      <c r="B110" s="1" t="s">
        <v>7</v>
      </c>
      <c r="C110" s="1">
        <f>60+81+192</f>
        <v>333</v>
      </c>
      <c r="D110" s="13"/>
      <c r="E110" s="9"/>
    </row>
    <row r="111" spans="2:5" ht="15.75" customHeight="1" x14ac:dyDescent="0.2">
      <c r="B111" s="1" t="s">
        <v>42</v>
      </c>
      <c r="C111" s="1">
        <v>9</v>
      </c>
      <c r="D111" s="13"/>
      <c r="E111" s="9"/>
    </row>
    <row r="112" spans="2:5" ht="15.75" customHeight="1" x14ac:dyDescent="0.2">
      <c r="B112" s="1" t="s">
        <v>43</v>
      </c>
      <c r="C112" s="1">
        <v>6</v>
      </c>
      <c r="D112" s="13"/>
      <c r="E112" s="9"/>
    </row>
    <row r="113" spans="2:5" ht="15.75" customHeight="1" x14ac:dyDescent="0.2">
      <c r="B113" s="1" t="s">
        <v>81</v>
      </c>
      <c r="C113" s="1">
        <v>40</v>
      </c>
      <c r="D113" s="13"/>
      <c r="E113" s="9"/>
    </row>
    <row r="114" spans="2:5" ht="15.75" customHeight="1" x14ac:dyDescent="0.2">
      <c r="B114" s="1" t="s">
        <v>80</v>
      </c>
      <c r="C114" s="1">
        <v>135</v>
      </c>
      <c r="D114" s="13"/>
      <c r="E114" s="9"/>
    </row>
    <row r="115" spans="2:5" ht="15.75" customHeight="1" x14ac:dyDescent="0.2">
      <c r="B115" s="1" t="s">
        <v>28</v>
      </c>
      <c r="C115" s="1">
        <f>18+15*3</f>
        <v>63</v>
      </c>
      <c r="D115" s="13"/>
      <c r="E115" s="9"/>
    </row>
    <row r="116" spans="2:5" ht="15.75" customHeight="1" x14ac:dyDescent="0.2">
      <c r="B116" s="1" t="s">
        <v>27</v>
      </c>
      <c r="C116" s="1">
        <f>36+19*3</f>
        <v>93</v>
      </c>
      <c r="D116" s="13"/>
      <c r="E116" s="9"/>
    </row>
    <row r="117" spans="2:5" ht="15.75" customHeight="1" x14ac:dyDescent="0.2">
      <c r="B117" s="1" t="s">
        <v>21</v>
      </c>
      <c r="C117" s="1">
        <f>15*3</f>
        <v>45</v>
      </c>
      <c r="D117" s="13"/>
      <c r="E117" s="9"/>
    </row>
    <row r="118" spans="2:5" ht="15.75" customHeight="1" x14ac:dyDescent="0.2">
      <c r="B118" s="1" t="s">
        <v>23</v>
      </c>
      <c r="C118" s="1">
        <f>22*3</f>
        <v>66</v>
      </c>
      <c r="D118" s="13"/>
      <c r="E118" s="9"/>
    </row>
    <row r="119" spans="2:5" ht="15.75" customHeight="1" x14ac:dyDescent="0.2">
      <c r="B119" s="1" t="s">
        <v>82</v>
      </c>
      <c r="C119" s="1">
        <v>12</v>
      </c>
      <c r="D119" s="13"/>
      <c r="E119" s="9"/>
    </row>
    <row r="120" spans="2:5" ht="15.75" customHeight="1" x14ac:dyDescent="0.2">
      <c r="B120" s="1" t="s">
        <v>9</v>
      </c>
      <c r="C120" s="1">
        <f>230800+319000+422200+804600+(17500+25000+30000+37500+120000+260000+450000)*3</f>
        <v>4596600</v>
      </c>
      <c r="D120" s="13" t="s">
        <v>89</v>
      </c>
      <c r="E120" s="9" t="s">
        <v>127</v>
      </c>
    </row>
    <row r="121" spans="2:5" ht="15.75" customHeight="1" x14ac:dyDescent="0.2">
      <c r="B121" s="1" t="s">
        <v>7</v>
      </c>
      <c r="C121" s="1">
        <f>43+60+81+192</f>
        <v>376</v>
      </c>
      <c r="D121" s="13"/>
      <c r="E121" s="9"/>
    </row>
    <row r="122" spans="2:5" ht="15.75" customHeight="1" x14ac:dyDescent="0.2">
      <c r="B122" s="1" t="s">
        <v>52</v>
      </c>
      <c r="C122" s="1">
        <v>6</v>
      </c>
      <c r="D122" s="13"/>
      <c r="E122" s="9"/>
    </row>
    <row r="123" spans="2:5" ht="15.75" customHeight="1" x14ac:dyDescent="0.2">
      <c r="B123" s="1" t="s">
        <v>42</v>
      </c>
      <c r="C123" s="1">
        <v>9</v>
      </c>
      <c r="D123" s="13"/>
      <c r="E123" s="9"/>
    </row>
    <row r="124" spans="2:5" ht="15.75" customHeight="1" x14ac:dyDescent="0.2">
      <c r="B124" s="1" t="s">
        <v>43</v>
      </c>
      <c r="C124" s="1">
        <v>6</v>
      </c>
      <c r="D124" s="13"/>
      <c r="E124" s="9"/>
    </row>
    <row r="125" spans="2:5" ht="15.75" customHeight="1" x14ac:dyDescent="0.2">
      <c r="B125" s="1" t="s">
        <v>81</v>
      </c>
      <c r="C125" s="1">
        <v>44</v>
      </c>
      <c r="D125" s="13"/>
      <c r="E125" s="9"/>
    </row>
    <row r="126" spans="2:5" ht="15.75" customHeight="1" x14ac:dyDescent="0.2">
      <c r="B126" s="1" t="s">
        <v>11</v>
      </c>
      <c r="C126" s="1">
        <v>155</v>
      </c>
      <c r="D126" s="13"/>
      <c r="E126" s="9"/>
    </row>
    <row r="127" spans="2:5" ht="15.75" customHeight="1" x14ac:dyDescent="0.2">
      <c r="B127" s="1" t="s">
        <v>84</v>
      </c>
      <c r="C127" s="1">
        <f>30+22*3</f>
        <v>96</v>
      </c>
      <c r="D127" s="13"/>
      <c r="E127" s="9"/>
    </row>
    <row r="128" spans="2:5" ht="15.75" customHeight="1" x14ac:dyDescent="0.2">
      <c r="B128" s="1" t="s">
        <v>85</v>
      </c>
      <c r="C128" s="1">
        <f>36+19*3</f>
        <v>93</v>
      </c>
      <c r="D128" s="13"/>
      <c r="E128" s="9"/>
    </row>
    <row r="129" spans="2:5" ht="15.75" customHeight="1" x14ac:dyDescent="0.2">
      <c r="B129" s="1" t="s">
        <v>86</v>
      </c>
      <c r="C129" s="1">
        <f>21*3</f>
        <v>63</v>
      </c>
      <c r="D129" s="13"/>
      <c r="E129" s="9"/>
    </row>
    <row r="130" spans="2:5" ht="15.75" customHeight="1" x14ac:dyDescent="0.2">
      <c r="B130" s="1" t="s">
        <v>87</v>
      </c>
      <c r="C130" s="1">
        <f>22*3</f>
        <v>66</v>
      </c>
      <c r="D130" s="13"/>
      <c r="E130" s="9"/>
    </row>
    <row r="131" spans="2:5" ht="15.75" customHeight="1" x14ac:dyDescent="0.2">
      <c r="B131" s="1" t="s">
        <v>88</v>
      </c>
      <c r="C131" s="1">
        <v>12</v>
      </c>
      <c r="D131" s="13"/>
      <c r="E131" s="9"/>
    </row>
    <row r="132" spans="2:5" ht="15.75" customHeight="1" x14ac:dyDescent="0.2">
      <c r="B132" s="1" t="s">
        <v>9</v>
      </c>
      <c r="C132" s="1">
        <f>2092200+(12500+17500+25000+30000+37500+120000+260000+450000)*3</f>
        <v>4949700</v>
      </c>
      <c r="D132" s="13" t="s">
        <v>93</v>
      </c>
      <c r="E132" s="12" t="s">
        <v>135</v>
      </c>
    </row>
    <row r="133" spans="2:5" ht="15.75" customHeight="1" x14ac:dyDescent="0.2">
      <c r="B133" s="1" t="s">
        <v>7</v>
      </c>
      <c r="C133" s="1">
        <v>450</v>
      </c>
      <c r="D133" s="13"/>
      <c r="E133" s="9"/>
    </row>
    <row r="134" spans="2:5" ht="15.75" customHeight="1" x14ac:dyDescent="0.2">
      <c r="B134" s="1" t="s">
        <v>62</v>
      </c>
      <c r="C134" s="1">
        <v>1</v>
      </c>
      <c r="D134" s="13"/>
      <c r="E134" s="9"/>
    </row>
    <row r="135" spans="2:5" ht="15.75" customHeight="1" x14ac:dyDescent="0.2">
      <c r="B135" s="1" t="s">
        <v>63</v>
      </c>
      <c r="C135" s="1">
        <v>9</v>
      </c>
      <c r="D135" s="13"/>
      <c r="E135" s="9"/>
    </row>
    <row r="136" spans="2:5" ht="15.75" customHeight="1" x14ac:dyDescent="0.2">
      <c r="B136" s="1" t="s">
        <v>64</v>
      </c>
      <c r="C136" s="1">
        <v>9</v>
      </c>
      <c r="D136" s="13"/>
      <c r="E136" s="9"/>
    </row>
    <row r="137" spans="2:5" ht="15.75" customHeight="1" x14ac:dyDescent="0.2">
      <c r="B137" s="1" t="s">
        <v>65</v>
      </c>
      <c r="C137" s="1">
        <v>6</v>
      </c>
      <c r="D137" s="13"/>
      <c r="E137" s="9"/>
    </row>
    <row r="138" spans="2:5" ht="15.75" customHeight="1" x14ac:dyDescent="0.2">
      <c r="B138" s="1" t="s">
        <v>91</v>
      </c>
      <c r="C138" s="1">
        <v>46</v>
      </c>
      <c r="D138" s="13"/>
      <c r="E138" s="9"/>
    </row>
    <row r="139" spans="2:5" ht="15.75" customHeight="1" x14ac:dyDescent="0.2">
      <c r="B139" s="1" t="s">
        <v>90</v>
      </c>
      <c r="C139" s="1">
        <v>168</v>
      </c>
      <c r="D139" s="13"/>
      <c r="E139" s="9"/>
    </row>
    <row r="140" spans="2:5" ht="15.75" customHeight="1" x14ac:dyDescent="0.2">
      <c r="B140" s="1" t="s">
        <v>225</v>
      </c>
      <c r="C140" s="1">
        <f>18+6*3</f>
        <v>36</v>
      </c>
      <c r="D140" s="13"/>
      <c r="E140" s="9"/>
    </row>
    <row r="141" spans="2:5" ht="15.75" customHeight="1" x14ac:dyDescent="0.2">
      <c r="B141" s="1" t="s">
        <v>22</v>
      </c>
      <c r="C141" s="1">
        <f>30+22*3</f>
        <v>96</v>
      </c>
      <c r="D141" s="13"/>
      <c r="E141" s="9"/>
    </row>
    <row r="142" spans="2:5" ht="15.75" customHeight="1" x14ac:dyDescent="0.2">
      <c r="B142" s="1" t="s">
        <v>20</v>
      </c>
      <c r="C142" s="1">
        <f>36+19*3</f>
        <v>93</v>
      </c>
      <c r="D142" s="13"/>
      <c r="E142" s="9"/>
    </row>
    <row r="143" spans="2:5" ht="15.75" customHeight="1" x14ac:dyDescent="0.2">
      <c r="B143" s="1" t="s">
        <v>92</v>
      </c>
      <c r="C143" s="1">
        <f>3*3</f>
        <v>9</v>
      </c>
      <c r="D143" s="13"/>
      <c r="E143" s="9"/>
    </row>
    <row r="144" spans="2:5" ht="15.75" customHeight="1" x14ac:dyDescent="0.2">
      <c r="B144" s="1" t="s">
        <v>12</v>
      </c>
      <c r="C144" s="1">
        <f>21*3</f>
        <v>63</v>
      </c>
      <c r="D144" s="13"/>
      <c r="E144" s="9"/>
    </row>
    <row r="145" spans="2:5" ht="15.75" customHeight="1" x14ac:dyDescent="0.2">
      <c r="B145" s="1" t="s">
        <v>13</v>
      </c>
      <c r="C145" s="1">
        <f>22*3</f>
        <v>66</v>
      </c>
      <c r="D145" s="13"/>
      <c r="E145" s="9"/>
    </row>
    <row r="146" spans="2:5" ht="15.75" customHeight="1" x14ac:dyDescent="0.2">
      <c r="B146" s="1" t="s">
        <v>14</v>
      </c>
      <c r="C146" s="1">
        <v>12</v>
      </c>
      <c r="D146" s="13"/>
      <c r="E146" s="9"/>
    </row>
    <row r="147" spans="2:5" ht="15.75" customHeight="1" x14ac:dyDescent="0.2">
      <c r="B147" s="1" t="s">
        <v>9</v>
      </c>
      <c r="C147" s="1">
        <f>2092200+(12500+17500+25000+30000+37500+120000+260000+450000)*3</f>
        <v>4949700</v>
      </c>
      <c r="D147" s="13" t="s">
        <v>104</v>
      </c>
      <c r="E147" s="9" t="s">
        <v>128</v>
      </c>
    </row>
    <row r="148" spans="2:5" ht="15.75" customHeight="1" x14ac:dyDescent="0.2">
      <c r="B148" s="1" t="s">
        <v>7</v>
      </c>
      <c r="C148" s="1">
        <v>450</v>
      </c>
      <c r="D148" s="13"/>
      <c r="E148" s="9"/>
    </row>
    <row r="149" spans="2:5" ht="15.75" customHeight="1" x14ac:dyDescent="0.2">
      <c r="B149" s="1" t="s">
        <v>94</v>
      </c>
      <c r="C149" s="1">
        <v>1</v>
      </c>
      <c r="D149" s="13"/>
      <c r="E149" s="9"/>
    </row>
    <row r="150" spans="2:5" ht="15.75" customHeight="1" x14ac:dyDescent="0.2">
      <c r="B150" s="1" t="s">
        <v>95</v>
      </c>
      <c r="C150" s="1">
        <v>9</v>
      </c>
      <c r="D150" s="13"/>
      <c r="E150" s="9"/>
    </row>
    <row r="151" spans="2:5" ht="15.75" customHeight="1" x14ac:dyDescent="0.2">
      <c r="B151" s="1" t="s">
        <v>96</v>
      </c>
      <c r="C151" s="1">
        <v>9</v>
      </c>
      <c r="D151" s="13"/>
      <c r="E151" s="9"/>
    </row>
    <row r="152" spans="2:5" ht="15.75" customHeight="1" x14ac:dyDescent="0.2">
      <c r="B152" s="1" t="s">
        <v>97</v>
      </c>
      <c r="C152" s="1">
        <v>6</v>
      </c>
      <c r="D152" s="13"/>
      <c r="E152" s="9"/>
    </row>
    <row r="153" spans="2:5" ht="15.75" customHeight="1" x14ac:dyDescent="0.2">
      <c r="B153" s="1" t="s">
        <v>99</v>
      </c>
      <c r="C153" s="1">
        <v>46</v>
      </c>
      <c r="D153" s="13"/>
      <c r="E153" s="9"/>
    </row>
    <row r="154" spans="2:5" ht="15.75" customHeight="1" x14ac:dyDescent="0.2">
      <c r="B154" s="1" t="s">
        <v>98</v>
      </c>
      <c r="C154" s="1">
        <v>168</v>
      </c>
      <c r="D154" s="13"/>
      <c r="E154" s="9"/>
    </row>
    <row r="155" spans="2:5" ht="15.75" customHeight="1" x14ac:dyDescent="0.2">
      <c r="B155" s="1" t="s">
        <v>100</v>
      </c>
      <c r="C155" s="1">
        <f>18+6*3</f>
        <v>36</v>
      </c>
      <c r="D155" s="13"/>
      <c r="E155" s="9"/>
    </row>
    <row r="156" spans="2:5" ht="15.75" customHeight="1" x14ac:dyDescent="0.2">
      <c r="B156" s="1" t="s">
        <v>101</v>
      </c>
      <c r="C156" s="1">
        <f>30+22*3</f>
        <v>96</v>
      </c>
      <c r="D156" s="13"/>
      <c r="E156" s="9"/>
    </row>
    <row r="157" spans="2:5" ht="15.75" customHeight="1" x14ac:dyDescent="0.2">
      <c r="B157" s="1" t="s">
        <v>102</v>
      </c>
      <c r="C157" s="1">
        <f>36+19*3</f>
        <v>93</v>
      </c>
      <c r="D157" s="13"/>
      <c r="E157" s="9"/>
    </row>
    <row r="158" spans="2:5" ht="15.75" customHeight="1" x14ac:dyDescent="0.2">
      <c r="B158" s="1" t="s">
        <v>69</v>
      </c>
      <c r="C158" s="1">
        <f>3*3</f>
        <v>9</v>
      </c>
      <c r="D158" s="13"/>
      <c r="E158" s="9"/>
    </row>
    <row r="159" spans="2:5" ht="15.75" customHeight="1" x14ac:dyDescent="0.2">
      <c r="B159" s="1" t="s">
        <v>58</v>
      </c>
      <c r="C159" s="1">
        <f>21*3</f>
        <v>63</v>
      </c>
      <c r="D159" s="13"/>
      <c r="E159" s="9"/>
    </row>
    <row r="160" spans="2:5" ht="15.75" customHeight="1" x14ac:dyDescent="0.2">
      <c r="B160" s="1" t="s">
        <v>59</v>
      </c>
      <c r="C160" s="1">
        <f>22*3</f>
        <v>66</v>
      </c>
      <c r="D160" s="13"/>
      <c r="E160" s="9"/>
    </row>
    <row r="161" spans="2:5" ht="15.75" customHeight="1" x14ac:dyDescent="0.2">
      <c r="B161" s="1" t="s">
        <v>103</v>
      </c>
      <c r="C161" s="1">
        <v>12</v>
      </c>
      <c r="D161" s="13"/>
      <c r="E161" s="9"/>
    </row>
    <row r="162" spans="2:5" ht="15.75" customHeight="1" x14ac:dyDescent="0.2">
      <c r="B162" s="1" t="s">
        <v>9</v>
      </c>
      <c r="C162" s="1">
        <f>2092200+(12500+17500+25000+30000+37500+120000+260000+450000)*3</f>
        <v>4949700</v>
      </c>
      <c r="D162" s="13" t="s">
        <v>109</v>
      </c>
      <c r="E162" s="9" t="s">
        <v>129</v>
      </c>
    </row>
    <row r="163" spans="2:5" ht="15.75" customHeight="1" x14ac:dyDescent="0.2">
      <c r="B163" s="1" t="s">
        <v>7</v>
      </c>
      <c r="C163" s="1">
        <v>450</v>
      </c>
      <c r="D163" s="13"/>
      <c r="E163" s="9"/>
    </row>
    <row r="164" spans="2:5" ht="15.75" customHeight="1" x14ac:dyDescent="0.2">
      <c r="B164" s="1" t="s">
        <v>105</v>
      </c>
      <c r="C164" s="1">
        <v>1</v>
      </c>
      <c r="D164" s="13"/>
      <c r="E164" s="9"/>
    </row>
    <row r="165" spans="2:5" ht="15.75" customHeight="1" x14ac:dyDescent="0.2">
      <c r="B165" s="1" t="s">
        <v>106</v>
      </c>
      <c r="C165" s="1">
        <v>9</v>
      </c>
      <c r="D165" s="13"/>
      <c r="E165" s="9"/>
    </row>
    <row r="166" spans="2:5" ht="15.75" customHeight="1" x14ac:dyDescent="0.2">
      <c r="B166" s="1" t="s">
        <v>16</v>
      </c>
      <c r="C166" s="1">
        <v>9</v>
      </c>
      <c r="D166" s="13"/>
      <c r="E166" s="9"/>
    </row>
    <row r="167" spans="2:5" ht="15.75" customHeight="1" x14ac:dyDescent="0.2">
      <c r="B167" s="1" t="s">
        <v>17</v>
      </c>
      <c r="C167" s="1">
        <v>6</v>
      </c>
      <c r="D167" s="13"/>
      <c r="E167" s="9"/>
    </row>
    <row r="168" spans="2:5" ht="15.75" customHeight="1" x14ac:dyDescent="0.2">
      <c r="B168" s="1" t="s">
        <v>18</v>
      </c>
      <c r="C168" s="1">
        <v>46</v>
      </c>
      <c r="D168" s="13"/>
      <c r="E168" s="9"/>
    </row>
    <row r="169" spans="2:5" ht="15.75" customHeight="1" x14ac:dyDescent="0.2">
      <c r="B169" s="1" t="s">
        <v>107</v>
      </c>
      <c r="C169" s="1">
        <v>168</v>
      </c>
      <c r="D169" s="13"/>
      <c r="E169" s="9"/>
    </row>
    <row r="170" spans="2:5" ht="15.75" customHeight="1" x14ac:dyDescent="0.2">
      <c r="B170" s="1" t="s">
        <v>100</v>
      </c>
      <c r="C170" s="1">
        <f>18+6*3</f>
        <v>36</v>
      </c>
      <c r="D170" s="13"/>
      <c r="E170" s="9"/>
    </row>
    <row r="171" spans="2:5" ht="15.75" customHeight="1" x14ac:dyDescent="0.2">
      <c r="B171" s="1" t="s">
        <v>101</v>
      </c>
      <c r="C171" s="1">
        <f>30+22*3</f>
        <v>96</v>
      </c>
      <c r="D171" s="13"/>
      <c r="E171" s="9"/>
    </row>
    <row r="172" spans="2:5" ht="15.75" customHeight="1" x14ac:dyDescent="0.2">
      <c r="B172" s="1" t="s">
        <v>102</v>
      </c>
      <c r="C172" s="1">
        <f>36+19*3</f>
        <v>93</v>
      </c>
      <c r="D172" s="13"/>
      <c r="E172" s="9"/>
    </row>
    <row r="173" spans="2:5" ht="15.75" customHeight="1" x14ac:dyDescent="0.2">
      <c r="B173" s="1" t="s">
        <v>92</v>
      </c>
      <c r="C173" s="1">
        <f>3*3</f>
        <v>9</v>
      </c>
      <c r="D173" s="13"/>
      <c r="E173" s="9"/>
    </row>
    <row r="174" spans="2:5" ht="15.75" customHeight="1" x14ac:dyDescent="0.2">
      <c r="B174" s="1" t="s">
        <v>12</v>
      </c>
      <c r="C174" s="1">
        <f>21*3</f>
        <v>63</v>
      </c>
      <c r="D174" s="13"/>
      <c r="E174" s="9"/>
    </row>
    <row r="175" spans="2:5" ht="15.75" customHeight="1" x14ac:dyDescent="0.2">
      <c r="B175" s="1" t="s">
        <v>13</v>
      </c>
      <c r="C175" s="1">
        <f>22*3</f>
        <v>66</v>
      </c>
      <c r="D175" s="13"/>
      <c r="E175" s="9"/>
    </row>
    <row r="176" spans="2:5" ht="15.75" customHeight="1" x14ac:dyDescent="0.2">
      <c r="B176" s="1" t="s">
        <v>108</v>
      </c>
      <c r="C176" s="1">
        <v>12</v>
      </c>
      <c r="D176" s="13"/>
      <c r="E176" s="9"/>
    </row>
    <row r="177" spans="2:5" ht="15.75" customHeight="1" x14ac:dyDescent="0.2">
      <c r="B177" s="1" t="s">
        <v>9</v>
      </c>
      <c r="C177" s="1">
        <f>319000+422200+804600+(25000+30000+37500+120000+260000+450000)*3</f>
        <v>4313300</v>
      </c>
      <c r="D177" s="13" t="s">
        <v>114</v>
      </c>
      <c r="E177" s="9" t="s">
        <v>130</v>
      </c>
    </row>
    <row r="178" spans="2:5" ht="15.75" customHeight="1" x14ac:dyDescent="0.2">
      <c r="B178" s="1" t="s">
        <v>7</v>
      </c>
      <c r="C178" s="1">
        <f>60+81+192</f>
        <v>333</v>
      </c>
      <c r="D178" s="13"/>
      <c r="E178" s="9"/>
    </row>
    <row r="179" spans="2:5" ht="15.75" customHeight="1" x14ac:dyDescent="0.2">
      <c r="B179" s="1" t="s">
        <v>96</v>
      </c>
      <c r="C179" s="1">
        <v>9</v>
      </c>
      <c r="D179" s="13"/>
      <c r="E179" s="9"/>
    </row>
    <row r="180" spans="2:5" ht="15.75" customHeight="1" x14ac:dyDescent="0.2">
      <c r="B180" s="1" t="s">
        <v>97</v>
      </c>
      <c r="C180" s="1">
        <v>6</v>
      </c>
      <c r="D180" s="13"/>
      <c r="E180" s="9"/>
    </row>
    <row r="181" spans="2:5" ht="15.75" customHeight="1" x14ac:dyDescent="0.2">
      <c r="B181" s="1" t="s">
        <v>99</v>
      </c>
      <c r="C181" s="1">
        <v>40</v>
      </c>
      <c r="D181" s="13"/>
      <c r="E181" s="9"/>
    </row>
    <row r="182" spans="2:5" ht="15.75" customHeight="1" x14ac:dyDescent="0.2">
      <c r="B182" s="1" t="s">
        <v>110</v>
      </c>
      <c r="C182" s="1">
        <v>135</v>
      </c>
      <c r="D182" s="13"/>
      <c r="E182" s="9"/>
    </row>
    <row r="183" spans="2:5" ht="15.75" customHeight="1" x14ac:dyDescent="0.2">
      <c r="B183" s="1" t="s">
        <v>84</v>
      </c>
      <c r="C183" s="1">
        <f>18+19*3</f>
        <v>75</v>
      </c>
      <c r="D183" s="13"/>
      <c r="E183" s="9"/>
    </row>
    <row r="184" spans="2:5" ht="15.75" customHeight="1" x14ac:dyDescent="0.2">
      <c r="B184" s="1" t="s">
        <v>85</v>
      </c>
      <c r="C184" s="1">
        <f>36+19*3</f>
        <v>93</v>
      </c>
      <c r="D184" s="13"/>
      <c r="E184" s="9"/>
    </row>
    <row r="185" spans="2:5" ht="15.75" customHeight="1" x14ac:dyDescent="0.2">
      <c r="B185" s="1" t="s">
        <v>111</v>
      </c>
      <c r="C185" s="1">
        <f>19*3</f>
        <v>57</v>
      </c>
      <c r="D185" s="13"/>
      <c r="E185" s="9"/>
    </row>
    <row r="186" spans="2:5" ht="15.75" customHeight="1" x14ac:dyDescent="0.2">
      <c r="B186" s="1" t="s">
        <v>112</v>
      </c>
      <c r="C186" s="1">
        <f>22*3</f>
        <v>66</v>
      </c>
      <c r="D186" s="13"/>
      <c r="E186" s="9"/>
    </row>
    <row r="187" spans="2:5" ht="15.75" customHeight="1" x14ac:dyDescent="0.2">
      <c r="B187" s="1" t="s">
        <v>113</v>
      </c>
      <c r="C187" s="1">
        <v>12</v>
      </c>
      <c r="D187" s="13"/>
      <c r="E187" s="9"/>
    </row>
    <row r="188" spans="2:5" ht="15.75" customHeight="1" x14ac:dyDescent="0.2">
      <c r="B188" s="1" t="s">
        <v>9</v>
      </c>
      <c r="C188" s="1">
        <f>422200+804600+(120000+260000+450000)*3</f>
        <v>3716800</v>
      </c>
      <c r="D188" s="13" t="s">
        <v>116</v>
      </c>
      <c r="E188" s="12" t="s">
        <v>136</v>
      </c>
    </row>
    <row r="189" spans="2:5" ht="15.75" customHeight="1" x14ac:dyDescent="0.2">
      <c r="B189" s="1" t="s">
        <v>7</v>
      </c>
      <c r="C189" s="1">
        <f>81+192</f>
        <v>273</v>
      </c>
      <c r="D189" s="13"/>
      <c r="E189" s="9"/>
    </row>
    <row r="190" spans="2:5" ht="15.75" customHeight="1" x14ac:dyDescent="0.2">
      <c r="B190" s="1" t="s">
        <v>64</v>
      </c>
      <c r="C190" s="1">
        <v>6</v>
      </c>
      <c r="D190" s="13"/>
      <c r="E190" s="9"/>
    </row>
    <row r="191" spans="2:5" ht="15.75" customHeight="1" x14ac:dyDescent="0.2">
      <c r="B191" s="1" t="s">
        <v>65</v>
      </c>
      <c r="C191" s="1">
        <v>6</v>
      </c>
      <c r="D191" s="13"/>
      <c r="E191" s="9"/>
    </row>
    <row r="192" spans="2:5" ht="15.75" customHeight="1" x14ac:dyDescent="0.2">
      <c r="B192" s="1" t="s">
        <v>91</v>
      </c>
      <c r="C192" s="1">
        <v>32</v>
      </c>
      <c r="D192" s="13"/>
      <c r="E192" s="9"/>
    </row>
    <row r="193" spans="2:5" ht="15.75" customHeight="1" x14ac:dyDescent="0.2">
      <c r="B193" s="1" t="s">
        <v>115</v>
      </c>
      <c r="C193" s="1">
        <v>105</v>
      </c>
      <c r="D193" s="13"/>
      <c r="E193" s="9"/>
    </row>
    <row r="194" spans="2:5" ht="15.75" customHeight="1" x14ac:dyDescent="0.2">
      <c r="B194" s="1" t="s">
        <v>38</v>
      </c>
      <c r="C194" s="1">
        <f>36+19*3</f>
        <v>93</v>
      </c>
      <c r="D194" s="13"/>
      <c r="E194" s="9"/>
    </row>
    <row r="195" spans="2:5" ht="15.75" customHeight="1" x14ac:dyDescent="0.2">
      <c r="B195" s="1" t="s">
        <v>87</v>
      </c>
      <c r="C195" s="1">
        <f>22*3</f>
        <v>66</v>
      </c>
      <c r="D195" s="13"/>
      <c r="E195" s="9"/>
    </row>
    <row r="196" spans="2:5" ht="15.75" customHeight="1" x14ac:dyDescent="0.2">
      <c r="B196" s="1" t="s">
        <v>24</v>
      </c>
      <c r="C196" s="1">
        <v>12</v>
      </c>
      <c r="D196" s="13"/>
      <c r="E196" s="9"/>
    </row>
    <row r="197" spans="2:5" ht="15.75" customHeight="1" x14ac:dyDescent="0.2">
      <c r="B197" s="1" t="s">
        <v>9</v>
      </c>
      <c r="C197" s="1">
        <f>30000+(37500+120000+260000+450000+700000)*3+25000+30000+37500*2+(120000+260000+450000+700000)*3+(25000+30000+37500+120000+260000+450000+700000)*3</f>
        <v>14320000</v>
      </c>
      <c r="D197" s="13" t="s">
        <v>119</v>
      </c>
      <c r="E197" s="9" t="s">
        <v>131</v>
      </c>
    </row>
    <row r="198" spans="2:5" ht="15.75" customHeight="1" x14ac:dyDescent="0.2">
      <c r="B198" s="1" t="s">
        <v>74</v>
      </c>
      <c r="C198" s="1">
        <f>6+9*3+4+6+9</f>
        <v>52</v>
      </c>
      <c r="D198" s="13"/>
      <c r="E198" s="9"/>
    </row>
    <row r="199" spans="2:5" ht="15.75" customHeight="1" x14ac:dyDescent="0.2">
      <c r="B199" s="1" t="s">
        <v>75</v>
      </c>
      <c r="C199" s="1">
        <f>31*3+31</f>
        <v>124</v>
      </c>
      <c r="D199" s="13"/>
      <c r="E199" s="9"/>
    </row>
    <row r="200" spans="2:5" ht="15.75" customHeight="1" x14ac:dyDescent="0.2">
      <c r="B200" s="1" t="s">
        <v>84</v>
      </c>
      <c r="C200" s="1">
        <f>9</f>
        <v>9</v>
      </c>
      <c r="D200" s="13"/>
      <c r="E200" s="9"/>
    </row>
    <row r="201" spans="2:5" ht="15.75" customHeight="1" x14ac:dyDescent="0.2">
      <c r="B201" s="1" t="s">
        <v>85</v>
      </c>
      <c r="C201" s="1">
        <f>31+31</f>
        <v>62</v>
      </c>
      <c r="D201" s="13"/>
      <c r="E201" s="9"/>
    </row>
    <row r="202" spans="2:5" ht="15.75" customHeight="1" x14ac:dyDescent="0.2">
      <c r="B202" s="1" t="s">
        <v>48</v>
      </c>
      <c r="C202" s="1">
        <f>19*3</f>
        <v>57</v>
      </c>
      <c r="D202" s="13"/>
      <c r="E202" s="9"/>
    </row>
    <row r="203" spans="2:5" ht="15.75" customHeight="1" x14ac:dyDescent="0.2">
      <c r="B203" s="1" t="s">
        <v>46</v>
      </c>
      <c r="C203" s="1">
        <f>31*3</f>
        <v>93</v>
      </c>
      <c r="D203" s="13"/>
      <c r="E203" s="9"/>
    </row>
    <row r="204" spans="2:5" ht="15.75" customHeight="1" x14ac:dyDescent="0.2">
      <c r="B204" s="1" t="s">
        <v>111</v>
      </c>
      <c r="C204" s="1">
        <f>6+6</f>
        <v>12</v>
      </c>
      <c r="D204" s="13"/>
      <c r="E204" s="9"/>
    </row>
    <row r="205" spans="2:5" ht="15.75" customHeight="1" x14ac:dyDescent="0.2">
      <c r="B205" s="1" t="s">
        <v>112</v>
      </c>
      <c r="C205" s="1">
        <f>6*3+6</f>
        <v>24</v>
      </c>
      <c r="D205" s="13"/>
      <c r="E205" s="9"/>
    </row>
    <row r="206" spans="2:5" ht="15.75" customHeight="1" x14ac:dyDescent="0.2">
      <c r="B206" s="1" t="s">
        <v>12</v>
      </c>
      <c r="C206" s="1">
        <f>9*3+9</f>
        <v>36</v>
      </c>
      <c r="D206" s="13"/>
      <c r="E206" s="9"/>
    </row>
    <row r="207" spans="2:5" ht="15.75" customHeight="1" x14ac:dyDescent="0.2">
      <c r="B207" s="1" t="s">
        <v>13</v>
      </c>
      <c r="C207" s="1">
        <f>12*3+12</f>
        <v>48</v>
      </c>
      <c r="D207" s="13"/>
      <c r="E207" s="9"/>
    </row>
    <row r="208" spans="2:5" ht="15.75" customHeight="1" x14ac:dyDescent="0.2">
      <c r="B208" s="1" t="s">
        <v>86</v>
      </c>
      <c r="C208" s="1">
        <f>4</f>
        <v>4</v>
      </c>
      <c r="D208" s="13"/>
      <c r="E208" s="9"/>
    </row>
    <row r="209" spans="2:5" ht="15.75" customHeight="1" x14ac:dyDescent="0.2">
      <c r="B209" s="1" t="s">
        <v>87</v>
      </c>
      <c r="C209" s="1">
        <f>20*3+20</f>
        <v>80</v>
      </c>
      <c r="D209" s="13"/>
      <c r="E209" s="9"/>
    </row>
    <row r="210" spans="2:5" ht="15.75" customHeight="1" x14ac:dyDescent="0.2">
      <c r="B210" s="1" t="s">
        <v>58</v>
      </c>
      <c r="C210" s="1">
        <f>9</f>
        <v>9</v>
      </c>
      <c r="D210" s="13"/>
      <c r="E210" s="9"/>
    </row>
    <row r="211" spans="2:5" ht="15.75" customHeight="1" x14ac:dyDescent="0.2">
      <c r="B211" s="1" t="s">
        <v>59</v>
      </c>
      <c r="C211" s="1">
        <f>12+12</f>
        <v>24</v>
      </c>
      <c r="D211" s="13"/>
      <c r="E211" s="9"/>
    </row>
    <row r="212" spans="2:5" ht="15.75" customHeight="1" x14ac:dyDescent="0.2">
      <c r="B212" s="1" t="s">
        <v>47</v>
      </c>
      <c r="C212" s="1">
        <f>4*3</f>
        <v>12</v>
      </c>
      <c r="D212" s="13"/>
      <c r="E212" s="9"/>
    </row>
    <row r="213" spans="2:5" ht="15.75" customHeight="1" x14ac:dyDescent="0.2">
      <c r="B213" s="1" t="s">
        <v>49</v>
      </c>
      <c r="C213" s="1">
        <f>20*3</f>
        <v>60</v>
      </c>
      <c r="D213" s="13"/>
      <c r="E213" s="9"/>
    </row>
    <row r="214" spans="2:5" ht="15.75" customHeight="1" x14ac:dyDescent="0.2">
      <c r="B214" s="1" t="s">
        <v>76</v>
      </c>
      <c r="C214" s="1">
        <f>6*3</f>
        <v>18</v>
      </c>
      <c r="D214" s="13"/>
      <c r="E214" s="9"/>
    </row>
    <row r="215" spans="2:5" ht="15.75" customHeight="1" x14ac:dyDescent="0.2">
      <c r="B215" s="1" t="s">
        <v>77</v>
      </c>
      <c r="C215" s="1">
        <f>6*3</f>
        <v>18</v>
      </c>
      <c r="D215" s="13"/>
      <c r="E215" s="9"/>
    </row>
    <row r="216" spans="2:5" ht="15.75" customHeight="1" x14ac:dyDescent="0.2">
      <c r="B216" s="1" t="s">
        <v>54</v>
      </c>
      <c r="C216" s="1">
        <f>9*3</f>
        <v>27</v>
      </c>
      <c r="D216" s="13"/>
      <c r="E216" s="9"/>
    </row>
    <row r="217" spans="2:5" ht="15.75" customHeight="1" x14ac:dyDescent="0.2">
      <c r="B217" s="1" t="s">
        <v>55</v>
      </c>
      <c r="C217" s="1">
        <f>12*3</f>
        <v>36</v>
      </c>
      <c r="D217" s="13"/>
      <c r="E217" s="9"/>
    </row>
    <row r="218" spans="2:5" ht="15.75" customHeight="1" x14ac:dyDescent="0.2">
      <c r="B218" s="1" t="s">
        <v>23</v>
      </c>
      <c r="C218" s="1">
        <f>20+20</f>
        <v>40</v>
      </c>
      <c r="D218" s="13"/>
      <c r="E218" s="9"/>
    </row>
    <row r="219" spans="2:5" ht="15.75" customHeight="1" x14ac:dyDescent="0.2">
      <c r="B219" s="1" t="s">
        <v>117</v>
      </c>
      <c r="C219" s="1">
        <f>6+6</f>
        <v>12</v>
      </c>
      <c r="D219" s="13"/>
      <c r="E219" s="9"/>
    </row>
    <row r="220" spans="2:5" ht="15.75" customHeight="1" x14ac:dyDescent="0.2">
      <c r="B220" s="1" t="s">
        <v>24</v>
      </c>
      <c r="C220" s="1">
        <f>6+6</f>
        <v>12</v>
      </c>
      <c r="D220" s="13"/>
      <c r="E220" s="9"/>
    </row>
    <row r="221" spans="2:5" ht="15.75" customHeight="1" x14ac:dyDescent="0.2">
      <c r="B221" s="1" t="s">
        <v>82</v>
      </c>
      <c r="C221" s="1">
        <f>18+6</f>
        <v>24</v>
      </c>
      <c r="D221" s="13"/>
      <c r="E221" s="9"/>
    </row>
    <row r="222" spans="2:5" ht="15.75" customHeight="1" x14ac:dyDescent="0.2">
      <c r="B222" s="1" t="s">
        <v>78</v>
      </c>
      <c r="C222" s="1">
        <v>18</v>
      </c>
      <c r="D222" s="13"/>
      <c r="E222" s="9"/>
    </row>
    <row r="223" spans="2:5" ht="15.75" customHeight="1" x14ac:dyDescent="0.2">
      <c r="B223" s="1" t="s">
        <v>118</v>
      </c>
      <c r="C223" s="1">
        <v>9</v>
      </c>
      <c r="D223" s="13"/>
      <c r="E223" s="9"/>
    </row>
    <row r="224" spans="2:5" ht="15.75" customHeight="1" x14ac:dyDescent="0.2">
      <c r="B224" s="1" t="s">
        <v>9</v>
      </c>
      <c r="C224" s="1">
        <f>248000+45000</f>
        <v>293000</v>
      </c>
      <c r="D224" s="9" t="s">
        <v>15</v>
      </c>
      <c r="E224" s="11" t="s">
        <v>142</v>
      </c>
    </row>
    <row r="225" spans="2:5" ht="15.75" customHeight="1" x14ac:dyDescent="0.2">
      <c r="B225" s="1" t="s">
        <v>139</v>
      </c>
      <c r="C225" s="1">
        <v>248</v>
      </c>
      <c r="D225" s="9"/>
      <c r="E225" s="10"/>
    </row>
    <row r="226" spans="2:5" ht="15.75" customHeight="1" x14ac:dyDescent="0.2">
      <c r="B226" s="1" t="s">
        <v>140</v>
      </c>
      <c r="C226" s="1">
        <v>4</v>
      </c>
      <c r="D226" s="9"/>
      <c r="E226" s="10"/>
    </row>
    <row r="227" spans="2:5" ht="15.75" customHeight="1" x14ac:dyDescent="0.2">
      <c r="B227" s="1" t="s">
        <v>141</v>
      </c>
      <c r="C227" s="1">
        <v>18</v>
      </c>
      <c r="D227" s="9"/>
      <c r="E227" s="10"/>
    </row>
    <row r="228" spans="2:5" ht="15.75" customHeight="1" x14ac:dyDescent="0.2">
      <c r="B228" s="1" t="s">
        <v>75</v>
      </c>
      <c r="C228" s="1">
        <v>12</v>
      </c>
      <c r="D228" s="9"/>
      <c r="E228" s="10"/>
    </row>
    <row r="229" spans="2:5" ht="15.75" customHeight="1" x14ac:dyDescent="0.2">
      <c r="B229" s="1" t="s">
        <v>9</v>
      </c>
      <c r="C229" s="1">
        <f>372000+65000</f>
        <v>437000</v>
      </c>
      <c r="D229" s="9" t="s">
        <v>25</v>
      </c>
      <c r="E229" s="11" t="s">
        <v>145</v>
      </c>
    </row>
    <row r="230" spans="2:5" ht="15.75" customHeight="1" x14ac:dyDescent="0.2">
      <c r="B230" s="1" t="s">
        <v>139</v>
      </c>
      <c r="C230" s="1">
        <v>372</v>
      </c>
      <c r="D230" s="9"/>
      <c r="E230" s="10"/>
    </row>
    <row r="231" spans="2:5" ht="15.75" customHeight="1" x14ac:dyDescent="0.2">
      <c r="B231" s="1" t="s">
        <v>143</v>
      </c>
      <c r="C231" s="1">
        <v>6</v>
      </c>
      <c r="D231" s="9"/>
      <c r="E231" s="10"/>
    </row>
    <row r="232" spans="2:5" ht="15.75" customHeight="1" x14ac:dyDescent="0.2">
      <c r="B232" s="1" t="s">
        <v>144</v>
      </c>
      <c r="C232" s="1">
        <v>27</v>
      </c>
      <c r="D232" s="9"/>
      <c r="E232" s="10"/>
    </row>
    <row r="233" spans="2:5" ht="15.75" customHeight="1" x14ac:dyDescent="0.2">
      <c r="B233" s="1" t="s">
        <v>38</v>
      </c>
      <c r="C233" s="1">
        <v>18</v>
      </c>
      <c r="D233" s="9"/>
      <c r="E233" s="10"/>
    </row>
    <row r="234" spans="2:5" ht="15.75" customHeight="1" x14ac:dyDescent="0.2">
      <c r="B234" s="1" t="s">
        <v>9</v>
      </c>
      <c r="C234" s="1">
        <f>907000+10000+20000+30000+45000+55000+65000</f>
        <v>1132000</v>
      </c>
      <c r="D234" s="9" t="s">
        <v>29</v>
      </c>
      <c r="E234" s="10" t="s">
        <v>123</v>
      </c>
    </row>
    <row r="235" spans="2:5" ht="15.75" customHeight="1" x14ac:dyDescent="0.2">
      <c r="B235" s="1" t="s">
        <v>139</v>
      </c>
      <c r="C235" s="1">
        <v>907</v>
      </c>
      <c r="D235" s="9"/>
      <c r="E235" s="10"/>
    </row>
    <row r="236" spans="2:5" ht="15.75" customHeight="1" x14ac:dyDescent="0.2">
      <c r="B236" s="1" t="s">
        <v>146</v>
      </c>
      <c r="C236" s="1">
        <v>5</v>
      </c>
      <c r="D236" s="9"/>
      <c r="E236" s="10"/>
    </row>
    <row r="237" spans="2:5" ht="15.75" customHeight="1" x14ac:dyDescent="0.2">
      <c r="B237" s="1" t="s">
        <v>147</v>
      </c>
      <c r="C237" s="1">
        <v>14</v>
      </c>
      <c r="D237" s="9"/>
      <c r="E237" s="10"/>
    </row>
    <row r="238" spans="2:5" ht="15.75" customHeight="1" x14ac:dyDescent="0.2">
      <c r="B238" s="1" t="s">
        <v>148</v>
      </c>
      <c r="C238" s="1">
        <v>14</v>
      </c>
      <c r="D238" s="9"/>
      <c r="E238" s="10"/>
    </row>
    <row r="239" spans="2:5" ht="15.75" customHeight="1" x14ac:dyDescent="0.2">
      <c r="B239" s="1" t="s">
        <v>149</v>
      </c>
      <c r="C239" s="1">
        <v>6</v>
      </c>
      <c r="D239" s="9"/>
      <c r="E239" s="10"/>
    </row>
    <row r="240" spans="2:5" ht="15.75" customHeight="1" x14ac:dyDescent="0.2">
      <c r="B240" s="1" t="s">
        <v>150</v>
      </c>
      <c r="C240" s="1">
        <v>23</v>
      </c>
      <c r="D240" s="9"/>
      <c r="E240" s="10"/>
    </row>
    <row r="241" spans="2:5" ht="15.75" customHeight="1" x14ac:dyDescent="0.2">
      <c r="B241" s="1" t="s">
        <v>151</v>
      </c>
      <c r="C241" s="1">
        <v>27</v>
      </c>
      <c r="D241" s="9"/>
      <c r="E241" s="10"/>
    </row>
    <row r="242" spans="2:5" ht="15.75" customHeight="1" x14ac:dyDescent="0.2">
      <c r="B242" s="1" t="s">
        <v>144</v>
      </c>
      <c r="C242" s="1">
        <v>41</v>
      </c>
      <c r="D242" s="9"/>
      <c r="E242" s="10"/>
    </row>
    <row r="243" spans="2:5" ht="15.75" customHeight="1" x14ac:dyDescent="0.2">
      <c r="B243" s="1" t="s">
        <v>36</v>
      </c>
      <c r="C243" s="1">
        <v>15</v>
      </c>
      <c r="D243" s="9"/>
      <c r="E243" s="10"/>
    </row>
    <row r="244" spans="2:5" ht="15.75" customHeight="1" x14ac:dyDescent="0.2">
      <c r="B244" s="1" t="s">
        <v>37</v>
      </c>
      <c r="C244" s="1">
        <v>23</v>
      </c>
      <c r="D244" s="9"/>
      <c r="E244" s="10"/>
    </row>
    <row r="245" spans="2:5" ht="15.75" customHeight="1" x14ac:dyDescent="0.2">
      <c r="B245" s="1" t="s">
        <v>38</v>
      </c>
      <c r="C245" s="1">
        <v>27</v>
      </c>
      <c r="D245" s="9"/>
      <c r="E245" s="10"/>
    </row>
    <row r="246" spans="2:5" ht="15.75" customHeight="1" x14ac:dyDescent="0.2">
      <c r="B246" s="1" t="s">
        <v>9</v>
      </c>
      <c r="C246" s="1">
        <f>372000+65000</f>
        <v>437000</v>
      </c>
      <c r="D246" s="12" t="s">
        <v>154</v>
      </c>
      <c r="E246" s="11" t="s">
        <v>155</v>
      </c>
    </row>
    <row r="247" spans="2:5" ht="15.75" customHeight="1" x14ac:dyDescent="0.2">
      <c r="B247" s="1" t="s">
        <v>139</v>
      </c>
      <c r="C247" s="1">
        <v>372</v>
      </c>
      <c r="D247" s="9"/>
      <c r="E247" s="10"/>
    </row>
    <row r="248" spans="2:5" ht="15.75" customHeight="1" x14ac:dyDescent="0.2">
      <c r="B248" s="1" t="s">
        <v>152</v>
      </c>
      <c r="C248" s="1">
        <v>6</v>
      </c>
      <c r="D248" s="9"/>
      <c r="E248" s="10"/>
    </row>
    <row r="249" spans="2:5" ht="15.75" customHeight="1" x14ac:dyDescent="0.2">
      <c r="B249" s="1" t="s">
        <v>153</v>
      </c>
      <c r="C249" s="1">
        <v>27</v>
      </c>
      <c r="D249" s="9"/>
      <c r="E249" s="10"/>
    </row>
    <row r="250" spans="2:5" ht="15.75" customHeight="1" x14ac:dyDescent="0.2">
      <c r="B250" s="1" t="s">
        <v>46</v>
      </c>
      <c r="C250" s="1">
        <v>18</v>
      </c>
      <c r="D250" s="9"/>
      <c r="E250" s="10"/>
    </row>
    <row r="251" spans="2:5" ht="15.75" customHeight="1" x14ac:dyDescent="0.2">
      <c r="B251" s="1" t="s">
        <v>9</v>
      </c>
      <c r="C251" s="1">
        <f>372000+65000</f>
        <v>437000</v>
      </c>
      <c r="D251" s="9" t="s">
        <v>51</v>
      </c>
      <c r="E251" s="11" t="s">
        <v>156</v>
      </c>
    </row>
    <row r="252" spans="2:5" ht="15.75" customHeight="1" x14ac:dyDescent="0.2">
      <c r="B252" s="1" t="s">
        <v>139</v>
      </c>
      <c r="C252" s="1">
        <v>372</v>
      </c>
      <c r="D252" s="9"/>
      <c r="E252" s="10"/>
    </row>
    <row r="253" spans="2:5" ht="15.75" customHeight="1" x14ac:dyDescent="0.2">
      <c r="B253" s="1" t="s">
        <v>143</v>
      </c>
      <c r="C253" s="1">
        <v>6</v>
      </c>
      <c r="D253" s="9"/>
      <c r="E253" s="10"/>
    </row>
    <row r="254" spans="2:5" ht="15.75" customHeight="1" x14ac:dyDescent="0.2">
      <c r="B254" s="1" t="s">
        <v>144</v>
      </c>
      <c r="C254" s="1">
        <v>27</v>
      </c>
      <c r="D254" s="9"/>
      <c r="E254" s="10"/>
    </row>
    <row r="255" spans="2:5" ht="15.75" customHeight="1" x14ac:dyDescent="0.2">
      <c r="B255" s="1" t="s">
        <v>85</v>
      </c>
      <c r="C255" s="1">
        <v>18</v>
      </c>
      <c r="D255" s="9"/>
      <c r="E255" s="10"/>
    </row>
    <row r="256" spans="2:5" ht="15.75" customHeight="1" x14ac:dyDescent="0.2">
      <c r="B256" s="1" t="s">
        <v>9</v>
      </c>
      <c r="C256" s="1">
        <f>597000+5000+15000+20000+30000+35000+45000</f>
        <v>747000</v>
      </c>
      <c r="D256" s="9" t="s">
        <v>61</v>
      </c>
      <c r="E256" s="10" t="s">
        <v>126</v>
      </c>
    </row>
    <row r="257" spans="2:5" ht="15.75" customHeight="1" x14ac:dyDescent="0.2">
      <c r="B257" s="1" t="s">
        <v>139</v>
      </c>
      <c r="C257" s="1">
        <v>597</v>
      </c>
      <c r="D257" s="9"/>
      <c r="E257" s="10"/>
    </row>
    <row r="258" spans="2:5" ht="15.75" customHeight="1" x14ac:dyDescent="0.2">
      <c r="B258" s="1" t="s">
        <v>157</v>
      </c>
      <c r="C258" s="1">
        <v>3</v>
      </c>
      <c r="D258" s="9"/>
      <c r="E258" s="10"/>
    </row>
    <row r="259" spans="2:5" ht="15.75" customHeight="1" x14ac:dyDescent="0.2">
      <c r="B259" s="1" t="s">
        <v>158</v>
      </c>
      <c r="C259" s="1">
        <v>9</v>
      </c>
      <c r="D259" s="9"/>
      <c r="E259" s="10"/>
    </row>
    <row r="260" spans="2:5" ht="15.75" customHeight="1" x14ac:dyDescent="0.2">
      <c r="B260" s="1" t="s">
        <v>159</v>
      </c>
      <c r="C260" s="1">
        <v>9</v>
      </c>
      <c r="D260" s="9"/>
      <c r="E260" s="10"/>
    </row>
    <row r="261" spans="2:5" ht="15.75" customHeight="1" x14ac:dyDescent="0.2">
      <c r="B261" s="1" t="s">
        <v>152</v>
      </c>
      <c r="C261" s="1">
        <v>4</v>
      </c>
      <c r="D261" s="9"/>
      <c r="E261" s="10"/>
    </row>
    <row r="262" spans="2:5" ht="15.75" customHeight="1" x14ac:dyDescent="0.2">
      <c r="B262" s="1" t="s">
        <v>160</v>
      </c>
      <c r="C262" s="1">
        <v>15</v>
      </c>
      <c r="D262" s="9"/>
      <c r="E262" s="10"/>
    </row>
    <row r="263" spans="2:5" ht="15.75" customHeight="1" x14ac:dyDescent="0.2">
      <c r="B263" s="1" t="s">
        <v>161</v>
      </c>
      <c r="C263" s="1">
        <v>18</v>
      </c>
      <c r="D263" s="9"/>
      <c r="E263" s="10"/>
    </row>
    <row r="264" spans="2:5" ht="15.75" customHeight="1" x14ac:dyDescent="0.2">
      <c r="B264" s="1" t="s">
        <v>153</v>
      </c>
      <c r="C264" s="1">
        <v>27</v>
      </c>
      <c r="D264" s="9"/>
      <c r="E264" s="10"/>
    </row>
    <row r="265" spans="2:5" ht="15.75" customHeight="1" x14ac:dyDescent="0.2">
      <c r="B265" s="1" t="s">
        <v>162</v>
      </c>
      <c r="C265" s="1">
        <v>10</v>
      </c>
      <c r="D265" s="9"/>
      <c r="E265" s="10"/>
    </row>
    <row r="266" spans="2:5" ht="15.75" customHeight="1" x14ac:dyDescent="0.2">
      <c r="B266" s="1" t="s">
        <v>163</v>
      </c>
      <c r="C266" s="1">
        <v>15</v>
      </c>
      <c r="D266" s="9"/>
      <c r="E266" s="10"/>
    </row>
    <row r="267" spans="2:5" ht="15.75" customHeight="1" x14ac:dyDescent="0.2">
      <c r="B267" s="1" t="s">
        <v>164</v>
      </c>
      <c r="C267" s="1">
        <v>18</v>
      </c>
      <c r="D267" s="9"/>
      <c r="E267" s="10"/>
    </row>
    <row r="268" spans="2:5" ht="15.75" customHeight="1" x14ac:dyDescent="0.2">
      <c r="B268" s="1" t="s">
        <v>9</v>
      </c>
      <c r="C268" s="1">
        <f>907000+10000+20000+30000+45000+55000+65000</f>
        <v>1132000</v>
      </c>
      <c r="D268" s="9" t="s">
        <v>71</v>
      </c>
      <c r="E268" s="11" t="s">
        <v>171</v>
      </c>
    </row>
    <row r="269" spans="2:5" ht="15.75" customHeight="1" x14ac:dyDescent="0.2">
      <c r="B269" s="1" t="s">
        <v>139</v>
      </c>
      <c r="C269" s="1">
        <v>907</v>
      </c>
      <c r="D269" s="9"/>
      <c r="E269" s="10"/>
    </row>
    <row r="270" spans="2:5" ht="15.75" customHeight="1" x14ac:dyDescent="0.2">
      <c r="B270" s="1" t="s">
        <v>165</v>
      </c>
      <c r="C270" s="1">
        <v>5</v>
      </c>
      <c r="D270" s="9"/>
      <c r="E270" s="10"/>
    </row>
    <row r="271" spans="2:5" ht="15.75" customHeight="1" x14ac:dyDescent="0.2">
      <c r="B271" s="1" t="s">
        <v>166</v>
      </c>
      <c r="C271" s="1">
        <v>14</v>
      </c>
      <c r="D271" s="9"/>
      <c r="E271" s="10"/>
    </row>
    <row r="272" spans="2:5" ht="15.75" customHeight="1" x14ac:dyDescent="0.2">
      <c r="B272" s="1" t="s">
        <v>167</v>
      </c>
      <c r="C272" s="1">
        <v>14</v>
      </c>
      <c r="D272" s="9"/>
      <c r="E272" s="10"/>
    </row>
    <row r="273" spans="2:5" ht="15.75" customHeight="1" x14ac:dyDescent="0.2">
      <c r="B273" s="1" t="s">
        <v>140</v>
      </c>
      <c r="C273" s="1">
        <v>6</v>
      </c>
      <c r="D273" s="9"/>
      <c r="E273" s="10"/>
    </row>
    <row r="274" spans="2:5" ht="15.75" customHeight="1" x14ac:dyDescent="0.2">
      <c r="B274" s="1" t="s">
        <v>168</v>
      </c>
      <c r="C274" s="1">
        <v>23</v>
      </c>
      <c r="D274" s="9"/>
      <c r="E274" s="10"/>
    </row>
    <row r="275" spans="2:5" ht="15.75" customHeight="1" x14ac:dyDescent="0.2">
      <c r="B275" s="1" t="s">
        <v>169</v>
      </c>
      <c r="C275" s="1">
        <v>27</v>
      </c>
      <c r="D275" s="9"/>
      <c r="E275" s="10"/>
    </row>
    <row r="276" spans="2:5" ht="15.75" customHeight="1" x14ac:dyDescent="0.2">
      <c r="B276" s="1" t="s">
        <v>141</v>
      </c>
      <c r="C276" s="1">
        <v>41</v>
      </c>
      <c r="D276" s="9"/>
      <c r="E276" s="10"/>
    </row>
    <row r="277" spans="2:5" ht="15.75" customHeight="1" x14ac:dyDescent="0.2">
      <c r="B277" s="1" t="s">
        <v>170</v>
      </c>
      <c r="C277" s="1">
        <v>15</v>
      </c>
      <c r="D277" s="9"/>
      <c r="E277" s="10"/>
    </row>
    <row r="278" spans="2:5" ht="15.75" customHeight="1" x14ac:dyDescent="0.2">
      <c r="B278" s="1" t="s">
        <v>74</v>
      </c>
      <c r="C278" s="1">
        <v>23</v>
      </c>
      <c r="D278" s="9"/>
      <c r="E278" s="10"/>
    </row>
    <row r="279" spans="2:5" ht="15.75" customHeight="1" x14ac:dyDescent="0.2">
      <c r="B279" s="1" t="s">
        <v>75</v>
      </c>
      <c r="C279" s="1">
        <v>27</v>
      </c>
      <c r="D279" s="9"/>
      <c r="E279" s="10"/>
    </row>
    <row r="280" spans="2:5" ht="15.75" customHeight="1" x14ac:dyDescent="0.2">
      <c r="B280" s="1" t="s">
        <v>9</v>
      </c>
      <c r="C280" s="1">
        <f>(605000+5000+15000+20000+30000+35000+45000)*0</f>
        <v>0</v>
      </c>
      <c r="D280" s="9" t="s">
        <v>71</v>
      </c>
      <c r="E280" s="10" t="s">
        <v>175</v>
      </c>
    </row>
    <row r="281" spans="2:5" ht="15.75" customHeight="1" x14ac:dyDescent="0.2">
      <c r="B281" s="1" t="s">
        <v>139</v>
      </c>
      <c r="C281" s="1">
        <f>605*0</f>
        <v>0</v>
      </c>
      <c r="D281" s="9"/>
      <c r="E281" s="10"/>
    </row>
    <row r="282" spans="2:5" ht="15.75" customHeight="1" x14ac:dyDescent="0.2">
      <c r="B282" s="1" t="s">
        <v>146</v>
      </c>
      <c r="C282" s="1">
        <f>3*0</f>
        <v>0</v>
      </c>
      <c r="D282" s="9"/>
      <c r="E282" s="10"/>
    </row>
    <row r="283" spans="2:5" ht="15.75" customHeight="1" x14ac:dyDescent="0.2">
      <c r="B283" s="1" t="s">
        <v>147</v>
      </c>
      <c r="C283" s="1">
        <f>9*0</f>
        <v>0</v>
      </c>
      <c r="D283" s="9"/>
      <c r="E283" s="10"/>
    </row>
    <row r="284" spans="2:5" ht="15.75" customHeight="1" x14ac:dyDescent="0.2">
      <c r="B284" s="1" t="s">
        <v>148</v>
      </c>
      <c r="C284" s="1">
        <f>9*0</f>
        <v>0</v>
      </c>
      <c r="D284" s="9"/>
      <c r="E284" s="10"/>
    </row>
    <row r="285" spans="2:5" ht="15.75" customHeight="1" x14ac:dyDescent="0.2">
      <c r="B285" s="1" t="s">
        <v>149</v>
      </c>
      <c r="C285" s="1">
        <f>4*0</f>
        <v>0</v>
      </c>
      <c r="D285" s="9"/>
      <c r="E285" s="10"/>
    </row>
    <row r="286" spans="2:5" ht="15.75" customHeight="1" x14ac:dyDescent="0.2">
      <c r="B286" s="1" t="s">
        <v>172</v>
      </c>
      <c r="C286" s="1">
        <f>15*0</f>
        <v>0</v>
      </c>
      <c r="D286" s="9"/>
      <c r="E286" s="10"/>
    </row>
    <row r="287" spans="2:5" ht="15.75" customHeight="1" x14ac:dyDescent="0.2">
      <c r="B287" s="1" t="s">
        <v>174</v>
      </c>
      <c r="C287" s="1">
        <f>18*0</f>
        <v>0</v>
      </c>
      <c r="D287" s="9"/>
      <c r="E287" s="10"/>
    </row>
    <row r="288" spans="2:5" ht="15.75" customHeight="1" x14ac:dyDescent="0.2">
      <c r="B288" s="1" t="s">
        <v>173</v>
      </c>
      <c r="C288" s="1">
        <f>27*0</f>
        <v>0</v>
      </c>
      <c r="D288" s="9"/>
      <c r="E288" s="10"/>
    </row>
    <row r="289" spans="2:5" ht="15.75" customHeight="1" x14ac:dyDescent="0.2">
      <c r="B289" s="1" t="s">
        <v>100</v>
      </c>
      <c r="C289" s="1">
        <f>10*0</f>
        <v>0</v>
      </c>
      <c r="D289" s="9"/>
      <c r="E289" s="10"/>
    </row>
    <row r="290" spans="2:5" ht="15.75" customHeight="1" x14ac:dyDescent="0.2">
      <c r="B290" s="1" t="s">
        <v>101</v>
      </c>
      <c r="C290" s="1">
        <f>15*0</f>
        <v>0</v>
      </c>
      <c r="D290" s="9"/>
      <c r="E290" s="10"/>
    </row>
    <row r="291" spans="2:5" ht="15.75" customHeight="1" x14ac:dyDescent="0.2">
      <c r="B291" s="1" t="s">
        <v>102</v>
      </c>
      <c r="C291" s="1">
        <f>18*0</f>
        <v>0</v>
      </c>
      <c r="D291" s="9"/>
      <c r="E291" s="10"/>
    </row>
    <row r="292" spans="2:5" ht="15.75" customHeight="1" x14ac:dyDescent="0.2">
      <c r="B292" s="1" t="s">
        <v>9</v>
      </c>
      <c r="C292" s="1">
        <f>907000+10000+20000+30000+45000+55000+65000</f>
        <v>1132000</v>
      </c>
      <c r="D292" s="9" t="s">
        <v>79</v>
      </c>
      <c r="E292" s="11" t="s">
        <v>184</v>
      </c>
    </row>
    <row r="293" spans="2:5" ht="15.75" customHeight="1" x14ac:dyDescent="0.2">
      <c r="B293" s="1" t="s">
        <v>139</v>
      </c>
      <c r="C293" s="1">
        <v>907</v>
      </c>
      <c r="D293" s="9"/>
      <c r="E293" s="10"/>
    </row>
    <row r="294" spans="2:5" ht="15.75" customHeight="1" x14ac:dyDescent="0.2">
      <c r="B294" s="1" t="s">
        <v>176</v>
      </c>
      <c r="C294" s="1">
        <v>5</v>
      </c>
      <c r="D294" s="9"/>
      <c r="E294" s="10"/>
    </row>
    <row r="295" spans="2:5" ht="15.75" customHeight="1" x14ac:dyDescent="0.2">
      <c r="B295" s="1" t="s">
        <v>177</v>
      </c>
      <c r="C295" s="1">
        <v>14</v>
      </c>
      <c r="D295" s="9"/>
      <c r="E295" s="10"/>
    </row>
    <row r="296" spans="2:5" ht="15.75" customHeight="1" x14ac:dyDescent="0.2">
      <c r="B296" s="1" t="s">
        <v>178</v>
      </c>
      <c r="C296" s="1">
        <v>14</v>
      </c>
      <c r="D296" s="9"/>
      <c r="E296" s="10"/>
    </row>
    <row r="297" spans="2:5" ht="15.75" customHeight="1" x14ac:dyDescent="0.2">
      <c r="B297" s="1" t="s">
        <v>179</v>
      </c>
      <c r="C297" s="1">
        <v>6</v>
      </c>
      <c r="D297" s="9"/>
      <c r="E297" s="10"/>
    </row>
    <row r="298" spans="2:5" ht="15.75" customHeight="1" x14ac:dyDescent="0.2">
      <c r="B298" s="1" t="s">
        <v>180</v>
      </c>
      <c r="C298" s="1">
        <v>23</v>
      </c>
      <c r="D298" s="9"/>
      <c r="E298" s="10"/>
    </row>
    <row r="299" spans="2:5" ht="15.75" customHeight="1" x14ac:dyDescent="0.2">
      <c r="B299" s="1" t="s">
        <v>181</v>
      </c>
      <c r="C299" s="1">
        <v>27</v>
      </c>
      <c r="D299" s="9"/>
      <c r="E299" s="10"/>
    </row>
    <row r="300" spans="2:5" ht="15.75" customHeight="1" x14ac:dyDescent="0.2">
      <c r="B300" s="1" t="s">
        <v>182</v>
      </c>
      <c r="C300" s="1">
        <v>41</v>
      </c>
      <c r="D300" s="9"/>
      <c r="E300" s="10"/>
    </row>
    <row r="301" spans="2:5" ht="15.75" customHeight="1" x14ac:dyDescent="0.2">
      <c r="B301" s="1" t="s">
        <v>183</v>
      </c>
      <c r="C301" s="1">
        <v>15</v>
      </c>
      <c r="D301" s="9"/>
      <c r="E301" s="10"/>
    </row>
    <row r="302" spans="2:5" ht="15.75" customHeight="1" x14ac:dyDescent="0.2">
      <c r="B302" s="1" t="s">
        <v>84</v>
      </c>
      <c r="C302" s="1">
        <v>23</v>
      </c>
      <c r="D302" s="9"/>
      <c r="E302" s="10"/>
    </row>
    <row r="303" spans="2:5" ht="15.75" customHeight="1" x14ac:dyDescent="0.2">
      <c r="B303" s="1" t="s">
        <v>85</v>
      </c>
      <c r="C303" s="1">
        <v>27</v>
      </c>
      <c r="D303" s="9"/>
      <c r="E303" s="10"/>
    </row>
    <row r="304" spans="2:5" ht="15.75" customHeight="1" x14ac:dyDescent="0.2">
      <c r="B304" s="1" t="s">
        <v>9</v>
      </c>
      <c r="C304" s="1">
        <f>515000+20000+30000+35000+45000</f>
        <v>645000</v>
      </c>
      <c r="D304" s="9" t="s">
        <v>79</v>
      </c>
      <c r="E304" s="10" t="s">
        <v>185</v>
      </c>
    </row>
    <row r="305" spans="2:5" ht="15.75" customHeight="1" x14ac:dyDescent="0.2">
      <c r="B305" s="1" t="s">
        <v>139</v>
      </c>
      <c r="C305" s="1">
        <v>515</v>
      </c>
      <c r="D305" s="9"/>
      <c r="E305" s="10"/>
    </row>
    <row r="306" spans="2:5" ht="15.75" customHeight="1" x14ac:dyDescent="0.2">
      <c r="B306" s="1" t="s">
        <v>186</v>
      </c>
      <c r="C306" s="1">
        <v>6</v>
      </c>
      <c r="D306" s="9"/>
      <c r="E306" s="10"/>
    </row>
    <row r="307" spans="2:5" ht="15.75" customHeight="1" x14ac:dyDescent="0.2">
      <c r="B307" s="1" t="s">
        <v>187</v>
      </c>
      <c r="C307" s="1">
        <v>9</v>
      </c>
      <c r="D307" s="9"/>
      <c r="E307" s="10"/>
    </row>
    <row r="308" spans="2:5" ht="15.75" customHeight="1" x14ac:dyDescent="0.2">
      <c r="B308" s="1" t="s">
        <v>188</v>
      </c>
      <c r="C308" s="1">
        <v>4</v>
      </c>
      <c r="D308" s="9"/>
      <c r="E308" s="10"/>
    </row>
    <row r="309" spans="2:5" ht="15.75" customHeight="1" x14ac:dyDescent="0.2">
      <c r="B309" s="1" t="s">
        <v>189</v>
      </c>
      <c r="C309" s="1">
        <v>18</v>
      </c>
      <c r="D309" s="9"/>
      <c r="E309" s="10"/>
    </row>
    <row r="310" spans="2:5" ht="15.75" customHeight="1" x14ac:dyDescent="0.2">
      <c r="B310" s="1" t="s">
        <v>190</v>
      </c>
      <c r="C310" s="1">
        <v>27</v>
      </c>
      <c r="D310" s="9"/>
      <c r="E310" s="10"/>
    </row>
    <row r="311" spans="2:5" ht="15.75" customHeight="1" x14ac:dyDescent="0.2">
      <c r="B311" s="1" t="s">
        <v>22</v>
      </c>
      <c r="C311" s="1">
        <v>15</v>
      </c>
      <c r="D311" s="9"/>
      <c r="E311" s="10"/>
    </row>
    <row r="312" spans="2:5" ht="15.75" customHeight="1" x14ac:dyDescent="0.2">
      <c r="B312" s="1" t="s">
        <v>20</v>
      </c>
      <c r="C312" s="1">
        <v>18</v>
      </c>
      <c r="D312" s="9"/>
      <c r="E312" s="10"/>
    </row>
    <row r="313" spans="2:5" ht="15.75" customHeight="1" x14ac:dyDescent="0.2">
      <c r="B313" s="1" t="s">
        <v>9</v>
      </c>
      <c r="C313" s="1">
        <f>454000+30000+35000+45000</f>
        <v>564000</v>
      </c>
      <c r="D313" s="9" t="s">
        <v>83</v>
      </c>
      <c r="E313" s="11" t="s">
        <v>134</v>
      </c>
    </row>
    <row r="314" spans="2:5" ht="15.75" customHeight="1" x14ac:dyDescent="0.2">
      <c r="B314" s="1" t="s">
        <v>139</v>
      </c>
      <c r="C314" s="1">
        <v>454</v>
      </c>
      <c r="D314" s="9"/>
      <c r="E314" s="10"/>
    </row>
    <row r="315" spans="2:5" ht="15.75" customHeight="1" x14ac:dyDescent="0.2">
      <c r="B315" s="1" t="s">
        <v>148</v>
      </c>
      <c r="C315" s="1">
        <v>9</v>
      </c>
      <c r="D315" s="9"/>
      <c r="E315" s="10"/>
    </row>
    <row r="316" spans="2:5" ht="15.75" customHeight="1" x14ac:dyDescent="0.2">
      <c r="B316" s="1" t="s">
        <v>149</v>
      </c>
      <c r="C316" s="1">
        <v>4</v>
      </c>
      <c r="D316" s="9"/>
      <c r="E316" s="10"/>
    </row>
    <row r="317" spans="2:5" ht="15.75" customHeight="1" x14ac:dyDescent="0.2">
      <c r="B317" s="1" t="s">
        <v>174</v>
      </c>
      <c r="C317" s="1">
        <v>12</v>
      </c>
      <c r="D317" s="9"/>
      <c r="E317" s="10"/>
    </row>
    <row r="318" spans="2:5" ht="15.75" customHeight="1" x14ac:dyDescent="0.2">
      <c r="B318" s="1" t="s">
        <v>173</v>
      </c>
      <c r="C318" s="1">
        <v>27</v>
      </c>
      <c r="D318" s="9"/>
      <c r="E318" s="10"/>
    </row>
    <row r="319" spans="2:5" ht="15.75" customHeight="1" x14ac:dyDescent="0.2">
      <c r="B319" s="1" t="s">
        <v>101</v>
      </c>
      <c r="C319" s="1">
        <v>9</v>
      </c>
      <c r="D319" s="9"/>
      <c r="E319" s="10"/>
    </row>
    <row r="320" spans="2:5" ht="15.75" customHeight="1" x14ac:dyDescent="0.2">
      <c r="B320" s="1" t="s">
        <v>102</v>
      </c>
      <c r="C320" s="1">
        <v>18</v>
      </c>
      <c r="D320" s="9"/>
      <c r="E320" s="10"/>
    </row>
    <row r="321" spans="2:5" ht="15.75" customHeight="1" x14ac:dyDescent="0.2">
      <c r="B321" s="1" t="s">
        <v>9</v>
      </c>
      <c r="C321" s="1">
        <f>605000+5000+15000+20000+30000+35000+45000</f>
        <v>755000</v>
      </c>
      <c r="D321" s="9" t="s">
        <v>83</v>
      </c>
      <c r="E321" s="10" t="s">
        <v>192</v>
      </c>
    </row>
    <row r="322" spans="2:5" ht="15.75" customHeight="1" x14ac:dyDescent="0.2">
      <c r="B322" s="1" t="s">
        <v>139</v>
      </c>
      <c r="C322" s="1">
        <v>605</v>
      </c>
      <c r="D322" s="9"/>
      <c r="E322" s="10"/>
    </row>
    <row r="323" spans="2:5" ht="15.75" customHeight="1" x14ac:dyDescent="0.2">
      <c r="B323" s="1" t="s">
        <v>193</v>
      </c>
      <c r="C323" s="1">
        <v>3</v>
      </c>
      <c r="D323" s="9"/>
      <c r="E323" s="10"/>
    </row>
    <row r="324" spans="2:5" ht="15.75" customHeight="1" x14ac:dyDescent="0.2">
      <c r="B324" s="1" t="s">
        <v>194</v>
      </c>
      <c r="C324" s="1">
        <v>9</v>
      </c>
      <c r="D324" s="9"/>
      <c r="E324" s="10"/>
    </row>
    <row r="325" spans="2:5" ht="15.75" customHeight="1" x14ac:dyDescent="0.2">
      <c r="B325" s="1" t="s">
        <v>195</v>
      </c>
      <c r="C325" s="1">
        <v>9</v>
      </c>
      <c r="D325" s="9"/>
      <c r="E325" s="10"/>
    </row>
    <row r="326" spans="2:5" ht="15.75" customHeight="1" x14ac:dyDescent="0.2">
      <c r="B326" s="1" t="s">
        <v>196</v>
      </c>
      <c r="C326" s="1">
        <v>4</v>
      </c>
      <c r="D326" s="9"/>
      <c r="E326" s="10"/>
    </row>
    <row r="327" spans="2:5" ht="15.75" customHeight="1" x14ac:dyDescent="0.2">
      <c r="B327" s="1" t="s">
        <v>197</v>
      </c>
      <c r="C327" s="1">
        <v>15</v>
      </c>
      <c r="D327" s="9"/>
      <c r="E327" s="10"/>
    </row>
    <row r="328" spans="2:5" ht="15.75" customHeight="1" x14ac:dyDescent="0.2">
      <c r="B328" s="1" t="s">
        <v>198</v>
      </c>
      <c r="C328" s="1">
        <v>18</v>
      </c>
      <c r="D328" s="9"/>
      <c r="E328" s="10"/>
    </row>
    <row r="329" spans="2:5" ht="15.75" customHeight="1" x14ac:dyDescent="0.2">
      <c r="B329" s="1" t="s">
        <v>199</v>
      </c>
      <c r="C329" s="1">
        <v>27</v>
      </c>
      <c r="D329" s="9"/>
      <c r="E329" s="10"/>
    </row>
    <row r="330" spans="2:5" ht="15.75" customHeight="1" x14ac:dyDescent="0.2">
      <c r="B330" s="1" t="s">
        <v>200</v>
      </c>
      <c r="C330" s="1">
        <v>10</v>
      </c>
      <c r="D330" s="9"/>
      <c r="E330" s="10"/>
    </row>
    <row r="331" spans="2:5" ht="15.75" customHeight="1" x14ac:dyDescent="0.2">
      <c r="B331" s="1" t="s">
        <v>48</v>
      </c>
      <c r="C331" s="1">
        <v>15</v>
      </c>
      <c r="D331" s="9"/>
      <c r="E331" s="10"/>
    </row>
    <row r="332" spans="2:5" ht="15.75" customHeight="1" x14ac:dyDescent="0.2">
      <c r="B332" s="1" t="s">
        <v>46</v>
      </c>
      <c r="C332" s="1">
        <v>18</v>
      </c>
      <c r="D332" s="9"/>
      <c r="E332" s="10"/>
    </row>
    <row r="333" spans="2:5" ht="15.75" customHeight="1" x14ac:dyDescent="0.2">
      <c r="B333" s="1" t="s">
        <v>9</v>
      </c>
      <c r="C333" s="1">
        <f>605000+5000+15000+20000+30000+35000+45000</f>
        <v>755000</v>
      </c>
      <c r="D333" s="9" t="s">
        <v>89</v>
      </c>
      <c r="E333" s="10" t="s">
        <v>127</v>
      </c>
    </row>
    <row r="334" spans="2:5" ht="15.75" customHeight="1" x14ac:dyDescent="0.2">
      <c r="B334" s="1" t="s">
        <v>139</v>
      </c>
      <c r="C334" s="1">
        <v>605</v>
      </c>
      <c r="D334" s="9"/>
      <c r="E334" s="10"/>
    </row>
    <row r="335" spans="2:5" ht="15.75" customHeight="1" x14ac:dyDescent="0.2">
      <c r="B335" s="1" t="s">
        <v>201</v>
      </c>
      <c r="C335" s="1">
        <v>3</v>
      </c>
      <c r="D335" s="9"/>
      <c r="E335" s="10"/>
    </row>
    <row r="336" spans="2:5" ht="15.75" customHeight="1" x14ac:dyDescent="0.2">
      <c r="B336" s="1" t="s">
        <v>202</v>
      </c>
      <c r="C336" s="1">
        <v>9</v>
      </c>
      <c r="D336" s="9"/>
      <c r="E336" s="10"/>
    </row>
    <row r="337" spans="2:5" ht="15.75" customHeight="1" x14ac:dyDescent="0.2">
      <c r="B337" s="1" t="s">
        <v>203</v>
      </c>
      <c r="C337" s="1">
        <v>9</v>
      </c>
      <c r="D337" s="9"/>
      <c r="E337" s="10"/>
    </row>
    <row r="338" spans="2:5" ht="15.75" customHeight="1" x14ac:dyDescent="0.2">
      <c r="B338" s="1" t="s">
        <v>204</v>
      </c>
      <c r="C338" s="1">
        <v>4</v>
      </c>
      <c r="D338" s="9"/>
      <c r="E338" s="10"/>
    </row>
    <row r="339" spans="2:5" ht="15.75" customHeight="1" x14ac:dyDescent="0.2">
      <c r="B339" s="1" t="s">
        <v>205</v>
      </c>
      <c r="C339" s="1">
        <v>15</v>
      </c>
      <c r="D339" s="9"/>
      <c r="E339" s="10"/>
    </row>
    <row r="340" spans="2:5" ht="15.75" customHeight="1" x14ac:dyDescent="0.2">
      <c r="B340" s="1" t="s">
        <v>206</v>
      </c>
      <c r="C340" s="1">
        <v>18</v>
      </c>
      <c r="D340" s="9"/>
      <c r="E340" s="10"/>
    </row>
    <row r="341" spans="2:5" ht="15.75" customHeight="1" x14ac:dyDescent="0.2">
      <c r="B341" s="1" t="s">
        <v>207</v>
      </c>
      <c r="C341" s="1">
        <v>27</v>
      </c>
      <c r="D341" s="9"/>
      <c r="E341" s="10"/>
    </row>
    <row r="342" spans="2:5" ht="15.75" customHeight="1" x14ac:dyDescent="0.2">
      <c r="B342" s="1" t="s">
        <v>183</v>
      </c>
      <c r="C342" s="1">
        <v>10</v>
      </c>
      <c r="D342" s="9"/>
      <c r="E342" s="10"/>
    </row>
    <row r="343" spans="2:5" ht="15.75" customHeight="1" x14ac:dyDescent="0.2">
      <c r="B343" s="1" t="s">
        <v>84</v>
      </c>
      <c r="C343" s="1">
        <v>15</v>
      </c>
      <c r="D343" s="9"/>
      <c r="E343" s="10"/>
    </row>
    <row r="344" spans="2:5" ht="15.75" customHeight="1" x14ac:dyDescent="0.2">
      <c r="B344" s="1" t="s">
        <v>85</v>
      </c>
      <c r="C344" s="1">
        <v>18</v>
      </c>
      <c r="D344" s="9"/>
      <c r="E344" s="10"/>
    </row>
    <row r="345" spans="2:5" ht="15.75" customHeight="1" x14ac:dyDescent="0.2">
      <c r="B345" s="1" t="s">
        <v>9</v>
      </c>
      <c r="C345" s="1">
        <v>755000</v>
      </c>
      <c r="D345" s="9" t="s">
        <v>89</v>
      </c>
      <c r="E345" s="11" t="s">
        <v>304</v>
      </c>
    </row>
    <row r="346" spans="2:5" ht="15.75" customHeight="1" x14ac:dyDescent="0.2">
      <c r="B346" s="1" t="s">
        <v>139</v>
      </c>
      <c r="C346" s="1">
        <v>605</v>
      </c>
      <c r="D346" s="9"/>
      <c r="E346" s="10"/>
    </row>
    <row r="347" spans="2:5" ht="15.75" customHeight="1" x14ac:dyDescent="0.2">
      <c r="B347" s="1" t="s">
        <v>201</v>
      </c>
      <c r="C347" s="1">
        <v>3</v>
      </c>
      <c r="D347" s="9"/>
      <c r="E347" s="10"/>
    </row>
    <row r="348" spans="2:5" ht="15.75" customHeight="1" x14ac:dyDescent="0.2">
      <c r="B348" s="1" t="s">
        <v>202</v>
      </c>
      <c r="C348" s="1">
        <v>9</v>
      </c>
      <c r="D348" s="9"/>
      <c r="E348" s="10"/>
    </row>
    <row r="349" spans="2:5" ht="15.75" customHeight="1" x14ac:dyDescent="0.2">
      <c r="B349" s="1" t="s">
        <v>203</v>
      </c>
      <c r="C349" s="1">
        <v>9</v>
      </c>
      <c r="D349" s="9"/>
      <c r="E349" s="10"/>
    </row>
    <row r="350" spans="2:5" ht="15.75" customHeight="1" x14ac:dyDescent="0.2">
      <c r="B350" s="1" t="s">
        <v>204</v>
      </c>
      <c r="C350" s="1">
        <v>4</v>
      </c>
      <c r="D350" s="9"/>
      <c r="E350" s="10"/>
    </row>
    <row r="351" spans="2:5" ht="15.75" customHeight="1" x14ac:dyDescent="0.2">
      <c r="B351" s="1" t="s">
        <v>205</v>
      </c>
      <c r="C351" s="1">
        <v>15</v>
      </c>
      <c r="D351" s="9"/>
      <c r="E351" s="10"/>
    </row>
    <row r="352" spans="2:5" ht="15.75" customHeight="1" x14ac:dyDescent="0.2">
      <c r="B352" s="1" t="s">
        <v>206</v>
      </c>
      <c r="C352" s="1">
        <v>18</v>
      </c>
      <c r="D352" s="9"/>
      <c r="E352" s="10"/>
    </row>
    <row r="353" spans="2:5" ht="15.75" customHeight="1" x14ac:dyDescent="0.2">
      <c r="B353" s="1" t="s">
        <v>207</v>
      </c>
      <c r="C353" s="1">
        <v>27</v>
      </c>
      <c r="D353" s="9"/>
      <c r="E353" s="10"/>
    </row>
    <row r="354" spans="2:5" ht="15.75" customHeight="1" x14ac:dyDescent="0.2">
      <c r="B354" s="1" t="s">
        <v>183</v>
      </c>
      <c r="C354" s="1">
        <v>10</v>
      </c>
      <c r="D354" s="9"/>
      <c r="E354" s="10"/>
    </row>
    <row r="355" spans="2:5" ht="15.75" customHeight="1" x14ac:dyDescent="0.2">
      <c r="B355" s="1" t="s">
        <v>84</v>
      </c>
      <c r="C355" s="1">
        <v>15</v>
      </c>
      <c r="D355" s="9"/>
      <c r="E355" s="10"/>
    </row>
    <row r="356" spans="2:5" ht="15.75" customHeight="1" x14ac:dyDescent="0.2">
      <c r="B356" s="1" t="s">
        <v>85</v>
      </c>
      <c r="C356" s="1">
        <v>18</v>
      </c>
      <c r="D356" s="9"/>
      <c r="E356" s="10"/>
    </row>
    <row r="357" spans="2:5" ht="15.75" customHeight="1" x14ac:dyDescent="0.2">
      <c r="B357" s="1" t="s">
        <v>9</v>
      </c>
      <c r="C357" s="1">
        <f>907000+10000+20000+30000+45000+55000+65000</f>
        <v>1132000</v>
      </c>
      <c r="D357" s="9" t="s">
        <v>93</v>
      </c>
      <c r="E357" s="10" t="s">
        <v>208</v>
      </c>
    </row>
    <row r="358" spans="2:5" ht="15.75" customHeight="1" x14ac:dyDescent="0.2">
      <c r="B358" s="1" t="s">
        <v>139</v>
      </c>
      <c r="C358" s="1">
        <v>907</v>
      </c>
      <c r="D358" s="9"/>
      <c r="E358" s="10"/>
    </row>
    <row r="359" spans="2:5" ht="15.75" customHeight="1" x14ac:dyDescent="0.2">
      <c r="B359" s="1" t="s">
        <v>201</v>
      </c>
      <c r="C359" s="1">
        <v>5</v>
      </c>
      <c r="D359" s="9"/>
      <c r="E359" s="10"/>
    </row>
    <row r="360" spans="2:5" ht="15.75" customHeight="1" x14ac:dyDescent="0.2">
      <c r="B360" s="1" t="s">
        <v>202</v>
      </c>
      <c r="C360" s="1">
        <v>14</v>
      </c>
      <c r="D360" s="9"/>
      <c r="E360" s="10"/>
    </row>
    <row r="361" spans="2:5" ht="15.75" customHeight="1" x14ac:dyDescent="0.2">
      <c r="B361" s="1" t="s">
        <v>203</v>
      </c>
      <c r="C361" s="1">
        <v>14</v>
      </c>
      <c r="D361" s="9"/>
      <c r="E361" s="10"/>
    </row>
    <row r="362" spans="2:5" ht="15.75" customHeight="1" x14ac:dyDescent="0.2">
      <c r="B362" s="1" t="s">
        <v>204</v>
      </c>
      <c r="C362" s="1">
        <v>6</v>
      </c>
      <c r="D362" s="9"/>
      <c r="E362" s="10"/>
    </row>
    <row r="363" spans="2:5" ht="15.75" customHeight="1" x14ac:dyDescent="0.2">
      <c r="B363" s="1" t="s">
        <v>205</v>
      </c>
      <c r="C363" s="1">
        <v>23</v>
      </c>
      <c r="D363" s="9"/>
      <c r="E363" s="10"/>
    </row>
    <row r="364" spans="2:5" ht="15.75" customHeight="1" x14ac:dyDescent="0.2">
      <c r="B364" s="1" t="s">
        <v>206</v>
      </c>
      <c r="C364" s="1">
        <v>27</v>
      </c>
      <c r="D364" s="9"/>
      <c r="E364" s="10"/>
    </row>
    <row r="365" spans="2:5" ht="15.75" customHeight="1" x14ac:dyDescent="0.2">
      <c r="B365" s="1" t="s">
        <v>207</v>
      </c>
      <c r="C365" s="1">
        <v>41</v>
      </c>
      <c r="D365" s="9"/>
      <c r="E365" s="10"/>
    </row>
    <row r="366" spans="2:5" ht="15.75" customHeight="1" x14ac:dyDescent="0.2">
      <c r="B366" s="1" t="s">
        <v>183</v>
      </c>
      <c r="C366" s="1">
        <v>15</v>
      </c>
      <c r="D366" s="9"/>
      <c r="E366" s="10"/>
    </row>
    <row r="367" spans="2:5" ht="15.75" customHeight="1" x14ac:dyDescent="0.2">
      <c r="B367" s="1" t="s">
        <v>84</v>
      </c>
      <c r="C367" s="1">
        <v>23</v>
      </c>
      <c r="D367" s="9"/>
      <c r="E367" s="10"/>
    </row>
    <row r="368" spans="2:5" ht="15.75" customHeight="1" x14ac:dyDescent="0.2">
      <c r="B368" s="1" t="s">
        <v>85</v>
      </c>
      <c r="C368" s="1">
        <v>27</v>
      </c>
      <c r="D368" s="9"/>
      <c r="E368" s="10"/>
    </row>
    <row r="369" spans="2:5" ht="15.75" customHeight="1" x14ac:dyDescent="0.2">
      <c r="B369" s="1" t="s">
        <v>9</v>
      </c>
      <c r="C369" s="1">
        <f>515000+20000+30000+35000+45000</f>
        <v>645000</v>
      </c>
      <c r="D369" s="9" t="s">
        <v>93</v>
      </c>
      <c r="E369" s="10" t="s">
        <v>209</v>
      </c>
    </row>
    <row r="370" spans="2:5" ht="15.75" customHeight="1" x14ac:dyDescent="0.2">
      <c r="B370" s="1" t="s">
        <v>139</v>
      </c>
      <c r="C370" s="1">
        <v>515</v>
      </c>
      <c r="D370" s="9"/>
      <c r="E370" s="10"/>
    </row>
    <row r="371" spans="2:5" ht="15.75" customHeight="1" x14ac:dyDescent="0.2">
      <c r="B371" s="1" t="s">
        <v>210</v>
      </c>
      <c r="C371" s="1">
        <v>6</v>
      </c>
      <c r="D371" s="9"/>
      <c r="E371" s="10"/>
    </row>
    <row r="372" spans="2:5" ht="15.75" customHeight="1" x14ac:dyDescent="0.2">
      <c r="B372" s="1" t="s">
        <v>212</v>
      </c>
      <c r="C372" s="1">
        <v>9</v>
      </c>
      <c r="D372" s="9"/>
      <c r="E372" s="10"/>
    </row>
    <row r="373" spans="2:5" ht="15.75" customHeight="1" x14ac:dyDescent="0.2">
      <c r="B373" s="1" t="s">
        <v>213</v>
      </c>
      <c r="C373" s="1">
        <v>4</v>
      </c>
      <c r="D373" s="9"/>
      <c r="E373" s="10"/>
    </row>
    <row r="374" spans="2:5" ht="15.75" customHeight="1" x14ac:dyDescent="0.2">
      <c r="B374" s="1" t="s">
        <v>211</v>
      </c>
      <c r="C374" s="1">
        <v>18</v>
      </c>
      <c r="D374" s="9"/>
      <c r="E374" s="10"/>
    </row>
    <row r="375" spans="2:5" ht="15.75" customHeight="1" x14ac:dyDescent="0.2">
      <c r="B375" s="1" t="s">
        <v>214</v>
      </c>
      <c r="C375" s="1">
        <v>27</v>
      </c>
      <c r="D375" s="9"/>
      <c r="E375" s="10"/>
    </row>
    <row r="376" spans="2:5" ht="15.75" customHeight="1" x14ac:dyDescent="0.2">
      <c r="B376" s="1" t="s">
        <v>215</v>
      </c>
      <c r="C376" s="1">
        <v>8</v>
      </c>
      <c r="D376" s="9"/>
      <c r="E376" s="10"/>
    </row>
    <row r="377" spans="2:5" ht="15.75" customHeight="1" x14ac:dyDescent="0.2">
      <c r="B377" s="1" t="s">
        <v>216</v>
      </c>
      <c r="C377" s="1">
        <v>15</v>
      </c>
      <c r="D377" s="9"/>
      <c r="E377" s="10"/>
    </row>
    <row r="378" spans="2:5" ht="15.75" customHeight="1" x14ac:dyDescent="0.2">
      <c r="B378" s="1" t="s">
        <v>217</v>
      </c>
      <c r="C378" s="1">
        <v>18</v>
      </c>
      <c r="D378" s="9"/>
      <c r="E378" s="10"/>
    </row>
    <row r="379" spans="2:5" ht="15.75" customHeight="1" x14ac:dyDescent="0.2">
      <c r="B379" s="1" t="s">
        <v>9</v>
      </c>
      <c r="C379" s="1">
        <f>907000+10000+20000+30000+45000+55000+65000</f>
        <v>1132000</v>
      </c>
      <c r="D379" s="9" t="s">
        <v>104</v>
      </c>
      <c r="E379" s="10" t="s">
        <v>128</v>
      </c>
    </row>
    <row r="380" spans="2:5" ht="15.75" customHeight="1" x14ac:dyDescent="0.2">
      <c r="B380" s="1" t="s">
        <v>139</v>
      </c>
      <c r="C380" s="1">
        <v>907</v>
      </c>
      <c r="D380" s="9"/>
      <c r="E380" s="10"/>
    </row>
    <row r="381" spans="2:5" ht="15.75" customHeight="1" x14ac:dyDescent="0.2">
      <c r="B381" s="1" t="s">
        <v>165</v>
      </c>
      <c r="C381" s="1">
        <v>5</v>
      </c>
      <c r="D381" s="9"/>
      <c r="E381" s="10"/>
    </row>
    <row r="382" spans="2:5" ht="15.75" customHeight="1" x14ac:dyDescent="0.2">
      <c r="B382" s="1" t="s">
        <v>166</v>
      </c>
      <c r="C382" s="1">
        <v>14</v>
      </c>
      <c r="D382" s="9"/>
      <c r="E382" s="10"/>
    </row>
    <row r="383" spans="2:5" ht="15.75" customHeight="1" x14ac:dyDescent="0.2">
      <c r="B383" s="1" t="s">
        <v>167</v>
      </c>
      <c r="C383" s="1">
        <v>14</v>
      </c>
      <c r="D383" s="9"/>
      <c r="E383" s="10"/>
    </row>
    <row r="384" spans="2:5" ht="15.75" customHeight="1" x14ac:dyDescent="0.2">
      <c r="B384" s="1" t="s">
        <v>140</v>
      </c>
      <c r="C384" s="1">
        <v>6</v>
      </c>
      <c r="D384" s="9"/>
      <c r="E384" s="10"/>
    </row>
    <row r="385" spans="2:5" ht="15.75" customHeight="1" x14ac:dyDescent="0.2">
      <c r="B385" s="1" t="s">
        <v>168</v>
      </c>
      <c r="C385" s="1">
        <v>23</v>
      </c>
      <c r="D385" s="9"/>
      <c r="E385" s="10"/>
    </row>
    <row r="386" spans="2:5" ht="15.75" customHeight="1" x14ac:dyDescent="0.2">
      <c r="B386" s="1" t="s">
        <v>169</v>
      </c>
      <c r="C386" s="1">
        <v>27</v>
      </c>
      <c r="D386" s="9"/>
      <c r="E386" s="10"/>
    </row>
    <row r="387" spans="2:5" ht="15.75" customHeight="1" x14ac:dyDescent="0.2">
      <c r="B387" s="1" t="s">
        <v>141</v>
      </c>
      <c r="C387" s="1">
        <v>41</v>
      </c>
      <c r="D387" s="9"/>
      <c r="E387" s="10"/>
    </row>
    <row r="388" spans="2:5" ht="15.75" customHeight="1" x14ac:dyDescent="0.2">
      <c r="B388" s="1" t="s">
        <v>36</v>
      </c>
      <c r="C388" s="1">
        <v>15</v>
      </c>
      <c r="D388" s="9"/>
      <c r="E388" s="10"/>
    </row>
    <row r="389" spans="2:5" ht="15.75" customHeight="1" x14ac:dyDescent="0.2">
      <c r="B389" s="1" t="s">
        <v>37</v>
      </c>
      <c r="C389" s="1">
        <v>23</v>
      </c>
      <c r="D389" s="9"/>
      <c r="E389" s="10"/>
    </row>
    <row r="390" spans="2:5" ht="15.75" customHeight="1" x14ac:dyDescent="0.2">
      <c r="B390" s="1" t="s">
        <v>38</v>
      </c>
      <c r="C390" s="1">
        <v>27</v>
      </c>
      <c r="D390" s="9"/>
      <c r="E390" s="10"/>
    </row>
    <row r="391" spans="2:5" ht="15.75" customHeight="1" x14ac:dyDescent="0.2">
      <c r="B391" s="1" t="s">
        <v>9</v>
      </c>
      <c r="C391" s="1">
        <f>515000+20000+30000+35000+45000</f>
        <v>645000</v>
      </c>
      <c r="D391" s="9" t="s">
        <v>109</v>
      </c>
      <c r="E391" s="11" t="s">
        <v>220</v>
      </c>
    </row>
    <row r="392" spans="2:5" ht="15.75" customHeight="1" x14ac:dyDescent="0.2">
      <c r="B392" s="1" t="s">
        <v>139</v>
      </c>
      <c r="C392" s="1">
        <v>515</v>
      </c>
      <c r="D392" s="9"/>
      <c r="E392" s="10"/>
    </row>
    <row r="393" spans="2:5" ht="15.75" customHeight="1" x14ac:dyDescent="0.2">
      <c r="B393" s="1" t="s">
        <v>218</v>
      </c>
      <c r="C393" s="1">
        <v>6</v>
      </c>
      <c r="D393" s="9"/>
      <c r="E393" s="10"/>
    </row>
    <row r="394" spans="2:5" ht="15.75" customHeight="1" x14ac:dyDescent="0.2">
      <c r="B394" s="1" t="s">
        <v>219</v>
      </c>
      <c r="C394" s="1">
        <v>9</v>
      </c>
      <c r="D394" s="9"/>
      <c r="E394" s="10"/>
    </row>
    <row r="395" spans="2:5" ht="15.75" customHeight="1" x14ac:dyDescent="0.2">
      <c r="B395" s="1" t="s">
        <v>143</v>
      </c>
      <c r="C395" s="1">
        <v>4</v>
      </c>
      <c r="D395" s="9"/>
      <c r="E395" s="10"/>
    </row>
    <row r="396" spans="2:5" ht="15.75" customHeight="1" x14ac:dyDescent="0.2">
      <c r="B396" s="1" t="s">
        <v>151</v>
      </c>
      <c r="C396" s="1">
        <v>18</v>
      </c>
      <c r="D396" s="9"/>
      <c r="E396" s="10"/>
    </row>
    <row r="397" spans="2:5" ht="15.75" customHeight="1" x14ac:dyDescent="0.2">
      <c r="B397" s="1" t="s">
        <v>144</v>
      </c>
      <c r="C397" s="1">
        <v>27</v>
      </c>
      <c r="D397" s="9"/>
      <c r="E397" s="10"/>
    </row>
    <row r="398" spans="2:5" ht="15.75" customHeight="1" x14ac:dyDescent="0.2">
      <c r="B398" s="1" t="s">
        <v>22</v>
      </c>
      <c r="C398" s="1">
        <v>15</v>
      </c>
      <c r="D398" s="9"/>
      <c r="E398" s="10"/>
    </row>
    <row r="399" spans="2:5" ht="15.75" customHeight="1" x14ac:dyDescent="0.2">
      <c r="B399" s="1" t="s">
        <v>20</v>
      </c>
      <c r="C399" s="1">
        <v>18</v>
      </c>
      <c r="D399" s="9"/>
      <c r="E399" s="10"/>
    </row>
    <row r="400" spans="2:5" ht="15.75" customHeight="1" x14ac:dyDescent="0.2">
      <c r="B400" s="1" t="s">
        <v>9</v>
      </c>
      <c r="C400" s="1">
        <f>368000+35000+45000</f>
        <v>448000</v>
      </c>
      <c r="D400" s="9" t="s">
        <v>114</v>
      </c>
      <c r="E400" s="11" t="s">
        <v>221</v>
      </c>
    </row>
    <row r="401" spans="2:5" ht="15.75" customHeight="1" x14ac:dyDescent="0.2">
      <c r="B401" s="1" t="s">
        <v>139</v>
      </c>
      <c r="C401" s="1">
        <v>368</v>
      </c>
      <c r="D401" s="9"/>
      <c r="E401" s="10"/>
    </row>
    <row r="402" spans="2:5" ht="15.75" customHeight="1" x14ac:dyDescent="0.2">
      <c r="B402" s="1" t="s">
        <v>219</v>
      </c>
      <c r="C402" s="1">
        <v>6</v>
      </c>
      <c r="D402" s="9"/>
      <c r="E402" s="10"/>
    </row>
    <row r="403" spans="2:5" ht="15.75" customHeight="1" x14ac:dyDescent="0.2">
      <c r="B403" s="1" t="s">
        <v>143</v>
      </c>
      <c r="C403" s="1">
        <v>4</v>
      </c>
      <c r="D403" s="9"/>
      <c r="E403" s="10"/>
    </row>
    <row r="404" spans="2:5" ht="15.75" customHeight="1" x14ac:dyDescent="0.2">
      <c r="B404" s="1" t="s">
        <v>144</v>
      </c>
      <c r="C404" s="1">
        <v>27</v>
      </c>
      <c r="D404" s="9"/>
      <c r="E404" s="10"/>
    </row>
    <row r="405" spans="2:5" ht="15.75" customHeight="1" x14ac:dyDescent="0.2">
      <c r="B405" s="1" t="s">
        <v>38</v>
      </c>
      <c r="C405" s="1">
        <v>18</v>
      </c>
      <c r="D405" s="9"/>
      <c r="E405" s="10"/>
    </row>
    <row r="406" spans="2:5" ht="15.75" customHeight="1" x14ac:dyDescent="0.2">
      <c r="B406" s="1" t="s">
        <v>9</v>
      </c>
      <c r="C406" s="1">
        <f>907000+10000+20000+30000+45000+55000+65000</f>
        <v>1132000</v>
      </c>
      <c r="D406" s="9" t="s">
        <v>116</v>
      </c>
      <c r="E406" s="10" t="s">
        <v>223</v>
      </c>
    </row>
    <row r="407" spans="2:5" ht="15.75" customHeight="1" x14ac:dyDescent="0.2">
      <c r="B407" s="1" t="s">
        <v>139</v>
      </c>
      <c r="C407" s="1">
        <v>907</v>
      </c>
      <c r="D407" s="9"/>
      <c r="E407" s="10"/>
    </row>
    <row r="408" spans="2:5" ht="15.75" customHeight="1" x14ac:dyDescent="0.2">
      <c r="B408" s="1" t="s">
        <v>222</v>
      </c>
      <c r="C408" s="1">
        <v>5</v>
      </c>
      <c r="D408" s="9"/>
      <c r="E408" s="10"/>
    </row>
    <row r="409" spans="2:5" ht="15.75" customHeight="1" x14ac:dyDescent="0.2">
      <c r="B409" s="1" t="s">
        <v>218</v>
      </c>
      <c r="C409" s="1">
        <v>14</v>
      </c>
      <c r="D409" s="9"/>
      <c r="E409" s="10"/>
    </row>
    <row r="410" spans="2:5" ht="15.75" customHeight="1" x14ac:dyDescent="0.2">
      <c r="B410" s="1" t="s">
        <v>219</v>
      </c>
      <c r="C410" s="1">
        <v>14</v>
      </c>
      <c r="D410" s="9"/>
      <c r="E410" s="10"/>
    </row>
    <row r="411" spans="2:5" ht="15.75" customHeight="1" x14ac:dyDescent="0.2">
      <c r="B411" s="1" t="s">
        <v>143</v>
      </c>
      <c r="C411" s="1">
        <v>6</v>
      </c>
      <c r="D411" s="9"/>
      <c r="E411" s="10"/>
    </row>
    <row r="412" spans="2:5" ht="15.75" customHeight="1" x14ac:dyDescent="0.2">
      <c r="B412" s="1" t="s">
        <v>205</v>
      </c>
      <c r="C412" s="1">
        <v>23</v>
      </c>
      <c r="D412" s="9"/>
      <c r="E412" s="10"/>
    </row>
    <row r="413" spans="2:5" ht="15.75" customHeight="1" x14ac:dyDescent="0.2">
      <c r="B413" s="1" t="s">
        <v>206</v>
      </c>
      <c r="C413" s="1">
        <v>27</v>
      </c>
      <c r="D413" s="9"/>
      <c r="E413" s="10"/>
    </row>
    <row r="414" spans="2:5" ht="15.75" customHeight="1" x14ac:dyDescent="0.2">
      <c r="B414" s="1" t="s">
        <v>207</v>
      </c>
      <c r="C414" s="1">
        <v>41</v>
      </c>
      <c r="D414" s="9"/>
      <c r="E414" s="10"/>
    </row>
    <row r="415" spans="2:5" ht="15.75" customHeight="1" x14ac:dyDescent="0.2">
      <c r="B415" s="1" t="s">
        <v>215</v>
      </c>
      <c r="C415" s="1">
        <v>15</v>
      </c>
      <c r="D415" s="9"/>
      <c r="E415" s="10"/>
    </row>
    <row r="416" spans="2:5" ht="15.75" customHeight="1" x14ac:dyDescent="0.2">
      <c r="B416" s="1" t="s">
        <v>216</v>
      </c>
      <c r="C416" s="1">
        <v>23</v>
      </c>
      <c r="D416" s="9"/>
      <c r="E416" s="10"/>
    </row>
    <row r="417" spans="2:5" ht="15.75" customHeight="1" x14ac:dyDescent="0.2">
      <c r="B417" s="1" t="s">
        <v>217</v>
      </c>
      <c r="C417" s="1">
        <v>27</v>
      </c>
      <c r="D417" s="9"/>
      <c r="E417" s="10"/>
    </row>
    <row r="418" spans="2:5" ht="15.75" customHeight="1" x14ac:dyDescent="0.2">
      <c r="B418" s="1" t="s">
        <v>9</v>
      </c>
      <c r="C418" s="1">
        <f>(605000+5000+15000+20000+30000+35000+45000)*0</f>
        <v>0</v>
      </c>
      <c r="D418" s="9" t="s">
        <v>116</v>
      </c>
      <c r="E418" s="10" t="s">
        <v>127</v>
      </c>
    </row>
    <row r="419" spans="2:5" ht="15.75" customHeight="1" x14ac:dyDescent="0.2">
      <c r="B419" s="1" t="s">
        <v>139</v>
      </c>
      <c r="C419" s="1">
        <f>605*0</f>
        <v>0</v>
      </c>
      <c r="D419" s="9"/>
      <c r="E419" s="10"/>
    </row>
    <row r="420" spans="2:5" ht="15.75" customHeight="1" x14ac:dyDescent="0.2">
      <c r="B420" s="1" t="s">
        <v>201</v>
      </c>
      <c r="C420" s="1">
        <f>3*0</f>
        <v>0</v>
      </c>
      <c r="D420" s="9"/>
      <c r="E420" s="10"/>
    </row>
    <row r="421" spans="2:5" ht="15.75" customHeight="1" x14ac:dyDescent="0.2">
      <c r="B421" s="1" t="s">
        <v>202</v>
      </c>
      <c r="C421" s="1">
        <f>9*0</f>
        <v>0</v>
      </c>
      <c r="D421" s="9"/>
      <c r="E421" s="10"/>
    </row>
    <row r="422" spans="2:5" ht="15.75" customHeight="1" x14ac:dyDescent="0.2">
      <c r="B422" s="1" t="s">
        <v>203</v>
      </c>
      <c r="C422" s="1">
        <f>9*0</f>
        <v>0</v>
      </c>
      <c r="D422" s="9"/>
      <c r="E422" s="10"/>
    </row>
    <row r="423" spans="2:5" ht="15.75" customHeight="1" x14ac:dyDescent="0.2">
      <c r="B423" s="1" t="s">
        <v>204</v>
      </c>
      <c r="C423" s="1">
        <f>4*0</f>
        <v>0</v>
      </c>
      <c r="D423" s="9"/>
      <c r="E423" s="10"/>
    </row>
    <row r="424" spans="2:5" ht="15.75" customHeight="1" x14ac:dyDescent="0.2">
      <c r="B424" s="1" t="s">
        <v>205</v>
      </c>
      <c r="C424" s="1">
        <f>15*0</f>
        <v>0</v>
      </c>
      <c r="D424" s="9"/>
      <c r="E424" s="10"/>
    </row>
    <row r="425" spans="2:5" ht="15.75" customHeight="1" x14ac:dyDescent="0.2">
      <c r="B425" s="1" t="s">
        <v>206</v>
      </c>
      <c r="C425" s="1">
        <f>18*0</f>
        <v>0</v>
      </c>
      <c r="D425" s="9"/>
      <c r="E425" s="10"/>
    </row>
    <row r="426" spans="2:5" ht="15.75" customHeight="1" x14ac:dyDescent="0.2">
      <c r="B426" s="1" t="s">
        <v>207</v>
      </c>
      <c r="C426" s="1">
        <f>27*0</f>
        <v>0</v>
      </c>
      <c r="D426" s="9"/>
      <c r="E426" s="10"/>
    </row>
    <row r="427" spans="2:5" ht="15.75" customHeight="1" x14ac:dyDescent="0.2">
      <c r="B427" s="1" t="s">
        <v>183</v>
      </c>
      <c r="C427" s="1">
        <f>10*0</f>
        <v>0</v>
      </c>
      <c r="D427" s="9"/>
      <c r="E427" s="10"/>
    </row>
    <row r="428" spans="2:5" ht="15.75" customHeight="1" x14ac:dyDescent="0.2">
      <c r="B428" s="1" t="s">
        <v>84</v>
      </c>
      <c r="C428" s="1">
        <f>15*0</f>
        <v>0</v>
      </c>
      <c r="D428" s="9"/>
      <c r="E428" s="10"/>
    </row>
    <row r="429" spans="2:5" ht="15.75" customHeight="1" x14ac:dyDescent="0.2">
      <c r="B429" s="1" t="s">
        <v>85</v>
      </c>
      <c r="C429" s="1">
        <f>18*0</f>
        <v>0</v>
      </c>
      <c r="D429" s="9"/>
      <c r="E429" s="10"/>
    </row>
    <row r="430" spans="2:5" ht="15.75" customHeight="1" x14ac:dyDescent="0.2">
      <c r="B430" s="1" t="s">
        <v>9</v>
      </c>
      <c r="C430" s="1">
        <f>(515000+20000+30000+35000+45000)*0</f>
        <v>0</v>
      </c>
      <c r="D430" s="9" t="s">
        <v>116</v>
      </c>
      <c r="E430" s="11" t="s">
        <v>224</v>
      </c>
    </row>
    <row r="431" spans="2:5" ht="15.75" customHeight="1" x14ac:dyDescent="0.2">
      <c r="B431" s="1" t="s">
        <v>139</v>
      </c>
      <c r="C431" s="1">
        <f>515*0</f>
        <v>0</v>
      </c>
      <c r="D431" s="9"/>
      <c r="E431" s="11"/>
    </row>
    <row r="432" spans="2:5" ht="15.75" customHeight="1" x14ac:dyDescent="0.2">
      <c r="B432" s="1" t="s">
        <v>166</v>
      </c>
      <c r="C432" s="1">
        <f>6*0</f>
        <v>0</v>
      </c>
      <c r="D432" s="9"/>
      <c r="E432" s="11"/>
    </row>
    <row r="433" spans="2:5" ht="15.75" customHeight="1" x14ac:dyDescent="0.2">
      <c r="B433" s="1" t="s">
        <v>167</v>
      </c>
      <c r="C433" s="1">
        <f>9*0</f>
        <v>0</v>
      </c>
      <c r="D433" s="9"/>
      <c r="E433" s="11"/>
    </row>
    <row r="434" spans="2:5" ht="15.75" customHeight="1" x14ac:dyDescent="0.2">
      <c r="B434" s="1" t="s">
        <v>140</v>
      </c>
      <c r="C434" s="1">
        <f>4*0</f>
        <v>0</v>
      </c>
      <c r="D434" s="9"/>
      <c r="E434" s="11"/>
    </row>
    <row r="435" spans="2:5" ht="15.75" customHeight="1" x14ac:dyDescent="0.2">
      <c r="B435" s="1" t="s">
        <v>151</v>
      </c>
      <c r="C435" s="1">
        <f>18*0</f>
        <v>0</v>
      </c>
      <c r="D435" s="9"/>
      <c r="E435" s="11"/>
    </row>
    <row r="436" spans="2:5" ht="15.75" customHeight="1" x14ac:dyDescent="0.2">
      <c r="B436" s="1" t="s">
        <v>144</v>
      </c>
      <c r="C436" s="1">
        <f>27*0</f>
        <v>0</v>
      </c>
      <c r="D436" s="9"/>
      <c r="E436" s="11"/>
    </row>
    <row r="437" spans="2:5" ht="15.75" customHeight="1" x14ac:dyDescent="0.2">
      <c r="B437" s="1" t="s">
        <v>101</v>
      </c>
      <c r="C437" s="1">
        <f>15*0</f>
        <v>0</v>
      </c>
      <c r="D437" s="9"/>
      <c r="E437" s="11"/>
    </row>
    <row r="438" spans="2:5" ht="15.75" customHeight="1" x14ac:dyDescent="0.2">
      <c r="B438" s="1" t="s">
        <v>102</v>
      </c>
      <c r="C438" s="1">
        <f>18*0</f>
        <v>0</v>
      </c>
      <c r="D438" s="9"/>
      <c r="E438" s="11"/>
    </row>
    <row r="439" spans="2:5" ht="15.75" customHeight="1" x14ac:dyDescent="0.2">
      <c r="B439" s="1" t="s">
        <v>9</v>
      </c>
      <c r="C439" s="1">
        <f>454000+30000+35000+45000</f>
        <v>564000</v>
      </c>
      <c r="D439" s="9" t="s">
        <v>119</v>
      </c>
      <c r="E439" s="10" t="s">
        <v>131</v>
      </c>
    </row>
    <row r="440" spans="2:5" ht="15.75" customHeight="1" x14ac:dyDescent="0.2">
      <c r="B440" s="1" t="s">
        <v>139</v>
      </c>
      <c r="C440" s="1">
        <v>454</v>
      </c>
      <c r="D440" s="9"/>
      <c r="E440" s="10"/>
    </row>
    <row r="441" spans="2:5" ht="15.75" customHeight="1" x14ac:dyDescent="0.2">
      <c r="B441" s="1" t="s">
        <v>187</v>
      </c>
      <c r="C441" s="1">
        <v>9</v>
      </c>
      <c r="D441" s="9"/>
      <c r="E441" s="10"/>
    </row>
    <row r="442" spans="2:5" ht="15.75" customHeight="1" x14ac:dyDescent="0.2">
      <c r="B442" s="1" t="s">
        <v>188</v>
      </c>
      <c r="C442" s="1">
        <v>4</v>
      </c>
      <c r="D442" s="9"/>
      <c r="E442" s="10"/>
    </row>
    <row r="443" spans="2:5" ht="15.75" customHeight="1" x14ac:dyDescent="0.2">
      <c r="B443" s="1" t="s">
        <v>189</v>
      </c>
      <c r="C443" s="1">
        <v>12</v>
      </c>
      <c r="D443" s="9"/>
      <c r="E443" s="10"/>
    </row>
    <row r="444" spans="2:5" ht="15.75" customHeight="1" x14ac:dyDescent="0.2">
      <c r="B444" s="1" t="s">
        <v>190</v>
      </c>
      <c r="C444" s="1">
        <v>27</v>
      </c>
      <c r="D444" s="9"/>
      <c r="E444" s="10"/>
    </row>
    <row r="445" spans="2:5" ht="15.75" customHeight="1" x14ac:dyDescent="0.2">
      <c r="B445" s="1" t="s">
        <v>28</v>
      </c>
      <c r="C445" s="1">
        <v>9</v>
      </c>
      <c r="D445" s="9"/>
      <c r="E445" s="10"/>
    </row>
    <row r="446" spans="2:5" ht="15.75" customHeight="1" x14ac:dyDescent="0.2">
      <c r="B446" s="1" t="s">
        <v>27</v>
      </c>
      <c r="C446" s="1">
        <v>18</v>
      </c>
      <c r="D446" s="9"/>
      <c r="E446" s="10"/>
    </row>
  </sheetData>
  <sortState xmlns:xlrd2="http://schemas.microsoft.com/office/spreadsheetml/2017/richdata2" ref="G3:G446">
    <sortCondition ref="G3:G446"/>
  </sortState>
  <mergeCells count="80">
    <mergeCell ref="D379:D390"/>
    <mergeCell ref="E379:E390"/>
    <mergeCell ref="D418:D429"/>
    <mergeCell ref="E418:E429"/>
    <mergeCell ref="D430:D438"/>
    <mergeCell ref="E430:E438"/>
    <mergeCell ref="D391:D399"/>
    <mergeCell ref="E391:E399"/>
    <mergeCell ref="D400:D405"/>
    <mergeCell ref="E400:E405"/>
    <mergeCell ref="D406:D417"/>
    <mergeCell ref="E406:E417"/>
    <mergeCell ref="D357:D368"/>
    <mergeCell ref="E357:E368"/>
    <mergeCell ref="D369:D378"/>
    <mergeCell ref="E369:E378"/>
    <mergeCell ref="D345:D356"/>
    <mergeCell ref="E345:E356"/>
    <mergeCell ref="E188:E196"/>
    <mergeCell ref="E197:E223"/>
    <mergeCell ref="E120:E131"/>
    <mergeCell ref="E132:E146"/>
    <mergeCell ref="E147:E161"/>
    <mergeCell ref="E162:E176"/>
    <mergeCell ref="E177:E187"/>
    <mergeCell ref="E60:E71"/>
    <mergeCell ref="E72:E82"/>
    <mergeCell ref="E83:E97"/>
    <mergeCell ref="E98:E108"/>
    <mergeCell ref="E109:E119"/>
    <mergeCell ref="E3:E12"/>
    <mergeCell ref="E13:E23"/>
    <mergeCell ref="E24:E33"/>
    <mergeCell ref="E34:E48"/>
    <mergeCell ref="E49:E59"/>
    <mergeCell ref="D60:D71"/>
    <mergeCell ref="D147:D161"/>
    <mergeCell ref="D83:D97"/>
    <mergeCell ref="D98:D108"/>
    <mergeCell ref="D109:D119"/>
    <mergeCell ref="D120:D131"/>
    <mergeCell ref="D132:D146"/>
    <mergeCell ref="D3:D12"/>
    <mergeCell ref="D13:D23"/>
    <mergeCell ref="D24:D33"/>
    <mergeCell ref="D34:D48"/>
    <mergeCell ref="D49:D59"/>
    <mergeCell ref="D197:D223"/>
    <mergeCell ref="D162:D176"/>
    <mergeCell ref="D177:D187"/>
    <mergeCell ref="D188:D196"/>
    <mergeCell ref="D72:D82"/>
    <mergeCell ref="D224:D228"/>
    <mergeCell ref="E224:E228"/>
    <mergeCell ref="D229:D233"/>
    <mergeCell ref="E229:E233"/>
    <mergeCell ref="D234:D245"/>
    <mergeCell ref="E234:E245"/>
    <mergeCell ref="D246:D250"/>
    <mergeCell ref="E246:E250"/>
    <mergeCell ref="D251:D255"/>
    <mergeCell ref="E251:E255"/>
    <mergeCell ref="D256:D267"/>
    <mergeCell ref="E256:E267"/>
    <mergeCell ref="D439:D446"/>
    <mergeCell ref="E439:E446"/>
    <mergeCell ref="D268:D279"/>
    <mergeCell ref="E268:E279"/>
    <mergeCell ref="D280:D291"/>
    <mergeCell ref="E280:E291"/>
    <mergeCell ref="D292:D303"/>
    <mergeCell ref="E292:E303"/>
    <mergeCell ref="D304:D312"/>
    <mergeCell ref="E304:E312"/>
    <mergeCell ref="D313:D320"/>
    <mergeCell ref="E313:E320"/>
    <mergeCell ref="D321:D332"/>
    <mergeCell ref="E321:E332"/>
    <mergeCell ref="D333:D344"/>
    <mergeCell ref="E333:E344"/>
  </mergeCells>
  <pageMargins left="0.7" right="0.7" top="0.75" bottom="0.75" header="0.3" footer="0.3"/>
  <pageSetup orientation="portrait" r:id="rId1"/>
  <ignoredErrors>
    <ignoredError sqref="C20 C30 C5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ACF-B317-4A68-AB9B-F933E3C52E19}">
  <dimension ref="B2:N190"/>
  <sheetViews>
    <sheetView tabSelected="1" topLeftCell="A10" workbookViewId="0">
      <selection activeCell="I22" sqref="I22"/>
    </sheetView>
  </sheetViews>
  <sheetFormatPr baseColWidth="10" defaultRowHeight="15" x14ac:dyDescent="0.2"/>
  <cols>
    <col min="1" max="1" width="11.42578125" style="1"/>
    <col min="2" max="2" width="43.42578125" style="1" bestFit="1" customWidth="1"/>
    <col min="3" max="3" width="13.42578125" style="1" bestFit="1" customWidth="1"/>
    <col min="4" max="4" width="14.42578125" style="1" bestFit="1" customWidth="1"/>
    <col min="5" max="5" width="14.5703125" style="1" bestFit="1" customWidth="1"/>
    <col min="6" max="6" width="20" style="1" bestFit="1" customWidth="1"/>
    <col min="7" max="7" width="11.140625" style="1" bestFit="1" customWidth="1"/>
    <col min="8" max="8" width="16.42578125" style="1" bestFit="1" customWidth="1"/>
    <col min="9" max="9" width="11.85546875" style="1" bestFit="1" customWidth="1"/>
    <col min="10" max="10" width="13.7109375" style="1" bestFit="1" customWidth="1"/>
    <col min="11" max="11" width="66.28515625" style="1" bestFit="1" customWidth="1"/>
    <col min="12" max="12" width="11.42578125" style="1"/>
    <col min="13" max="13" width="14.140625" style="1" bestFit="1" customWidth="1"/>
    <col min="14" max="14" width="27" style="1" bestFit="1" customWidth="1"/>
    <col min="15" max="16384" width="11.42578125" style="1"/>
  </cols>
  <sheetData>
    <row r="2" spans="2:14" ht="15.75" x14ac:dyDescent="0.25">
      <c r="B2" s="5" t="s">
        <v>0</v>
      </c>
      <c r="C2" s="1" t="s">
        <v>1</v>
      </c>
      <c r="D2" s="1" t="s">
        <v>258</v>
      </c>
      <c r="E2" s="1" t="s">
        <v>268</v>
      </c>
      <c r="F2" s="1" t="s">
        <v>2</v>
      </c>
      <c r="G2" s="1" t="s">
        <v>3</v>
      </c>
      <c r="H2" s="1" t="s">
        <v>269</v>
      </c>
      <c r="I2" s="1" t="s">
        <v>266</v>
      </c>
      <c r="J2" s="1" t="s">
        <v>267</v>
      </c>
      <c r="K2" s="1" t="s">
        <v>4</v>
      </c>
      <c r="M2" s="8" t="s">
        <v>269</v>
      </c>
      <c r="N2" s="1">
        <f>SUM(Tabla2[Resina total])</f>
        <v>106054</v>
      </c>
    </row>
    <row r="3" spans="2:14" x14ac:dyDescent="0.2">
      <c r="B3" s="1" t="s">
        <v>9</v>
      </c>
      <c r="C3" s="7">
        <f>SUMIFS(Tabla1[Cantidad],Tabla1[Material],B3)+5000000-Tabla2[[#This Row],[Inversión]]</f>
        <v>99433740</v>
      </c>
      <c r="D3" s="7">
        <f>11415730+2821120+Tabla2[[#This Row],[Farmeo]]-Tabla2[[#This Row],[Inversión]]</f>
        <v>10937185</v>
      </c>
      <c r="E3" s="7">
        <f>Tabla2[[#This Row],[Cantidad]]-Tabla2[[#This Row],[Inventario]]</f>
        <v>88496555</v>
      </c>
      <c r="F3" s="1" t="s">
        <v>290</v>
      </c>
      <c r="G3" s="1">
        <v>20</v>
      </c>
      <c r="H3" s="1">
        <f>IF(E3&gt;0,ROUNDUP(G3*E3/60000,0),0)</f>
        <v>29499</v>
      </c>
      <c r="I3" s="1">
        <f>638495+5200*3+5200*5+20000*11</f>
        <v>900095</v>
      </c>
      <c r="J3" s="1">
        <f>2626120+37500*2+120000+80000+236000+3000+200+30000*3+37500+80000+236000+3000+200+1200*10+180+5000+1980+2400*4+3180+3600*5+900+28640+10000+63000+15000+92800+22500+10960+119000+100000+100000</f>
        <v>4199760</v>
      </c>
      <c r="K3" s="1" t="s">
        <v>226</v>
      </c>
    </row>
    <row r="4" spans="2:14" ht="15.75" x14ac:dyDescent="0.25">
      <c r="B4" s="1" t="s">
        <v>264</v>
      </c>
      <c r="C4" s="7">
        <f>SUMIFS(Tabla1[Cantidad],Tabla1[Material],B4)</f>
        <v>0</v>
      </c>
      <c r="D4" s="7">
        <f>260+Tabla2[[#This Row],[Farmeo]]-Tabla2[[#This Row],[Inversión]]</f>
        <v>260</v>
      </c>
      <c r="E4" s="7">
        <f>Tabla2[[#This Row],[Cantidad]]-Tabla2[[#This Row],[Inventario]]</f>
        <v>-260</v>
      </c>
      <c r="F4" s="1" t="s">
        <v>289</v>
      </c>
      <c r="G4" s="1">
        <v>0</v>
      </c>
      <c r="H4" s="1">
        <v>0</v>
      </c>
      <c r="I4" s="1">
        <f>0</f>
        <v>0</v>
      </c>
      <c r="J4" s="1">
        <v>0</v>
      </c>
      <c r="K4" s="1" t="s">
        <v>265</v>
      </c>
      <c r="M4" s="2" t="s">
        <v>291</v>
      </c>
      <c r="N4" s="1" t="str">
        <f>DATEDIF(0,ROUNDUP(N2/160,0),"y") &amp; IF(DATEDIF(0,ROUNDUP(N2/160,0),"y")=1," año "," años ") &amp; DATEDIF(0,ROUNDUP(N2/160,0),"ym") &amp; IF(DATEDIF(0,ROUNDUP(N2/160,0),"ym")=1," mes y ", " meses y ") &amp; DATEDIF(0,ROUNDUP(N2/160,0),"md") &amp; IF(DATEDIF(0,ROUNDUP(N2/160,0),"md")=1," día", " días")</f>
        <v>1 año 9 meses y 24 días</v>
      </c>
    </row>
    <row r="5" spans="2:14" x14ac:dyDescent="0.2">
      <c r="B5" s="1" t="s">
        <v>263</v>
      </c>
      <c r="C5" s="7">
        <f>SUMIFS(Tabla1[Cantidad],Tabla1[Material],B5)</f>
        <v>0</v>
      </c>
      <c r="D5" s="7">
        <f>ROUNDDOWN(721+IF(E4&lt;0,-E4/5,0),0)+Tabla2[[#This Row],[Farmeo]]-Tabla2[[#This Row],[Inversión]]</f>
        <v>773</v>
      </c>
      <c r="E5" s="7">
        <f>Tabla2[[#This Row],[Cantidad]]-Tabla2[[#This Row],[Inventario]]</f>
        <v>-773</v>
      </c>
      <c r="F5" s="1" t="s">
        <v>290</v>
      </c>
      <c r="G5" s="1">
        <v>0</v>
      </c>
      <c r="H5" s="1">
        <v>0</v>
      </c>
      <c r="I5" s="1">
        <f>0</f>
        <v>0</v>
      </c>
      <c r="J5" s="1">
        <v>0</v>
      </c>
      <c r="K5" s="1" t="s">
        <v>8</v>
      </c>
    </row>
    <row r="6" spans="2:14" ht="15.75" x14ac:dyDescent="0.25">
      <c r="B6" s="1" t="s">
        <v>7</v>
      </c>
      <c r="C6" s="7">
        <f>SUMIFS(Tabla1[Cantidad],Tabla1[Material],B6)-Tabla2[[#This Row],[Inversión]]</f>
        <v>5200</v>
      </c>
      <c r="D6" s="7">
        <f>ROUNDDOWN(752+219+IF(E5&lt;0,-E5/4,0),0)+Tabla2[[#This Row],[Farmeo]]-Tabla2[[#This Row],[Inversión]]</f>
        <v>827</v>
      </c>
      <c r="E6" s="7">
        <f>Tabla2[[#This Row],[Cantidad]]-Tabla2[[#This Row],[Inventario]]</f>
        <v>4373</v>
      </c>
      <c r="F6" s="1" t="s">
        <v>290</v>
      </c>
      <c r="G6" s="1">
        <v>20</v>
      </c>
      <c r="H6" s="1">
        <f>IF(E6&gt;0,ROUNDUP(G6*E6/4,0),0)</f>
        <v>21865</v>
      </c>
      <c r="I6" s="1">
        <v>0</v>
      </c>
      <c r="J6" s="1">
        <f>80+80+59+59+59</f>
        <v>337</v>
      </c>
      <c r="K6" s="1" t="s">
        <v>8</v>
      </c>
      <c r="M6" s="2" t="s">
        <v>292</v>
      </c>
      <c r="N6" s="1">
        <f>E9</f>
        <v>9726</v>
      </c>
    </row>
    <row r="7" spans="2:14" x14ac:dyDescent="0.2">
      <c r="B7" s="1" t="s">
        <v>262</v>
      </c>
      <c r="C7" s="7">
        <f>SUMIFS(Tabla1[Cantidad],Tabla1[Material],B7)-Tabla2[[#This Row],[Inversión]]</f>
        <v>0</v>
      </c>
      <c r="D7" s="7">
        <f>0+Tabla2[[#This Row],[Farmeo]]-Tabla2[[#This Row],[Inversión]]</f>
        <v>0</v>
      </c>
      <c r="E7" s="7">
        <f>Tabla2[[#This Row],[Cantidad]]-Tabla2[[#This Row],[Inventario]]</f>
        <v>0</v>
      </c>
      <c r="F7" s="1" t="s">
        <v>290</v>
      </c>
      <c r="G7" s="1">
        <v>0</v>
      </c>
      <c r="H7" s="1">
        <v>0</v>
      </c>
      <c r="I7" s="1">
        <f>0</f>
        <v>0</v>
      </c>
      <c r="J7" s="1">
        <v>0</v>
      </c>
      <c r="K7" s="1" t="s">
        <v>226</v>
      </c>
    </row>
    <row r="8" spans="2:14" ht="15.75" x14ac:dyDescent="0.25">
      <c r="B8" s="1" t="s">
        <v>261</v>
      </c>
      <c r="C8" s="7">
        <f>SUMIFS(Tabla1[Cantidad],Tabla1[Material],B8)-Tabla2[[#This Row],[Inversión]]</f>
        <v>0</v>
      </c>
      <c r="D8" s="7">
        <f>ROUNDDOWN(0+IF(E7&lt;0,-E7/5,0),0)+Tabla2[[#This Row],[Farmeo]]-Tabla2[[#This Row],[Inversión]]</f>
        <v>0</v>
      </c>
      <c r="E8" s="7">
        <f>Tabla2[[#This Row],[Cantidad]]-Tabla2[[#This Row],[Inventario]]</f>
        <v>0</v>
      </c>
      <c r="F8" s="1" t="s">
        <v>290</v>
      </c>
      <c r="G8" s="1">
        <v>0</v>
      </c>
      <c r="H8" s="1">
        <v>0</v>
      </c>
      <c r="I8" s="1">
        <f>0</f>
        <v>0</v>
      </c>
      <c r="J8" s="1">
        <v>0</v>
      </c>
      <c r="K8" s="1" t="s">
        <v>226</v>
      </c>
      <c r="M8" s="2" t="s">
        <v>291</v>
      </c>
      <c r="N8" s="1" t="str">
        <f>DATEDIF(0,ROUNDUP(N6/5,0),"y") &amp; IF(DATEDIF(0,ROUNDUP(N6/5,0),"y")=1," año "," años ") &amp; DATEDIF(0,ROUNDUP(N6/5,0),"ym") &amp; IF(DATEDIF(0,ROUNDUP(N6/5,0),"ym")=1," mes y ", " meses y ") &amp; DATEDIF(0,ROUNDUP(N6/5,0),"md") &amp; IF(DATEDIF(0,ROUNDUP(N6/5,0),"md")=1," día", " días")</f>
        <v>5 años 3 meses y 29 días</v>
      </c>
    </row>
    <row r="9" spans="2:14" x14ac:dyDescent="0.2">
      <c r="B9" s="1" t="s">
        <v>139</v>
      </c>
      <c r="C9" s="7">
        <f>SUMIFS(Tabla1[Cantidad],Tabla1[Material],B9)-Tabla2[[#This Row],[Inversión]]</f>
        <v>11586</v>
      </c>
      <c r="D9" s="7">
        <f>ROUNDDOWN(1979+334+IF(E8&lt;0,-E8/5,0),0)+Tabla2[[#This Row],[Farmeo]]-Tabla2[[#This Row],[Inversión]]</f>
        <v>1860</v>
      </c>
      <c r="E9" s="7">
        <f>Tabla2[[#This Row],[Cantidad]]-Tabla2[[#This Row],[Inventario]]</f>
        <v>9726</v>
      </c>
      <c r="F9" s="1" t="s">
        <v>290</v>
      </c>
      <c r="G9" s="1">
        <v>0</v>
      </c>
      <c r="H9" s="1">
        <v>0</v>
      </c>
      <c r="I9" s="1">
        <f>0</f>
        <v>0</v>
      </c>
      <c r="J9" s="1">
        <f>62+50+93+129+119</f>
        <v>453</v>
      </c>
      <c r="K9" s="1" t="s">
        <v>226</v>
      </c>
    </row>
    <row r="10" spans="2:14" x14ac:dyDescent="0.2">
      <c r="B10" s="1" t="s">
        <v>270</v>
      </c>
      <c r="C10" s="7">
        <f>SUMIFS(Tabla1[Cantidad],Tabla1[Material],B10)-Tabla2[[#This Row],[Inversión]]</f>
        <v>0</v>
      </c>
      <c r="D10" s="7">
        <f>7+Tabla2[[#This Row],[Farmeo]]-Tabla2[[#This Row],[Inversión]]</f>
        <v>12</v>
      </c>
      <c r="E10" s="7">
        <f>Tabla2[[#This Row],[Cantidad]]-Tabla2[[#This Row],[Inventario]]</f>
        <v>-12</v>
      </c>
      <c r="F10" s="1" t="s">
        <v>290</v>
      </c>
      <c r="G10" s="1">
        <v>40</v>
      </c>
      <c r="H10" s="1">
        <f>IF(E10&gt;0,ROUNDUP(G10*E10,0),0)</f>
        <v>0</v>
      </c>
      <c r="I10" s="1">
        <f>2+1+2</f>
        <v>5</v>
      </c>
      <c r="J10" s="1">
        <v>0</v>
      </c>
      <c r="K10" s="1" t="s">
        <v>232</v>
      </c>
    </row>
    <row r="11" spans="2:14" x14ac:dyDescent="0.2">
      <c r="B11" s="1" t="s">
        <v>105</v>
      </c>
      <c r="C11" s="7">
        <f>SUMIFS(Tabla1[Cantidad],Tabla1[Material],B11)-Tabla2[[#This Row],[Inversión]]</f>
        <v>1</v>
      </c>
      <c r="D11" s="7">
        <f>8+Tabla2[[#This Row],[Farmeo]]-Tabla2[[#This Row],[Inversión]]</f>
        <v>8</v>
      </c>
      <c r="E11" s="7">
        <f>Tabla2[[#This Row],[Cantidad]]-Tabla2[[#This Row],[Inventario]]</f>
        <v>-7</v>
      </c>
      <c r="F11" s="1" t="s">
        <v>290</v>
      </c>
      <c r="G11" s="1">
        <v>40</v>
      </c>
      <c r="H11" s="1">
        <f t="shared" ref="H11:H33" si="0">IF(E11&gt;0,ROUNDUP(G11*E11,0),0)</f>
        <v>0</v>
      </c>
      <c r="I11" s="1">
        <f>0</f>
        <v>0</v>
      </c>
      <c r="J11" s="1">
        <v>0</v>
      </c>
      <c r="K11" s="1" t="s">
        <v>227</v>
      </c>
    </row>
    <row r="12" spans="2:14" x14ac:dyDescent="0.2">
      <c r="B12" s="1" t="s">
        <v>30</v>
      </c>
      <c r="C12" s="7">
        <f>SUMIFS(Tabla1[Cantidad],Tabla1[Material],B12)-Tabla2[[#This Row],[Inversión]]</f>
        <v>1</v>
      </c>
      <c r="D12" s="7">
        <f>3+Tabla2[[#This Row],[Farmeo]]-Tabla2[[#This Row],[Inversión]]</f>
        <v>3</v>
      </c>
      <c r="E12" s="7">
        <f>Tabla2[[#This Row],[Cantidad]]-Tabla2[[#This Row],[Inventario]]</f>
        <v>-2</v>
      </c>
      <c r="F12" s="1" t="s">
        <v>290</v>
      </c>
      <c r="G12" s="1">
        <v>40</v>
      </c>
      <c r="H12" s="1">
        <f t="shared" si="0"/>
        <v>0</v>
      </c>
      <c r="I12" s="1">
        <f>0</f>
        <v>0</v>
      </c>
      <c r="J12" s="1">
        <v>0</v>
      </c>
      <c r="K12" s="1" t="s">
        <v>228</v>
      </c>
    </row>
    <row r="13" spans="2:14" x14ac:dyDescent="0.2">
      <c r="B13" s="1" t="s">
        <v>274</v>
      </c>
      <c r="C13" s="7">
        <f>SUMIFS(Tabla1[Cantidad],Tabla1[Material],B13)-Tabla2[[#This Row],[Inversión]]</f>
        <v>0</v>
      </c>
      <c r="D13" s="7">
        <f>2+Tabla2[[#This Row],[Farmeo]]-Tabla2[[#This Row],[Inversión]]</f>
        <v>16</v>
      </c>
      <c r="E13" s="7">
        <f>Tabla2[[#This Row],[Cantidad]]-Tabla2[[#This Row],[Inventario]]</f>
        <v>-16</v>
      </c>
      <c r="F13" s="1" t="s">
        <v>290</v>
      </c>
      <c r="G13" s="1">
        <v>40</v>
      </c>
      <c r="H13" s="1">
        <f t="shared" si="0"/>
        <v>0</v>
      </c>
      <c r="I13" s="1">
        <f>14</f>
        <v>14</v>
      </c>
      <c r="J13" s="1">
        <v>0</v>
      </c>
      <c r="K13" s="1" t="s">
        <v>231</v>
      </c>
    </row>
    <row r="14" spans="2:14" x14ac:dyDescent="0.2">
      <c r="B14" s="1" t="s">
        <v>62</v>
      </c>
      <c r="C14" s="7">
        <f>SUMIFS(Tabla1[Cantidad],Tabla1[Material],B14)-Tabla2[[#This Row],[Inversión]]</f>
        <v>2</v>
      </c>
      <c r="D14" s="7">
        <f>6+Tabla2[[#This Row],[Farmeo]]-Tabla2[[#This Row],[Inversión]]</f>
        <v>6</v>
      </c>
      <c r="E14" s="7">
        <f>Tabla2[[#This Row],[Cantidad]]-Tabla2[[#This Row],[Inventario]]</f>
        <v>-4</v>
      </c>
      <c r="F14" s="1" t="s">
        <v>290</v>
      </c>
      <c r="G14" s="1">
        <v>40</v>
      </c>
      <c r="H14" s="1">
        <f t="shared" si="0"/>
        <v>0</v>
      </c>
      <c r="I14" s="1">
        <f>0</f>
        <v>0</v>
      </c>
      <c r="J14" s="1">
        <v>0</v>
      </c>
      <c r="K14" s="1" t="s">
        <v>229</v>
      </c>
    </row>
    <row r="15" spans="2:14" x14ac:dyDescent="0.2">
      <c r="B15" s="1" t="s">
        <v>94</v>
      </c>
      <c r="C15" s="7">
        <f>SUMIFS(Tabla1[Cantidad],Tabla1[Material],B15)-Tabla2[[#This Row],[Inversión]]</f>
        <v>1</v>
      </c>
      <c r="D15" s="7">
        <f>10+Tabla2[[#This Row],[Farmeo]]-Tabla2[[#This Row],[Inversión]]</f>
        <v>10</v>
      </c>
      <c r="E15" s="7">
        <f>Tabla2[[#This Row],[Cantidad]]-Tabla2[[#This Row],[Inventario]]</f>
        <v>-9</v>
      </c>
      <c r="F15" s="1" t="s">
        <v>290</v>
      </c>
      <c r="G15" s="1">
        <v>40</v>
      </c>
      <c r="H15" s="1">
        <f t="shared" si="0"/>
        <v>0</v>
      </c>
      <c r="I15" s="1">
        <f>0</f>
        <v>0</v>
      </c>
      <c r="J15" s="1">
        <v>0</v>
      </c>
      <c r="K15" s="1" t="s">
        <v>230</v>
      </c>
    </row>
    <row r="16" spans="2:14" x14ac:dyDescent="0.2">
      <c r="B16" s="1" t="s">
        <v>271</v>
      </c>
      <c r="C16" s="7">
        <f>SUMIFS(Tabla1[Cantidad],Tabla1[Material],B16)-Tabla2[[#This Row],[Inversión]]</f>
        <v>0</v>
      </c>
      <c r="D16" s="7">
        <f>ROUNDDOWN(0+IF(E10&lt;0,-E10/3,0),0)+Tabla2[[#This Row],[Farmeo]]-Tabla2[[#This Row],[Inversión]]</f>
        <v>16</v>
      </c>
      <c r="E16" s="7">
        <f>Tabla2[[#This Row],[Cantidad]]-Tabla2[[#This Row],[Inventario]]</f>
        <v>-16</v>
      </c>
      <c r="F16" s="1" t="s">
        <v>290</v>
      </c>
      <c r="G16" s="1">
        <v>40</v>
      </c>
      <c r="H16" s="1">
        <f t="shared" si="0"/>
        <v>0</v>
      </c>
      <c r="I16" s="1">
        <f>12</f>
        <v>12</v>
      </c>
      <c r="J16" s="1">
        <v>0</v>
      </c>
      <c r="K16" s="1" t="s">
        <v>232</v>
      </c>
    </row>
    <row r="17" spans="2:11" x14ac:dyDescent="0.2">
      <c r="B17" s="1" t="s">
        <v>106</v>
      </c>
      <c r="C17" s="7">
        <f>SUMIFS(Tabla1[Cantidad],Tabla1[Material],B17)-Tabla2[[#This Row],[Inversión]]</f>
        <v>9</v>
      </c>
      <c r="D17" s="7">
        <f>ROUNDDOWN(9+IF(E11&lt;0,-E11/3,0),0)+Tabla2[[#This Row],[Farmeo]]-Tabla2[[#This Row],[Inversión]]</f>
        <v>13</v>
      </c>
      <c r="E17" s="7">
        <f>Tabla2[[#This Row],[Cantidad]]-Tabla2[[#This Row],[Inventario]]</f>
        <v>-4</v>
      </c>
      <c r="F17" s="1" t="s">
        <v>290</v>
      </c>
      <c r="G17" s="1">
        <v>40</v>
      </c>
      <c r="H17" s="1">
        <f t="shared" si="0"/>
        <v>0</v>
      </c>
      <c r="I17" s="1">
        <f>1+1</f>
        <v>2</v>
      </c>
      <c r="J17" s="1">
        <v>0</v>
      </c>
      <c r="K17" s="1" t="s">
        <v>227</v>
      </c>
    </row>
    <row r="18" spans="2:11" x14ac:dyDescent="0.2">
      <c r="B18" s="1" t="s">
        <v>31</v>
      </c>
      <c r="C18" s="7">
        <f>SUMIFS(Tabla1[Cantidad],Tabla1[Material],B18)-Tabla2[[#This Row],[Inversión]]</f>
        <v>9</v>
      </c>
      <c r="D18" s="7">
        <f>ROUNDDOWN(10+IF(E12&lt;0,-E12/3,0),0)+Tabla2[[#This Row],[Farmeo]]-Tabla2[[#This Row],[Inversión]]</f>
        <v>12</v>
      </c>
      <c r="E18" s="7">
        <f>Tabla2[[#This Row],[Cantidad]]-Tabla2[[#This Row],[Inventario]]</f>
        <v>-3</v>
      </c>
      <c r="F18" s="1" t="s">
        <v>290</v>
      </c>
      <c r="G18" s="1">
        <v>40</v>
      </c>
      <c r="H18" s="1">
        <f t="shared" si="0"/>
        <v>0</v>
      </c>
      <c r="I18" s="1">
        <f>1+1</f>
        <v>2</v>
      </c>
      <c r="J18" s="1">
        <v>0</v>
      </c>
      <c r="K18" s="1" t="s">
        <v>228</v>
      </c>
    </row>
    <row r="19" spans="2:11" x14ac:dyDescent="0.2">
      <c r="B19" s="1" t="s">
        <v>52</v>
      </c>
      <c r="C19" s="7">
        <f>SUMIFS(Tabla1[Cantidad],Tabla1[Material],B19)-Tabla2[[#This Row],[Inversión]]</f>
        <v>0</v>
      </c>
      <c r="D19" s="7">
        <f>ROUNDDOWN(0+IF(E13&lt;0,-E13/3,0),0)+Tabla2[[#This Row],[Farmeo]]-Tabla2[[#This Row],[Inversión]]</f>
        <v>14</v>
      </c>
      <c r="E19" s="7">
        <f>Tabla2[[#This Row],[Cantidad]]-Tabla2[[#This Row],[Inventario]]</f>
        <v>-14</v>
      </c>
      <c r="F19" s="1" t="s">
        <v>290</v>
      </c>
      <c r="G19" s="1">
        <v>40</v>
      </c>
      <c r="H19" s="1">
        <f t="shared" si="0"/>
        <v>0</v>
      </c>
      <c r="I19" s="1">
        <f>21</f>
        <v>21</v>
      </c>
      <c r="J19" s="1">
        <f>6+6</f>
        <v>12</v>
      </c>
      <c r="K19" s="1" t="s">
        <v>231</v>
      </c>
    </row>
    <row r="20" spans="2:11" x14ac:dyDescent="0.2">
      <c r="B20" s="1" t="s">
        <v>63</v>
      </c>
      <c r="C20" s="7">
        <f>SUMIFS(Tabla1[Cantidad],Tabla1[Material],B20)-Tabla2[[#This Row],[Inversión]]</f>
        <v>18</v>
      </c>
      <c r="D20" s="7">
        <f>ROUNDDOWN(18+IF(E14&lt;0,-E14/3,0),0)+Tabla2[[#This Row],[Farmeo]]-Tabla2[[#This Row],[Inversión]]</f>
        <v>19</v>
      </c>
      <c r="E20" s="7">
        <f>Tabla2[[#This Row],[Cantidad]]-Tabla2[[#This Row],[Inventario]]</f>
        <v>-1</v>
      </c>
      <c r="F20" s="1" t="s">
        <v>290</v>
      </c>
      <c r="G20" s="1">
        <v>40</v>
      </c>
      <c r="H20" s="1">
        <f t="shared" si="0"/>
        <v>0</v>
      </c>
      <c r="I20" s="1">
        <f>2+1-3</f>
        <v>0</v>
      </c>
      <c r="J20" s="1">
        <v>0</v>
      </c>
      <c r="K20" s="1" t="s">
        <v>229</v>
      </c>
    </row>
    <row r="21" spans="2:11" x14ac:dyDescent="0.2">
      <c r="B21" s="1" t="s">
        <v>95</v>
      </c>
      <c r="C21" s="7">
        <f>SUMIFS(Tabla1[Cantidad],Tabla1[Material],B21)-Tabla2[[#This Row],[Inversión]]</f>
        <v>9</v>
      </c>
      <c r="D21" s="7">
        <f>ROUNDDOWN(10+IF(E15&lt;0,-E15/3,0),0)+Tabla2[[#This Row],[Farmeo]]-Tabla2[[#This Row],[Inversión]]</f>
        <v>18</v>
      </c>
      <c r="E21" s="7">
        <f>Tabla2[[#This Row],[Cantidad]]-Tabla2[[#This Row],[Inventario]]</f>
        <v>-9</v>
      </c>
      <c r="F21" s="1" t="s">
        <v>290</v>
      </c>
      <c r="G21" s="1">
        <v>40</v>
      </c>
      <c r="H21" s="1">
        <f t="shared" si="0"/>
        <v>0</v>
      </c>
      <c r="I21" s="1">
        <f>5</f>
        <v>5</v>
      </c>
      <c r="J21" s="1">
        <v>0</v>
      </c>
      <c r="K21" s="1" t="s">
        <v>230</v>
      </c>
    </row>
    <row r="22" spans="2:11" x14ac:dyDescent="0.2">
      <c r="B22" s="1" t="s">
        <v>272</v>
      </c>
      <c r="C22" s="7">
        <f>SUMIFS(Tabla1[Cantidad],Tabla1[Material],B22)-Tabla2[[#This Row],[Inversión]]</f>
        <v>6</v>
      </c>
      <c r="D22" s="7">
        <f>ROUNDDOWN(18+IF(E16&lt;0,-E16/3,0),0)+Tabla2[[#This Row],[Farmeo]]-Tabla2[[#This Row],[Inversión]]</f>
        <v>13</v>
      </c>
      <c r="E22" s="7">
        <f>Tabla2[[#This Row],[Cantidad]]-Tabla2[[#This Row],[Inventario]]</f>
        <v>-7</v>
      </c>
      <c r="F22" s="1" t="s">
        <v>290</v>
      </c>
      <c r="G22" s="1">
        <v>40</v>
      </c>
      <c r="H22" s="1">
        <f t="shared" si="0"/>
        <v>0</v>
      </c>
      <c r="I22" s="1">
        <f>1+1</f>
        <v>2</v>
      </c>
      <c r="J22" s="1">
        <f>3+3+6</f>
        <v>12</v>
      </c>
      <c r="K22" s="1" t="s">
        <v>232</v>
      </c>
    </row>
    <row r="23" spans="2:11" x14ac:dyDescent="0.2">
      <c r="B23" s="1" t="s">
        <v>16</v>
      </c>
      <c r="C23" s="7">
        <f>SUMIFS(Tabla1[Cantidad],Tabla1[Material],B23)-Tabla2[[#This Row],[Inversión]]</f>
        <v>9</v>
      </c>
      <c r="D23" s="7">
        <f>ROUNDDOWN(17+IF(E17&lt;0,-E17/3,0),0)+Tabla2[[#This Row],[Farmeo]]-Tabla2[[#This Row],[Inversión]]</f>
        <v>12</v>
      </c>
      <c r="E23" s="7">
        <f>Tabla2[[#This Row],[Cantidad]]-Tabla2[[#This Row],[Inventario]]</f>
        <v>-3</v>
      </c>
      <c r="F23" s="1" t="s">
        <v>290</v>
      </c>
      <c r="G23" s="1">
        <v>40</v>
      </c>
      <c r="H23" s="1">
        <f t="shared" si="0"/>
        <v>0</v>
      </c>
      <c r="I23" s="1">
        <f>0</f>
        <v>0</v>
      </c>
      <c r="J23" s="1">
        <f>6</f>
        <v>6</v>
      </c>
      <c r="K23" s="1" t="s">
        <v>227</v>
      </c>
    </row>
    <row r="24" spans="2:11" x14ac:dyDescent="0.2">
      <c r="B24" s="1" t="s">
        <v>32</v>
      </c>
      <c r="C24" s="7">
        <f>SUMIFS(Tabla1[Cantidad],Tabla1[Material],B24)-Tabla2[[#This Row],[Inversión]]</f>
        <v>9</v>
      </c>
      <c r="D24" s="7">
        <f>ROUNDDOWN(11+IF(E18&lt;0,-E18/3,0),0)+Tabla2[[#This Row],[Farmeo]]-Tabla2[[#This Row],[Inversión]]</f>
        <v>12</v>
      </c>
      <c r="E24" s="7">
        <f>Tabla2[[#This Row],[Cantidad]]-Tabla2[[#This Row],[Inventario]]</f>
        <v>-3</v>
      </c>
      <c r="F24" s="1" t="s">
        <v>290</v>
      </c>
      <c r="G24" s="1">
        <v>40</v>
      </c>
      <c r="H24" s="1">
        <f t="shared" si="0"/>
        <v>0</v>
      </c>
      <c r="I24" s="1">
        <v>0</v>
      </c>
      <c r="J24" s="1">
        <v>0</v>
      </c>
      <c r="K24" s="1" t="s">
        <v>228</v>
      </c>
    </row>
    <row r="25" spans="2:11" x14ac:dyDescent="0.2">
      <c r="B25" s="1" t="s">
        <v>42</v>
      </c>
      <c r="C25" s="7">
        <f>SUMIFS(Tabla1[Cantidad],Tabla1[Material],B25)-Tabla2[[#This Row],[Inversión]]</f>
        <v>21</v>
      </c>
      <c r="D25" s="7">
        <f>ROUNDDOWN(11+IF(E19&lt;0,-E19/3,0),0)+Tabla2[[#This Row],[Farmeo]]-Tabla2[[#This Row],[Inversión]]</f>
        <v>4</v>
      </c>
      <c r="E25" s="7">
        <f>Tabla2[[#This Row],[Cantidad]]-Tabla2[[#This Row],[Inventario]]</f>
        <v>17</v>
      </c>
      <c r="F25" s="1" t="s">
        <v>290</v>
      </c>
      <c r="G25" s="1">
        <v>40</v>
      </c>
      <c r="H25" s="1">
        <f t="shared" si="0"/>
        <v>680</v>
      </c>
      <c r="I25" s="1">
        <f>1</f>
        <v>1</v>
      </c>
      <c r="J25" s="1">
        <f>6+6</f>
        <v>12</v>
      </c>
      <c r="K25" s="1" t="s">
        <v>231</v>
      </c>
    </row>
    <row r="26" spans="2:11" x14ac:dyDescent="0.2">
      <c r="B26" s="1" t="s">
        <v>64</v>
      </c>
      <c r="C26" s="7">
        <f>SUMIFS(Tabla1[Cantidad],Tabla1[Material],B26)-Tabla2[[#This Row],[Inversión]]</f>
        <v>24</v>
      </c>
      <c r="D26" s="7">
        <f>ROUNDDOWN(9+IF(E20&lt;0,-E20/3,0),0)+Tabla2[[#This Row],[Farmeo]]-Tabla2[[#This Row],[Inversión]]</f>
        <v>9</v>
      </c>
      <c r="E26" s="7">
        <f>Tabla2[[#This Row],[Cantidad]]-Tabla2[[#This Row],[Inventario]]</f>
        <v>15</v>
      </c>
      <c r="F26" s="1" t="s">
        <v>290</v>
      </c>
      <c r="G26" s="1">
        <v>40</v>
      </c>
      <c r="H26" s="1">
        <f t="shared" si="0"/>
        <v>600</v>
      </c>
      <c r="I26" s="1">
        <v>0</v>
      </c>
      <c r="J26" s="1">
        <v>0</v>
      </c>
      <c r="K26" s="1" t="s">
        <v>229</v>
      </c>
    </row>
    <row r="27" spans="2:11" x14ac:dyDescent="0.2">
      <c r="B27" s="1" t="s">
        <v>96</v>
      </c>
      <c r="C27" s="7">
        <f>SUMIFS(Tabla1[Cantidad],Tabla1[Material],B27)-Tabla2[[#This Row],[Inversión]]</f>
        <v>18</v>
      </c>
      <c r="D27" s="7">
        <f>ROUNDDOWN(20+IF(E21&lt;0,-E21/3,0),0)+Tabla2[[#This Row],[Farmeo]]-Tabla2[[#This Row],[Inversión]]</f>
        <v>24</v>
      </c>
      <c r="E27" s="7">
        <f>Tabla2[[#This Row],[Cantidad]]-Tabla2[[#This Row],[Inventario]]</f>
        <v>-6</v>
      </c>
      <c r="F27" s="1" t="s">
        <v>290</v>
      </c>
      <c r="G27" s="1">
        <v>40</v>
      </c>
      <c r="H27" s="1">
        <f t="shared" si="0"/>
        <v>0</v>
      </c>
      <c r="I27" s="1">
        <f>1</f>
        <v>1</v>
      </c>
      <c r="J27" s="1">
        <v>0</v>
      </c>
      <c r="K27" s="1" t="s">
        <v>230</v>
      </c>
    </row>
    <row r="28" spans="2:11" x14ac:dyDescent="0.2">
      <c r="B28" s="1" t="s">
        <v>273</v>
      </c>
      <c r="C28" s="7">
        <f>SUMIFS(Tabla1[Cantidad],Tabla1[Material],B28)-Tabla2[[#This Row],[Inversión]]</f>
        <v>24</v>
      </c>
      <c r="D28" s="7">
        <f>ROUNDDOWN(9+IF(E22&lt;0,-E22/3,0),0)+Tabla2[[#This Row],[Farmeo]]-Tabla2[[#This Row],[Inversión]]</f>
        <v>11</v>
      </c>
      <c r="E28" s="7">
        <f>Tabla2[[#This Row],[Cantidad]]-Tabla2[[#This Row],[Inventario]]</f>
        <v>13</v>
      </c>
      <c r="F28" s="1" t="s">
        <v>290</v>
      </c>
      <c r="G28" s="1">
        <v>40</v>
      </c>
      <c r="H28" s="1">
        <f t="shared" si="0"/>
        <v>520</v>
      </c>
      <c r="I28" s="1">
        <v>0</v>
      </c>
      <c r="J28" s="1">
        <v>0</v>
      </c>
      <c r="K28" s="1" t="s">
        <v>232</v>
      </c>
    </row>
    <row r="29" spans="2:11" x14ac:dyDescent="0.2">
      <c r="B29" s="1" t="s">
        <v>17</v>
      </c>
      <c r="C29" s="7">
        <f>SUMIFS(Tabla1[Cantidad],Tabla1[Material],B29)-Tabla2[[#This Row],[Inversión]]</f>
        <v>12</v>
      </c>
      <c r="D29" s="7">
        <f>ROUNDDOWN(3+IF(E23&lt;0,-E23/3,0),0)+Tabla2[[#This Row],[Farmeo]]-Tabla2[[#This Row],[Inversión]]</f>
        <v>4</v>
      </c>
      <c r="E29" s="7">
        <f>Tabla2[[#This Row],[Cantidad]]-Tabla2[[#This Row],[Inventario]]</f>
        <v>8</v>
      </c>
      <c r="F29" s="1" t="s">
        <v>290</v>
      </c>
      <c r="G29" s="1">
        <v>40</v>
      </c>
      <c r="H29" s="1">
        <f t="shared" si="0"/>
        <v>320</v>
      </c>
      <c r="I29" s="1">
        <v>0</v>
      </c>
      <c r="J29" s="1">
        <v>0</v>
      </c>
      <c r="K29" s="1" t="s">
        <v>227</v>
      </c>
    </row>
    <row r="30" spans="2:11" x14ac:dyDescent="0.2">
      <c r="B30" s="1" t="s">
        <v>33</v>
      </c>
      <c r="C30" s="7">
        <f>SUMIFS(Tabla1[Cantidad],Tabla1[Material],B30)-Tabla2[[#This Row],[Inversión]]</f>
        <v>6</v>
      </c>
      <c r="D30" s="7">
        <f>ROUNDDOWN(0+IF(E24&lt;0,-E24/3,0),0)+Tabla2[[#This Row],[Farmeo]]-Tabla2[[#This Row],[Inversión]]</f>
        <v>1</v>
      </c>
      <c r="E30" s="7">
        <f>Tabla2[[#This Row],[Cantidad]]-Tabla2[[#This Row],[Inventario]]</f>
        <v>5</v>
      </c>
      <c r="F30" s="1" t="s">
        <v>290</v>
      </c>
      <c r="G30" s="1">
        <v>40</v>
      </c>
      <c r="H30" s="1">
        <f t="shared" si="0"/>
        <v>200</v>
      </c>
      <c r="I30" s="1">
        <v>0</v>
      </c>
      <c r="J30" s="1">
        <v>0</v>
      </c>
      <c r="K30" s="1" t="s">
        <v>228</v>
      </c>
    </row>
    <row r="31" spans="2:11" x14ac:dyDescent="0.2">
      <c r="B31" s="1" t="s">
        <v>43</v>
      </c>
      <c r="C31" s="7">
        <f>SUMIFS(Tabla1[Cantidad],Tabla1[Material],B31)-Tabla2[[#This Row],[Inversión]]</f>
        <v>24</v>
      </c>
      <c r="D31" s="7">
        <f>ROUNDDOWN(2+IF(E25&lt;0,-E25/3,0),0)+Tabla2[[#This Row],[Farmeo]]-Tabla2[[#This Row],[Inversión]]</f>
        <v>3</v>
      </c>
      <c r="E31" s="7">
        <f>Tabla2[[#This Row],[Cantidad]]-Tabla2[[#This Row],[Inventario]]</f>
        <v>21</v>
      </c>
      <c r="F31" s="1" t="s">
        <v>290</v>
      </c>
      <c r="G31" s="1">
        <v>40</v>
      </c>
      <c r="H31" s="1">
        <f t="shared" si="0"/>
        <v>840</v>
      </c>
      <c r="I31" s="1">
        <f>1</f>
        <v>1</v>
      </c>
      <c r="J31" s="1">
        <v>0</v>
      </c>
      <c r="K31" s="1" t="s">
        <v>231</v>
      </c>
    </row>
    <row r="32" spans="2:11" x14ac:dyDescent="0.2">
      <c r="B32" s="1" t="s">
        <v>65</v>
      </c>
      <c r="C32" s="7">
        <f>SUMIFS(Tabla1[Cantidad],Tabla1[Material],B32)-Tabla2[[#This Row],[Inversión]]</f>
        <v>18</v>
      </c>
      <c r="D32" s="7">
        <f>ROUNDDOWN(1+IF(E26&lt;0,-E26/3,0),0)+Tabla2[[#This Row],[Farmeo]]-Tabla2[[#This Row],[Inversión]]</f>
        <v>1</v>
      </c>
      <c r="E32" s="7">
        <f>Tabla2[[#This Row],[Cantidad]]-Tabla2[[#This Row],[Inventario]]</f>
        <v>17</v>
      </c>
      <c r="F32" s="1" t="s">
        <v>290</v>
      </c>
      <c r="G32" s="1">
        <v>40</v>
      </c>
      <c r="H32" s="1">
        <f t="shared" si="0"/>
        <v>680</v>
      </c>
      <c r="I32" s="1">
        <v>0</v>
      </c>
      <c r="J32" s="1">
        <v>0</v>
      </c>
      <c r="K32" s="1" t="s">
        <v>229</v>
      </c>
    </row>
    <row r="33" spans="2:11" x14ac:dyDescent="0.2">
      <c r="B33" s="1" t="s">
        <v>97</v>
      </c>
      <c r="C33" s="7">
        <f>SUMIFS(Tabla1[Cantidad],Tabla1[Material],B33)-Tabla2[[#This Row],[Inversión]]</f>
        <v>12</v>
      </c>
      <c r="D33" s="7">
        <f>ROUNDDOWN(1+IF(E27&lt;0,-E27/3,0),0)+Tabla2[[#This Row],[Farmeo]]-Tabla2[[#This Row],[Inversión]]</f>
        <v>3</v>
      </c>
      <c r="E33" s="7">
        <f>Tabla2[[#This Row],[Cantidad]]-Tabla2[[#This Row],[Inventario]]</f>
        <v>9</v>
      </c>
      <c r="F33" s="1" t="s">
        <v>290</v>
      </c>
      <c r="G33" s="1">
        <v>40</v>
      </c>
      <c r="H33" s="1">
        <f t="shared" si="0"/>
        <v>360</v>
      </c>
      <c r="I33" s="1">
        <v>0</v>
      </c>
      <c r="J33" s="1">
        <v>0</v>
      </c>
      <c r="K33" s="1" t="s">
        <v>230</v>
      </c>
    </row>
    <row r="34" spans="2:11" x14ac:dyDescent="0.2">
      <c r="B34" s="1" t="s">
        <v>5</v>
      </c>
      <c r="C34" s="7">
        <f>SUMIFS(Tabla1[Cantidad],Tabla1[Material],B34)-Tabla2[[#This Row],[Inversión]]</f>
        <v>72</v>
      </c>
      <c r="D34" s="7">
        <f>9+Tabla2[[#This Row],[Farmeo]]-Tabla2[[#This Row],[Inversión]]</f>
        <v>1</v>
      </c>
      <c r="E34" s="7">
        <f>Tabla2[[#This Row],[Cantidad]]-Tabla2[[#This Row],[Inventario]]</f>
        <v>71</v>
      </c>
      <c r="F34" s="1" t="s">
        <v>290</v>
      </c>
      <c r="G34" s="1">
        <v>40</v>
      </c>
      <c r="H34" s="1">
        <f>IF(E34&gt;0,ROUNDUP(G34*E34/2,0),0)</f>
        <v>1420</v>
      </c>
      <c r="I34" s="1">
        <v>0</v>
      </c>
      <c r="J34" s="1">
        <f>8</f>
        <v>8</v>
      </c>
      <c r="K34" s="1" t="s">
        <v>6</v>
      </c>
    </row>
    <row r="35" spans="2:11" x14ac:dyDescent="0.2">
      <c r="B35" s="1" t="s">
        <v>18</v>
      </c>
      <c r="C35" s="7">
        <f>SUMIFS(Tabla1[Cantidad],Tabla1[Material],B35)-Tabla2[[#This Row],[Inversión]]</f>
        <v>66</v>
      </c>
      <c r="D35" s="7">
        <f>24+Tabla2[[#This Row],[Farmeo]]-Tabla2[[#This Row],[Inversión]]</f>
        <v>12</v>
      </c>
      <c r="E35" s="7">
        <f>Tabla2[[#This Row],[Cantidad]]-Tabla2[[#This Row],[Inventario]]</f>
        <v>54</v>
      </c>
      <c r="F35" s="1" t="s">
        <v>290</v>
      </c>
      <c r="G35" s="1">
        <v>40</v>
      </c>
      <c r="H35" s="1">
        <f t="shared" ref="H35:H42" si="1">IF(E35&gt;0,ROUNDUP(G35*E35/2,0),0)</f>
        <v>1080</v>
      </c>
      <c r="I35" s="1">
        <v>0</v>
      </c>
      <c r="J35" s="1">
        <f>12</f>
        <v>12</v>
      </c>
      <c r="K35" s="1" t="s">
        <v>233</v>
      </c>
    </row>
    <row r="36" spans="2:11" x14ac:dyDescent="0.2">
      <c r="B36" s="1" t="s">
        <v>35</v>
      </c>
      <c r="C36" s="7">
        <f>SUMIFS(Tabla1[Cantidad],Tabla1[Material],B36)-Tabla2[[#This Row],[Inversión]]</f>
        <v>46</v>
      </c>
      <c r="D36" s="7">
        <f>3+Tabla2[[#This Row],[Farmeo]]-Tabla2[[#This Row],[Inversión]]</f>
        <v>3</v>
      </c>
      <c r="E36" s="7">
        <f>Tabla2[[#This Row],[Cantidad]]-Tabla2[[#This Row],[Inventario]]</f>
        <v>43</v>
      </c>
      <c r="F36" s="1" t="s">
        <v>290</v>
      </c>
      <c r="G36" s="1">
        <v>40</v>
      </c>
      <c r="H36" s="1">
        <f t="shared" si="1"/>
        <v>860</v>
      </c>
      <c r="I36" s="1">
        <v>0</v>
      </c>
      <c r="J36" s="1">
        <v>0</v>
      </c>
      <c r="K36" s="1" t="s">
        <v>228</v>
      </c>
    </row>
    <row r="37" spans="2:11" x14ac:dyDescent="0.2">
      <c r="B37" s="1" t="s">
        <v>44</v>
      </c>
      <c r="C37" s="7">
        <f>SUMIFS(Tabla1[Cantidad],Tabla1[Material],B37)-Tabla2[[#This Row],[Inversión]]</f>
        <v>60</v>
      </c>
      <c r="D37" s="7">
        <f>21+Tabla2[[#This Row],[Farmeo]]-Tabla2[[#This Row],[Inversión]]</f>
        <v>5</v>
      </c>
      <c r="E37" s="7">
        <f>Tabla2[[#This Row],[Cantidad]]-Tabla2[[#This Row],[Inventario]]</f>
        <v>55</v>
      </c>
      <c r="F37" s="1" t="s">
        <v>290</v>
      </c>
      <c r="G37" s="1">
        <v>40</v>
      </c>
      <c r="H37" s="1">
        <f t="shared" si="1"/>
        <v>1100</v>
      </c>
      <c r="I37" s="1">
        <v>0</v>
      </c>
      <c r="J37" s="1">
        <f>4+12</f>
        <v>16</v>
      </c>
      <c r="K37" s="1" t="s">
        <v>234</v>
      </c>
    </row>
    <row r="38" spans="2:11" x14ac:dyDescent="0.2">
      <c r="B38" s="1" t="s">
        <v>67</v>
      </c>
      <c r="C38" s="7">
        <f>SUMIFS(Tabla1[Cantidad],Tabla1[Material],B38)-Tabla2[[#This Row],[Inversión]]</f>
        <v>46</v>
      </c>
      <c r="D38" s="7">
        <f>10+Tabla2[[#This Row],[Farmeo]]-Tabla2[[#This Row],[Inversión]]</f>
        <v>13</v>
      </c>
      <c r="E38" s="7">
        <f>Tabla2[[#This Row],[Cantidad]]-Tabla2[[#This Row],[Inventario]]</f>
        <v>33</v>
      </c>
      <c r="F38" s="1" t="s">
        <v>290</v>
      </c>
      <c r="G38" s="1">
        <v>40</v>
      </c>
      <c r="H38" s="1">
        <f t="shared" si="1"/>
        <v>660</v>
      </c>
      <c r="I38" s="1">
        <f>3</f>
        <v>3</v>
      </c>
      <c r="J38" s="1">
        <v>0</v>
      </c>
      <c r="K38" s="1" t="s">
        <v>235</v>
      </c>
    </row>
    <row r="39" spans="2:11" x14ac:dyDescent="0.2">
      <c r="B39" s="1" t="s">
        <v>72</v>
      </c>
      <c r="C39" s="7">
        <f>SUMIFS(Tabla1[Cantidad],Tabla1[Material],B39)-Tabla2[[#This Row],[Inversión]]</f>
        <v>20</v>
      </c>
      <c r="D39" s="7">
        <f>9+Tabla2[[#This Row],[Farmeo]]-Tabla2[[#This Row],[Inversión]]</f>
        <v>0</v>
      </c>
      <c r="E39" s="7">
        <f>Tabla2[[#This Row],[Cantidad]]-Tabla2[[#This Row],[Inventario]]</f>
        <v>20</v>
      </c>
      <c r="F39" s="1" t="s">
        <v>290</v>
      </c>
      <c r="G39" s="1">
        <v>40</v>
      </c>
      <c r="H39" s="1">
        <f t="shared" si="1"/>
        <v>400</v>
      </c>
      <c r="I39" s="1">
        <f>6+2+3</f>
        <v>11</v>
      </c>
      <c r="J39" s="1">
        <f>8+12</f>
        <v>20</v>
      </c>
      <c r="K39" s="1" t="s">
        <v>236</v>
      </c>
    </row>
    <row r="40" spans="2:11" x14ac:dyDescent="0.2">
      <c r="B40" s="1" t="s">
        <v>81</v>
      </c>
      <c r="C40" s="7">
        <f>SUMIFS(Tabla1[Cantidad],Tabla1[Material],B40)-Tabla2[[#This Row],[Inversión]]</f>
        <v>68</v>
      </c>
      <c r="D40" s="7">
        <f>5+Tabla2[[#This Row],[Farmeo]]-Tabla2[[#This Row],[Inversión]]</f>
        <v>1</v>
      </c>
      <c r="E40" s="7">
        <f>Tabla2[[#This Row],[Cantidad]]-Tabla2[[#This Row],[Inventario]]</f>
        <v>67</v>
      </c>
      <c r="F40" s="1" t="s">
        <v>290</v>
      </c>
      <c r="G40" s="1">
        <v>40</v>
      </c>
      <c r="H40" s="1">
        <f t="shared" si="1"/>
        <v>1340</v>
      </c>
      <c r="I40" s="1">
        <f>2+3+2+2+3</f>
        <v>12</v>
      </c>
      <c r="J40" s="1">
        <f>4+12</f>
        <v>16</v>
      </c>
      <c r="K40" s="1" t="s">
        <v>237</v>
      </c>
    </row>
    <row r="41" spans="2:11" x14ac:dyDescent="0.2">
      <c r="B41" s="1" t="s">
        <v>91</v>
      </c>
      <c r="C41" s="7">
        <f>SUMIFS(Tabla1[Cantidad],Tabla1[Material],B41)-Tabla2[[#This Row],[Inversión]]</f>
        <v>78</v>
      </c>
      <c r="D41" s="7">
        <f>1+Tabla2[[#This Row],[Farmeo]]-Tabla2[[#This Row],[Inversión]]</f>
        <v>1</v>
      </c>
      <c r="E41" s="7">
        <f>Tabla2[[#This Row],[Cantidad]]-Tabla2[[#This Row],[Inventario]]</f>
        <v>77</v>
      </c>
      <c r="F41" s="1" t="s">
        <v>290</v>
      </c>
      <c r="G41" s="1">
        <v>40</v>
      </c>
      <c r="H41" s="1">
        <f t="shared" si="1"/>
        <v>1540</v>
      </c>
      <c r="I41" s="1">
        <f>0</f>
        <v>0</v>
      </c>
      <c r="J41" s="1">
        <v>0</v>
      </c>
      <c r="K41" s="1" t="s">
        <v>229</v>
      </c>
    </row>
    <row r="42" spans="2:11" x14ac:dyDescent="0.2">
      <c r="B42" s="1" t="s">
        <v>99</v>
      </c>
      <c r="C42" s="7">
        <f>SUMIFS(Tabla1[Cantidad],Tabla1[Material],B42)-Tabla2[[#This Row],[Inversión]]</f>
        <v>86</v>
      </c>
      <c r="D42" s="7">
        <f>1+Tabla2[[#This Row],[Farmeo]]-Tabla2[[#This Row],[Inversión]]</f>
        <v>1</v>
      </c>
      <c r="E42" s="7">
        <f>Tabla2[[#This Row],[Cantidad]]-Tabla2[[#This Row],[Inventario]]</f>
        <v>85</v>
      </c>
      <c r="F42" s="1" t="s">
        <v>290</v>
      </c>
      <c r="G42" s="1">
        <v>40</v>
      </c>
      <c r="H42" s="1">
        <f t="shared" si="1"/>
        <v>1700</v>
      </c>
      <c r="I42" s="1">
        <v>0</v>
      </c>
      <c r="J42" s="1">
        <v>0</v>
      </c>
      <c r="K42" s="1" t="s">
        <v>238</v>
      </c>
    </row>
    <row r="43" spans="2:11" x14ac:dyDescent="0.2">
      <c r="B43" s="1" t="s">
        <v>11</v>
      </c>
      <c r="C43" s="7">
        <f>SUMIFS(Tabla1[Cantidad],Tabla1[Material],B43)-Tabla2[[#This Row],[Inversión]]</f>
        <v>195</v>
      </c>
      <c r="D43" s="7">
        <f>135+Tabla2[[#This Row],[Farmeo]]-Tabla2[[#This Row],[Inversión]]</f>
        <v>115</v>
      </c>
      <c r="E43" s="7">
        <f>Tabla2[[#This Row],[Cantidad]]-Tabla2[[#This Row],[Inventario]]</f>
        <v>80</v>
      </c>
      <c r="F43" s="1">
        <v>3</v>
      </c>
      <c r="G43" s="1">
        <v>0</v>
      </c>
      <c r="H43" s="1">
        <v>0</v>
      </c>
      <c r="I43" s="1">
        <v>0</v>
      </c>
      <c r="J43" s="1">
        <v>20</v>
      </c>
      <c r="K43" s="1" t="s">
        <v>239</v>
      </c>
    </row>
    <row r="44" spans="2:11" x14ac:dyDescent="0.2">
      <c r="B44" s="1" t="s">
        <v>19</v>
      </c>
      <c r="C44" s="7">
        <f>SUMIFS(Tabla1[Cantidad],Tabla1[Material],B44)-Tabla2[[#This Row],[Inversión]]</f>
        <v>60</v>
      </c>
      <c r="D44" s="7">
        <f>52+Tabla2[[#This Row],[Farmeo]]-Tabla2[[#This Row],[Inversión]]</f>
        <v>50</v>
      </c>
      <c r="E44" s="7">
        <f>Tabla2[[#This Row],[Cantidad]]-Tabla2[[#This Row],[Inventario]]</f>
        <v>10</v>
      </c>
      <c r="F44" s="1">
        <v>3</v>
      </c>
      <c r="G44" s="1">
        <v>0</v>
      </c>
      <c r="H44" s="1">
        <v>0</v>
      </c>
      <c r="I44" s="1">
        <f>8+35</f>
        <v>43</v>
      </c>
      <c r="J44" s="1">
        <f>45</f>
        <v>45</v>
      </c>
      <c r="K44" s="1" t="s">
        <v>239</v>
      </c>
    </row>
    <row r="45" spans="2:11" x14ac:dyDescent="0.2">
      <c r="B45" s="1" t="s">
        <v>26</v>
      </c>
      <c r="C45" s="7">
        <f>SUMIFS(Tabla1[Cantidad],Tabla1[Material],B45)-Tabla2[[#This Row],[Inversión]]</f>
        <v>60</v>
      </c>
      <c r="D45" s="7">
        <f>57+Tabla2[[#This Row],[Farmeo]]-Tabla2[[#This Row],[Inversión]]</f>
        <v>57</v>
      </c>
      <c r="E45" s="7">
        <f>Tabla2[[#This Row],[Cantidad]]-Tabla2[[#This Row],[Inventario]]</f>
        <v>3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 t="s">
        <v>239</v>
      </c>
    </row>
    <row r="46" spans="2:11" x14ac:dyDescent="0.2">
      <c r="B46" s="1" t="s">
        <v>34</v>
      </c>
      <c r="C46" s="7">
        <f>SUMIFS(Tabla1[Cantidad],Tabla1[Material],B46)-Tabla2[[#This Row],[Inversión]]</f>
        <v>168</v>
      </c>
      <c r="D46" s="7">
        <f>103+Tabla2[[#This Row],[Farmeo]]-Tabla2[[#This Row],[Inversión]]</f>
        <v>137</v>
      </c>
      <c r="E46" s="7">
        <f>Tabla2[[#This Row],[Cantidad]]-Tabla2[[#This Row],[Inventario]]</f>
        <v>31</v>
      </c>
      <c r="F46" s="1">
        <v>3</v>
      </c>
      <c r="G46" s="1">
        <v>0</v>
      </c>
      <c r="H46" s="1">
        <v>0</v>
      </c>
      <c r="I46" s="1">
        <v>34</v>
      </c>
      <c r="J46" s="1">
        <v>0</v>
      </c>
      <c r="K46" s="1" t="s">
        <v>239</v>
      </c>
    </row>
    <row r="47" spans="2:11" x14ac:dyDescent="0.2">
      <c r="B47" s="1" t="s">
        <v>45</v>
      </c>
      <c r="C47" s="7">
        <f>SUMIFS(Tabla1[Cantidad],Tabla1[Material],B47)-Tabla2[[#This Row],[Inversión]]</f>
        <v>60</v>
      </c>
      <c r="D47" s="7">
        <f>146+Tabla2[[#This Row],[Farmeo]]-Tabla2[[#This Row],[Inversión]]</f>
        <v>101</v>
      </c>
      <c r="E47" s="7">
        <f>Tabla2[[#This Row],[Cantidad]]-Tabla2[[#This Row],[Inventario]]</f>
        <v>-41</v>
      </c>
      <c r="F47" s="1">
        <v>3</v>
      </c>
      <c r="G47" s="1">
        <v>0</v>
      </c>
      <c r="H47" s="1">
        <v>0</v>
      </c>
      <c r="I47" s="1">
        <v>0</v>
      </c>
      <c r="J47" s="1">
        <f>45</f>
        <v>45</v>
      </c>
      <c r="K47" s="1" t="s">
        <v>239</v>
      </c>
    </row>
    <row r="48" spans="2:11" x14ac:dyDescent="0.2">
      <c r="B48" s="1" t="s">
        <v>53</v>
      </c>
      <c r="C48" s="7">
        <f>SUMIFS(Tabla1[Cantidad],Tabla1[Material],B48)-Tabla2[[#This Row],[Inversión]]</f>
        <v>135</v>
      </c>
      <c r="D48" s="7">
        <f>24+Tabla2[[#This Row],[Farmeo]]-Tabla2[[#This Row],[Inversión]]</f>
        <v>9</v>
      </c>
      <c r="E48" s="7">
        <f>Tabla2[[#This Row],[Cantidad]]-Tabla2[[#This Row],[Inventario]]</f>
        <v>126</v>
      </c>
      <c r="F48" s="1">
        <v>3</v>
      </c>
      <c r="G48" s="1">
        <v>0</v>
      </c>
      <c r="H48" s="1">
        <v>0</v>
      </c>
      <c r="I48" s="1">
        <f>5</f>
        <v>5</v>
      </c>
      <c r="J48" s="1">
        <v>20</v>
      </c>
      <c r="K48" s="1" t="s">
        <v>239</v>
      </c>
    </row>
    <row r="49" spans="2:11" x14ac:dyDescent="0.2">
      <c r="B49" s="1" t="s">
        <v>57</v>
      </c>
      <c r="C49" s="7">
        <f>SUMIFS(Tabla1[Cantidad],Tabla1[Material],B49)-Tabla2[[#This Row],[Inversión]]</f>
        <v>105</v>
      </c>
      <c r="D49" s="7">
        <f>41+Tabla2[[#This Row],[Farmeo]]-Tabla2[[#This Row],[Inversión]]</f>
        <v>53</v>
      </c>
      <c r="E49" s="7">
        <f>Tabla2[[#This Row],[Cantidad]]-Tabla2[[#This Row],[Inventario]]</f>
        <v>52</v>
      </c>
      <c r="F49" s="1">
        <v>3</v>
      </c>
      <c r="G49" s="1">
        <v>0</v>
      </c>
      <c r="H49" s="1">
        <v>0</v>
      </c>
      <c r="I49" s="1">
        <f>42</f>
        <v>42</v>
      </c>
      <c r="J49" s="1">
        <f>30</f>
        <v>30</v>
      </c>
      <c r="K49" s="1" t="s">
        <v>239</v>
      </c>
    </row>
    <row r="50" spans="2:11" x14ac:dyDescent="0.2">
      <c r="B50" s="1" t="s">
        <v>66</v>
      </c>
      <c r="C50" s="7">
        <f>SUMIFS(Tabla1[Cantidad],Tabla1[Material],B50)-Tabla2[[#This Row],[Inversión]]</f>
        <v>168</v>
      </c>
      <c r="D50" s="7">
        <f>12+Tabla2[[#This Row],[Farmeo]]-Tabla2[[#This Row],[Inversión]]</f>
        <v>12</v>
      </c>
      <c r="E50" s="7">
        <f>Tabla2[[#This Row],[Cantidad]]-Tabla2[[#This Row],[Inventario]]</f>
        <v>156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 t="s">
        <v>239</v>
      </c>
    </row>
    <row r="51" spans="2:11" x14ac:dyDescent="0.2">
      <c r="B51" s="1" t="s">
        <v>73</v>
      </c>
      <c r="C51" s="7">
        <f>SUMIFS(Tabla1[Cantidad],Tabla1[Material],B51)-Tabla2[[#This Row],[Inversión]]</f>
        <v>60</v>
      </c>
      <c r="D51" s="7">
        <f>40+Tabla2[[#This Row],[Farmeo]]-Tabla2[[#This Row],[Inversión]]</f>
        <v>0</v>
      </c>
      <c r="E51" s="7">
        <f>Tabla2[[#This Row],[Cantidad]]-Tabla2[[#This Row],[Inventario]]</f>
        <v>60</v>
      </c>
      <c r="F51" s="1">
        <v>3</v>
      </c>
      <c r="G51" s="1">
        <v>0</v>
      </c>
      <c r="H51" s="1">
        <v>0</v>
      </c>
      <c r="I51" s="1">
        <f>1+34</f>
        <v>35</v>
      </c>
      <c r="J51" s="1">
        <f>30+45</f>
        <v>75</v>
      </c>
      <c r="K51" s="1" t="s">
        <v>239</v>
      </c>
    </row>
    <row r="52" spans="2:11" x14ac:dyDescent="0.2">
      <c r="B52" s="1" t="s">
        <v>80</v>
      </c>
      <c r="C52" s="7">
        <f>SUMIFS(Tabla1[Cantidad],Tabla1[Material],B52)-Tabla2[[#This Row],[Inversión]]</f>
        <v>90</v>
      </c>
      <c r="D52" s="7">
        <f>106+Tabla2[[#This Row],[Farmeo]]-Tabla2[[#This Row],[Inversión]]</f>
        <v>61</v>
      </c>
      <c r="E52" s="7">
        <f>Tabla2[[#This Row],[Cantidad]]-Tabla2[[#This Row],[Inventario]]</f>
        <v>29</v>
      </c>
      <c r="F52" s="1">
        <v>3</v>
      </c>
      <c r="G52" s="1">
        <v>0</v>
      </c>
      <c r="H52" s="1">
        <v>0</v>
      </c>
      <c r="I52" s="1">
        <v>0</v>
      </c>
      <c r="J52" s="1">
        <f>45</f>
        <v>45</v>
      </c>
      <c r="K52" s="1" t="s">
        <v>239</v>
      </c>
    </row>
    <row r="53" spans="2:11" x14ac:dyDescent="0.2">
      <c r="B53" s="1" t="s">
        <v>90</v>
      </c>
      <c r="C53" s="7">
        <f>SUMIFS(Tabla1[Cantidad],Tabla1[Material],B53)-Tabla2[[#This Row],[Inversión]]</f>
        <v>168</v>
      </c>
      <c r="D53" s="7">
        <f>75+Tabla2[[#This Row],[Farmeo]]-Tabla2[[#This Row],[Inversión]]</f>
        <v>75</v>
      </c>
      <c r="E53" s="7">
        <f>Tabla2[[#This Row],[Cantidad]]-Tabla2[[#This Row],[Inventario]]</f>
        <v>93</v>
      </c>
      <c r="F53" s="1">
        <v>3</v>
      </c>
      <c r="G53" s="1">
        <v>0</v>
      </c>
      <c r="H53" s="1">
        <v>0</v>
      </c>
      <c r="I53" s="1">
        <v>0</v>
      </c>
      <c r="J53" s="1">
        <v>0</v>
      </c>
      <c r="K53" s="1" t="s">
        <v>239</v>
      </c>
    </row>
    <row r="54" spans="2:11" x14ac:dyDescent="0.2">
      <c r="B54" s="1" t="s">
        <v>98</v>
      </c>
      <c r="C54" s="7">
        <f>SUMIFS(Tabla1[Cantidad],Tabla1[Material],B54)-Tabla2[[#This Row],[Inversión]]</f>
        <v>168</v>
      </c>
      <c r="D54" s="7">
        <f>115+Tabla2[[#This Row],[Farmeo]]-Tabla2[[#This Row],[Inversión]]</f>
        <v>115</v>
      </c>
      <c r="E54" s="7">
        <f>Tabla2[[#This Row],[Cantidad]]-Tabla2[[#This Row],[Inventario]]</f>
        <v>53</v>
      </c>
      <c r="F54" s="1">
        <v>3</v>
      </c>
      <c r="G54" s="1">
        <v>0</v>
      </c>
      <c r="H54" s="1">
        <v>0</v>
      </c>
      <c r="I54" s="1">
        <f>0</f>
        <v>0</v>
      </c>
      <c r="J54" s="1">
        <v>0</v>
      </c>
      <c r="K54" s="1" t="s">
        <v>239</v>
      </c>
    </row>
    <row r="55" spans="2:11" x14ac:dyDescent="0.2">
      <c r="B55" s="1" t="s">
        <v>107</v>
      </c>
      <c r="C55" s="7">
        <f>SUMIFS(Tabla1[Cantidad],Tabla1[Material],B55)-Tabla2[[#This Row],[Inversión]]</f>
        <v>168</v>
      </c>
      <c r="D55" s="7">
        <f>4+Tabla2[[#This Row],[Farmeo]]-Tabla2[[#This Row],[Inversión]]</f>
        <v>4</v>
      </c>
      <c r="E55" s="7">
        <f>Tabla2[[#This Row],[Cantidad]]-Tabla2[[#This Row],[Inventario]]</f>
        <v>164</v>
      </c>
      <c r="F55" s="1">
        <v>3</v>
      </c>
      <c r="G55" s="1">
        <v>0</v>
      </c>
      <c r="H55" s="1">
        <v>0</v>
      </c>
      <c r="I55" s="1">
        <v>0</v>
      </c>
      <c r="J55" s="1">
        <v>0</v>
      </c>
      <c r="K55" s="1" t="s">
        <v>239</v>
      </c>
    </row>
    <row r="56" spans="2:11" x14ac:dyDescent="0.2">
      <c r="B56" s="1" t="s">
        <v>110</v>
      </c>
      <c r="C56" s="7">
        <f>SUMIFS(Tabla1[Cantidad],Tabla1[Material],B56)-Tabla2[[#This Row],[Inversión]]</f>
        <v>135</v>
      </c>
      <c r="D56" s="7">
        <f>56+Tabla2[[#This Row],[Farmeo]]-Tabla2[[#This Row],[Inversión]]</f>
        <v>56</v>
      </c>
      <c r="E56" s="7">
        <f>Tabla2[[#This Row],[Cantidad]]-Tabla2[[#This Row],[Inventario]]</f>
        <v>79</v>
      </c>
      <c r="F56" s="1">
        <v>3</v>
      </c>
      <c r="G56" s="1">
        <v>0</v>
      </c>
      <c r="H56" s="1">
        <v>0</v>
      </c>
      <c r="I56" s="1">
        <v>0</v>
      </c>
      <c r="J56" s="1">
        <v>0</v>
      </c>
      <c r="K56" s="1" t="s">
        <v>239</v>
      </c>
    </row>
    <row r="57" spans="2:11" x14ac:dyDescent="0.2">
      <c r="B57" s="1" t="s">
        <v>115</v>
      </c>
      <c r="C57" s="7">
        <f>SUMIFS(Tabla1[Cantidad],Tabla1[Material],B57)-Tabla2[[#This Row],[Inversión]]</f>
        <v>105</v>
      </c>
      <c r="D57" s="7">
        <f>33+Tabla2[[#This Row],[Farmeo]]-Tabla2[[#This Row],[Inversión]]</f>
        <v>33</v>
      </c>
      <c r="E57" s="7">
        <f>Tabla2[[#This Row],[Cantidad]]-Tabla2[[#This Row],[Inventario]]</f>
        <v>72</v>
      </c>
      <c r="F57" s="1">
        <v>3</v>
      </c>
      <c r="G57" s="1">
        <v>0</v>
      </c>
      <c r="H57" s="1">
        <v>0</v>
      </c>
      <c r="I57" s="1">
        <v>0</v>
      </c>
      <c r="J57" s="1">
        <v>0</v>
      </c>
      <c r="K57" s="1" t="s">
        <v>239</v>
      </c>
    </row>
    <row r="58" spans="2:11" x14ac:dyDescent="0.2">
      <c r="B58" s="1" t="s">
        <v>215</v>
      </c>
      <c r="C58" s="7">
        <f>SUMIFS(Tabla1[Cantidad],Tabla1[Material],B58)-Tabla2[[#This Row],[Inversión]]</f>
        <v>8</v>
      </c>
      <c r="D58" s="7">
        <f>20+Tabla2[[#This Row],[Farmeo]]-Tabla2[[#This Row],[Inversión]]</f>
        <v>30</v>
      </c>
      <c r="E58" s="7">
        <f>Tabla2[[#This Row],[Cantidad]]-Tabla2[[#This Row],[Inventario]]</f>
        <v>-22</v>
      </c>
      <c r="F58" s="1" t="s">
        <v>290</v>
      </c>
      <c r="G58" s="1">
        <v>0</v>
      </c>
      <c r="H58" s="1">
        <v>0</v>
      </c>
      <c r="I58" s="1">
        <f>25</f>
        <v>25</v>
      </c>
      <c r="J58" s="1">
        <f>3+12</f>
        <v>15</v>
      </c>
      <c r="K58" s="1" t="s">
        <v>240</v>
      </c>
    </row>
    <row r="59" spans="2:11" x14ac:dyDescent="0.2">
      <c r="B59" s="1" t="s">
        <v>216</v>
      </c>
      <c r="C59" s="7">
        <f>SUMIFS(Tabla1[Cantidad],Tabla1[Material],B59)-Tabla2[[#This Row],[Inversión]]</f>
        <v>38</v>
      </c>
      <c r="D59" s="7">
        <f>ROUNDDOWN(44+9+IF(E58&lt;0,-E58/3,0),0)+Tabla2[[#This Row],[Farmeo]]-Tabla2[[#This Row],[Inversión]]</f>
        <v>51</v>
      </c>
      <c r="E59" s="7">
        <f>Tabla2[[#This Row],[Cantidad]]-Tabla2[[#This Row],[Inventario]]</f>
        <v>-13</v>
      </c>
      <c r="F59" s="1" t="s">
        <v>290</v>
      </c>
      <c r="G59" s="1">
        <v>0</v>
      </c>
      <c r="H59" s="1">
        <v>0</v>
      </c>
      <c r="I59" s="1">
        <v>0</v>
      </c>
      <c r="J59" s="1">
        <f>9</f>
        <v>9</v>
      </c>
      <c r="K59" s="1" t="s">
        <v>240</v>
      </c>
    </row>
    <row r="60" spans="2:11" x14ac:dyDescent="0.2">
      <c r="B60" s="1" t="s">
        <v>217</v>
      </c>
      <c r="C60" s="7">
        <f>SUMIFS(Tabla1[Cantidad],Tabla1[Material],B60)-Tabla2[[#This Row],[Inversión]]</f>
        <v>126</v>
      </c>
      <c r="D60" s="7">
        <f>ROUNDDOWN(107+IF(E59&lt;0,-E59/3,0),0)+Tabla2[[#This Row],[Farmeo]]-Tabla2[[#This Row],[Inversión]]</f>
        <v>111</v>
      </c>
      <c r="E60" s="7">
        <f>Tabla2[[#This Row],[Cantidad]]-Tabla2[[#This Row],[Inventario]]</f>
        <v>15</v>
      </c>
      <c r="F60" s="1" t="s">
        <v>290</v>
      </c>
      <c r="G60" s="1">
        <v>0</v>
      </c>
      <c r="H60" s="1">
        <v>0</v>
      </c>
      <c r="I60" s="1">
        <v>0</v>
      </c>
      <c r="J60" s="1">
        <v>0</v>
      </c>
      <c r="K60" s="1" t="s">
        <v>240</v>
      </c>
    </row>
    <row r="61" spans="2:11" x14ac:dyDescent="0.2">
      <c r="B61" s="1" t="s">
        <v>225</v>
      </c>
      <c r="C61" s="7">
        <f>SUMIFS(Tabla1[Cantidad],Tabla1[Material],B61)-Tabla2[[#This Row],[Inversión]]</f>
        <v>36</v>
      </c>
      <c r="D61" s="7">
        <f>110+Tabla2[[#This Row],[Farmeo]]-Tabla2[[#This Row],[Inversión]]</f>
        <v>110</v>
      </c>
      <c r="E61" s="7">
        <f>Tabla2[[#This Row],[Cantidad]]-Tabla2[[#This Row],[Inventario]]</f>
        <v>-74</v>
      </c>
      <c r="F61" s="1" t="s">
        <v>290</v>
      </c>
      <c r="G61" s="1">
        <v>0</v>
      </c>
      <c r="H61" s="1">
        <v>0</v>
      </c>
      <c r="I61" s="1">
        <v>0</v>
      </c>
      <c r="J61" s="1">
        <v>0</v>
      </c>
      <c r="K61" s="1" t="s">
        <v>241</v>
      </c>
    </row>
    <row r="62" spans="2:11" x14ac:dyDescent="0.2">
      <c r="B62" s="1" t="s">
        <v>22</v>
      </c>
      <c r="C62" s="7">
        <f>SUMIFS(Tabla1[Cantidad],Tabla1[Material],B62)-Tabla2[[#This Row],[Inversión]]</f>
        <v>189</v>
      </c>
      <c r="D62" s="7">
        <f>ROUNDDOWN(233+66+IF(E61&lt;0,-E61/3,0),0)+Tabla2[[#This Row],[Farmeo]]-Tabla2[[#This Row],[Inversión]]</f>
        <v>257</v>
      </c>
      <c r="E62" s="7">
        <f>Tabla2[[#This Row],[Cantidad]]-Tabla2[[#This Row],[Inventario]]</f>
        <v>-68</v>
      </c>
      <c r="F62" s="1" t="s">
        <v>290</v>
      </c>
      <c r="G62" s="1">
        <v>0</v>
      </c>
      <c r="H62" s="1">
        <v>0</v>
      </c>
      <c r="I62" s="1">
        <v>0</v>
      </c>
      <c r="J62" s="1">
        <f>12+6+3*3+4*3+18+9</f>
        <v>66</v>
      </c>
      <c r="K62" s="1" t="s">
        <v>241</v>
      </c>
    </row>
    <row r="63" spans="2:11" x14ac:dyDescent="0.2">
      <c r="B63" s="1" t="s">
        <v>20</v>
      </c>
      <c r="C63" s="7">
        <f>SUMIFS(Tabla1[Cantidad],Tabla1[Material],B63)-Tabla2[[#This Row],[Inversión]]</f>
        <v>295</v>
      </c>
      <c r="D63" s="7">
        <f>ROUNDDOWN(71+IF(E62&lt;0,-E62/3,0),0)+Tabla2[[#This Row],[Farmeo]]-Tabla2[[#This Row],[Inversión]]</f>
        <v>73</v>
      </c>
      <c r="E63" s="7">
        <f>Tabla2[[#This Row],[Cantidad]]-Tabla2[[#This Row],[Inventario]]</f>
        <v>222</v>
      </c>
      <c r="F63" s="1" t="s">
        <v>290</v>
      </c>
      <c r="G63" s="1">
        <v>0</v>
      </c>
      <c r="H63" s="1">
        <v>0</v>
      </c>
      <c r="I63" s="1">
        <v>0</v>
      </c>
      <c r="J63" s="1">
        <f>12+4+4</f>
        <v>20</v>
      </c>
      <c r="K63" s="1" t="s">
        <v>241</v>
      </c>
    </row>
    <row r="64" spans="2:11" x14ac:dyDescent="0.2">
      <c r="B64" s="1" t="s">
        <v>68</v>
      </c>
      <c r="C64" s="7">
        <f>SUMIFS(Tabla1[Cantidad],Tabla1[Material],B64)-Tabla2[[#This Row],[Inversión]]</f>
        <v>36</v>
      </c>
      <c r="D64" s="7">
        <f>141+Tabla2[[#This Row],[Farmeo]]-Tabla2[[#This Row],[Inversión]]</f>
        <v>141</v>
      </c>
      <c r="E64" s="7">
        <f>Tabla2[[#This Row],[Cantidad]]-Tabla2[[#This Row],[Inventario]]</f>
        <v>-105</v>
      </c>
      <c r="F64" s="1" t="s">
        <v>290</v>
      </c>
      <c r="G64" s="1">
        <v>0</v>
      </c>
      <c r="H64" s="1">
        <v>0</v>
      </c>
      <c r="I64" s="1">
        <v>0</v>
      </c>
      <c r="J64" s="1">
        <v>0</v>
      </c>
      <c r="K64" s="1" t="s">
        <v>242</v>
      </c>
    </row>
    <row r="65" spans="2:11" x14ac:dyDescent="0.2">
      <c r="B65" s="1" t="s">
        <v>28</v>
      </c>
      <c r="C65" s="7">
        <f>SUMIFS(Tabla1[Cantidad],Tabla1[Material],B65)-Tabla2[[#This Row],[Inversión]]</f>
        <v>186</v>
      </c>
      <c r="D65" s="7">
        <f>ROUNDDOWN(186+IF(E64&lt;0,-E64/3,0),0)+Tabla2[[#This Row],[Farmeo]]-Tabla2[[#This Row],[Inversión]]</f>
        <v>212</v>
      </c>
      <c r="E65" s="7">
        <f>Tabla2[[#This Row],[Cantidad]]-Tabla2[[#This Row],[Inventario]]</f>
        <v>-26</v>
      </c>
      <c r="F65" s="1" t="s">
        <v>290</v>
      </c>
      <c r="G65" s="1">
        <v>0</v>
      </c>
      <c r="H65" s="1">
        <v>0</v>
      </c>
      <c r="I65" s="1">
        <v>0</v>
      </c>
      <c r="J65" s="1">
        <f>9</f>
        <v>9</v>
      </c>
      <c r="K65" s="1" t="s">
        <v>242</v>
      </c>
    </row>
    <row r="66" spans="2:11" x14ac:dyDescent="0.2">
      <c r="B66" s="1" t="s">
        <v>27</v>
      </c>
      <c r="C66" s="7">
        <f>SUMIFS(Tabla1[Cantidad],Tabla1[Material],B66)-Tabla2[[#This Row],[Inversión]]</f>
        <v>273</v>
      </c>
      <c r="D66" s="7">
        <f>ROUNDDOWN(29+IF(E65&lt;0,-E65/3,0),0)+Tabla2[[#This Row],[Farmeo]]-Tabla2[[#This Row],[Inversión]]</f>
        <v>25</v>
      </c>
      <c r="E66" s="7">
        <f>Tabla2[[#This Row],[Cantidad]]-Tabla2[[#This Row],[Inventario]]</f>
        <v>248</v>
      </c>
      <c r="F66" s="1" t="s">
        <v>290</v>
      </c>
      <c r="G66" s="1">
        <v>0</v>
      </c>
      <c r="H66" s="1">
        <v>0</v>
      </c>
      <c r="I66" s="1">
        <v>0</v>
      </c>
      <c r="J66" s="1">
        <f>12</f>
        <v>12</v>
      </c>
      <c r="K66" s="1" t="s">
        <v>242</v>
      </c>
    </row>
    <row r="67" spans="2:11" x14ac:dyDescent="0.2">
      <c r="B67" s="1" t="s">
        <v>36</v>
      </c>
      <c r="C67" s="7">
        <f>SUMIFS(Tabla1[Cantidad],Tabla1[Material],B67)-Tabla2[[#This Row],[Inversión]]</f>
        <v>51</v>
      </c>
      <c r="D67" s="7">
        <f>207+15+Tabla2[[#This Row],[Farmeo]]-Tabla2[[#This Row],[Inversión]]</f>
        <v>207</v>
      </c>
      <c r="E67" s="7">
        <f>Tabla2[[#This Row],[Cantidad]]-Tabla2[[#This Row],[Inventario]]</f>
        <v>-156</v>
      </c>
      <c r="F67" s="1" t="s">
        <v>290</v>
      </c>
      <c r="G67" s="1">
        <v>0</v>
      </c>
      <c r="H67" s="1">
        <v>0</v>
      </c>
      <c r="I67" s="1">
        <v>0</v>
      </c>
      <c r="J67" s="1">
        <f>3+12</f>
        <v>15</v>
      </c>
      <c r="K67" s="1" t="s">
        <v>243</v>
      </c>
    </row>
    <row r="68" spans="2:11" x14ac:dyDescent="0.2">
      <c r="B68" s="1" t="s">
        <v>37</v>
      </c>
      <c r="C68" s="7">
        <f>SUMIFS(Tabla1[Cantidad],Tabla1[Material],B68)-Tabla2[[#This Row],[Inversión]]</f>
        <v>164</v>
      </c>
      <c r="D68" s="7">
        <f>ROUNDDOWN(205+56+IF(E67&lt;0,-E67/3,0),0)+Tabla2[[#This Row],[Farmeo]]-Tabla2[[#This Row],[Inversión]]</f>
        <v>257</v>
      </c>
      <c r="E68" s="7">
        <f>Tabla2[[#This Row],[Cantidad]]-Tabla2[[#This Row],[Inventario]]</f>
        <v>-93</v>
      </c>
      <c r="F68" s="1" t="s">
        <v>290</v>
      </c>
      <c r="G68" s="1">
        <v>0</v>
      </c>
      <c r="H68" s="1">
        <v>0</v>
      </c>
      <c r="I68" s="1">
        <v>0</v>
      </c>
      <c r="J68" s="1">
        <f>9+14+4*3+3+18</f>
        <v>56</v>
      </c>
      <c r="K68" s="1" t="s">
        <v>243</v>
      </c>
    </row>
    <row r="69" spans="2:11" x14ac:dyDescent="0.2">
      <c r="B69" s="1" t="s">
        <v>38</v>
      </c>
      <c r="C69" s="7">
        <f>SUMIFS(Tabla1[Cantidad],Tabla1[Material],B69)-Tabla2[[#This Row],[Inversión]]</f>
        <v>369</v>
      </c>
      <c r="D69" s="7">
        <f>ROUNDDOWN(49+IF(E68&lt;0,-E68/3,0),0)+Tabla2[[#This Row],[Farmeo]]-Tabla2[[#This Row],[Inversión]]</f>
        <v>80</v>
      </c>
      <c r="E69" s="7">
        <f>Tabla2[[#This Row],[Cantidad]]-Tabla2[[#This Row],[Inventario]]</f>
        <v>289</v>
      </c>
      <c r="F69" s="1" t="s">
        <v>290</v>
      </c>
      <c r="G69" s="1">
        <v>0</v>
      </c>
      <c r="H69" s="1">
        <v>0</v>
      </c>
      <c r="I69" s="1">
        <v>0</v>
      </c>
      <c r="J69" s="1">
        <v>0</v>
      </c>
      <c r="K69" s="1" t="s">
        <v>243</v>
      </c>
    </row>
    <row r="70" spans="2:11" x14ac:dyDescent="0.2">
      <c r="B70" s="1" t="s">
        <v>200</v>
      </c>
      <c r="C70" s="7">
        <f>SUMIFS(Tabla1[Cantidad],Tabla1[Material],B70)-Tabla2[[#This Row],[Inversión]]</f>
        <v>10</v>
      </c>
      <c r="D70" s="7">
        <f>72+Tabla2[[#This Row],[Farmeo]]-Tabla2[[#This Row],[Inversión]]</f>
        <v>87</v>
      </c>
      <c r="E70" s="7">
        <f>Tabla2[[#This Row],[Cantidad]]-Tabla2[[#This Row],[Inventario]]</f>
        <v>-77</v>
      </c>
      <c r="F70" s="1" t="s">
        <v>290</v>
      </c>
      <c r="G70" s="1">
        <v>0</v>
      </c>
      <c r="H70" s="1">
        <v>0</v>
      </c>
      <c r="I70" s="1">
        <f>15</f>
        <v>15</v>
      </c>
      <c r="J70" s="1">
        <v>0</v>
      </c>
      <c r="K70" s="1" t="s">
        <v>244</v>
      </c>
    </row>
    <row r="71" spans="2:11" x14ac:dyDescent="0.2">
      <c r="B71" s="1" t="s">
        <v>48</v>
      </c>
      <c r="C71" s="7">
        <f>SUMIFS(Tabla1[Cantidad],Tabla1[Material],B71)-Tabla2[[#This Row],[Inversión]]</f>
        <v>72</v>
      </c>
      <c r="D71" s="7">
        <f>ROUNDDOWN(26+39+IF(E70&lt;0,-E70/3,0),0)+Tabla2[[#This Row],[Farmeo]]-Tabla2[[#This Row],[Inversión]]</f>
        <v>86</v>
      </c>
      <c r="E71" s="7">
        <f>Tabla2[[#This Row],[Cantidad]]-Tabla2[[#This Row],[Inventario]]</f>
        <v>-14</v>
      </c>
      <c r="F71" s="1" t="s">
        <v>290</v>
      </c>
      <c r="G71" s="1">
        <v>0</v>
      </c>
      <c r="H71" s="1">
        <v>0</v>
      </c>
      <c r="I71" s="1">
        <f>35</f>
        <v>35</v>
      </c>
      <c r="J71" s="1">
        <f>39</f>
        <v>39</v>
      </c>
      <c r="K71" s="1" t="s">
        <v>244</v>
      </c>
    </row>
    <row r="72" spans="2:11" x14ac:dyDescent="0.2">
      <c r="B72" s="1" t="s">
        <v>46</v>
      </c>
      <c r="C72" s="7">
        <f>SUMIFS(Tabla1[Cantidad],Tabla1[Material],B72)-Tabla2[[#This Row],[Inversión]]</f>
        <v>210</v>
      </c>
      <c r="D72" s="7">
        <f>ROUNDDOWN(7+12+IF(E71&lt;0,-E71/3,0),0)+Tabla2[[#This Row],[Farmeo]]-Tabla2[[#This Row],[Inversión]]</f>
        <v>11</v>
      </c>
      <c r="E72" s="7">
        <f>Tabla2[[#This Row],[Cantidad]]-Tabla2[[#This Row],[Inventario]]</f>
        <v>199</v>
      </c>
      <c r="F72" s="1" t="s">
        <v>290</v>
      </c>
      <c r="G72" s="1">
        <v>0</v>
      </c>
      <c r="H72" s="1">
        <v>0</v>
      </c>
      <c r="I72" s="1">
        <f>0</f>
        <v>0</v>
      </c>
      <c r="J72" s="1">
        <f>12</f>
        <v>12</v>
      </c>
      <c r="K72" s="1" t="s">
        <v>244</v>
      </c>
    </row>
    <row r="73" spans="2:11" x14ac:dyDescent="0.2">
      <c r="B73" s="1" t="s">
        <v>170</v>
      </c>
      <c r="C73" s="7">
        <f>SUMIFS(Tabla1[Cantidad],Tabla1[Material],B73)-Tabla2[[#This Row],[Inversión]]</f>
        <v>0</v>
      </c>
      <c r="D73" s="7">
        <f>78+Tabla2[[#This Row],[Farmeo]]-Tabla2[[#This Row],[Inversión]]</f>
        <v>63</v>
      </c>
      <c r="E73" s="7">
        <f>Tabla2[[#This Row],[Cantidad]]-Tabla2[[#This Row],[Inventario]]</f>
        <v>-63</v>
      </c>
      <c r="F73" s="1" t="s">
        <v>290</v>
      </c>
      <c r="G73" s="1">
        <v>0</v>
      </c>
      <c r="H73" s="1">
        <v>0</v>
      </c>
      <c r="I73" s="1">
        <v>0</v>
      </c>
      <c r="J73" s="1">
        <f>3+12</f>
        <v>15</v>
      </c>
      <c r="K73" s="1" t="s">
        <v>245</v>
      </c>
    </row>
    <row r="74" spans="2:11" x14ac:dyDescent="0.2">
      <c r="B74" s="1" t="s">
        <v>74</v>
      </c>
      <c r="C74" s="7">
        <f>SUMIFS(Tabla1[Cantidad],Tabla1[Material],B74)-Tabla2[[#This Row],[Inversión]]</f>
        <v>70</v>
      </c>
      <c r="D74" s="7">
        <f>ROUNDDOWN(112+66+IF(E73&lt;0,-E73/3,0),0)+Tabla2[[#This Row],[Farmeo]]-Tabla2[[#This Row],[Inversión]]</f>
        <v>110</v>
      </c>
      <c r="E74" s="7">
        <f>Tabla2[[#This Row],[Cantidad]]-Tabla2[[#This Row],[Inventario]]</f>
        <v>-40</v>
      </c>
      <c r="F74" s="1" t="s">
        <v>290</v>
      </c>
      <c r="G74" s="1">
        <v>0</v>
      </c>
      <c r="H74" s="1">
        <v>0</v>
      </c>
      <c r="I74" s="1">
        <v>0</v>
      </c>
      <c r="J74" s="1">
        <f>3+3+3+4*3+18+6*3+9+9+14</f>
        <v>89</v>
      </c>
      <c r="K74" s="1" t="s">
        <v>245</v>
      </c>
    </row>
    <row r="75" spans="2:11" x14ac:dyDescent="0.2">
      <c r="B75" s="1" t="s">
        <v>75</v>
      </c>
      <c r="C75" s="7">
        <f>SUMIFS(Tabla1[Cantidad],Tabla1[Material],B75)-Tabla2[[#This Row],[Inversión]]</f>
        <v>244</v>
      </c>
      <c r="D75" s="7">
        <f>ROUNDDOWN(65+IF(E74&lt;0,-E74/3,0),0)+Tabla2[[#This Row],[Farmeo]]-Tabla2[[#This Row],[Inversión]]</f>
        <v>66</v>
      </c>
      <c r="E75" s="7">
        <f>Tabla2[[#This Row],[Cantidad]]-Tabla2[[#This Row],[Inventario]]</f>
        <v>178</v>
      </c>
      <c r="F75" s="1" t="s">
        <v>290</v>
      </c>
      <c r="G75" s="1">
        <v>0</v>
      </c>
      <c r="H75" s="1">
        <v>0</v>
      </c>
      <c r="I75" s="1">
        <v>0</v>
      </c>
      <c r="J75" s="1">
        <f>12</f>
        <v>12</v>
      </c>
      <c r="K75" s="1" t="s">
        <v>245</v>
      </c>
    </row>
    <row r="76" spans="2:11" x14ac:dyDescent="0.2">
      <c r="B76" s="1" t="s">
        <v>183</v>
      </c>
      <c r="C76" s="7">
        <f>SUMIFS(Tabla1[Cantidad],Tabla1[Material],B76)-Tabla2[[#This Row],[Inversión]]</f>
        <v>50</v>
      </c>
      <c r="D76" s="7">
        <f>94+Tabla2[[#This Row],[Farmeo]]-Tabla2[[#This Row],[Inversión]]</f>
        <v>94</v>
      </c>
      <c r="E76" s="7">
        <f>Tabla2[[#This Row],[Cantidad]]-Tabla2[[#This Row],[Inventario]]</f>
        <v>-44</v>
      </c>
      <c r="F76" s="1" t="s">
        <v>290</v>
      </c>
      <c r="G76" s="1">
        <v>0</v>
      </c>
      <c r="H76" s="1">
        <v>0</v>
      </c>
      <c r="I76" s="1">
        <v>0</v>
      </c>
      <c r="J76" s="1">
        <v>0</v>
      </c>
      <c r="K76" s="1" t="s">
        <v>246</v>
      </c>
    </row>
    <row r="77" spans="2:11" x14ac:dyDescent="0.2">
      <c r="B77" s="1" t="s">
        <v>84</v>
      </c>
      <c r="C77" s="7">
        <f>SUMIFS(Tabla1[Cantidad],Tabla1[Material],B77)-Tabla2[[#This Row],[Inversión]]</f>
        <v>215</v>
      </c>
      <c r="D77" s="7">
        <f>ROUNDDOWN(126+41+IF(E76&lt;0,-E76/3,0),0)+Tabla2[[#This Row],[Farmeo]]-Tabla2[[#This Row],[Inversión]]</f>
        <v>140</v>
      </c>
      <c r="E77" s="7">
        <f>Tabla2[[#This Row],[Cantidad]]-Tabla2[[#This Row],[Inventario]]</f>
        <v>75</v>
      </c>
      <c r="F77" s="1" t="s">
        <v>290</v>
      </c>
      <c r="G77" s="1">
        <v>0</v>
      </c>
      <c r="H77" s="1">
        <v>0</v>
      </c>
      <c r="I77" s="1">
        <v>0</v>
      </c>
      <c r="J77" s="1">
        <f>12+4*3+3*3+4*2</f>
        <v>41</v>
      </c>
      <c r="K77" s="1" t="s">
        <v>246</v>
      </c>
    </row>
    <row r="78" spans="2:11" x14ac:dyDescent="0.2">
      <c r="B78" s="1" t="s">
        <v>85</v>
      </c>
      <c r="C78" s="7">
        <f>SUMIFS(Tabla1[Cantidad],Tabla1[Material],B78)-Tabla2[[#This Row],[Inversión]]</f>
        <v>356</v>
      </c>
      <c r="D78" s="7">
        <f>ROUNDDOWN(44+IF(E77&lt;0,-E77/3,0),0)+Tabla2[[#This Row],[Farmeo]]-Tabla2[[#This Row],[Inversión]]</f>
        <v>44</v>
      </c>
      <c r="E78" s="7">
        <f>Tabla2[[#This Row],[Cantidad]]-Tabla2[[#This Row],[Inventario]]</f>
        <v>312</v>
      </c>
      <c r="F78" s="1" t="s">
        <v>290</v>
      </c>
      <c r="G78" s="1">
        <v>0</v>
      </c>
      <c r="H78" s="1">
        <v>0</v>
      </c>
      <c r="I78" s="1">
        <v>0</v>
      </c>
      <c r="J78" s="1">
        <v>0</v>
      </c>
      <c r="K78" s="1" t="s">
        <v>246</v>
      </c>
    </row>
    <row r="79" spans="2:11" x14ac:dyDescent="0.2">
      <c r="B79" s="1" t="s">
        <v>100</v>
      </c>
      <c r="C79" s="7">
        <f>SUMIFS(Tabla1[Cantidad],Tabla1[Material],B79)-Tabla2[[#This Row],[Inversión]]</f>
        <v>72</v>
      </c>
      <c r="D79" s="7">
        <f>114+Tabla2[[#This Row],[Farmeo]]-Tabla2[[#This Row],[Inversión]]</f>
        <v>114</v>
      </c>
      <c r="E79" s="7">
        <f>Tabla2[[#This Row],[Cantidad]]-Tabla2[[#This Row],[Inventario]]</f>
        <v>-42</v>
      </c>
      <c r="F79" s="1" t="s">
        <v>290</v>
      </c>
      <c r="G79" s="1">
        <v>0</v>
      </c>
      <c r="H79" s="1">
        <v>0</v>
      </c>
      <c r="I79" s="1">
        <v>0</v>
      </c>
      <c r="J79" s="1">
        <v>0</v>
      </c>
      <c r="K79" s="1" t="s">
        <v>251</v>
      </c>
    </row>
    <row r="80" spans="2:11" x14ac:dyDescent="0.2">
      <c r="B80" s="1" t="s">
        <v>101</v>
      </c>
      <c r="C80" s="7">
        <f>SUMIFS(Tabla1[Cantidad],Tabla1[Material],B80)-Tabla2[[#This Row],[Inversión]]</f>
        <v>201</v>
      </c>
      <c r="D80" s="7">
        <f>ROUNDDOWN(122+IF(E79&lt;0,-E79/3,0),0)+Tabla2[[#This Row],[Farmeo]]-Tabla2[[#This Row],[Inversión]]</f>
        <v>136</v>
      </c>
      <c r="E80" s="7">
        <f>Tabla2[[#This Row],[Cantidad]]-Tabla2[[#This Row],[Inventario]]</f>
        <v>65</v>
      </c>
      <c r="F80" s="1" t="s">
        <v>290</v>
      </c>
      <c r="G80" s="1">
        <v>0</v>
      </c>
      <c r="H80" s="1">
        <v>0</v>
      </c>
      <c r="I80" s="1">
        <v>0</v>
      </c>
      <c r="J80" s="1">
        <v>0</v>
      </c>
      <c r="K80" s="1" t="s">
        <v>251</v>
      </c>
    </row>
    <row r="81" spans="2:11" x14ac:dyDescent="0.2">
      <c r="B81" s="1" t="s">
        <v>102</v>
      </c>
      <c r="C81" s="7">
        <f>SUMIFS(Tabla1[Cantidad],Tabla1[Material],B81)-Tabla2[[#This Row],[Inversión]]</f>
        <v>204</v>
      </c>
      <c r="D81" s="7">
        <f>ROUNDDOWN(21+IF(E80&lt;0,-E80/3,0),0)+Tabla2[[#This Row],[Farmeo]]-Tabla2[[#This Row],[Inversión]]</f>
        <v>21</v>
      </c>
      <c r="E81" s="7">
        <f>Tabla2[[#This Row],[Cantidad]]-Tabla2[[#This Row],[Inventario]]</f>
        <v>183</v>
      </c>
      <c r="F81" s="1" t="s">
        <v>290</v>
      </c>
      <c r="G81" s="1">
        <v>0</v>
      </c>
      <c r="H81" s="1">
        <v>0</v>
      </c>
      <c r="I81" s="1">
        <v>0</v>
      </c>
      <c r="J81" s="1">
        <v>0</v>
      </c>
      <c r="K81" s="1" t="s">
        <v>251</v>
      </c>
    </row>
    <row r="82" spans="2:11" x14ac:dyDescent="0.2">
      <c r="B82" s="1" t="s">
        <v>168</v>
      </c>
      <c r="C82" s="7">
        <f>SUMIFS(Tabla1[Cantidad],Tabla1[Material],B82)-Tabla2[[#This Row],[Inversión]]</f>
        <v>23</v>
      </c>
      <c r="D82" s="7">
        <f>66+Tabla2[[#This Row],[Farmeo]]-Tabla2[[#This Row],[Inversión]]</f>
        <v>43</v>
      </c>
      <c r="E82" s="7">
        <f>Tabla2[[#This Row],[Cantidad]]-Tabla2[[#This Row],[Inventario]]</f>
        <v>-20</v>
      </c>
      <c r="F82" s="1" t="s">
        <v>290</v>
      </c>
      <c r="G82" s="1">
        <v>0</v>
      </c>
      <c r="H82" s="1">
        <v>0</v>
      </c>
      <c r="I82" s="1">
        <v>0</v>
      </c>
      <c r="J82" s="1">
        <f>5+18</f>
        <v>23</v>
      </c>
      <c r="K82" s="1" t="s">
        <v>247</v>
      </c>
    </row>
    <row r="83" spans="2:11" x14ac:dyDescent="0.2">
      <c r="B83" s="1" t="s">
        <v>169</v>
      </c>
      <c r="C83" s="7">
        <f>SUMIFS(Tabla1[Cantidad],Tabla1[Material],B83)-Tabla2[[#This Row],[Inversión]]</f>
        <v>27</v>
      </c>
      <c r="D83" s="7">
        <f>ROUNDDOWN(59+IF(E82&lt;0,-E82/3,0),0)+Tabla2[[#This Row],[Farmeo]]-Tabla2[[#This Row],[Inversión]]</f>
        <v>38</v>
      </c>
      <c r="E83" s="7">
        <f>Tabla2[[#This Row],[Cantidad]]-Tabla2[[#This Row],[Inventario]]</f>
        <v>-11</v>
      </c>
      <c r="F83" s="1" t="s">
        <v>290</v>
      </c>
      <c r="G83" s="1">
        <v>0</v>
      </c>
      <c r="H83" s="1">
        <v>0</v>
      </c>
      <c r="I83" s="1">
        <v>0</v>
      </c>
      <c r="J83" s="1">
        <f>9+18</f>
        <v>27</v>
      </c>
      <c r="K83" s="1" t="s">
        <v>247</v>
      </c>
    </row>
    <row r="84" spans="2:11" x14ac:dyDescent="0.2">
      <c r="B84" s="1" t="s">
        <v>141</v>
      </c>
      <c r="C84" s="7">
        <f>SUMIFS(Tabla1[Cantidad],Tabla1[Material],B84)-Tabla2[[#This Row],[Inversión]]</f>
        <v>100</v>
      </c>
      <c r="D84" s="7">
        <f>ROUNDDOWN(4+IF(E83&lt;0,-E83/3,0),0)+Tabla2[[#This Row],[Farmeo]]-Tabla2[[#This Row],[Inversión]]</f>
        <v>7</v>
      </c>
      <c r="E84" s="7">
        <f>Tabla2[[#This Row],[Cantidad]]-Tabla2[[#This Row],[Inventario]]</f>
        <v>93</v>
      </c>
      <c r="F84" s="1" t="s">
        <v>290</v>
      </c>
      <c r="G84" s="1">
        <v>0</v>
      </c>
      <c r="H84" s="1">
        <v>0</v>
      </c>
      <c r="I84" s="1">
        <v>0</v>
      </c>
      <c r="J84" s="1">
        <v>0</v>
      </c>
      <c r="K84" s="1" t="s">
        <v>247</v>
      </c>
    </row>
    <row r="85" spans="2:11" x14ac:dyDescent="0.2">
      <c r="B85" s="1" t="s">
        <v>150</v>
      </c>
      <c r="C85" s="7">
        <f>SUMIFS(Tabla1[Cantidad],Tabla1[Material],B85)-Tabla2[[#This Row],[Inversión]]</f>
        <v>0</v>
      </c>
      <c r="D85" s="7">
        <f>23+23+Tabla2[[#This Row],[Farmeo]]-Tabla2[[#This Row],[Inversión]]</f>
        <v>23</v>
      </c>
      <c r="E85" s="7">
        <f>Tabla2[[#This Row],[Cantidad]]-Tabla2[[#This Row],[Inventario]]</f>
        <v>-23</v>
      </c>
      <c r="F85" s="1" t="s">
        <v>290</v>
      </c>
      <c r="G85" s="1">
        <v>0</v>
      </c>
      <c r="H85" s="1">
        <v>0</v>
      </c>
      <c r="I85" s="1">
        <v>0</v>
      </c>
      <c r="J85" s="1">
        <f>5+18</f>
        <v>23</v>
      </c>
      <c r="K85" s="1" t="s">
        <v>248</v>
      </c>
    </row>
    <row r="86" spans="2:11" x14ac:dyDescent="0.2">
      <c r="B86" s="1" t="s">
        <v>151</v>
      </c>
      <c r="C86" s="7">
        <f>SUMIFS(Tabla1[Cantidad],Tabla1[Material],B86)-Tabla2[[#This Row],[Inversión]]</f>
        <v>18</v>
      </c>
      <c r="D86" s="7">
        <f>ROUNDDOWN(26+27+IF(E85&lt;0,-E85/3,0),0)+Tabla2[[#This Row],[Farmeo]]-Tabla2[[#This Row],[Inversión]]</f>
        <v>33</v>
      </c>
      <c r="E86" s="7">
        <f>Tabla2[[#This Row],[Cantidad]]-Tabla2[[#This Row],[Inventario]]</f>
        <v>-15</v>
      </c>
      <c r="F86" s="1" t="s">
        <v>290</v>
      </c>
      <c r="G86" s="1">
        <v>0</v>
      </c>
      <c r="H86" s="1">
        <v>0</v>
      </c>
      <c r="I86" s="1">
        <v>0</v>
      </c>
      <c r="J86" s="1">
        <f>9+18</f>
        <v>27</v>
      </c>
      <c r="K86" s="1" t="s">
        <v>248</v>
      </c>
    </row>
    <row r="87" spans="2:11" x14ac:dyDescent="0.2">
      <c r="B87" s="1" t="s">
        <v>144</v>
      </c>
      <c r="C87" s="7">
        <f>SUMIFS(Tabla1[Cantidad],Tabla1[Material],B87)-Tabla2[[#This Row],[Inversión]]</f>
        <v>149</v>
      </c>
      <c r="D87" s="7">
        <f>ROUNDDOWN(36+IF(E86&lt;0,-E86/3,0),0)+Tabla2[[#This Row],[Farmeo]]-Tabla2[[#This Row],[Inversión]]</f>
        <v>41</v>
      </c>
      <c r="E87" s="7">
        <f>Tabla2[[#This Row],[Cantidad]]-Tabla2[[#This Row],[Inventario]]</f>
        <v>108</v>
      </c>
      <c r="F87" s="1" t="s">
        <v>290</v>
      </c>
      <c r="G87" s="1">
        <v>0</v>
      </c>
      <c r="H87" s="1">
        <v>0</v>
      </c>
      <c r="I87" s="1">
        <v>0</v>
      </c>
      <c r="J87" s="1">
        <v>0</v>
      </c>
      <c r="K87" s="1" t="s">
        <v>248</v>
      </c>
    </row>
    <row r="88" spans="2:11" x14ac:dyDescent="0.2">
      <c r="B88" s="1" t="s">
        <v>160</v>
      </c>
      <c r="C88" s="7">
        <f>SUMIFS(Tabla1[Cantidad],Tabla1[Material],B88)-Tabla2[[#This Row],[Inversión]]</f>
        <v>15</v>
      </c>
      <c r="D88" s="7">
        <f>15+Tabla2[[#This Row],[Farmeo]]-Tabla2[[#This Row],[Inversión]]</f>
        <v>15</v>
      </c>
      <c r="E88" s="7">
        <f>Tabla2[[#This Row],[Cantidad]]-Tabla2[[#This Row],[Inventario]]</f>
        <v>0</v>
      </c>
      <c r="F88" s="1" t="s">
        <v>290</v>
      </c>
      <c r="G88" s="1">
        <v>0</v>
      </c>
      <c r="H88" s="1">
        <v>0</v>
      </c>
      <c r="I88" s="1">
        <v>0</v>
      </c>
      <c r="J88" s="1">
        <v>0</v>
      </c>
      <c r="K88" s="1" t="s">
        <v>249</v>
      </c>
    </row>
    <row r="89" spans="2:11" x14ac:dyDescent="0.2">
      <c r="B89" s="1" t="s">
        <v>161</v>
      </c>
      <c r="C89" s="7">
        <f>SUMIFS(Tabla1[Cantidad],Tabla1[Material],B89)-Tabla2[[#This Row],[Inversión]]</f>
        <v>18</v>
      </c>
      <c r="D89" s="7">
        <f>ROUNDDOWN(20+IF(E88&lt;0,-E88/3,0),0)+Tabla2[[#This Row],[Farmeo]]-Tabla2[[#This Row],[Inversión]]</f>
        <v>20</v>
      </c>
      <c r="E89" s="7">
        <f>Tabla2[[#This Row],[Cantidad]]-Tabla2[[#This Row],[Inventario]]</f>
        <v>-2</v>
      </c>
      <c r="F89" s="1" t="s">
        <v>290</v>
      </c>
      <c r="G89" s="1">
        <v>0</v>
      </c>
      <c r="H89" s="1">
        <v>0</v>
      </c>
      <c r="I89" s="1">
        <v>0</v>
      </c>
      <c r="J89" s="1">
        <v>0</v>
      </c>
      <c r="K89" s="1" t="s">
        <v>249</v>
      </c>
    </row>
    <row r="90" spans="2:11" x14ac:dyDescent="0.2">
      <c r="B90" s="1" t="s">
        <v>153</v>
      </c>
      <c r="C90" s="7">
        <f>SUMIFS(Tabla1[Cantidad],Tabla1[Material],B90)-Tabla2[[#This Row],[Inversión]]</f>
        <v>54</v>
      </c>
      <c r="D90" s="7">
        <f>ROUNDDOWN(18+IF(E89&lt;0,-E89/3,0),0)+Tabla2[[#This Row],[Farmeo]]-Tabla2[[#This Row],[Inversión]]</f>
        <v>18</v>
      </c>
      <c r="E90" s="7">
        <f>Tabla2[[#This Row],[Cantidad]]-Tabla2[[#This Row],[Inventario]]</f>
        <v>36</v>
      </c>
      <c r="F90" s="1" t="s">
        <v>290</v>
      </c>
      <c r="G90" s="1">
        <v>0</v>
      </c>
      <c r="H90" s="1">
        <v>0</v>
      </c>
      <c r="I90" s="1">
        <v>0</v>
      </c>
      <c r="J90" s="1">
        <v>0</v>
      </c>
      <c r="K90" s="1" t="s">
        <v>249</v>
      </c>
    </row>
    <row r="91" spans="2:11" x14ac:dyDescent="0.2">
      <c r="B91" s="1" t="s">
        <v>162</v>
      </c>
      <c r="C91" s="7">
        <f>SUMIFS(Tabla1[Cantidad],Tabla1[Material],B91)-Tabla2[[#This Row],[Inversión]]</f>
        <v>10</v>
      </c>
      <c r="D91" s="7">
        <f>11+Tabla2[[#This Row],[Farmeo]]-Tabla2[[#This Row],[Inversión]]</f>
        <v>11</v>
      </c>
      <c r="E91" s="7">
        <f>Tabla2[[#This Row],[Cantidad]]-Tabla2[[#This Row],[Inventario]]</f>
        <v>-1</v>
      </c>
      <c r="F91" s="1" t="s">
        <v>290</v>
      </c>
      <c r="G91" s="1">
        <v>0</v>
      </c>
      <c r="H91" s="1">
        <v>0</v>
      </c>
      <c r="I91" s="1">
        <v>0</v>
      </c>
      <c r="J91" s="1">
        <v>0</v>
      </c>
      <c r="K91" s="1" t="s">
        <v>250</v>
      </c>
    </row>
    <row r="92" spans="2:11" x14ac:dyDescent="0.2">
      <c r="B92" s="1" t="s">
        <v>163</v>
      </c>
      <c r="C92" s="7">
        <f>SUMIFS(Tabla1[Cantidad],Tabla1[Material],B92)-Tabla2[[#This Row],[Inversión]]</f>
        <v>15</v>
      </c>
      <c r="D92" s="7">
        <f>ROUNDDOWN(8+IF(E91&lt;0,-E91/3,0),0)+Tabla2[[#This Row],[Farmeo]]-Tabla2[[#This Row],[Inversión]]</f>
        <v>8</v>
      </c>
      <c r="E92" s="7">
        <f>Tabla2[[#This Row],[Cantidad]]-Tabla2[[#This Row],[Inventario]]</f>
        <v>7</v>
      </c>
      <c r="F92" s="1" t="s">
        <v>290</v>
      </c>
      <c r="G92" s="1">
        <v>0</v>
      </c>
      <c r="H92" s="1">
        <v>0</v>
      </c>
      <c r="I92" s="1">
        <v>0</v>
      </c>
      <c r="J92" s="1">
        <v>0</v>
      </c>
      <c r="K92" s="1" t="s">
        <v>250</v>
      </c>
    </row>
    <row r="93" spans="2:11" x14ac:dyDescent="0.2">
      <c r="B93" s="1" t="s">
        <v>164</v>
      </c>
      <c r="C93" s="7">
        <f>SUMIFS(Tabla1[Cantidad],Tabla1[Material],B93)-Tabla2[[#This Row],[Inversión]]</f>
        <v>18</v>
      </c>
      <c r="D93" s="7">
        <f>ROUNDDOWN(3+IF(E92&lt;0,-E92/3,0),0)+Tabla2[[#This Row],[Farmeo]]-Tabla2[[#This Row],[Inversión]]</f>
        <v>3</v>
      </c>
      <c r="E93" s="7">
        <f>Tabla2[[#This Row],[Cantidad]]-Tabla2[[#This Row],[Inventario]]</f>
        <v>15</v>
      </c>
      <c r="F93" s="1" t="s">
        <v>290</v>
      </c>
      <c r="G93" s="1">
        <v>0</v>
      </c>
      <c r="H93" s="1">
        <v>0</v>
      </c>
      <c r="I93" s="1">
        <v>0</v>
      </c>
      <c r="J93" s="1">
        <v>0</v>
      </c>
      <c r="K93" s="1" t="s">
        <v>250</v>
      </c>
    </row>
    <row r="94" spans="2:11" x14ac:dyDescent="0.2">
      <c r="B94" s="1" t="s">
        <v>172</v>
      </c>
      <c r="C94" s="7">
        <f>SUMIFS(Tabla1[Cantidad],Tabla1[Material],B94)-Tabla2[[#This Row],[Inversión]]</f>
        <v>0</v>
      </c>
      <c r="D94" s="7">
        <f>62+Tabla2[[#This Row],[Farmeo]]-Tabla2[[#This Row],[Inversión]]</f>
        <v>62</v>
      </c>
      <c r="E94" s="7">
        <f>Tabla2[[#This Row],[Cantidad]]-Tabla2[[#This Row],[Inventario]]</f>
        <v>-62</v>
      </c>
      <c r="F94" s="1" t="s">
        <v>290</v>
      </c>
      <c r="G94" s="1">
        <v>0</v>
      </c>
      <c r="H94" s="1">
        <v>0</v>
      </c>
      <c r="I94" s="1">
        <v>0</v>
      </c>
      <c r="J94" s="1">
        <v>0</v>
      </c>
      <c r="K94" s="1" t="s">
        <v>252</v>
      </c>
    </row>
    <row r="95" spans="2:11" x14ac:dyDescent="0.2">
      <c r="B95" s="1" t="s">
        <v>174</v>
      </c>
      <c r="C95" s="7">
        <f>SUMIFS(Tabla1[Cantidad],Tabla1[Material],B95)-Tabla2[[#This Row],[Inversión]]</f>
        <v>12</v>
      </c>
      <c r="D95" s="7">
        <f>ROUNDDOWN(41+IF(E94&lt;0,-E94/3,0),0)+Tabla2[[#This Row],[Farmeo]]-Tabla2[[#This Row],[Inversión]]</f>
        <v>61</v>
      </c>
      <c r="E95" s="7">
        <f>Tabla2[[#This Row],[Cantidad]]-Tabla2[[#This Row],[Inventario]]</f>
        <v>-49</v>
      </c>
      <c r="F95" s="1" t="s">
        <v>290</v>
      </c>
      <c r="G95" s="1">
        <v>0</v>
      </c>
      <c r="H95" s="1">
        <v>0</v>
      </c>
      <c r="I95" s="1">
        <v>0</v>
      </c>
      <c r="J95" s="1">
        <v>0</v>
      </c>
      <c r="K95" s="1" t="s">
        <v>252</v>
      </c>
    </row>
    <row r="96" spans="2:11" x14ac:dyDescent="0.2">
      <c r="B96" s="1" t="s">
        <v>173</v>
      </c>
      <c r="C96" s="7">
        <f>SUMIFS(Tabla1[Cantidad],Tabla1[Material],B96)-Tabla2[[#This Row],[Inversión]]</f>
        <v>27</v>
      </c>
      <c r="D96" s="7">
        <f>ROUNDDOWN(14+IF(E95&lt;0,-E95/3,0),0)+Tabla2[[#This Row],[Farmeo]]-Tabla2[[#This Row],[Inversión]]</f>
        <v>30</v>
      </c>
      <c r="E96" s="7">
        <f>Tabla2[[#This Row],[Cantidad]]-Tabla2[[#This Row],[Inventario]]</f>
        <v>-3</v>
      </c>
      <c r="F96" s="1" t="s">
        <v>290</v>
      </c>
      <c r="G96" s="1">
        <v>0</v>
      </c>
      <c r="H96" s="1">
        <v>0</v>
      </c>
      <c r="I96" s="1">
        <v>0</v>
      </c>
      <c r="J96" s="1">
        <v>0</v>
      </c>
      <c r="K96" s="1" t="s">
        <v>252</v>
      </c>
    </row>
    <row r="97" spans="2:11" x14ac:dyDescent="0.2">
      <c r="B97" s="1" t="s">
        <v>180</v>
      </c>
      <c r="C97" s="7">
        <f>SUMIFS(Tabla1[Cantidad],Tabla1[Material],B97)-Tabla2[[#This Row],[Inversión]]</f>
        <v>23</v>
      </c>
      <c r="D97" s="7">
        <f>23+Tabla2[[#This Row],[Farmeo]]-Tabla2[[#This Row],[Inversión]]</f>
        <v>23</v>
      </c>
      <c r="E97" s="7">
        <f>Tabla2[[#This Row],[Cantidad]]-Tabla2[[#This Row],[Inventario]]</f>
        <v>0</v>
      </c>
      <c r="F97" s="1" t="s">
        <v>290</v>
      </c>
      <c r="G97" s="1">
        <v>0</v>
      </c>
      <c r="H97" s="1">
        <v>0</v>
      </c>
      <c r="I97" s="1">
        <v>0</v>
      </c>
      <c r="J97" s="1">
        <v>0</v>
      </c>
      <c r="K97" s="1" t="s">
        <v>253</v>
      </c>
    </row>
    <row r="98" spans="2:11" x14ac:dyDescent="0.2">
      <c r="B98" s="1" t="s">
        <v>181</v>
      </c>
      <c r="C98" s="7">
        <f>SUMIFS(Tabla1[Cantidad],Tabla1[Material],B98)-Tabla2[[#This Row],[Inversión]]</f>
        <v>27</v>
      </c>
      <c r="D98" s="7">
        <f>ROUNDDOWN(9+IF(E97&lt;0,-E97/3,0),0)+Tabla2[[#This Row],[Farmeo]]-Tabla2[[#This Row],[Inversión]]</f>
        <v>9</v>
      </c>
      <c r="E98" s="7">
        <f>Tabla2[[#This Row],[Cantidad]]-Tabla2[[#This Row],[Inventario]]</f>
        <v>18</v>
      </c>
      <c r="F98" s="1" t="s">
        <v>290</v>
      </c>
      <c r="G98" s="1">
        <v>0</v>
      </c>
      <c r="H98" s="1">
        <v>0</v>
      </c>
      <c r="I98" s="1">
        <v>0</v>
      </c>
      <c r="J98" s="1">
        <v>0</v>
      </c>
      <c r="K98" s="1" t="s">
        <v>253</v>
      </c>
    </row>
    <row r="99" spans="2:11" x14ac:dyDescent="0.2">
      <c r="B99" s="1" t="s">
        <v>182</v>
      </c>
      <c r="C99" s="7">
        <f>SUMIFS(Tabla1[Cantidad],Tabla1[Material],B99)-Tabla2[[#This Row],[Inversión]]</f>
        <v>41</v>
      </c>
      <c r="D99" s="7">
        <f>ROUNDDOWN(2+IF(E98&lt;0,-E98/3,0),0)+Tabla2[[#This Row],[Farmeo]]-Tabla2[[#This Row],[Inversión]]</f>
        <v>2</v>
      </c>
      <c r="E99" s="7">
        <f>Tabla2[[#This Row],[Cantidad]]-Tabla2[[#This Row],[Inventario]]</f>
        <v>39</v>
      </c>
      <c r="F99" s="1" t="s">
        <v>290</v>
      </c>
      <c r="G99" s="1">
        <v>0</v>
      </c>
      <c r="H99" s="1">
        <v>0</v>
      </c>
      <c r="I99" s="1">
        <v>0</v>
      </c>
      <c r="J99" s="1">
        <v>0</v>
      </c>
      <c r="K99" s="1" t="s">
        <v>253</v>
      </c>
    </row>
    <row r="100" spans="2:11" x14ac:dyDescent="0.2">
      <c r="B100" s="1" t="s">
        <v>260</v>
      </c>
      <c r="C100" s="7">
        <f>SUMIFS(Tabla1[Cantidad],Tabla1[Material],B100)-Tabla2[[#This Row],[Inversión]]</f>
        <v>0</v>
      </c>
      <c r="D100" s="7">
        <f>0+Tabla2[[#This Row],[Farmeo]]-Tabla2[[#This Row],[Inversión]]</f>
        <v>0</v>
      </c>
      <c r="E100" s="7">
        <f>Tabla2[[#This Row],[Cantidad]]-Tabla2[[#This Row],[Inventario]]</f>
        <v>0</v>
      </c>
      <c r="F100" s="1" t="s">
        <v>290</v>
      </c>
      <c r="G100" s="1">
        <v>0</v>
      </c>
      <c r="H100" s="1">
        <v>0</v>
      </c>
      <c r="I100" s="1">
        <v>0</v>
      </c>
      <c r="J100" s="1">
        <v>0</v>
      </c>
      <c r="K100" s="1" t="s">
        <v>254</v>
      </c>
    </row>
    <row r="101" spans="2:11" x14ac:dyDescent="0.2">
      <c r="B101" s="1" t="s">
        <v>189</v>
      </c>
      <c r="C101" s="7">
        <f>SUMIFS(Tabla1[Cantidad],Tabla1[Material],B101)-Tabla2[[#This Row],[Inversión]]</f>
        <v>30</v>
      </c>
      <c r="D101" s="7">
        <f>ROUNDDOWN(32+IF(E100&lt;0,-E100/3,0),0)+Tabla2[[#This Row],[Farmeo]]-Tabla2[[#This Row],[Inversión]]</f>
        <v>32</v>
      </c>
      <c r="E101" s="7">
        <f>Tabla2[[#This Row],[Cantidad]]-Tabla2[[#This Row],[Inventario]]</f>
        <v>-2</v>
      </c>
      <c r="F101" s="1" t="s">
        <v>290</v>
      </c>
      <c r="G101" s="1">
        <v>0</v>
      </c>
      <c r="H101" s="1">
        <v>0</v>
      </c>
      <c r="I101" s="1">
        <v>0</v>
      </c>
      <c r="J101" s="1">
        <v>0</v>
      </c>
      <c r="K101" s="1" t="s">
        <v>254</v>
      </c>
    </row>
    <row r="102" spans="2:11" x14ac:dyDescent="0.2">
      <c r="B102" s="1" t="s">
        <v>190</v>
      </c>
      <c r="C102" s="7">
        <f>SUMIFS(Tabla1[Cantidad],Tabla1[Material],B102)-Tabla2[[#This Row],[Inversión]]</f>
        <v>54</v>
      </c>
      <c r="D102" s="7">
        <f>ROUNDDOWN(22+IF(E101&lt;0,-E101/3,0),0)+Tabla2[[#This Row],[Farmeo]]-Tabla2[[#This Row],[Inversión]]</f>
        <v>22</v>
      </c>
      <c r="E102" s="7">
        <f>Tabla2[[#This Row],[Cantidad]]-Tabla2[[#This Row],[Inventario]]</f>
        <v>32</v>
      </c>
      <c r="F102" s="1" t="s">
        <v>290</v>
      </c>
      <c r="G102" s="1">
        <v>0</v>
      </c>
      <c r="H102" s="1">
        <v>0</v>
      </c>
      <c r="I102" s="1">
        <v>0</v>
      </c>
      <c r="J102" s="1">
        <v>0</v>
      </c>
      <c r="K102" s="1" t="s">
        <v>254</v>
      </c>
    </row>
    <row r="103" spans="2:11" x14ac:dyDescent="0.2">
      <c r="B103" s="1" t="s">
        <v>197</v>
      </c>
      <c r="C103" s="7">
        <f>SUMIFS(Tabla1[Cantidad],Tabla1[Material],B103)-Tabla2[[#This Row],[Inversión]]</f>
        <v>15</v>
      </c>
      <c r="D103" s="7">
        <f>15+Tabla2[[#This Row],[Farmeo]]-Tabla2[[#This Row],[Inversión]]</f>
        <v>15</v>
      </c>
      <c r="E103" s="7">
        <f>Tabla2[[#This Row],[Cantidad]]-Tabla2[[#This Row],[Inventario]]</f>
        <v>0</v>
      </c>
      <c r="F103" s="1" t="s">
        <v>290</v>
      </c>
      <c r="G103" s="1">
        <v>0</v>
      </c>
      <c r="H103" s="1">
        <v>0</v>
      </c>
      <c r="I103" s="1">
        <v>0</v>
      </c>
      <c r="J103" s="1">
        <v>0</v>
      </c>
      <c r="K103" s="1" t="s">
        <v>255</v>
      </c>
    </row>
    <row r="104" spans="2:11" x14ac:dyDescent="0.2">
      <c r="B104" s="1" t="s">
        <v>198</v>
      </c>
      <c r="C104" s="7">
        <f>SUMIFS(Tabla1[Cantidad],Tabla1[Material],B104)-Tabla2[[#This Row],[Inversión]]</f>
        <v>18</v>
      </c>
      <c r="D104" s="7">
        <f>ROUNDDOWN(20+IF(E103&lt;0,-E103/3,0),0)+Tabla2[[#This Row],[Farmeo]]-Tabla2[[#This Row],[Inversión]]</f>
        <v>20</v>
      </c>
      <c r="E104" s="7">
        <f>Tabla2[[#This Row],[Cantidad]]-Tabla2[[#This Row],[Inventario]]</f>
        <v>-2</v>
      </c>
      <c r="F104" s="1" t="s">
        <v>290</v>
      </c>
      <c r="G104" s="1">
        <v>0</v>
      </c>
      <c r="H104" s="1">
        <v>0</v>
      </c>
      <c r="I104" s="1">
        <v>0</v>
      </c>
      <c r="J104" s="1">
        <v>0</v>
      </c>
      <c r="K104" s="1" t="s">
        <v>255</v>
      </c>
    </row>
    <row r="105" spans="2:11" x14ac:dyDescent="0.2">
      <c r="B105" s="1" t="s">
        <v>199</v>
      </c>
      <c r="C105" s="7">
        <f>SUMIFS(Tabla1[Cantidad],Tabla1[Material],B105)-Tabla2[[#This Row],[Inversión]]</f>
        <v>27</v>
      </c>
      <c r="D105" s="7">
        <f>ROUNDDOWN(3+IF(E104&lt;0,-E104/3,0),0)+Tabla2[[#This Row],[Farmeo]]-Tabla2[[#This Row],[Inversión]]</f>
        <v>3</v>
      </c>
      <c r="E105" s="7">
        <f>Tabla2[[#This Row],[Cantidad]]-Tabla2[[#This Row],[Inventario]]</f>
        <v>24</v>
      </c>
      <c r="F105" s="1" t="s">
        <v>290</v>
      </c>
      <c r="G105" s="1">
        <v>0</v>
      </c>
      <c r="H105" s="1">
        <v>0</v>
      </c>
      <c r="I105" s="1">
        <v>0</v>
      </c>
      <c r="J105" s="1">
        <v>0</v>
      </c>
      <c r="K105" s="1" t="s">
        <v>255</v>
      </c>
    </row>
    <row r="106" spans="2:11" x14ac:dyDescent="0.2">
      <c r="B106" s="1" t="s">
        <v>205</v>
      </c>
      <c r="C106" s="7">
        <f>SUMIFS(Tabla1[Cantidad],Tabla1[Material],B106)-Tabla2[[#This Row],[Inversión]]</f>
        <v>53</v>
      </c>
      <c r="D106" s="7">
        <f>39+23+Tabla2[[#This Row],[Farmeo]]-Tabla2[[#This Row],[Inversión]]</f>
        <v>39</v>
      </c>
      <c r="E106" s="7">
        <f>Tabla2[[#This Row],[Cantidad]]-Tabla2[[#This Row],[Inventario]]</f>
        <v>14</v>
      </c>
      <c r="F106" s="1" t="s">
        <v>290</v>
      </c>
      <c r="G106" s="1">
        <v>0</v>
      </c>
      <c r="H106" s="1">
        <v>0</v>
      </c>
      <c r="I106" s="1">
        <v>0</v>
      </c>
      <c r="J106" s="1">
        <f>5+18</f>
        <v>23</v>
      </c>
      <c r="K106" s="1" t="s">
        <v>256</v>
      </c>
    </row>
    <row r="107" spans="2:11" x14ac:dyDescent="0.2">
      <c r="B107" s="1" t="s">
        <v>206</v>
      </c>
      <c r="C107" s="7">
        <f>SUMIFS(Tabla1[Cantidad],Tabla1[Material],B107)-Tabla2[[#This Row],[Inversión]]</f>
        <v>90</v>
      </c>
      <c r="D107" s="7">
        <f>ROUNDDOWN(72+IF(E106&lt;0,-E106/3,0),0)+Tabla2[[#This Row],[Farmeo]]-Tabla2[[#This Row],[Inversión]]</f>
        <v>72</v>
      </c>
      <c r="E107" s="7">
        <f>Tabla2[[#This Row],[Cantidad]]-Tabla2[[#This Row],[Inventario]]</f>
        <v>18</v>
      </c>
      <c r="F107" s="1" t="s">
        <v>290</v>
      </c>
      <c r="G107" s="1">
        <v>0</v>
      </c>
      <c r="H107" s="1">
        <v>0</v>
      </c>
      <c r="I107" s="1">
        <v>0</v>
      </c>
      <c r="J107" s="1">
        <v>0</v>
      </c>
      <c r="K107" s="1" t="s">
        <v>256</v>
      </c>
    </row>
    <row r="108" spans="2:11" x14ac:dyDescent="0.2">
      <c r="B108" s="1" t="s">
        <v>207</v>
      </c>
      <c r="C108" s="7">
        <f>SUMIFS(Tabla1[Cantidad],Tabla1[Material],B108)-Tabla2[[#This Row],[Inversión]]</f>
        <v>136</v>
      </c>
      <c r="D108" s="7">
        <f>ROUNDDOWN(144+IF(E107&lt;0,-E107/3,0),0)+Tabla2[[#This Row],[Farmeo]]-Tabla2[[#This Row],[Inversión]]</f>
        <v>144</v>
      </c>
      <c r="E108" s="7">
        <f>Tabla2[[#This Row],[Cantidad]]-Tabla2[[#This Row],[Inventario]]</f>
        <v>-8</v>
      </c>
      <c r="F108" s="1" t="s">
        <v>290</v>
      </c>
      <c r="G108" s="1">
        <v>0</v>
      </c>
      <c r="H108" s="1">
        <v>0</v>
      </c>
      <c r="I108" s="1">
        <v>0</v>
      </c>
      <c r="J108" s="1">
        <v>0</v>
      </c>
      <c r="K108" s="1" t="s">
        <v>256</v>
      </c>
    </row>
    <row r="109" spans="2:11" x14ac:dyDescent="0.2">
      <c r="B109" s="1" t="s">
        <v>259</v>
      </c>
      <c r="C109" s="7">
        <f>SUMIFS(Tabla1[Cantidad],Tabla1[Material],B109)-Tabla2[[#This Row],[Inversión]]</f>
        <v>0</v>
      </c>
      <c r="D109" s="7">
        <f>1+Tabla2[[#This Row],[Farmeo]]-Tabla2[[#This Row],[Inversión]]</f>
        <v>1</v>
      </c>
      <c r="E109" s="7">
        <f>Tabla2[[#This Row],[Cantidad]]-Tabla2[[#This Row],[Inventario]]</f>
        <v>-1</v>
      </c>
      <c r="F109" s="1" t="s">
        <v>290</v>
      </c>
      <c r="G109" s="1">
        <v>0</v>
      </c>
      <c r="H109" s="1">
        <v>0</v>
      </c>
      <c r="I109" s="1">
        <v>0</v>
      </c>
      <c r="J109" s="1">
        <v>0</v>
      </c>
      <c r="K109" s="1" t="s">
        <v>257</v>
      </c>
    </row>
    <row r="110" spans="2:11" x14ac:dyDescent="0.2">
      <c r="B110" s="1" t="s">
        <v>211</v>
      </c>
      <c r="C110" s="7">
        <f>SUMIFS(Tabla1[Cantidad],Tabla1[Material],B110)-Tabla2[[#This Row],[Inversión]]</f>
        <v>18</v>
      </c>
      <c r="D110" s="7">
        <f>ROUNDDOWN(18+IF(E109&lt;0,-E109/3,0),0)+Tabla2[[#This Row],[Farmeo]]-Tabla2[[#This Row],[Inversión]]</f>
        <v>18</v>
      </c>
      <c r="E110" s="7">
        <f>Tabla2[[#This Row],[Cantidad]]-Tabla2[[#This Row],[Inventario]]</f>
        <v>0</v>
      </c>
      <c r="F110" s="1" t="s">
        <v>290</v>
      </c>
      <c r="G110" s="1">
        <v>0</v>
      </c>
      <c r="H110" s="1">
        <v>0</v>
      </c>
      <c r="I110" s="1">
        <v>0</v>
      </c>
      <c r="J110" s="1">
        <v>0</v>
      </c>
      <c r="K110" s="1" t="s">
        <v>257</v>
      </c>
    </row>
    <row r="111" spans="2:11" x14ac:dyDescent="0.2">
      <c r="B111" s="1" t="s">
        <v>214</v>
      </c>
      <c r="C111" s="7">
        <f>SUMIFS(Tabla1[Cantidad],Tabla1[Material],B111)-Tabla2[[#This Row],[Inversión]]</f>
        <v>27</v>
      </c>
      <c r="D111" s="7">
        <f>ROUNDDOWN(37+IF(E110&lt;0,-E110/3,0),0)+Tabla2[[#This Row],[Farmeo]]-Tabla2[[#This Row],[Inversión]]</f>
        <v>37</v>
      </c>
      <c r="E111" s="7">
        <f>Tabla2[[#This Row],[Cantidad]]-Tabla2[[#This Row],[Inventario]]</f>
        <v>-10</v>
      </c>
      <c r="F111" s="1" t="s">
        <v>290</v>
      </c>
      <c r="G111" s="1">
        <v>0</v>
      </c>
      <c r="H111" s="1">
        <v>0</v>
      </c>
      <c r="I111" s="1">
        <v>0</v>
      </c>
      <c r="J111" s="1">
        <v>0</v>
      </c>
      <c r="K111" s="1" t="s">
        <v>257</v>
      </c>
    </row>
    <row r="112" spans="2:11" x14ac:dyDescent="0.2">
      <c r="B112" s="1" t="s">
        <v>92</v>
      </c>
      <c r="C112" s="7">
        <f>SUMIFS(Tabla1[Cantidad],Tabla1[Material],B112)-Tabla2[[#This Row],[Inversión]]</f>
        <v>18</v>
      </c>
      <c r="D112" s="7">
        <f>19+Tabla2[[#This Row],[Farmeo]]-Tabla2[[#This Row],[Inversión]]</f>
        <v>19</v>
      </c>
      <c r="E112" s="7">
        <f>Tabla2[[#This Row],[Cantidad]]-Tabla2[[#This Row],[Inventario]]</f>
        <v>-1</v>
      </c>
      <c r="F112" s="1" t="s">
        <v>286</v>
      </c>
      <c r="G112" s="1">
        <v>20</v>
      </c>
      <c r="H112" s="1">
        <f>IF(E112&gt;0,ROUNDUP(G112*E112/2,0),0)</f>
        <v>0</v>
      </c>
      <c r="I112" s="1">
        <v>0</v>
      </c>
      <c r="J112" s="1">
        <v>0</v>
      </c>
    </row>
    <row r="113" spans="2:10" x14ac:dyDescent="0.2">
      <c r="B113" s="1" t="s">
        <v>39</v>
      </c>
      <c r="C113" s="7">
        <f>SUMIFS(Tabla1[Cantidad],Tabla1[Material],B113)-Tabla2[[#This Row],[Inversión]]</f>
        <v>9</v>
      </c>
      <c r="D113" s="7">
        <f>11+Tabla2[[#This Row],[Farmeo]]-Tabla2[[#This Row],[Inversión]]</f>
        <v>11</v>
      </c>
      <c r="E113" s="7">
        <f>Tabla2[[#This Row],[Cantidad]]-Tabla2[[#This Row],[Inventario]]</f>
        <v>-2</v>
      </c>
      <c r="F113" s="1" t="s">
        <v>287</v>
      </c>
      <c r="G113" s="1">
        <v>20</v>
      </c>
      <c r="H113" s="1">
        <f t="shared" ref="H113:H129" si="2">IF(E113&gt;0,ROUNDUP(G113*E113/2,0),0)</f>
        <v>0</v>
      </c>
      <c r="I113" s="1">
        <v>0</v>
      </c>
      <c r="J113" s="1">
        <v>0</v>
      </c>
    </row>
    <row r="114" spans="2:10" x14ac:dyDescent="0.2">
      <c r="B114" s="1" t="s">
        <v>279</v>
      </c>
      <c r="C114" s="7">
        <f>SUMIFS(Tabla1[Cantidad],Tabla1[Material],B114)-Tabla2[[#This Row],[Inversión]]</f>
        <v>0</v>
      </c>
      <c r="D114" s="7">
        <f>2+Tabla2[[#This Row],[Farmeo]]-Tabla2[[#This Row],[Inversión]]</f>
        <v>2</v>
      </c>
      <c r="E114" s="7">
        <f>Tabla2[[#This Row],[Cantidad]]-Tabla2[[#This Row],[Inventario]]</f>
        <v>-2</v>
      </c>
      <c r="F114" s="1" t="s">
        <v>287</v>
      </c>
      <c r="G114" s="1">
        <v>20</v>
      </c>
      <c r="H114" s="1">
        <f t="shared" si="2"/>
        <v>0</v>
      </c>
      <c r="I114" s="1">
        <v>0</v>
      </c>
      <c r="J114" s="1">
        <v>0</v>
      </c>
    </row>
    <row r="115" spans="2:10" x14ac:dyDescent="0.2">
      <c r="B115" s="1" t="s">
        <v>280</v>
      </c>
      <c r="C115" s="7">
        <f>SUMIFS(Tabla1[Cantidad],Tabla1[Material],B115)-Tabla2[[#This Row],[Inversión]]</f>
        <v>0</v>
      </c>
      <c r="D115" s="7">
        <f>1+Tabla2[[#This Row],[Farmeo]]-Tabla2[[#This Row],[Inversión]]</f>
        <v>1</v>
      </c>
      <c r="E115" s="7">
        <f>Tabla2[[#This Row],[Cantidad]]-Tabla2[[#This Row],[Inventario]]</f>
        <v>-1</v>
      </c>
      <c r="F115" s="1" t="s">
        <v>286</v>
      </c>
      <c r="G115" s="1">
        <v>20</v>
      </c>
      <c r="H115" s="1">
        <f t="shared" si="2"/>
        <v>0</v>
      </c>
      <c r="I115" s="1">
        <v>0</v>
      </c>
      <c r="J115" s="1">
        <v>0</v>
      </c>
    </row>
    <row r="116" spans="2:10" x14ac:dyDescent="0.2">
      <c r="B116" s="1" t="s">
        <v>69</v>
      </c>
      <c r="C116" s="7">
        <f>SUMIFS(Tabla1[Cantidad],Tabla1[Material],B116)-Tabla2[[#This Row],[Inversión]]</f>
        <v>18</v>
      </c>
      <c r="D116" s="7">
        <f>19+Tabla2[[#This Row],[Farmeo]]-Tabla2[[#This Row],[Inversión]]</f>
        <v>19</v>
      </c>
      <c r="E116" s="7">
        <f>Tabla2[[#This Row],[Cantidad]]-Tabla2[[#This Row],[Inventario]]</f>
        <v>-1</v>
      </c>
      <c r="F116" s="1" t="s">
        <v>286</v>
      </c>
      <c r="G116" s="1">
        <v>20</v>
      </c>
      <c r="H116" s="1">
        <f t="shared" si="2"/>
        <v>0</v>
      </c>
      <c r="I116" s="1">
        <v>0</v>
      </c>
      <c r="J116" s="1">
        <v>0</v>
      </c>
    </row>
    <row r="117" spans="2:10" x14ac:dyDescent="0.2">
      <c r="B117" s="1" t="s">
        <v>281</v>
      </c>
      <c r="C117" s="7">
        <f>SUMIFS(Tabla1[Cantidad],Tabla1[Material],B117)-Tabla2[[#This Row],[Inversión]]</f>
        <v>0</v>
      </c>
      <c r="D117" s="7">
        <f>1+Tabla2[[#This Row],[Farmeo]]-Tabla2[[#This Row],[Inversión]]</f>
        <v>1</v>
      </c>
      <c r="E117" s="7">
        <f>Tabla2[[#This Row],[Cantidad]]-Tabla2[[#This Row],[Inventario]]</f>
        <v>-1</v>
      </c>
      <c r="F117" s="1" t="s">
        <v>288</v>
      </c>
      <c r="G117" s="1">
        <v>20</v>
      </c>
      <c r="H117" s="1">
        <f t="shared" si="2"/>
        <v>0</v>
      </c>
      <c r="I117" s="1">
        <v>0</v>
      </c>
      <c r="J117" s="1">
        <v>0</v>
      </c>
    </row>
    <row r="118" spans="2:10" x14ac:dyDescent="0.2">
      <c r="B118" s="1" t="s">
        <v>282</v>
      </c>
      <c r="C118" s="7">
        <f>SUMIFS(Tabla1[Cantidad],Tabla1[Material],B118)-Tabla2[[#This Row],[Inversión]]</f>
        <v>0</v>
      </c>
      <c r="D118" s="7">
        <f>2+Tabla2[[#This Row],[Farmeo]]-Tabla2[[#This Row],[Inversión]]</f>
        <v>2</v>
      </c>
      <c r="E118" s="7">
        <f>Tabla2[[#This Row],[Cantidad]]-Tabla2[[#This Row],[Inventario]]</f>
        <v>-2</v>
      </c>
      <c r="F118" s="1" t="s">
        <v>287</v>
      </c>
      <c r="G118" s="1">
        <v>20</v>
      </c>
      <c r="H118" s="1">
        <f t="shared" si="2"/>
        <v>0</v>
      </c>
      <c r="I118" s="1">
        <v>0</v>
      </c>
      <c r="J118" s="1">
        <v>0</v>
      </c>
    </row>
    <row r="119" spans="2:10" x14ac:dyDescent="0.2">
      <c r="B119" s="1" t="s">
        <v>283</v>
      </c>
      <c r="C119" s="7">
        <f>SUMIFS(Tabla1[Cantidad],Tabla1[Material],B119)-Tabla2[[#This Row],[Inversión]]</f>
        <v>0</v>
      </c>
      <c r="D119" s="7">
        <f>2+Tabla2[[#This Row],[Farmeo]]-Tabla2[[#This Row],[Inversión]]</f>
        <v>2</v>
      </c>
      <c r="E119" s="7">
        <f>Tabla2[[#This Row],[Cantidad]]-Tabla2[[#This Row],[Inventario]]</f>
        <v>-2</v>
      </c>
      <c r="F119" s="1" t="s">
        <v>288</v>
      </c>
      <c r="G119" s="1">
        <v>20</v>
      </c>
      <c r="H119" s="1">
        <f t="shared" si="2"/>
        <v>0</v>
      </c>
      <c r="I119" s="1">
        <v>0</v>
      </c>
      <c r="J119" s="1">
        <v>0</v>
      </c>
    </row>
    <row r="120" spans="2:10" x14ac:dyDescent="0.2">
      <c r="B120" s="1" t="s">
        <v>285</v>
      </c>
      <c r="C120" s="7">
        <f>SUMIFS(Tabla1[Cantidad],Tabla1[Material],B120)-Tabla2[[#This Row],[Inversión]]</f>
        <v>0</v>
      </c>
      <c r="D120" s="7">
        <f>1+Tabla2[[#This Row],[Farmeo]]-Tabla2[[#This Row],[Inversión]]</f>
        <v>1</v>
      </c>
      <c r="E120" s="7">
        <f>Tabla2[[#This Row],[Cantidad]]-Tabla2[[#This Row],[Inventario]]</f>
        <v>-1</v>
      </c>
      <c r="F120" s="1" t="s">
        <v>288</v>
      </c>
      <c r="G120" s="1">
        <v>20</v>
      </c>
      <c r="H120" s="1">
        <f t="shared" si="2"/>
        <v>0</v>
      </c>
      <c r="I120" s="1">
        <v>0</v>
      </c>
      <c r="J120" s="1">
        <v>0</v>
      </c>
    </row>
    <row r="121" spans="2:10" x14ac:dyDescent="0.2">
      <c r="B121" s="1" t="s">
        <v>12</v>
      </c>
      <c r="C121" s="7">
        <f>SUMIFS(Tabla1[Cantidad],Tabla1[Material],B121)-Tabla2[[#This Row],[Inversión]]</f>
        <v>180</v>
      </c>
      <c r="D121" s="7">
        <f>ROUNDDOWN(20+18+IF(E112&lt;0,-E112/3,0),0)+Tabla2[[#This Row],[Farmeo]]-Tabla2[[#This Row],[Inversión]]</f>
        <v>23</v>
      </c>
      <c r="E121" s="7">
        <f>Tabla2[[#This Row],[Cantidad]]-Tabla2[[#This Row],[Inventario]]</f>
        <v>157</v>
      </c>
      <c r="F121" s="1" t="s">
        <v>286</v>
      </c>
      <c r="G121" s="1">
        <v>20</v>
      </c>
      <c r="H121" s="1">
        <f t="shared" si="2"/>
        <v>1570</v>
      </c>
      <c r="I121" s="1">
        <f>3</f>
        <v>3</v>
      </c>
      <c r="J121" s="1">
        <f>9+9</f>
        <v>18</v>
      </c>
    </row>
    <row r="122" spans="2:10" x14ac:dyDescent="0.2">
      <c r="B122" s="1" t="s">
        <v>21</v>
      </c>
      <c r="C122" s="7">
        <f>SUMIFS(Tabla1[Cantidad],Tabla1[Material],B122)-Tabla2[[#This Row],[Inversión]]</f>
        <v>108</v>
      </c>
      <c r="D122" s="7">
        <f>ROUNDDOWN(19+18+IF(E113&lt;0,-E113/3,0),0)+Tabla2[[#This Row],[Farmeo]]-Tabla2[[#This Row],[Inversión]]</f>
        <v>8</v>
      </c>
      <c r="E122" s="7">
        <f>Tabla2[[#This Row],[Cantidad]]-Tabla2[[#This Row],[Inventario]]</f>
        <v>100</v>
      </c>
      <c r="F122" s="1" t="s">
        <v>287</v>
      </c>
      <c r="G122" s="1">
        <v>20</v>
      </c>
      <c r="H122" s="1">
        <f t="shared" si="2"/>
        <v>1000</v>
      </c>
      <c r="I122" s="1">
        <f>4</f>
        <v>4</v>
      </c>
      <c r="J122" s="1">
        <f>6+18+9</f>
        <v>33</v>
      </c>
    </row>
    <row r="123" spans="2:10" x14ac:dyDescent="0.2">
      <c r="B123" s="1" t="s">
        <v>47</v>
      </c>
      <c r="C123" s="7">
        <f>SUMIFS(Tabla1[Cantidad],Tabla1[Material],B123)-Tabla2[[#This Row],[Inversión]]</f>
        <v>12</v>
      </c>
      <c r="D123" s="7">
        <f>ROUNDDOWN(31+39+IF(E114&lt;0,-E114/3,0),0)+Tabla2[[#This Row],[Farmeo]]-Tabla2[[#This Row],[Inversión]]</f>
        <v>31</v>
      </c>
      <c r="E123" s="7">
        <f>Tabla2[[#This Row],[Cantidad]]-Tabla2[[#This Row],[Inventario]]</f>
        <v>-19</v>
      </c>
      <c r="F123" s="1" t="s">
        <v>287</v>
      </c>
      <c r="G123" s="1">
        <v>20</v>
      </c>
      <c r="H123" s="1">
        <f t="shared" si="2"/>
        <v>0</v>
      </c>
      <c r="I123" s="1">
        <v>0</v>
      </c>
      <c r="J123" s="1">
        <f>39</f>
        <v>39</v>
      </c>
    </row>
    <row r="124" spans="2:10" x14ac:dyDescent="0.2">
      <c r="B124" s="1" t="s">
        <v>54</v>
      </c>
      <c r="C124" s="7">
        <f>SUMIFS(Tabla1[Cantidad],Tabla1[Material],B124)-Tabla2[[#This Row],[Inversión]]</f>
        <v>72</v>
      </c>
      <c r="D124" s="7">
        <f>ROUNDDOWN(48+IF(E115&lt;0,-E115/3,0),0)+Tabla2[[#This Row],[Farmeo]]-Tabla2[[#This Row],[Inversión]]</f>
        <v>30</v>
      </c>
      <c r="E124" s="7">
        <f>Tabla2[[#This Row],[Cantidad]]-Tabla2[[#This Row],[Inventario]]</f>
        <v>42</v>
      </c>
      <c r="F124" s="1" t="s">
        <v>286</v>
      </c>
      <c r="G124" s="1">
        <v>20</v>
      </c>
      <c r="H124" s="1">
        <f t="shared" si="2"/>
        <v>420</v>
      </c>
      <c r="I124" s="1">
        <v>0</v>
      </c>
      <c r="J124" s="1">
        <f>2*3+4*3</f>
        <v>18</v>
      </c>
    </row>
    <row r="125" spans="2:10" x14ac:dyDescent="0.2">
      <c r="B125" s="1" t="s">
        <v>58</v>
      </c>
      <c r="C125" s="7">
        <f>SUMIFS(Tabla1[Cantidad],Tabla1[Material],B125)-Tabla2[[#This Row],[Inversión]]</f>
        <v>180</v>
      </c>
      <c r="D125" s="7">
        <f>ROUNDDOWN(46+14+IF(E116&lt;0,-E116/3,0),0)+Tabla2[[#This Row],[Farmeo]]-Tabla2[[#This Row],[Inversión]]</f>
        <v>46</v>
      </c>
      <c r="E125" s="7">
        <f>Tabla2[[#This Row],[Cantidad]]-Tabla2[[#This Row],[Inventario]]</f>
        <v>134</v>
      </c>
      <c r="F125" s="1" t="s">
        <v>286</v>
      </c>
      <c r="G125" s="1">
        <v>20</v>
      </c>
      <c r="H125" s="1">
        <f t="shared" si="2"/>
        <v>1340</v>
      </c>
      <c r="I125" s="1">
        <v>0</v>
      </c>
      <c r="J125" s="1">
        <f>4*2+2+4</f>
        <v>14</v>
      </c>
    </row>
    <row r="126" spans="2:10" x14ac:dyDescent="0.2">
      <c r="B126" s="1" t="s">
        <v>76</v>
      </c>
      <c r="C126" s="7">
        <f>SUMIFS(Tabla1[Cantidad],Tabla1[Material],B126)-Tabla2[[#This Row],[Inversión]]</f>
        <v>36</v>
      </c>
      <c r="D126" s="7">
        <f>ROUNDDOWN(34+18+IF(E117&lt;0,-E117/3,0),0)+Tabla2[[#This Row],[Farmeo]]-Tabla2[[#This Row],[Inversión]]</f>
        <v>7</v>
      </c>
      <c r="E126" s="7">
        <f>Tabla2[[#This Row],[Cantidad]]-Tabla2[[#This Row],[Inventario]]</f>
        <v>29</v>
      </c>
      <c r="F126" s="1" t="s">
        <v>288</v>
      </c>
      <c r="G126" s="1">
        <v>20</v>
      </c>
      <c r="H126" s="1">
        <f t="shared" si="2"/>
        <v>290</v>
      </c>
      <c r="I126" s="1">
        <v>0</v>
      </c>
      <c r="J126" s="1">
        <f>2+2+2+4*3+6*3+9</f>
        <v>45</v>
      </c>
    </row>
    <row r="127" spans="2:10" x14ac:dyDescent="0.2">
      <c r="B127" s="1" t="s">
        <v>86</v>
      </c>
      <c r="C127" s="7">
        <f>SUMIFS(Tabla1[Cantidad],Tabla1[Material],B127)-Tabla2[[#This Row],[Inversión]]</f>
        <v>53</v>
      </c>
      <c r="D127" s="7">
        <f>ROUNDDOWN(24+IF(E118&lt;0,-E118/3,0),0)+Tabla2[[#This Row],[Farmeo]]-Tabla2[[#This Row],[Inversión]]</f>
        <v>10</v>
      </c>
      <c r="E127" s="7">
        <f>Tabla2[[#This Row],[Cantidad]]-Tabla2[[#This Row],[Inventario]]</f>
        <v>43</v>
      </c>
      <c r="F127" s="1" t="s">
        <v>287</v>
      </c>
      <c r="G127" s="1">
        <v>20</v>
      </c>
      <c r="H127" s="1">
        <f t="shared" si="2"/>
        <v>430</v>
      </c>
      <c r="I127" s="1">
        <v>0</v>
      </c>
      <c r="J127" s="1">
        <f>2*3+4*2</f>
        <v>14</v>
      </c>
    </row>
    <row r="128" spans="2:10" x14ac:dyDescent="0.2">
      <c r="B128" s="1" t="s">
        <v>111</v>
      </c>
      <c r="C128" s="7">
        <f>SUMIFS(Tabla1[Cantidad],Tabla1[Material],B128)-Tabla2[[#This Row],[Inversión]]</f>
        <v>57</v>
      </c>
      <c r="D128" s="7">
        <f>ROUNDDOWN(43+IF(E119&lt;0,-E119/3,0),0)+Tabla2[[#This Row],[Farmeo]]-Tabla2[[#This Row],[Inversión]]</f>
        <v>33</v>
      </c>
      <c r="E128" s="7">
        <f>Tabla2[[#This Row],[Cantidad]]-Tabla2[[#This Row],[Inventario]]</f>
        <v>24</v>
      </c>
      <c r="F128" s="1" t="s">
        <v>288</v>
      </c>
      <c r="G128" s="1">
        <v>20</v>
      </c>
      <c r="H128" s="1">
        <f t="shared" si="2"/>
        <v>240</v>
      </c>
      <c r="I128" s="1">
        <f>2</f>
        <v>2</v>
      </c>
      <c r="J128" s="1">
        <f>4*3</f>
        <v>12</v>
      </c>
    </row>
    <row r="129" spans="2:10" x14ac:dyDescent="0.2">
      <c r="B129" s="1" t="s">
        <v>284</v>
      </c>
      <c r="C129" s="7">
        <f>SUMIFS(Tabla1[Cantidad],Tabla1[Material],B129)-Tabla2[[#This Row],[Inversión]]</f>
        <v>0</v>
      </c>
      <c r="D129" s="7">
        <f>ROUNDDOWN(3+IF(E120&lt;0,-E120/3,0),0)+Tabla2[[#This Row],[Farmeo]]-Tabla2[[#This Row],[Inversión]]</f>
        <v>5</v>
      </c>
      <c r="E129" s="7">
        <f>Tabla2[[#This Row],[Cantidad]]-Tabla2[[#This Row],[Inventario]]</f>
        <v>-5</v>
      </c>
      <c r="F129" s="1" t="s">
        <v>288</v>
      </c>
      <c r="G129" s="1">
        <v>20</v>
      </c>
      <c r="H129" s="1">
        <f t="shared" si="2"/>
        <v>0</v>
      </c>
      <c r="I129" s="1">
        <f>2</f>
        <v>2</v>
      </c>
      <c r="J129" s="1">
        <v>0</v>
      </c>
    </row>
    <row r="130" spans="2:10" x14ac:dyDescent="0.2">
      <c r="B130" s="1" t="s">
        <v>13</v>
      </c>
      <c r="C130" s="7">
        <f>SUMIFS(Tabla1[Cantidad],Tabla1[Material],B130)-Tabla2[[#This Row],[Inversión]]</f>
        <v>312</v>
      </c>
      <c r="D130" s="7">
        <f>ROUNDDOWN(2+IF(E121&lt;0,-E121/3,0),0)+Tabla2[[#This Row],[Farmeo]]-Tabla2[[#This Row],[Inversión]]</f>
        <v>3</v>
      </c>
      <c r="E130" s="7">
        <f>Tabla2[[#This Row],[Cantidad]]-Tabla2[[#This Row],[Inventario]]</f>
        <v>309</v>
      </c>
      <c r="F130" s="1" t="s">
        <v>286</v>
      </c>
      <c r="G130" s="1">
        <v>20</v>
      </c>
      <c r="H130" s="1">
        <f>IF(E130&gt;0,ROUNDUP(G130*E130,0),0)</f>
        <v>6180</v>
      </c>
      <c r="I130" s="1">
        <f>1</f>
        <v>1</v>
      </c>
      <c r="J130" s="1">
        <v>0</v>
      </c>
    </row>
    <row r="131" spans="2:10" x14ac:dyDescent="0.2">
      <c r="B131" s="1" t="s">
        <v>23</v>
      </c>
      <c r="C131" s="7">
        <f>SUMIFS(Tabla1[Cantidad],Tabla1[Material],B131)-Tabla2[[#This Row],[Inversión]]</f>
        <v>230</v>
      </c>
      <c r="D131" s="7">
        <f>ROUNDDOWN(6+4+IF(E122&lt;0,-E122/3,0),0)+Tabla2[[#This Row],[Farmeo]]-Tabla2[[#This Row],[Inversión]]</f>
        <v>2</v>
      </c>
      <c r="E131" s="7">
        <f>Tabla2[[#This Row],[Cantidad]]-Tabla2[[#This Row],[Inventario]]</f>
        <v>228</v>
      </c>
      <c r="F131" s="1" t="s">
        <v>287</v>
      </c>
      <c r="G131" s="1">
        <v>20</v>
      </c>
      <c r="H131" s="1">
        <f t="shared" ref="H131:H153" si="3">IF(E131&gt;0,ROUNDUP(G131*E131,0),0)</f>
        <v>4560</v>
      </c>
      <c r="I131" s="1">
        <v>0</v>
      </c>
      <c r="J131" s="1">
        <f>4+4</f>
        <v>8</v>
      </c>
    </row>
    <row r="132" spans="2:10" x14ac:dyDescent="0.2">
      <c r="B132" s="1" t="s">
        <v>49</v>
      </c>
      <c r="C132" s="7">
        <f>SUMIFS(Tabla1[Cantidad],Tabla1[Material],B132)-Tabla2[[#This Row],[Inversión]]</f>
        <v>126</v>
      </c>
      <c r="D132" s="7">
        <f>ROUNDDOWN(32+IF(E123&lt;0,-E123/3,0),0)+Tabla2[[#This Row],[Farmeo]]-Tabla2[[#This Row],[Inversión]]</f>
        <v>38</v>
      </c>
      <c r="E132" s="7">
        <f>Tabla2[[#This Row],[Cantidad]]-Tabla2[[#This Row],[Inventario]]</f>
        <v>88</v>
      </c>
      <c r="F132" s="1" t="s">
        <v>287</v>
      </c>
      <c r="G132" s="1">
        <v>20</v>
      </c>
      <c r="H132" s="1">
        <f t="shared" si="3"/>
        <v>1760</v>
      </c>
      <c r="I132" s="1">
        <v>0</v>
      </c>
      <c r="J132" s="1">
        <v>0</v>
      </c>
    </row>
    <row r="133" spans="2:10" x14ac:dyDescent="0.2">
      <c r="B133" s="1" t="s">
        <v>55</v>
      </c>
      <c r="C133" s="7">
        <f>SUMIFS(Tabla1[Cantidad],Tabla1[Material],B133)-Tabla2[[#This Row],[Inversión]]</f>
        <v>102</v>
      </c>
      <c r="D133" s="7">
        <f>ROUNDDOWN(11+IF(E124&lt;0,-E124/3,0),0)+Tabla2[[#This Row],[Farmeo]]-Tabla2[[#This Row],[Inversión]]</f>
        <v>11</v>
      </c>
      <c r="E133" s="7">
        <f>Tabla2[[#This Row],[Cantidad]]-Tabla2[[#This Row],[Inventario]]</f>
        <v>91</v>
      </c>
      <c r="F133" s="1" t="s">
        <v>286</v>
      </c>
      <c r="G133" s="1">
        <v>20</v>
      </c>
      <c r="H133" s="1">
        <f t="shared" si="3"/>
        <v>1820</v>
      </c>
      <c r="I133" s="1">
        <v>0</v>
      </c>
      <c r="J133" s="1">
        <v>0</v>
      </c>
    </row>
    <row r="134" spans="2:10" x14ac:dyDescent="0.2">
      <c r="B134" s="1" t="s">
        <v>59</v>
      </c>
      <c r="C134" s="7">
        <f>SUMIFS(Tabla1[Cantidad],Tabla1[Material],B134)-Tabla2[[#This Row],[Inversión]]</f>
        <v>222</v>
      </c>
      <c r="D134" s="7">
        <f>ROUNDDOWN(2+IF(E125&lt;0,-E125/3,0),0)+Tabla2[[#This Row],[Farmeo]]-Tabla2[[#This Row],[Inversión]]</f>
        <v>2</v>
      </c>
      <c r="E134" s="7">
        <f>Tabla2[[#This Row],[Cantidad]]-Tabla2[[#This Row],[Inventario]]</f>
        <v>220</v>
      </c>
      <c r="F134" s="1" t="s">
        <v>286</v>
      </c>
      <c r="G134" s="1">
        <v>20</v>
      </c>
      <c r="H134" s="1">
        <f t="shared" si="3"/>
        <v>4400</v>
      </c>
      <c r="I134" s="1">
        <v>0</v>
      </c>
      <c r="J134" s="1">
        <v>0</v>
      </c>
    </row>
    <row r="135" spans="2:10" x14ac:dyDescent="0.2">
      <c r="B135" s="1" t="s">
        <v>77</v>
      </c>
      <c r="C135" s="7">
        <f>SUMIFS(Tabla1[Cantidad],Tabla1[Material],B135)-Tabla2[[#This Row],[Inversión]]</f>
        <v>84</v>
      </c>
      <c r="D135" s="7">
        <f>ROUNDDOWN(5+IF(E126&lt;0,-E126/3,0),0)+Tabla2[[#This Row],[Farmeo]]-Tabla2[[#This Row],[Inversión]]</f>
        <v>5</v>
      </c>
      <c r="E135" s="7">
        <f>Tabla2[[#This Row],[Cantidad]]-Tabla2[[#This Row],[Inventario]]</f>
        <v>79</v>
      </c>
      <c r="F135" s="1" t="s">
        <v>288</v>
      </c>
      <c r="G135" s="1">
        <v>20</v>
      </c>
      <c r="H135" s="1">
        <f t="shared" si="3"/>
        <v>1580</v>
      </c>
      <c r="I135" s="1">
        <v>0</v>
      </c>
      <c r="J135" s="1">
        <v>0</v>
      </c>
    </row>
    <row r="136" spans="2:10" x14ac:dyDescent="0.2">
      <c r="B136" s="1" t="s">
        <v>87</v>
      </c>
      <c r="C136" s="7">
        <f>SUMIFS(Tabla1[Cantidad],Tabla1[Material],B136)-Tabla2[[#This Row],[Inversión]]</f>
        <v>212</v>
      </c>
      <c r="D136" s="7">
        <f>ROUNDDOWN(2+IF(E127&lt;0,-E127/3,0),0)+Tabla2[[#This Row],[Farmeo]]-Tabla2[[#This Row],[Inversión]]</f>
        <v>2</v>
      </c>
      <c r="E136" s="7">
        <f>Tabla2[[#This Row],[Cantidad]]-Tabla2[[#This Row],[Inventario]]</f>
        <v>210</v>
      </c>
      <c r="F136" s="1" t="s">
        <v>287</v>
      </c>
      <c r="G136" s="1">
        <v>20</v>
      </c>
      <c r="H136" s="1">
        <f t="shared" si="3"/>
        <v>4200</v>
      </c>
      <c r="I136" s="1">
        <v>0</v>
      </c>
      <c r="J136" s="1">
        <v>0</v>
      </c>
    </row>
    <row r="137" spans="2:10" x14ac:dyDescent="0.2">
      <c r="B137" s="1" t="s">
        <v>112</v>
      </c>
      <c r="C137" s="7">
        <f>SUMIFS(Tabla1[Cantidad],Tabla1[Material],B137)-Tabla2[[#This Row],[Inversión]]</f>
        <v>90</v>
      </c>
      <c r="D137" s="7">
        <f>ROUNDDOWN(2+IF(E128&lt;0,-E128/3,0),0)+Tabla2[[#This Row],[Farmeo]]-Tabla2[[#This Row],[Inversión]]</f>
        <v>2</v>
      </c>
      <c r="E137" s="7">
        <f>Tabla2[[#This Row],[Cantidad]]-Tabla2[[#This Row],[Inventario]]</f>
        <v>88</v>
      </c>
      <c r="F137" s="1" t="s">
        <v>288</v>
      </c>
      <c r="G137" s="1">
        <v>20</v>
      </c>
      <c r="H137" s="1">
        <f t="shared" si="3"/>
        <v>1760</v>
      </c>
      <c r="I137" s="1">
        <v>0</v>
      </c>
      <c r="J137" s="1">
        <v>0</v>
      </c>
    </row>
    <row r="138" spans="2:10" x14ac:dyDescent="0.2">
      <c r="B138" s="1" t="s">
        <v>117</v>
      </c>
      <c r="C138" s="7">
        <f>SUMIFS(Tabla1[Cantidad],Tabla1[Material],B138)-Tabla2[[#This Row],[Inversión]]</f>
        <v>12</v>
      </c>
      <c r="D138" s="7">
        <f>ROUNDDOWN(11+IF(E129&lt;0,-E129/3,0),0)+Tabla2[[#This Row],[Farmeo]]-Tabla2[[#This Row],[Inversión]]</f>
        <v>12</v>
      </c>
      <c r="E138" s="7">
        <f>Tabla2[[#This Row],[Cantidad]]-Tabla2[[#This Row],[Inventario]]</f>
        <v>0</v>
      </c>
      <c r="F138" s="1" t="s">
        <v>288</v>
      </c>
      <c r="G138" s="1">
        <v>20</v>
      </c>
      <c r="H138" s="1">
        <f t="shared" si="3"/>
        <v>0</v>
      </c>
      <c r="I138" s="1">
        <v>0</v>
      </c>
      <c r="J138" s="1">
        <v>0</v>
      </c>
    </row>
    <row r="139" spans="2:10" x14ac:dyDescent="0.2">
      <c r="B139" s="1" t="s">
        <v>14</v>
      </c>
      <c r="C139" s="7">
        <f>SUMIFS(Tabla1[Cantidad],Tabla1[Material],B139)-Tabla2[[#This Row],[Inversión]]</f>
        <v>36</v>
      </c>
      <c r="D139" s="7">
        <f>7+Tabla2[[#This Row],[Farmeo]]-Tabla2[[#This Row],[Inversión]]</f>
        <v>8</v>
      </c>
      <c r="E139" s="7">
        <f>Tabla2[[#This Row],[Cantidad]]-Tabla2[[#This Row],[Inventario]]</f>
        <v>28</v>
      </c>
      <c r="F139" s="1">
        <v>1</v>
      </c>
      <c r="G139" s="1">
        <v>20</v>
      </c>
      <c r="H139" s="1">
        <f t="shared" si="3"/>
        <v>560</v>
      </c>
      <c r="I139" s="1">
        <f>1</f>
        <v>1</v>
      </c>
      <c r="J139" s="1">
        <v>0</v>
      </c>
    </row>
    <row r="140" spans="2:10" x14ac:dyDescent="0.2">
      <c r="B140" s="1" t="s">
        <v>60</v>
      </c>
      <c r="C140" s="7">
        <f>SUMIFS(Tabla1[Cantidad],Tabla1[Material],B140)-Tabla2[[#This Row],[Inversión]]</f>
        <v>12</v>
      </c>
      <c r="D140" s="7">
        <f>5+Tabla2[[#This Row],[Farmeo]]-Tabla2[[#This Row],[Inversión]]</f>
        <v>8</v>
      </c>
      <c r="E140" s="7">
        <f>Tabla2[[#This Row],[Cantidad]]-Tabla2[[#This Row],[Inventario]]</f>
        <v>4</v>
      </c>
      <c r="F140" s="1">
        <v>0</v>
      </c>
      <c r="G140" s="1">
        <v>20</v>
      </c>
      <c r="H140" s="1">
        <f>IF(E140&gt;0,ROUNDUP(G140*E140,0),0)</f>
        <v>80</v>
      </c>
      <c r="I140" s="1">
        <f>1+2</f>
        <v>3</v>
      </c>
      <c r="J140" s="1">
        <v>0</v>
      </c>
    </row>
    <row r="141" spans="2:10" x14ac:dyDescent="0.2">
      <c r="B141" s="1" t="s">
        <v>82</v>
      </c>
      <c r="C141" s="7">
        <f>SUMIFS(Tabla1[Cantidad],Tabla1[Material],B141)-Tabla2[[#This Row],[Inversión]]</f>
        <v>36</v>
      </c>
      <c r="D141" s="7">
        <f>11+Tabla2[[#This Row],[Farmeo]]-Tabla2[[#This Row],[Inversión]]</f>
        <v>13</v>
      </c>
      <c r="E141" s="7">
        <f>Tabla2[[#This Row],[Cantidad]]-Tabla2[[#This Row],[Inventario]]</f>
        <v>23</v>
      </c>
      <c r="F141" s="1">
        <v>1</v>
      </c>
      <c r="G141" s="1">
        <v>20</v>
      </c>
      <c r="H141" s="1">
        <f t="shared" si="3"/>
        <v>460</v>
      </c>
      <c r="I141" s="1">
        <f>1+1</f>
        <v>2</v>
      </c>
      <c r="J141" s="1">
        <v>0</v>
      </c>
    </row>
    <row r="142" spans="2:10" x14ac:dyDescent="0.2">
      <c r="B142" s="1" t="s">
        <v>24</v>
      </c>
      <c r="C142" s="7">
        <f>SUMIFS(Tabla1[Cantidad],Tabla1[Material],B142)-Tabla2[[#This Row],[Inversión]]</f>
        <v>34</v>
      </c>
      <c r="D142" s="7">
        <f>2+Tabla2[[#This Row],[Farmeo]]-Tabla2[[#This Row],[Inversión]]</f>
        <v>1</v>
      </c>
      <c r="E142" s="7">
        <f>Tabla2[[#This Row],[Cantidad]]-Tabla2[[#This Row],[Inventario]]</f>
        <v>33</v>
      </c>
      <c r="F142" s="1">
        <v>1</v>
      </c>
      <c r="G142" s="1">
        <v>20</v>
      </c>
      <c r="H142" s="1">
        <f t="shared" si="3"/>
        <v>660</v>
      </c>
      <c r="I142" s="1">
        <f>1</f>
        <v>1</v>
      </c>
      <c r="J142" s="1">
        <f>1+1</f>
        <v>2</v>
      </c>
    </row>
    <row r="143" spans="2:10" x14ac:dyDescent="0.2">
      <c r="B143" s="1" t="s">
        <v>88</v>
      </c>
      <c r="C143" s="7">
        <f>SUMIFS(Tabla1[Cantidad],Tabla1[Material],B143)-Tabla2[[#This Row],[Inversión]]</f>
        <v>12</v>
      </c>
      <c r="D143" s="7">
        <f>4+Tabla2[[#This Row],[Farmeo]]-Tabla2[[#This Row],[Inversión]]</f>
        <v>6</v>
      </c>
      <c r="E143" s="7">
        <f>Tabla2[[#This Row],[Cantidad]]-Tabla2[[#This Row],[Inventario]]</f>
        <v>6</v>
      </c>
      <c r="F143" s="1">
        <v>0</v>
      </c>
      <c r="G143" s="1">
        <v>0</v>
      </c>
      <c r="H143" s="1">
        <f t="shared" si="3"/>
        <v>0</v>
      </c>
      <c r="I143" s="1">
        <f>2</f>
        <v>2</v>
      </c>
      <c r="J143" s="1">
        <v>0</v>
      </c>
    </row>
    <row r="144" spans="2:10" x14ac:dyDescent="0.2">
      <c r="B144" s="1" t="s">
        <v>108</v>
      </c>
      <c r="C144" s="7">
        <f>SUMIFS(Tabla1[Cantidad],Tabla1[Material],B144)-Tabla2[[#This Row],[Inversión]]</f>
        <v>12</v>
      </c>
      <c r="D144" s="7">
        <f>2+Tabla2[[#This Row],[Farmeo]]-Tabla2[[#This Row],[Inversión]]</f>
        <v>6</v>
      </c>
      <c r="E144" s="7">
        <f>Tabla2[[#This Row],[Cantidad]]-Tabla2[[#This Row],[Inventario]]</f>
        <v>6</v>
      </c>
      <c r="F144" s="1">
        <v>1</v>
      </c>
      <c r="G144" s="1">
        <v>20</v>
      </c>
      <c r="H144" s="1">
        <f t="shared" si="3"/>
        <v>120</v>
      </c>
      <c r="I144" s="1">
        <f>1+1+2</f>
        <v>4</v>
      </c>
      <c r="J144" s="1">
        <v>0</v>
      </c>
    </row>
    <row r="145" spans="2:10" x14ac:dyDescent="0.2">
      <c r="B145" s="1" t="s">
        <v>40</v>
      </c>
      <c r="C145" s="7">
        <f>SUMIFS(Tabla1[Cantidad],Tabla1[Material],B145)-Tabla2[[#This Row],[Inversión]]</f>
        <v>12</v>
      </c>
      <c r="D145" s="7">
        <f>0+Tabla2[[#This Row],[Farmeo]]-Tabla2[[#This Row],[Inversión]]</f>
        <v>3</v>
      </c>
      <c r="E145" s="7">
        <f>Tabla2[[#This Row],[Cantidad]]-Tabla2[[#This Row],[Inventario]]</f>
        <v>9</v>
      </c>
      <c r="F145" s="1">
        <v>1</v>
      </c>
      <c r="G145" s="1">
        <v>20</v>
      </c>
      <c r="H145" s="1">
        <f t="shared" si="3"/>
        <v>180</v>
      </c>
      <c r="I145" s="1">
        <f>2+1</f>
        <v>3</v>
      </c>
      <c r="J145" s="1">
        <v>0</v>
      </c>
    </row>
    <row r="146" spans="2:10" x14ac:dyDescent="0.2">
      <c r="B146" s="1" t="s">
        <v>103</v>
      </c>
      <c r="C146" s="7">
        <f>SUMIFS(Tabla1[Cantidad],Tabla1[Material],B146)-Tabla2[[#This Row],[Inversión]]</f>
        <v>12</v>
      </c>
      <c r="D146" s="7">
        <f>4+Tabla2[[#This Row],[Farmeo]]-Tabla2[[#This Row],[Inversión]]</f>
        <v>6</v>
      </c>
      <c r="E146" s="7">
        <f>Tabla2[[#This Row],[Cantidad]]-Tabla2[[#This Row],[Inventario]]</f>
        <v>6</v>
      </c>
      <c r="F146" s="1">
        <v>0</v>
      </c>
      <c r="G146" s="1">
        <v>0</v>
      </c>
      <c r="H146" s="1">
        <f t="shared" si="3"/>
        <v>0</v>
      </c>
      <c r="I146" s="1">
        <f>1+1</f>
        <v>2</v>
      </c>
      <c r="J146" s="1">
        <v>0</v>
      </c>
    </row>
    <row r="147" spans="2:10" x14ac:dyDescent="0.2">
      <c r="B147" s="1" t="s">
        <v>113</v>
      </c>
      <c r="C147" s="7">
        <f>SUMIFS(Tabla1[Cantidad],Tabla1[Material],B147)-Tabla2[[#This Row],[Inversión]]</f>
        <v>12</v>
      </c>
      <c r="D147" s="7">
        <f>2+Tabla2[[#This Row],[Farmeo]]-Tabla2[[#This Row],[Inversión]]</f>
        <v>3</v>
      </c>
      <c r="E147" s="7">
        <f>Tabla2[[#This Row],[Cantidad]]-Tabla2[[#This Row],[Inventario]]</f>
        <v>9</v>
      </c>
      <c r="F147" s="1">
        <v>1</v>
      </c>
      <c r="G147" s="1">
        <v>20</v>
      </c>
      <c r="H147" s="1">
        <f t="shared" si="3"/>
        <v>180</v>
      </c>
      <c r="I147" s="1">
        <f>1</f>
        <v>1</v>
      </c>
      <c r="J147" s="1">
        <v>0</v>
      </c>
    </row>
    <row r="148" spans="2:10" x14ac:dyDescent="0.2">
      <c r="B148" s="1" t="s">
        <v>50</v>
      </c>
      <c r="C148" s="7">
        <f>SUMIFS(Tabla1[Cantidad],Tabla1[Material],B148)-Tabla2[[#This Row],[Inversión]]</f>
        <v>12</v>
      </c>
      <c r="D148" s="7">
        <f>3+Tabla2[[#This Row],[Farmeo]]-Tabla2[[#This Row],[Inversión]]</f>
        <v>4</v>
      </c>
      <c r="E148" s="7">
        <f>Tabla2[[#This Row],[Cantidad]]-Tabla2[[#This Row],[Inventario]]</f>
        <v>8</v>
      </c>
      <c r="F148" s="1">
        <v>1</v>
      </c>
      <c r="G148" s="1">
        <v>20</v>
      </c>
      <c r="H148" s="1">
        <f t="shared" si="3"/>
        <v>160</v>
      </c>
      <c r="I148" s="1">
        <f>1</f>
        <v>1</v>
      </c>
      <c r="J148" s="1">
        <v>0</v>
      </c>
    </row>
    <row r="149" spans="2:10" x14ac:dyDescent="0.2">
      <c r="B149" s="1" t="s">
        <v>276</v>
      </c>
      <c r="C149" s="7">
        <f>SUMIFS(Tabla1[Cantidad],Tabla1[Material],B149)-Tabla2[[#This Row],[Inversión]]</f>
        <v>0</v>
      </c>
      <c r="D149" s="7">
        <f>2+Tabla2[[#This Row],[Farmeo]]-Tabla2[[#This Row],[Inversión]]</f>
        <v>5</v>
      </c>
      <c r="E149" s="7">
        <f>Tabla2[[#This Row],[Cantidad]]-Tabla2[[#This Row],[Inventario]]</f>
        <v>-5</v>
      </c>
      <c r="F149" s="1">
        <v>0</v>
      </c>
      <c r="G149" s="1">
        <v>0</v>
      </c>
      <c r="H149" s="1">
        <f t="shared" si="3"/>
        <v>0</v>
      </c>
      <c r="I149" s="1">
        <f>1+1+1</f>
        <v>3</v>
      </c>
      <c r="J149" s="1">
        <v>0</v>
      </c>
    </row>
    <row r="150" spans="2:10" x14ac:dyDescent="0.2">
      <c r="B150" s="1" t="s">
        <v>56</v>
      </c>
      <c r="C150" s="7">
        <f>SUMIFS(Tabla1[Cantidad],Tabla1[Material],B150)-Tabla2[[#This Row],[Inversión]]</f>
        <v>12</v>
      </c>
      <c r="D150" s="7">
        <f>1+Tabla2[[#This Row],[Farmeo]]-Tabla2[[#This Row],[Inversión]]</f>
        <v>4</v>
      </c>
      <c r="E150" s="7">
        <f>Tabla2[[#This Row],[Cantidad]]-Tabla2[[#This Row],[Inventario]]</f>
        <v>8</v>
      </c>
      <c r="F150" s="1">
        <v>1</v>
      </c>
      <c r="G150" s="1">
        <v>20</v>
      </c>
      <c r="H150" s="1">
        <f t="shared" si="3"/>
        <v>160</v>
      </c>
      <c r="I150" s="1">
        <f>1+1+1</f>
        <v>3</v>
      </c>
      <c r="J150" s="1">
        <v>0</v>
      </c>
    </row>
    <row r="151" spans="2:10" x14ac:dyDescent="0.2">
      <c r="B151" s="1" t="s">
        <v>70</v>
      </c>
      <c r="C151" s="7">
        <f>SUMIFS(Tabla1[Cantidad],Tabla1[Material],B151)-Tabla2[[#This Row],[Inversión]]</f>
        <v>12</v>
      </c>
      <c r="D151" s="7">
        <f>2+Tabla2[[#This Row],[Farmeo]]-Tabla2[[#This Row],[Inversión]]</f>
        <v>3</v>
      </c>
      <c r="E151" s="7">
        <f>Tabla2[[#This Row],[Cantidad]]-Tabla2[[#This Row],[Inventario]]</f>
        <v>9</v>
      </c>
      <c r="F151" s="1">
        <v>1</v>
      </c>
      <c r="G151" s="1">
        <v>20</v>
      </c>
      <c r="H151" s="1">
        <f t="shared" si="3"/>
        <v>180</v>
      </c>
      <c r="I151" s="1">
        <f>1</f>
        <v>1</v>
      </c>
      <c r="J151" s="1">
        <v>0</v>
      </c>
    </row>
    <row r="152" spans="2:10" x14ac:dyDescent="0.2">
      <c r="B152" s="1" t="s">
        <v>275</v>
      </c>
      <c r="C152" s="7">
        <f>SUMIFS(Tabla1[Cantidad],Tabla1[Material],B152)-Tabla2[[#This Row],[Inversión]]</f>
        <v>0</v>
      </c>
      <c r="D152" s="7">
        <f>2+Tabla2[[#This Row],[Farmeo]]-Tabla2[[#This Row],[Inversión]]</f>
        <v>5</v>
      </c>
      <c r="E152" s="7">
        <f>Tabla2[[#This Row],[Cantidad]]-Tabla2[[#This Row],[Inventario]]</f>
        <v>-5</v>
      </c>
      <c r="F152" s="1">
        <v>0</v>
      </c>
      <c r="G152" s="1">
        <v>0</v>
      </c>
      <c r="H152" s="1">
        <f t="shared" si="3"/>
        <v>0</v>
      </c>
      <c r="I152" s="1">
        <f>1+1+1</f>
        <v>3</v>
      </c>
      <c r="J152" s="1">
        <v>0</v>
      </c>
    </row>
    <row r="153" spans="2:10" x14ac:dyDescent="0.2">
      <c r="B153" s="1" t="s">
        <v>78</v>
      </c>
      <c r="C153" s="7">
        <f>SUMIFS(Tabla1[Cantidad],Tabla1[Material],B153)-Tabla2[[#This Row],[Inversión]]</f>
        <v>30</v>
      </c>
      <c r="D153" s="7">
        <f>0+Tabla2[[#This Row],[Farmeo]]-Tabla2[[#This Row],[Inversión]]</f>
        <v>2</v>
      </c>
      <c r="E153" s="7">
        <f>Tabla2[[#This Row],[Cantidad]]-Tabla2[[#This Row],[Inventario]]</f>
        <v>28</v>
      </c>
      <c r="F153" s="1">
        <v>1</v>
      </c>
      <c r="G153" s="1">
        <v>20</v>
      </c>
      <c r="H153" s="1">
        <f t="shared" si="3"/>
        <v>560</v>
      </c>
      <c r="I153" s="1">
        <f>1+1</f>
        <v>2</v>
      </c>
      <c r="J153" s="1">
        <v>0</v>
      </c>
    </row>
    <row r="154" spans="2:10" x14ac:dyDescent="0.2">
      <c r="B154" s="1" t="s">
        <v>118</v>
      </c>
      <c r="C154" s="7">
        <f>SUMIFS(Tabla1[Cantidad],Tabla1[Material],B154)-Tabla2[[#This Row],[Inversión]]</f>
        <v>9</v>
      </c>
      <c r="D154" s="7">
        <f>7+Tabla2[[#This Row],[Farmeo]]-Tabla2[[#This Row],[Inversión]]</f>
        <v>7</v>
      </c>
      <c r="E154" s="7">
        <f>Tabla2[[#This Row],[Cantidad]]-Tabla2[[#This Row],[Inventario]]</f>
        <v>2</v>
      </c>
      <c r="F154" s="1" t="s">
        <v>289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">
      <c r="B155" s="1" t="s">
        <v>165</v>
      </c>
      <c r="C155" s="7">
        <f>SUMIFS(Tabla1[Cantidad],Tabla1[Material],B155)-Tabla2[[#This Row],[Inversión]]</f>
        <v>5</v>
      </c>
      <c r="D155" s="7">
        <f>9+Tabla2[[#This Row],[Farmeo]]-Tabla2[[#This Row],[Inversión]]</f>
        <v>7</v>
      </c>
      <c r="E155" s="7">
        <f>Tabla2[[#This Row],[Cantidad]]-Tabla2[[#This Row],[Inventario]]</f>
        <v>-2</v>
      </c>
      <c r="F155" s="1" t="s">
        <v>287</v>
      </c>
      <c r="G155" s="1">
        <v>20</v>
      </c>
      <c r="H155" s="1">
        <f>IF(E155&gt;0,ROUNDUP(G155*E155/2,0),0)</f>
        <v>0</v>
      </c>
      <c r="I155" s="1">
        <f>4+6+2+4+5-20+2</f>
        <v>3</v>
      </c>
      <c r="J155" s="1">
        <f>5</f>
        <v>5</v>
      </c>
    </row>
    <row r="156" spans="2:10" x14ac:dyDescent="0.2">
      <c r="B156" s="1" t="s">
        <v>166</v>
      </c>
      <c r="C156" s="7">
        <f>SUMIFS(Tabla1[Cantidad],Tabla1[Material],B156)-Tabla2[[#This Row],[Inversión]]</f>
        <v>14</v>
      </c>
      <c r="D156" s="7">
        <f>ROUNDDOWN(14+IF(E155&lt;0,-E155/3,0),0)+Tabla2[[#This Row],[Farmeo]]-Tabla2[[#This Row],[Inversión]]</f>
        <v>19</v>
      </c>
      <c r="E156" s="7">
        <f>Tabla2[[#This Row],[Cantidad]]-Tabla2[[#This Row],[Inventario]]</f>
        <v>-5</v>
      </c>
      <c r="F156" s="1" t="s">
        <v>287</v>
      </c>
      <c r="G156" s="1">
        <v>20</v>
      </c>
      <c r="H156" s="1">
        <f t="shared" ref="H156:H188" si="4">IF(E156&gt;0,ROUNDUP(G156*E156/2,0),0)</f>
        <v>0</v>
      </c>
      <c r="I156" s="1">
        <f>4+5+2+4+4</f>
        <v>19</v>
      </c>
      <c r="J156" s="1">
        <f>5+9</f>
        <v>14</v>
      </c>
    </row>
    <row r="157" spans="2:10" x14ac:dyDescent="0.2">
      <c r="B157" s="1" t="s">
        <v>167</v>
      </c>
      <c r="C157" s="7">
        <f>SUMIFS(Tabla1[Cantidad],Tabla1[Material],B157)-Tabla2[[#This Row],[Inversión]]</f>
        <v>23</v>
      </c>
      <c r="D157" s="7">
        <f>ROUNDDOWN(2+IF(E156&lt;0,-E156/3,0),0)+Tabla2[[#This Row],[Farmeo]]-Tabla2[[#This Row],[Inversión]]</f>
        <v>5</v>
      </c>
      <c r="E157" s="7">
        <f>Tabla2[[#This Row],[Cantidad]]-Tabla2[[#This Row],[Inventario]]</f>
        <v>18</v>
      </c>
      <c r="F157" s="1" t="s">
        <v>287</v>
      </c>
      <c r="G157" s="1">
        <v>20</v>
      </c>
      <c r="H157" s="1">
        <f>IF(E157&gt;0,ROUNDUP(G157*E157,0),0)</f>
        <v>360</v>
      </c>
      <c r="I157" s="1">
        <f>2+1+1+2+1</f>
        <v>7</v>
      </c>
      <c r="J157" s="1">
        <f>5</f>
        <v>5</v>
      </c>
    </row>
    <row r="158" spans="2:10" x14ac:dyDescent="0.2">
      <c r="B158" s="1" t="s">
        <v>140</v>
      </c>
      <c r="C158" s="7">
        <f>SUMIFS(Tabla1[Cantidad],Tabla1[Material],B158)-Tabla2[[#This Row],[Inversión]]</f>
        <v>16</v>
      </c>
      <c r="D158" s="7">
        <f>ROUNDDOWN(0+IF(E157&lt;0,-E157/3,0),0)+Tabla2[[#This Row],[Farmeo]]-Tabla2[[#This Row],[Inversión]]</f>
        <v>1</v>
      </c>
      <c r="E158" s="7">
        <f>Tabla2[[#This Row],[Cantidad]]-Tabla2[[#This Row],[Inventario]]</f>
        <v>15</v>
      </c>
      <c r="F158" s="1" t="s">
        <v>287</v>
      </c>
      <c r="G158" s="1">
        <v>20</v>
      </c>
      <c r="H158" s="1">
        <f>IF(E158&gt;0,ROUNDUP(G158*E158,0),0)</f>
        <v>300</v>
      </c>
      <c r="I158" s="1">
        <f>1</f>
        <v>1</v>
      </c>
      <c r="J158" s="1">
        <v>0</v>
      </c>
    </row>
    <row r="159" spans="2:10" x14ac:dyDescent="0.2">
      <c r="B159" s="1" t="s">
        <v>222</v>
      </c>
      <c r="C159" s="7">
        <f>SUMIFS(Tabla1[Cantidad],Tabla1[Material],B159)-Tabla2[[#This Row],[Inversión]]</f>
        <v>0</v>
      </c>
      <c r="D159" s="7">
        <f>0+5+Tabla2[[#This Row],[Farmeo]]-Tabla2[[#This Row],[Inversión]]</f>
        <v>8</v>
      </c>
      <c r="E159" s="7">
        <f>Tabla2[[#This Row],[Cantidad]]-Tabla2[[#This Row],[Inventario]]</f>
        <v>-8</v>
      </c>
      <c r="F159" s="1" t="s">
        <v>286</v>
      </c>
      <c r="G159" s="1">
        <v>20</v>
      </c>
      <c r="H159" s="1">
        <f t="shared" si="4"/>
        <v>0</v>
      </c>
      <c r="I159" s="1">
        <f>4+4</f>
        <v>8</v>
      </c>
      <c r="J159" s="1">
        <f>5</f>
        <v>5</v>
      </c>
    </row>
    <row r="160" spans="2:10" x14ac:dyDescent="0.2">
      <c r="B160" s="1" t="s">
        <v>218</v>
      </c>
      <c r="C160" s="7">
        <f>SUMIFS(Tabla1[Cantidad],Tabla1[Material],B160)-Tabla2[[#This Row],[Inversión]]</f>
        <v>15</v>
      </c>
      <c r="D160" s="7">
        <f>ROUNDDOWN(1+IF(E159&lt;0,-E159/3,0),0)+Tabla2[[#This Row],[Farmeo]]-Tabla2[[#This Row],[Inversión]]</f>
        <v>4</v>
      </c>
      <c r="E160" s="7">
        <f>Tabla2[[#This Row],[Cantidad]]-Tabla2[[#This Row],[Inventario]]</f>
        <v>11</v>
      </c>
      <c r="F160" s="1" t="s">
        <v>286</v>
      </c>
      <c r="G160" s="1">
        <v>20</v>
      </c>
      <c r="H160" s="1">
        <f t="shared" si="4"/>
        <v>110</v>
      </c>
      <c r="I160" s="1">
        <f>3+3</f>
        <v>6</v>
      </c>
      <c r="J160" s="1">
        <f>5</f>
        <v>5</v>
      </c>
    </row>
    <row r="161" spans="2:10" x14ac:dyDescent="0.2">
      <c r="B161" s="1" t="s">
        <v>219</v>
      </c>
      <c r="C161" s="7">
        <f>SUMIFS(Tabla1[Cantidad],Tabla1[Material],B161)-Tabla2[[#This Row],[Inversión]]</f>
        <v>29</v>
      </c>
      <c r="D161" s="7">
        <f>ROUNDDOWN(0+IF(E160&lt;0,-E160/3,0),0)+Tabla2[[#This Row],[Farmeo]]-Tabla2[[#This Row],[Inversión]]</f>
        <v>3</v>
      </c>
      <c r="E161" s="7">
        <f>Tabla2[[#This Row],[Cantidad]]-Tabla2[[#This Row],[Inventario]]</f>
        <v>26</v>
      </c>
      <c r="F161" s="1" t="s">
        <v>286</v>
      </c>
      <c r="G161" s="1">
        <v>20</v>
      </c>
      <c r="H161" s="1">
        <f>IF(E161&gt;0,ROUNDUP(G161*E161,0),0)</f>
        <v>520</v>
      </c>
      <c r="I161" s="1">
        <f>1+2</f>
        <v>3</v>
      </c>
      <c r="J161" s="1">
        <v>0</v>
      </c>
    </row>
    <row r="162" spans="2:10" x14ac:dyDescent="0.2">
      <c r="B162" s="1" t="s">
        <v>143</v>
      </c>
      <c r="C162" s="7">
        <f>SUMIFS(Tabla1[Cantidad],Tabla1[Material],B162)-Tabla2[[#This Row],[Inversión]]</f>
        <v>26</v>
      </c>
      <c r="D162" s="7">
        <f>ROUNDDOWN(0+IF(E161&lt;0,-E161/3,0),0)+Tabla2[[#This Row],[Farmeo]]-Tabla2[[#This Row],[Inversión]]</f>
        <v>3</v>
      </c>
      <c r="E162" s="7">
        <f>Tabla2[[#This Row],[Cantidad]]-Tabla2[[#This Row],[Inventario]]</f>
        <v>23</v>
      </c>
      <c r="F162" s="1" t="s">
        <v>286</v>
      </c>
      <c r="G162" s="1">
        <v>20</v>
      </c>
      <c r="H162" s="1">
        <f>IF(E162&gt;0,ROUNDUP(G162*E162,0),0)</f>
        <v>460</v>
      </c>
      <c r="I162" s="1">
        <f>2+1</f>
        <v>3</v>
      </c>
      <c r="J162" s="1">
        <v>0</v>
      </c>
    </row>
    <row r="163" spans="2:10" x14ac:dyDescent="0.2">
      <c r="B163" s="1" t="s">
        <v>146</v>
      </c>
      <c r="C163" s="7">
        <f>SUMIFS(Tabla1[Cantidad],Tabla1[Material],B163)-Tabla2[[#This Row],[Inversión]]</f>
        <v>0</v>
      </c>
      <c r="D163" s="7">
        <f>5+Tabla2[[#This Row],[Farmeo]]-Tabla2[[#This Row],[Inversión]]</f>
        <v>19</v>
      </c>
      <c r="E163" s="7">
        <f>Tabla2[[#This Row],[Cantidad]]-Tabla2[[#This Row],[Inventario]]</f>
        <v>-19</v>
      </c>
      <c r="F163" s="1" t="s">
        <v>287</v>
      </c>
      <c r="G163" s="1">
        <v>20</v>
      </c>
      <c r="H163" s="1">
        <f t="shared" si="4"/>
        <v>0</v>
      </c>
      <c r="I163" s="1">
        <f>19</f>
        <v>19</v>
      </c>
      <c r="J163" s="1">
        <f>5</f>
        <v>5</v>
      </c>
    </row>
    <row r="164" spans="2:10" x14ac:dyDescent="0.2">
      <c r="B164" s="1" t="s">
        <v>147</v>
      </c>
      <c r="C164" s="7">
        <f>SUMIFS(Tabla1[Cantidad],Tabla1[Material],B164)-Tabla2[[#This Row],[Inversión]]</f>
        <v>0</v>
      </c>
      <c r="D164" s="7">
        <f>ROUNDDOWN(24+IF(E163&lt;0,-E163/3,0),0)+Tabla2[[#This Row],[Farmeo]]-Tabla2[[#This Row],[Inversión]]</f>
        <v>16</v>
      </c>
      <c r="E164" s="7">
        <f>Tabla2[[#This Row],[Cantidad]]-Tabla2[[#This Row],[Inventario]]</f>
        <v>-16</v>
      </c>
      <c r="F164" s="1" t="s">
        <v>287</v>
      </c>
      <c r="G164" s="1">
        <v>20</v>
      </c>
      <c r="H164" s="1">
        <f t="shared" si="4"/>
        <v>0</v>
      </c>
      <c r="I164" s="1">
        <f>0</f>
        <v>0</v>
      </c>
      <c r="J164" s="1">
        <f>5+9</f>
        <v>14</v>
      </c>
    </row>
    <row r="165" spans="2:10" x14ac:dyDescent="0.2">
      <c r="B165" s="1" t="s">
        <v>148</v>
      </c>
      <c r="C165" s="7">
        <f>SUMIFS(Tabla1[Cantidad],Tabla1[Material],B165)-Tabla2[[#This Row],[Inversión]]</f>
        <v>18</v>
      </c>
      <c r="D165" s="7">
        <f>ROUNDDOWN(3+IF(E164&lt;0,-E164/3,0),0)+Tabla2[[#This Row],[Farmeo]]-Tabla2[[#This Row],[Inversión]]</f>
        <v>3</v>
      </c>
      <c r="E165" s="7">
        <f>Tabla2[[#This Row],[Cantidad]]-Tabla2[[#This Row],[Inventario]]</f>
        <v>15</v>
      </c>
      <c r="F165" s="1" t="s">
        <v>287</v>
      </c>
      <c r="G165" s="1">
        <v>20</v>
      </c>
      <c r="H165" s="1">
        <f>IF(E165&gt;0,ROUNDUP(G165*E165,0),0)</f>
        <v>300</v>
      </c>
      <c r="I165" s="1">
        <f>0</f>
        <v>0</v>
      </c>
      <c r="J165" s="1">
        <v>5</v>
      </c>
    </row>
    <row r="166" spans="2:10" x14ac:dyDescent="0.2">
      <c r="B166" s="1" t="s">
        <v>149</v>
      </c>
      <c r="C166" s="7">
        <f>SUMIFS(Tabla1[Cantidad],Tabla1[Material],B166)-Tabla2[[#This Row],[Inversión]]</f>
        <v>10</v>
      </c>
      <c r="D166" s="7">
        <f>ROUNDDOWN(1+IF(E165&lt;0,-E165/3,0),0)+Tabla2[[#This Row],[Farmeo]]-Tabla2[[#This Row],[Inversión]]</f>
        <v>1</v>
      </c>
      <c r="E166" s="7">
        <f>Tabla2[[#This Row],[Cantidad]]-Tabla2[[#This Row],[Inventario]]</f>
        <v>9</v>
      </c>
      <c r="F166" s="1" t="s">
        <v>287</v>
      </c>
      <c r="G166" s="1">
        <v>20</v>
      </c>
      <c r="H166" s="1">
        <f>IF(E166&gt;0,ROUNDUP(G166*E166,0),0)</f>
        <v>180</v>
      </c>
      <c r="I166" s="1">
        <v>0</v>
      </c>
      <c r="J166" s="1">
        <v>0</v>
      </c>
    </row>
    <row r="167" spans="2:10" x14ac:dyDescent="0.2">
      <c r="B167" s="1" t="s">
        <v>157</v>
      </c>
      <c r="C167" s="7">
        <f>SUMIFS(Tabla1[Cantidad],Tabla1[Material],B167)-Tabla2[[#This Row],[Inversión]]</f>
        <v>3</v>
      </c>
      <c r="D167" s="7">
        <f>7+Tabla2[[#This Row],[Farmeo]]-Tabla2[[#This Row],[Inversión]]</f>
        <v>7</v>
      </c>
      <c r="E167" s="7">
        <f>Tabla2[[#This Row],[Cantidad]]-Tabla2[[#This Row],[Inventario]]</f>
        <v>-4</v>
      </c>
      <c r="F167" s="1" t="s">
        <v>287</v>
      </c>
      <c r="G167" s="1">
        <v>20</v>
      </c>
      <c r="H167" s="1">
        <f t="shared" si="4"/>
        <v>0</v>
      </c>
      <c r="I167" s="1">
        <v>0</v>
      </c>
      <c r="J167" s="1">
        <v>0</v>
      </c>
    </row>
    <row r="168" spans="2:10" x14ac:dyDescent="0.2">
      <c r="B168" s="1" t="s">
        <v>158</v>
      </c>
      <c r="C168" s="7">
        <f>SUMIFS(Tabla1[Cantidad],Tabla1[Material],B168)-Tabla2[[#This Row],[Inversión]]</f>
        <v>9</v>
      </c>
      <c r="D168" s="7">
        <f>ROUNDDOWN(6+IF(E167&lt;0,-E167/3,0),0)+Tabla2[[#This Row],[Farmeo]]-Tabla2[[#This Row],[Inversión]]</f>
        <v>7</v>
      </c>
      <c r="E168" s="7">
        <f>Tabla2[[#This Row],[Cantidad]]-Tabla2[[#This Row],[Inventario]]</f>
        <v>2</v>
      </c>
      <c r="F168" s="1" t="s">
        <v>287</v>
      </c>
      <c r="G168" s="1">
        <v>20</v>
      </c>
      <c r="H168" s="1">
        <f t="shared" si="4"/>
        <v>20</v>
      </c>
      <c r="I168" s="1">
        <v>0</v>
      </c>
      <c r="J168" s="1">
        <v>0</v>
      </c>
    </row>
    <row r="169" spans="2:10" x14ac:dyDescent="0.2">
      <c r="B169" s="1" t="s">
        <v>159</v>
      </c>
      <c r="C169" s="7">
        <f>SUMIFS(Tabla1[Cantidad],Tabla1[Material],B169)-Tabla2[[#This Row],[Inversión]]</f>
        <v>9</v>
      </c>
      <c r="D169" s="7">
        <f>ROUNDDOWN(0+IF(E168&lt;0,-E168/3,0),0)+Tabla2[[#This Row],[Farmeo]]-Tabla2[[#This Row],[Inversión]]</f>
        <v>0</v>
      </c>
      <c r="E169" s="7">
        <f>Tabla2[[#This Row],[Cantidad]]-Tabla2[[#This Row],[Inventario]]</f>
        <v>9</v>
      </c>
      <c r="F169" s="1" t="s">
        <v>287</v>
      </c>
      <c r="G169" s="1">
        <v>20</v>
      </c>
      <c r="H169" s="1">
        <f>IF(E169&gt;0,ROUNDUP(G169*E169,0),0)</f>
        <v>180</v>
      </c>
      <c r="I169" s="1">
        <v>0</v>
      </c>
      <c r="J169" s="1">
        <v>0</v>
      </c>
    </row>
    <row r="170" spans="2:10" x14ac:dyDescent="0.2">
      <c r="B170" s="1" t="s">
        <v>152</v>
      </c>
      <c r="C170" s="7">
        <f>SUMIFS(Tabla1[Cantidad],Tabla1[Material],B170)-Tabla2[[#This Row],[Inversión]]</f>
        <v>10</v>
      </c>
      <c r="D170" s="7">
        <f>ROUNDDOWN(6+IF(E169&lt;0,-E169/3,0),0)+Tabla2[[#This Row],[Farmeo]]-Tabla2[[#This Row],[Inversión]]</f>
        <v>6</v>
      </c>
      <c r="E170" s="7">
        <f>Tabla2[[#This Row],[Cantidad]]-Tabla2[[#This Row],[Inventario]]</f>
        <v>4</v>
      </c>
      <c r="F170" s="1" t="s">
        <v>287</v>
      </c>
      <c r="G170" s="1">
        <v>20</v>
      </c>
      <c r="H170" s="1">
        <f>IF(E170&gt;0,ROUNDUP(G170*E170,0),0)</f>
        <v>80</v>
      </c>
      <c r="I170" s="1">
        <v>0</v>
      </c>
      <c r="J170" s="1">
        <v>0</v>
      </c>
    </row>
    <row r="171" spans="2:10" x14ac:dyDescent="0.2">
      <c r="B171" s="1" t="s">
        <v>176</v>
      </c>
      <c r="C171" s="7">
        <f>SUMIFS(Tabla1[Cantidad],Tabla1[Material],B171)-Tabla2[[#This Row],[Inversión]]</f>
        <v>5</v>
      </c>
      <c r="D171" s="7">
        <f>6+Tabla2[[#This Row],[Farmeo]]-Tabla2[[#This Row],[Inversión]]</f>
        <v>6</v>
      </c>
      <c r="E171" s="7">
        <f>Tabla2[[#This Row],[Cantidad]]-Tabla2[[#This Row],[Inventario]]</f>
        <v>-1</v>
      </c>
      <c r="F171" s="1" t="s">
        <v>286</v>
      </c>
      <c r="G171" s="1">
        <v>20</v>
      </c>
      <c r="H171" s="1">
        <f t="shared" si="4"/>
        <v>0</v>
      </c>
      <c r="I171" s="1">
        <v>0</v>
      </c>
      <c r="J171" s="1">
        <v>0</v>
      </c>
    </row>
    <row r="172" spans="2:10" x14ac:dyDescent="0.2">
      <c r="B172" s="1" t="s">
        <v>177</v>
      </c>
      <c r="C172" s="7">
        <f>SUMIFS(Tabla1[Cantidad],Tabla1[Material],B172)-Tabla2[[#This Row],[Inversión]]</f>
        <v>14</v>
      </c>
      <c r="D172" s="7">
        <f>ROUNDDOWN(1+IF(E171&lt;0,-E171/3,0),0)+Tabla2[[#This Row],[Farmeo]]-Tabla2[[#This Row],[Inversión]]</f>
        <v>1</v>
      </c>
      <c r="E172" s="7">
        <f>Tabla2[[#This Row],[Cantidad]]-Tabla2[[#This Row],[Inventario]]</f>
        <v>13</v>
      </c>
      <c r="F172" s="1" t="s">
        <v>286</v>
      </c>
      <c r="G172" s="1">
        <v>20</v>
      </c>
      <c r="H172" s="1">
        <f t="shared" si="4"/>
        <v>130</v>
      </c>
      <c r="I172" s="1">
        <v>0</v>
      </c>
      <c r="J172" s="1">
        <v>0</v>
      </c>
    </row>
    <row r="173" spans="2:10" x14ac:dyDescent="0.2">
      <c r="B173" s="1" t="s">
        <v>178</v>
      </c>
      <c r="C173" s="7">
        <f>SUMIFS(Tabla1[Cantidad],Tabla1[Material],B173)-Tabla2[[#This Row],[Inversión]]</f>
        <v>14</v>
      </c>
      <c r="D173" s="7">
        <f>ROUNDDOWN(0+IF(E172&lt;0,-E172/3,0),0)+Tabla2[[#This Row],[Farmeo]]-Tabla2[[#This Row],[Inversión]]</f>
        <v>0</v>
      </c>
      <c r="E173" s="7">
        <f>Tabla2[[#This Row],[Cantidad]]-Tabla2[[#This Row],[Inventario]]</f>
        <v>14</v>
      </c>
      <c r="F173" s="1" t="s">
        <v>286</v>
      </c>
      <c r="G173" s="1">
        <v>20</v>
      </c>
      <c r="H173" s="1">
        <f>IF(E173&gt;0,ROUNDUP(G173*E173,0),0)</f>
        <v>280</v>
      </c>
      <c r="I173" s="1">
        <v>0</v>
      </c>
      <c r="J173" s="1">
        <v>0</v>
      </c>
    </row>
    <row r="174" spans="2:10" x14ac:dyDescent="0.2">
      <c r="B174" s="1" t="s">
        <v>179</v>
      </c>
      <c r="C174" s="7">
        <f>SUMIFS(Tabla1[Cantidad],Tabla1[Material],B174)-Tabla2[[#This Row],[Inversión]]</f>
        <v>6</v>
      </c>
      <c r="D174" s="7">
        <f>ROUNDDOWN(0+IF(E173&lt;0,-E173/3,0),0)+Tabla2[[#This Row],[Farmeo]]-Tabla2[[#This Row],[Inversión]]</f>
        <v>0</v>
      </c>
      <c r="E174" s="7">
        <f>Tabla2[[#This Row],[Cantidad]]-Tabla2[[#This Row],[Inventario]]</f>
        <v>6</v>
      </c>
      <c r="F174" s="1" t="s">
        <v>286</v>
      </c>
      <c r="G174" s="1">
        <v>20</v>
      </c>
      <c r="H174" s="1">
        <f>IF(E174&gt;0,ROUNDUP(G174*E174,0),0)</f>
        <v>120</v>
      </c>
      <c r="I174" s="1">
        <v>0</v>
      </c>
      <c r="J174" s="1">
        <v>0</v>
      </c>
    </row>
    <row r="175" spans="2:10" x14ac:dyDescent="0.2">
      <c r="B175" s="1" t="s">
        <v>277</v>
      </c>
      <c r="C175" s="7">
        <f>SUMIFS(Tabla1[Cantidad],Tabla1[Material],B175)-Tabla2[[#This Row],[Inversión]]</f>
        <v>0</v>
      </c>
      <c r="D175" s="7">
        <f>2+Tabla2[[#This Row],[Farmeo]]-Tabla2[[#This Row],[Inversión]]</f>
        <v>2</v>
      </c>
      <c r="E175" s="7">
        <f>Tabla2[[#This Row],[Cantidad]]-Tabla2[[#This Row],[Inventario]]</f>
        <v>-2</v>
      </c>
      <c r="F175" s="1" t="s">
        <v>288</v>
      </c>
      <c r="G175" s="1">
        <v>20</v>
      </c>
      <c r="H175" s="1">
        <f t="shared" si="4"/>
        <v>0</v>
      </c>
      <c r="I175" s="1">
        <v>0</v>
      </c>
      <c r="J175" s="1">
        <v>0</v>
      </c>
    </row>
    <row r="176" spans="2:10" x14ac:dyDescent="0.2">
      <c r="B176" s="1" t="s">
        <v>186</v>
      </c>
      <c r="C176" s="7">
        <f>SUMIFS(Tabla1[Cantidad],Tabla1[Material],B176)-Tabla2[[#This Row],[Inversión]]</f>
        <v>6</v>
      </c>
      <c r="D176" s="7">
        <f>ROUNDDOWN(2+IF(E175&lt;0,-E175/3,0),0)+Tabla2[[#This Row],[Farmeo]]-Tabla2[[#This Row],[Inversión]]</f>
        <v>2</v>
      </c>
      <c r="E176" s="7">
        <f>Tabla2[[#This Row],[Cantidad]]-Tabla2[[#This Row],[Inventario]]</f>
        <v>4</v>
      </c>
      <c r="F176" s="1" t="s">
        <v>288</v>
      </c>
      <c r="G176" s="1">
        <v>20</v>
      </c>
      <c r="H176" s="1">
        <f t="shared" si="4"/>
        <v>40</v>
      </c>
      <c r="I176" s="1">
        <v>0</v>
      </c>
      <c r="J176" s="1">
        <v>0</v>
      </c>
    </row>
    <row r="177" spans="2:10" x14ac:dyDescent="0.2">
      <c r="B177" s="1" t="s">
        <v>187</v>
      </c>
      <c r="C177" s="7">
        <f>SUMIFS(Tabla1[Cantidad],Tabla1[Material],B177)-Tabla2[[#This Row],[Inversión]]</f>
        <v>18</v>
      </c>
      <c r="D177" s="7">
        <f>ROUNDDOWN(0+IF(E176&lt;0,-E176/3,0),0)+Tabla2[[#This Row],[Farmeo]]-Tabla2[[#This Row],[Inversión]]</f>
        <v>0</v>
      </c>
      <c r="E177" s="7">
        <f>Tabla2[[#This Row],[Cantidad]]-Tabla2[[#This Row],[Inventario]]</f>
        <v>18</v>
      </c>
      <c r="F177" s="1" t="s">
        <v>288</v>
      </c>
      <c r="G177" s="1">
        <v>20</v>
      </c>
      <c r="H177" s="1">
        <f>IF(E177&gt;0,ROUNDUP(G177*E177,0),0)</f>
        <v>360</v>
      </c>
      <c r="I177" s="1">
        <v>0</v>
      </c>
      <c r="J177" s="1">
        <v>0</v>
      </c>
    </row>
    <row r="178" spans="2:10" x14ac:dyDescent="0.2">
      <c r="B178" s="1" t="s">
        <v>188</v>
      </c>
      <c r="C178" s="7">
        <f>SUMIFS(Tabla1[Cantidad],Tabla1[Material],B178)-Tabla2[[#This Row],[Inversión]]</f>
        <v>8</v>
      </c>
      <c r="D178" s="7">
        <f>ROUNDDOWN(0+IF(E177&lt;0,-E177/3,0),0)+Tabla2[[#This Row],[Farmeo]]-Tabla2[[#This Row],[Inversión]]</f>
        <v>0</v>
      </c>
      <c r="E178" s="7">
        <f>Tabla2[[#This Row],[Cantidad]]-Tabla2[[#This Row],[Inventario]]</f>
        <v>8</v>
      </c>
      <c r="F178" s="1" t="s">
        <v>288</v>
      </c>
      <c r="G178" s="1">
        <v>20</v>
      </c>
      <c r="H178" s="1">
        <f>IF(E178&gt;0,ROUNDUP(G178*E178,0),0)</f>
        <v>160</v>
      </c>
      <c r="I178" s="1">
        <v>0</v>
      </c>
      <c r="J178" s="1">
        <v>0</v>
      </c>
    </row>
    <row r="179" spans="2:10" x14ac:dyDescent="0.2">
      <c r="B179" s="1" t="s">
        <v>193</v>
      </c>
      <c r="C179" s="7">
        <f>SUMIFS(Tabla1[Cantidad],Tabla1[Material],B179)-Tabla2[[#This Row],[Inversión]]</f>
        <v>3</v>
      </c>
      <c r="D179" s="7">
        <f>6+Tabla2[[#This Row],[Farmeo]]-Tabla2[[#This Row],[Inversión]]</f>
        <v>6</v>
      </c>
      <c r="E179" s="7">
        <f>Tabla2[[#This Row],[Cantidad]]-Tabla2[[#This Row],[Inventario]]</f>
        <v>-3</v>
      </c>
      <c r="F179" s="1" t="s">
        <v>288</v>
      </c>
      <c r="G179" s="1">
        <v>20</v>
      </c>
      <c r="H179" s="1">
        <f t="shared" si="4"/>
        <v>0</v>
      </c>
      <c r="I179" s="1">
        <v>0</v>
      </c>
      <c r="J179" s="1">
        <v>0</v>
      </c>
    </row>
    <row r="180" spans="2:10" x14ac:dyDescent="0.2">
      <c r="B180" s="1" t="s">
        <v>194</v>
      </c>
      <c r="C180" s="7">
        <f>SUMIFS(Tabla1[Cantidad],Tabla1[Material],B180)-Tabla2[[#This Row],[Inversión]]</f>
        <v>9</v>
      </c>
      <c r="D180" s="7">
        <f>ROUNDDOWN(0+IF(E179&lt;0,-E179/3,0),0)+Tabla2[[#This Row],[Farmeo]]-Tabla2[[#This Row],[Inversión]]</f>
        <v>1</v>
      </c>
      <c r="E180" s="7">
        <f>Tabla2[[#This Row],[Cantidad]]-Tabla2[[#This Row],[Inventario]]</f>
        <v>8</v>
      </c>
      <c r="F180" s="1" t="s">
        <v>288</v>
      </c>
      <c r="G180" s="1">
        <v>20</v>
      </c>
      <c r="H180" s="1">
        <f t="shared" si="4"/>
        <v>80</v>
      </c>
      <c r="I180" s="1">
        <v>0</v>
      </c>
      <c r="J180" s="1">
        <v>0</v>
      </c>
    </row>
    <row r="181" spans="2:10" x14ac:dyDescent="0.2">
      <c r="B181" s="1" t="s">
        <v>195</v>
      </c>
      <c r="C181" s="7">
        <f>SUMIFS(Tabla1[Cantidad],Tabla1[Material],B181)-Tabla2[[#This Row],[Inversión]]</f>
        <v>9</v>
      </c>
      <c r="D181" s="7">
        <f>ROUNDDOWN(0+IF(E180&lt;0,-E180/3,0),0)+Tabla2[[#This Row],[Farmeo]]-Tabla2[[#This Row],[Inversión]]</f>
        <v>0</v>
      </c>
      <c r="E181" s="7">
        <f>Tabla2[[#This Row],[Cantidad]]-Tabla2[[#This Row],[Inventario]]</f>
        <v>9</v>
      </c>
      <c r="F181" s="1" t="s">
        <v>288</v>
      </c>
      <c r="G181" s="1">
        <v>20</v>
      </c>
      <c r="H181" s="1">
        <f>IF(E181&gt;0,ROUNDUP(G181*E181,0),0)</f>
        <v>180</v>
      </c>
      <c r="I181" s="1">
        <v>0</v>
      </c>
      <c r="J181" s="1">
        <v>0</v>
      </c>
    </row>
    <row r="182" spans="2:10" x14ac:dyDescent="0.2">
      <c r="B182" s="1" t="s">
        <v>196</v>
      </c>
      <c r="C182" s="7">
        <f>SUMIFS(Tabla1[Cantidad],Tabla1[Material],B182)-Tabla2[[#This Row],[Inversión]]</f>
        <v>4</v>
      </c>
      <c r="D182" s="7">
        <f>ROUNDDOWN(0+IF(E181&lt;0,-E181/3,0),0)+Tabla2[[#This Row],[Farmeo]]-Tabla2[[#This Row],[Inversión]]</f>
        <v>0</v>
      </c>
      <c r="E182" s="7">
        <f>Tabla2[[#This Row],[Cantidad]]-Tabla2[[#This Row],[Inventario]]</f>
        <v>4</v>
      </c>
      <c r="F182" s="1" t="s">
        <v>288</v>
      </c>
      <c r="G182" s="1">
        <v>20</v>
      </c>
      <c r="H182" s="1">
        <f>IF(E182&gt;0,ROUNDUP(G182*E182,0),0)</f>
        <v>80</v>
      </c>
      <c r="I182" s="1">
        <v>0</v>
      </c>
      <c r="J182" s="1">
        <v>0</v>
      </c>
    </row>
    <row r="183" spans="2:10" x14ac:dyDescent="0.2">
      <c r="B183" s="1" t="s">
        <v>201</v>
      </c>
      <c r="C183" s="7">
        <f>SUMIFS(Tabla1[Cantidad],Tabla1[Material],B183)-Tabla2[[#This Row],[Inversión]]</f>
        <v>11</v>
      </c>
      <c r="D183" s="7">
        <f>4+Tabla2[[#This Row],[Farmeo]]-Tabla2[[#This Row],[Inversión]]</f>
        <v>4</v>
      </c>
      <c r="E183" s="7">
        <f>Tabla2[[#This Row],[Cantidad]]-Tabla2[[#This Row],[Inventario]]</f>
        <v>7</v>
      </c>
      <c r="F183" s="1" t="s">
        <v>288</v>
      </c>
      <c r="G183" s="1">
        <v>20</v>
      </c>
      <c r="H183" s="1">
        <f t="shared" si="4"/>
        <v>70</v>
      </c>
      <c r="I183" s="1">
        <v>0</v>
      </c>
      <c r="J183" s="1">
        <v>0</v>
      </c>
    </row>
    <row r="184" spans="2:10" x14ac:dyDescent="0.2">
      <c r="B184" s="1" t="s">
        <v>202</v>
      </c>
      <c r="C184" s="7">
        <f>SUMIFS(Tabla1[Cantidad],Tabla1[Material],B184)-Tabla2[[#This Row],[Inversión]]</f>
        <v>32</v>
      </c>
      <c r="D184" s="7">
        <f>ROUNDDOWN(1+IF(E183&lt;0,-E183/3,0),0)+Tabla2[[#This Row],[Farmeo]]-Tabla2[[#This Row],[Inversión]]</f>
        <v>1</v>
      </c>
      <c r="E184" s="7">
        <f>Tabla2[[#This Row],[Cantidad]]-Tabla2[[#This Row],[Inventario]]</f>
        <v>31</v>
      </c>
      <c r="F184" s="1" t="s">
        <v>288</v>
      </c>
      <c r="G184" s="1">
        <v>20</v>
      </c>
      <c r="H184" s="1">
        <f t="shared" si="4"/>
        <v>310</v>
      </c>
      <c r="I184" s="1">
        <v>0</v>
      </c>
      <c r="J184" s="1">
        <v>0</v>
      </c>
    </row>
    <row r="185" spans="2:10" x14ac:dyDescent="0.2">
      <c r="B185" s="1" t="s">
        <v>203</v>
      </c>
      <c r="C185" s="7">
        <f>SUMIFS(Tabla1[Cantidad],Tabla1[Material],B185)-Tabla2[[#This Row],[Inversión]]</f>
        <v>32</v>
      </c>
      <c r="D185" s="7">
        <f>ROUNDDOWN(0+IF(E184&lt;0,-E184/3,0),0)+Tabla2[[#This Row],[Farmeo]]-Tabla2[[#This Row],[Inversión]]</f>
        <v>0</v>
      </c>
      <c r="E185" s="7">
        <f>Tabla2[[#This Row],[Cantidad]]-Tabla2[[#This Row],[Inventario]]</f>
        <v>32</v>
      </c>
      <c r="F185" s="1" t="s">
        <v>288</v>
      </c>
      <c r="G185" s="1">
        <v>20</v>
      </c>
      <c r="H185" s="1">
        <f>IF(E185&gt;0,ROUNDUP(G185*E185,0),0)</f>
        <v>640</v>
      </c>
      <c r="I185" s="1">
        <v>0</v>
      </c>
      <c r="J185" s="1">
        <v>0</v>
      </c>
    </row>
    <row r="186" spans="2:10" x14ac:dyDescent="0.2">
      <c r="B186" s="1" t="s">
        <v>204</v>
      </c>
      <c r="C186" s="7">
        <f>SUMIFS(Tabla1[Cantidad],Tabla1[Material],B186)-Tabla2[[#This Row],[Inversión]]</f>
        <v>14</v>
      </c>
      <c r="D186" s="7">
        <f>ROUNDDOWN(0+IF(E185&lt;0,-E185/3,0),0)+Tabla2[[#This Row],[Farmeo]]-Tabla2[[#This Row],[Inversión]]</f>
        <v>0</v>
      </c>
      <c r="E186" s="7">
        <f>Tabla2[[#This Row],[Cantidad]]-Tabla2[[#This Row],[Inventario]]</f>
        <v>14</v>
      </c>
      <c r="F186" s="1" t="s">
        <v>288</v>
      </c>
      <c r="G186" s="1">
        <v>20</v>
      </c>
      <c r="H186" s="1">
        <f>IF(E186&gt;0,ROUNDUP(G186*E186,0),0)</f>
        <v>280</v>
      </c>
      <c r="I186" s="1">
        <v>0</v>
      </c>
      <c r="J186" s="1">
        <v>0</v>
      </c>
    </row>
    <row r="187" spans="2:10" x14ac:dyDescent="0.2">
      <c r="B187" s="1" t="s">
        <v>278</v>
      </c>
      <c r="C187" s="7">
        <f>SUMIFS(Tabla1[Cantidad],Tabla1[Material],B187)-Tabla2[[#This Row],[Inversión]]</f>
        <v>0</v>
      </c>
      <c r="D187" s="7">
        <f>5+Tabla2[[#This Row],[Farmeo]]-Tabla2[[#This Row],[Inversión]]</f>
        <v>5</v>
      </c>
      <c r="E187" s="7">
        <f>Tabla2[[#This Row],[Cantidad]]-Tabla2[[#This Row],[Inventario]]</f>
        <v>-5</v>
      </c>
      <c r="F187" s="1" t="s">
        <v>286</v>
      </c>
      <c r="G187" s="1">
        <v>20</v>
      </c>
      <c r="H187" s="1">
        <f t="shared" si="4"/>
        <v>0</v>
      </c>
      <c r="I187" s="1">
        <v>0</v>
      </c>
      <c r="J187" s="1">
        <v>0</v>
      </c>
    </row>
    <row r="188" spans="2:10" x14ac:dyDescent="0.2">
      <c r="B188" s="1" t="s">
        <v>210</v>
      </c>
      <c r="C188" s="7">
        <f>SUMIFS(Tabla1[Cantidad],Tabla1[Material],B188)-Tabla2[[#This Row],[Inversión]]</f>
        <v>6</v>
      </c>
      <c r="D188" s="7">
        <f>ROUNDDOWN(1+IF(E187&lt;0,-E187/3,0),0)+Tabla2[[#This Row],[Farmeo]]-Tabla2[[#This Row],[Inversión]]</f>
        <v>2</v>
      </c>
      <c r="E188" s="7">
        <f>Tabla2[[#This Row],[Cantidad]]-Tabla2[[#This Row],[Inventario]]</f>
        <v>4</v>
      </c>
      <c r="F188" s="1" t="s">
        <v>286</v>
      </c>
      <c r="G188" s="1">
        <v>20</v>
      </c>
      <c r="H188" s="1">
        <f t="shared" si="4"/>
        <v>40</v>
      </c>
      <c r="I188" s="1">
        <v>0</v>
      </c>
      <c r="J188" s="1">
        <v>0</v>
      </c>
    </row>
    <row r="189" spans="2:10" x14ac:dyDescent="0.2">
      <c r="B189" s="1" t="s">
        <v>212</v>
      </c>
      <c r="C189" s="7">
        <f>SUMIFS(Tabla1[Cantidad],Tabla1[Material],B189)-Tabla2[[#This Row],[Inversión]]</f>
        <v>9</v>
      </c>
      <c r="D189" s="7">
        <f>ROUNDDOWN(0+IF(E188&lt;0,-E188/3,0),0)+Tabla2[[#This Row],[Farmeo]]-Tabla2[[#This Row],[Inversión]]</f>
        <v>0</v>
      </c>
      <c r="E189" s="7">
        <f>Tabla2[[#This Row],[Cantidad]]-Tabla2[[#This Row],[Inventario]]</f>
        <v>9</v>
      </c>
      <c r="F189" s="1" t="s">
        <v>286</v>
      </c>
      <c r="G189" s="1">
        <v>20</v>
      </c>
      <c r="H189" s="1">
        <f>IF(E189&gt;0,ROUNDUP(G189*E189,0),0)</f>
        <v>180</v>
      </c>
      <c r="I189" s="1">
        <v>0</v>
      </c>
      <c r="J189" s="1">
        <v>0</v>
      </c>
    </row>
    <row r="190" spans="2:10" x14ac:dyDescent="0.2">
      <c r="B190" s="1" t="s">
        <v>213</v>
      </c>
      <c r="C190" s="7">
        <f>SUMIFS(Tabla1[Cantidad],Tabla1[Material],B190)-Tabla2[[#This Row],[Inversión]]</f>
        <v>4</v>
      </c>
      <c r="D190" s="7">
        <f>ROUNDDOWN(0+IF(E189&lt;0,-E189/3,0),0)+Tabla2[[#This Row],[Farmeo]]-Tabla2[[#This Row],[Inversión]]</f>
        <v>0</v>
      </c>
      <c r="E190" s="7">
        <f>Tabla2[[#This Row],[Cantidad]]-Tabla2[[#This Row],[Inventario]]</f>
        <v>4</v>
      </c>
      <c r="F190" s="1" t="s">
        <v>286</v>
      </c>
      <c r="G190" s="1">
        <v>20</v>
      </c>
      <c r="H190" s="1">
        <f>IF(E190&gt;0,ROUNDUP(G190*E190,0),0)</f>
        <v>80</v>
      </c>
      <c r="I190" s="1">
        <v>0</v>
      </c>
      <c r="J190" s="1">
        <v>0</v>
      </c>
    </row>
  </sheetData>
  <conditionalFormatting sqref="E3:E19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orientation="portrait" r:id="rId1"/>
  <ignoredErrors>
    <ignoredError sqref="D31 D148 D150:D151 D130 D169 H112 H130 I143 D21 D27 D40 D116 D135 D159 D179 D143 I151 I145 D13 I10 I13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C3D3-6E38-499A-9FF6-5969E449CBB8}">
  <dimension ref="A2:B13"/>
  <sheetViews>
    <sheetView workbookViewId="0">
      <selection activeCell="A2" sqref="A2"/>
    </sheetView>
  </sheetViews>
  <sheetFormatPr baseColWidth="10" defaultRowHeight="15" x14ac:dyDescent="0.25"/>
  <sheetData>
    <row r="2" spans="1:2" x14ac:dyDescent="0.25">
      <c r="A2">
        <f>420*7</f>
        <v>2940</v>
      </c>
      <c r="B2" t="s">
        <v>293</v>
      </c>
    </row>
    <row r="3" spans="1:2" x14ac:dyDescent="0.25">
      <c r="A3">
        <v>450</v>
      </c>
      <c r="B3" t="s">
        <v>294</v>
      </c>
    </row>
    <row r="4" spans="1:2" x14ac:dyDescent="0.25">
      <c r="A4">
        <v>450</v>
      </c>
      <c r="B4" t="s">
        <v>295</v>
      </c>
    </row>
    <row r="5" spans="1:2" x14ac:dyDescent="0.25">
      <c r="A5">
        <v>360</v>
      </c>
      <c r="B5" t="s">
        <v>296</v>
      </c>
    </row>
    <row r="6" spans="1:2" x14ac:dyDescent="0.25">
      <c r="A6">
        <v>450</v>
      </c>
      <c r="B6" t="s">
        <v>297</v>
      </c>
    </row>
    <row r="7" spans="1:2" x14ac:dyDescent="0.25">
      <c r="A7">
        <v>450</v>
      </c>
      <c r="B7" t="s">
        <v>298</v>
      </c>
    </row>
    <row r="8" spans="1:2" x14ac:dyDescent="0.25">
      <c r="A8">
        <v>450</v>
      </c>
      <c r="B8" t="s">
        <v>299</v>
      </c>
    </row>
    <row r="9" spans="1:2" x14ac:dyDescent="0.25">
      <c r="A9">
        <v>450</v>
      </c>
      <c r="B9" t="s">
        <v>300</v>
      </c>
    </row>
    <row r="10" spans="1:2" x14ac:dyDescent="0.25">
      <c r="A10">
        <v>360</v>
      </c>
      <c r="B10" t="s">
        <v>301</v>
      </c>
    </row>
    <row r="11" spans="1:2" x14ac:dyDescent="0.25">
      <c r="A11">
        <v>675</v>
      </c>
      <c r="B11" t="s">
        <v>302</v>
      </c>
    </row>
    <row r="12" spans="1:2" x14ac:dyDescent="0.25">
      <c r="A12">
        <v>1350</v>
      </c>
      <c r="B12" t="s">
        <v>303</v>
      </c>
    </row>
    <row r="13" spans="1:2" x14ac:dyDescent="0.25">
      <c r="A13">
        <f>SUM(A2:A12)*6</f>
        <v>50310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Personajes y armas</vt:lpstr>
      <vt:lpstr>Datos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Elena</dc:creator>
  <cp:lastModifiedBy>Giovanni Alonso</cp:lastModifiedBy>
  <dcterms:created xsi:type="dcterms:W3CDTF">2021-10-07T23:22:49Z</dcterms:created>
  <dcterms:modified xsi:type="dcterms:W3CDTF">2021-11-27T07:42:55Z</dcterms:modified>
</cp:coreProperties>
</file>